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937"/>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<sst xmlns="http://schemas.openxmlformats.org/spreadsheetml/2006/main" count="4089" uniqueCount="1064">
  <si>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</si>
  <si>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</si>
  <si>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</si>
  <si>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</si>
  <si>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</si>
  <si>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</si>
  <si>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</si>
  <si>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</si>
  <si>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</si>
  <si>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</si>
  <si>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</si>
  <si>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</si>
  <si>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</si>
  <si>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</si>
  <si>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</si>
  <si>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</si>
  <si>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</si>
  <si>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</si>
  <si>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</si>
  <si>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</si>
  <si>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</si>
  <si>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</si>
  <si>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</si>
  <si>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</si>
  <si>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</si>
  <si>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</si>
  <si>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</si>
  <si>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</si>
  <si>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</si>
  <si>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</si>
  <si>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</si>
  <si>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</si>
  <si>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</si>
  <si>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</si>
  <si>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</si>
  <si>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</si>
  <si>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</si>
  <si>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</si>
  <si>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</si>
  <si>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</si>
  <si>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</si>
  <si>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</si>
  <si>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</si>
  <si>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</si>
  <si>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</si>
  <si>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</si>
  <si>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</si>
  <si>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</si>
  <si>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</si>
  <si>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</si>
  <si>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</si>
  <si>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</si>
  <si>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</si>
  <si>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</si>
  <si>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</si>
  <si>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</si>
  <si>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</si>
  <si>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</si>
  <si>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</si>
  <si>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</si>
  <si>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</si>
  <si>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</si>
  <si>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</si>
  <si>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</si>
  <si>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</si>
  <si>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</si>
  <si>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</si>
  <si>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</si>
  <si>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</si>
  <si>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</si>
  <si>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</si>
  <si>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</si>
  <si>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</si>
  <si>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</si>
  <si>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</si>
  <si>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</si>
  <si>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</si>
  <si>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</si>
  <si>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</si>
  <si>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</si>
  <si>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</si>
  <si>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</si>
  <si>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</si>
  <si>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</si>
  <si>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</si>
  <si>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</si>
  <si>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</si>
  <si>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</si>
  <si>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</si>
  <si>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</si>
  <si>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</si>
  <si>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</si>
  <si>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</si>
  <si>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</si>
  <si>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</si>
  <si>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</si>
  <si>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</si>
  <si>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</si>
  <si>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</si>
  <si>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</si>
  <si>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</si>
  <si>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</si>
  <si>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</si>
  <si>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</si>
  <si>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</si>
  <si>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</si>
  <si>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</si>
  <si>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</si>
  <si>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</si>
  <si>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</si>
  <si>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</si>
  <si>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</si>
  <si>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</si>
  <si>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</si>
  <si>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</si>
  <si>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</si>
  <si>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</si>
  <si>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</si>
  <si>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</si>
  <si>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</si>
  <si>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</si>
  <si>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</si>
  <si>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</si>
  <si>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</si>
  <si>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</si>
  <si>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</si>
  <si>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</si>
  <si>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</si>
  <si>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</si>
  <si>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</si>
  <si>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</si>
  <si>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</si>
  <si>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</si>
  <si>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</si>
  <si>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</si>
  <si>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</si>
  <si>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</si>
  <si>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</si>
  <si>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</si>
  <si>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</si>
  <si>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</si>
  <si>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</si>
  <si>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</si>
  <si>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</si>
  <si>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</si>
  <si>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</si>
  <si>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</si>
  <si>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</si>
  <si>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</si>
  <si>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</si>
  <si>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</si>
  <si>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</si>
  <si>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</si>
  <si>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</si>
  <si>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</si>
  <si>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</si>
  <si>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</si>
  <si>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</si>
  <si>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</si>
  <si>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</si>
  <si>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</si>
  <si>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</si>
  <si>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</si>
  <si>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</si>
  <si>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</si>
  <si>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</si>
  <si>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</si>
  <si>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</si>
  <si>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</si>
  <si>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</si>
  <si>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</si>
  <si>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</si>
  <si>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</si>
  <si>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</si>
  <si>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</si>
  <si>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</si>
  <si>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</si>
  <si>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</si>
  <si>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</si>
  <si>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</si>
  <si>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</si>
  <si>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</si>
  <si>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</si>
  <si>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</si>
  <si>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</si>
  <si>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</si>
  <si>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</si>
  <si>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</si>
  <si>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</si>
  <si>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</si>
  <si>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</si>
  <si>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</si>
  <si>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</si>
  <si>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</si>
  <si>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</si>
  <si>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</si>
  <si>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</si>
  <si>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</si>
  <si>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</si>
  <si>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</si>
  <si>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</si>
  <si>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</si>
  <si>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</si>
  <si>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</si>
  <si>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</si>
  <si>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</si>
  <si>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</si>
  <si>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</si>
  <si>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</si>
  <si>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</si>
  <si>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</si>
  <si>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</si>
  <si>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</si>
  <si>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</si>
  <si>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</si>
  <si>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</si>
  <si>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</si>
  <si>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</si>
  <si>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</si>
  <si>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</si>
  <si>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</si>
  <si>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</si>
  <si>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</si>
  <si>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</si>
  <si>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</si>
  <si>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</si>
  <si>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</si>
  <si>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</si>
  <si>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</si>
  <si>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</si>
  <si>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</si>
  <si>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</si>
  <si>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</si>
  <si>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</si>
  <si>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</si>
  <si>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</si>
  <si>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</si>
  <si>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</si>
  <si>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</si>
  <si>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</si>
  <si>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</si>
  <si>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</si>
  <si>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</si>
  <si>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</si>
  <si>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</si>
  <si>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</si>
  <si>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</si>
  <si>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</si>
  <si>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</si>
  <si>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</si>
  <si>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</si>
  <si>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</si>
  <si>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</si>
  <si>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</si>
  <si>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</si>
  <si>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</si>
  <si>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</si>
  <si>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</si>
  <si>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</si>
  <si>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</si>
  <si>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</si>
  <si>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</si>
  <si>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</si>
  <si>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</si>
  <si>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</si>
  <si>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</si>
  <si>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</si>
  <si>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</si>
  <si>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</si>
  <si>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</si>
  <si>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</si>
  <si>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</si>
  <si>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</si>
  <si>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</si>
  <si>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</si>
  <si>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</si>
  <si>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</si>
  <si>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</si>
  <si>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</si>
  <si>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</si>
  <si>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</si>
  <si>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</si>
  <si>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</si>
  <si>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</si>
  <si>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</si>
  <si>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</si>
  <si>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</si>
  <si>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</si>
  <si>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</si>
  <si>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</si>
  <si>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</si>
  <si>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</si>
  <si>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</si>
  <si>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</si>
  <si>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</si>
  <si>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</si>
  <si>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</si>
  <si>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</si>
  <si>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</si>
  <si>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</si>
  <si>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</si>
  <si>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</si>
  <si>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</si>
  <si>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</si>
  <si>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</si>
  <si>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</si>
  <si>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</si>
  <si>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</si>
  <si>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</si>
  <si>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</si>
  <si>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</si>
  <si>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</si>
  <si>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</si>
  <si>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</si>
  <si>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</si>
  <si>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</si>
  <si>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</si>
  <si>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</si>
  <si>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</si>
  <si>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</si>
  <si>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</si>
  <si>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</si>
  <si>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</si>
  <si>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</si>
  <si>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</si>
  <si>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</si>
  <si>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</si>
  <si>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</si>
  <si>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</si>
  <si>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</si>
  <si>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</si>
  <si>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</si>
  <si>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</si>
  <si>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</si>
  <si>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</si>
  <si>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</si>
  <si>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</si>
  <si>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</si>
  <si>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</si>
  <si>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</si>
  <si>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</si>
  <si>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</si>
  <si>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</si>
  <si>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</si>
  <si>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</si>
  <si>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</si>
  <si>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</si>
  <si>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</si>
  <si>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</si>
  <si>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</si>
  <si>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</si>
  <si>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</si>
  <si>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</si>
  <si>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</si>
  <si>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</si>
  <si>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</si>
  <si>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</si>
  <si>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</si>
  <si>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</si>
  <si>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</si>
  <si>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</si>
  <si>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</si>
  <si>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</si>
  <si>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</si>
  <si>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</si>
  <si>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</si>
  <si>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</si>
  <si>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</si>
  <si>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</si>
  <si>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</si>
  <si>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</si>
  <si>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</si>
  <si>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</si>
  <si>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</si>
  <si>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</si>
  <si>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</si>
  <si>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</si>
  <si>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</si>
  <si>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</si>
  <si>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</si>
  <si>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</si>
  <si>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</si>
  <si>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</si>
  <si>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</si>
  <si>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</si>
  <si>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</si>
  <si>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</si>
  <si>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</si>
  <si>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</si>
  <si>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</si>
  <si>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</si>
  <si>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</si>
  <si>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</si>
  <si>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</si>
  <si>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</si>
  <si>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</si>
  <si>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</si>
  <si>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</si>
  <si>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</si>
  <si>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</si>
  <si>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</si>
  <si>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</si>
  <si>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</si>
  <si>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</si>
  <si>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</si>
  <si>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</si>
  <si>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</si>
  <si>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</si>
  <si>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</si>
  <si>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</si>
  <si>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</si>
  <si>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</si>
  <si>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</si>
  <si>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</si>
  <si>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</si>
  <si>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</si>
  <si>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</si>
  <si>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</si>
  <si>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</si>
  <si>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</si>
  <si>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</si>
  <si>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</si>
  <si>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</si>
  <si>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</si>
  <si>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</si>
  <si>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</si>
  <si>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</si>
  <si>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</si>
  <si>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</si>
  <si>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</si>
  <si>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</si>
  <si>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</si>
  <si>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</si>
  <si>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</si>
  <si>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</si>
  <si>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</si>
  <si>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</si>
  <si>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</si>
  <si>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</si>
  <si>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</si>
  <si>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</si>
  <si>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</si>
  <si>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</si>
  <si>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</si>
  <si>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</si>
  <si>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</si>
  <si>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</si>
  <si>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</si>
  <si>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</si>
  <si>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</si>
  <si>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</si>
  <si>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</si>
  <si>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</si>
  <si>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</si>
  <si>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</si>
  <si>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</si>
  <si>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</si>
  <si>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</si>
  <si>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</si>
  <si>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</si>
  <si>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</si>
  <si>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</si>
  <si>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</si>
  <si>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</si>
  <si>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</si>
  <si>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</si>
  <si>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</si>
  <si>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</si>
  <si>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</si>
  <si>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</si>
  <si>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</si>
  <si>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</si>
  <si>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</si>
  <si>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</si>
  <si>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</si>
  <si>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</si>
  <si>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</si>
  <si>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</si>
  <si>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</si>
  <si>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</si>
  <si>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</si>
  <si>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</si>
  <si>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</si>
  <si>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</si>
  <si>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</si>
  <si>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</si>
  <si>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</si>
  <si>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</si>
  <si>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</si>
  <si>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</si>
  <si>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</si>
  <si>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</si>
  <si>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</si>
  <si>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</si>
  <si>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</si>
  <si>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</si>
  <si>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</si>
  <si>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</si>
  <si>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</si>
  <si>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</si>
  <si>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</si>
  <si>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</si>
  <si>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</si>
  <si>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</si>
  <si>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</si>
  <si>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</si>
  <si>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</si>
  <si>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</si>
  <si>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</si>
  <si>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</si>
  <si>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</si>
  <si>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</si>
  <si>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</si>
  <si>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</si>
  <si>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</si>
  <si>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</si>
  <si>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</si>
  <si>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</si>
  <si>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</si>
  <si>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</si>
  <si>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</si>
  <si>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</si>
  <si>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</si>
  <si>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</si>
  <si>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</si>
  <si>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</si>
  <si>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</si>
  <si>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</si>
  <si>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</si>
  <si>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</si>
  <si>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</si>
  <si>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</si>
  <si>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</si>
  <si>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</si>
  <si>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</si>
  <si>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</si>
  <si>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</si>
  <si>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</si>
  <si>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</si>
  <si>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</si>
  <si>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</si>
  <si>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</si>
  <si>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</si>
  <si>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</si>
  <si>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</si>
  <si>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</si>
  <si>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</si>
  <si>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</si>
  <si>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</si>
  <si>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</si>
  <si>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</si>
  <si>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</si>
  <si>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</si>
  <si>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</si>
  <si>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</si>
  <si>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</si>
  <si>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</si>
  <si>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</si>
  <si>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</si>
  <si>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</si>
  <si>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</si>
  <si>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</si>
  <si>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</si>
  <si>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</si>
  <si>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</si>
  <si>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</si>
  <si>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</si>
  <si>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</si>
  <si>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</si>
  <si>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</si>
  <si>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</si>
  <si>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</si>
  <si>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</si>
  <si>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</si>
  <si>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</si>
  <si>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</si>
  <si>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</si>
  <si>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</si>
  <si>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</si>
  <si>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</si>
  <si>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</si>
  <si>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</si>
  <si>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</si>
  <si>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</si>
  <si>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</si>
  <si>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</si>
  <si>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</si>
  <si>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</si>
  <si>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</si>
  <si>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</si>
  <si>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</si>
  <si>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</si>
  <si>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</si>
  <si>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</si>
  <si>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</si>
  <si>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</si>
  <si>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</si>
  <si>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</si>
  <si>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</si>
  <si>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</si>
  <si>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</si>
  <si>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</si>
  <si>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</si>
  <si>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</si>
  <si>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</si>
  <si>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</si>
  <si>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</si>
  <si>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</si>
  <si>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</si>
  <si>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</si>
  <si>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</si>
  <si>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</si>
  <si>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</si>
  <si>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</si>
  <si>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</si>
  <si>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</si>
  <si>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</si>
  <si>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</si>
  <si>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</si>
  <si>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</si>
  <si>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</si>
  <si>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</si>
  <si>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</si>
  <si>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</si>
  <si>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</si>
  <si>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</si>
  <si>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</si>
  <si>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</si>
  <si>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</si>
  <si>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</si>
  <si>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</si>
  <si>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</si>
  <si>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</si>
  <si>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</si>
  <si>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</si>
  <si>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</si>
  <si>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</si>
  <si>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</si>
  <si>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</si>
  <si>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</si>
  <si>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</si>
  <si>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</si>
  <si>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</si>
  <si>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</si>
  <si>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</si>
  <si>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</si>
  <si>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</si>
  <si>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</si>
  <si>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</si>
  <si>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</si>
  <si>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</si>
  <si>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</si>
  <si>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</si>
  <si>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</si>
  <si>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</si>
  <si>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</si>
  <si>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</si>
  <si>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</si>
  <si>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</si>
  <si>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</si>
  <si>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</si>
  <si>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</si>
  <si>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</si>
  <si>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</si>
  <si>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</si>
  <si>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</si>
  <si>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</si>
  <si>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</si>
  <si>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</si>
  <si>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</si>
  <si>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</si>
  <si>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</si>
  <si>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</si>
  <si>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</si>
  <si>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</si>
  <si>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</si>
  <si>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</si>
  <si>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</si>
  <si>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</si>
  <si>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</si>
  <si>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</si>
  <si>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</si>
  <si>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</si>
  <si>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</si>
  <si>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</si>
  <si>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</si>
  <si>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</si>
  <si>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</si>
  <si>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</si>
  <si>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</si>
  <si>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</si>
  <si>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</si>
  <si>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</si>
  <si>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</si>
  <si>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</si>
  <si>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</si>
  <si>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</si>
  <si>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</si>
  <si>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</si>
  <si>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</si>
  <si>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</si>
  <si>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</si>
  <si>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</si>
  <si>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</si>
  <si>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</si>
  <si>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</si>
  <si>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</si>
  <si>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</si>
  <si>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</si>
  <si>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</si>
  <si>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</si>
  <si>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</si>
  <si>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</si>
  <si>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</si>
  <si>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</si>
  <si>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</si>
  <si>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</si>
  <si>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</si>
  <si>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</si>
  <si>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</si>
  <si>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</si>
  <si>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</si>
  <si>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</si>
  <si>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</si>
  <si>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</si>
  <si>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</si>
  <si>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</si>
  <si>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</si>
  <si>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</si>
  <si>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</si>
  <si>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</si>
  <si>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</si>
  <si>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</si>
  <si>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</si>
  <si>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</si>
  <si>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</si>
  <si>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</si>
  <si>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</si>
  <si>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</si>
  <si>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</si>
  <si>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</si>
  <si>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</si>
  <si>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</si>
  <si>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</si>
  <si>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</si>
  <si>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</si>
  <si>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</si>
  <si>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</si>
  <si>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</si>
  <si>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</si>
  <si>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</si>
  <si>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</si>
  <si>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</si>
  <si>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</si>
  <si>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</si>
  <si>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</si>
  <si>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</si>
  <si>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</si>
  <si>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</si>
  <si>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</si>
  <si>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</si>
  <si>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</si>
  <si>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</si>
  <si>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</si>
  <si>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</si>
  <si>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</si>
  <si>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</si>
  <si>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</si>
  <si>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</si>
  <si>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</si>
  <si>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</si>
  <si>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</si>
  <si>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</si>
  <si>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</si>
  <si>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</si>
  <si>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</si>
  <si>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</si>
  <si>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</si>
  <si>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</si>
  <si>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</si>
  <si>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</si>
  <si>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</si>
  <si>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</si>
  <si>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</si>
  <si>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</si>
  <si>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</si>
  <si>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</si>
  <si>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</si>
  <si>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</si>
  <si>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</si>
  <si>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</si>
  <si>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</si>
  <si>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</si>
  <si>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</si>
  <si>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</si>
  <si>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</si>
  <si>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</si>
  <si>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</si>
  <si>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</si>
  <si>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</si>
  <si>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</si>
  <si>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</si>
  <si>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</si>
  <si>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</si>
  <si>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</si>
  <si>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</si>
  <si>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</si>
  <si>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</si>
  <si>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</si>
  <si>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</si>
  <si>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</si>
  <si>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</si>
  <si>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</si>
  <si>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</si>
  <si>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</si>
  <si>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</si>
  <si>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</si>
  <si>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</si>
  <si>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</si>
  <si>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</si>
  <si>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</si>
  <si>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</si>
  <si>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</si>
  <si>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</si>
  <si>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</si>
  <si>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</si>
  <si>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</si>
  <si>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</si>
  <si>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</si>
  <si>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</si>
  <si>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</si>
  <si>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</si>
  <si>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</si>
  <si>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</si>
  <si>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</si>
  <si>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</si>
  <si>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</si>
  <si>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</si>
  <si>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</si>
  <si>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</si>
  <si>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</si>
  <si>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</si>
  <si>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</si>
  <si>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</si>
  <si>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</si>
  <si>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</si>
  <si>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</si>
  <si>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</si>
  <si>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</si>
  <si>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</si>
  <si>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</si>
  <si>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</si>
  <si>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</si>
  <si>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</si>
  <si>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</si>
  <si>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</si>
  <si>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</si>
  <si>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</si>
  <si>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</si>
  <si>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</si>
  <si>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</si>
  <si>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</si>
  <si>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</si>
  <si>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</si>
  <si>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</si>
  <si>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</si>
  <si>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</si>
  <si>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</si>
  <si>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</si>
  <si>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</si>
  <si>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</si>
  <si>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</si>
  <si>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</si>
  <si>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</si>
  <si>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</si>
  <si>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</si>
  <si>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</si>
  <si>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</si>
  <si>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</si>
  <si>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</si>
  <si>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</si>
  <si>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</si>
  <si>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</si>
  <si>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</si>
  <si>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</si>
  <si>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</si>
  <si>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</si>
  <si>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</si>
  <si>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</si>
  <si>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</si>
  <si>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</si>
  <si>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</si>
  <si>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</si>
  <si>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</si>
  <si>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</si>
  <si>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</si>
  <si>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</si>
  <si>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</si>
  <si>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</si>
  <si>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</si>
  <si>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</si>
  <si>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</si>
  <si>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</si>
  <si>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</si>
  <si>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</si>
  <si>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</si>
  <si>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</si>
  <si>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</si>
  <si>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</si>
  <si>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</si>
  <si>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</si>
  <si>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</si>
  <si>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</si>
  <si>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</si>
  <si>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</si>
  <si>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</si>
  <si>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</si>
  <si>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</si>
  <si>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</si>
  <si>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</si>
  <si>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</si>
  <si>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</si>
  <si>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</si>
  <si>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</si>
  <si>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</si>
  <si>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</si>
  <si>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</si>
  <si>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</si>
  <si>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</si>
  <si>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</si>
  <si>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</si>
  <si>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</si>
  <si>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</si>
  <si>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</si>
  <si>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</si>
  <si>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</si>
  <si>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</si>
  <si>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</si>
  <si>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</si>
  <si>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</si>
  <si>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</si>
  <si>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</si>
  <si>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</si>
  <si>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</si>
  <si>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</si>
  <si>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</si>
  <si>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</si>
  <si>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</si>
  <si>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</si>
  <si>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</si>
  <si>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</si>
  <si>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</si>
  <si>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</si>
  <si>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</si>
  <si>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</si>
  <si>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</si>
  <si>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</si>
  <si>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</si>
  <si>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</si>
  <si>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</si>
  <si>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</si>
  <si>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</si>
  <si>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</si>
  <si>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</si>
  <si>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</si>
  <si>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</si>
  <si>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</si>
  <si>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</si>
  <si>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</si>
  <si>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</si>
  <si>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</si>
  <si>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</si>
  <si>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</si>
  <si>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</si>
  <si>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</si>
  <si>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</si>
  <si>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</si>
  <si>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</si>
  <si>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</si>
  <si>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</si>
  <si>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</si>
  <si>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</si>
  <si>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</si>
  <si>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</si>
  <si>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</si>
  <si>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</si>
  <si>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</si>
  <si>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</si>
  <si>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</si>
  <si>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</si>
  <si>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</si>
  <si>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</si>
  <si>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</si>
  <si>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</si>
  <si>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</si>
  <si>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</si>
  <si>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</si>
  <si>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</si>
  <si>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</si>
  <si>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</si>
  <si>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</si>
  <si>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</si>
  <si>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</si>
  <si>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</si>
  <si>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</si>
  <si>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</si>
  <si>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</si>
  <si>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</si>
  <si>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</si>
  <si>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</si>
  <si>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</si>
  <si>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</si>
  <si>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</si>
  <si>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</si>
  <si>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</si>
  <si>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</si>
  <si>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</si>
  <si>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</si>
  <si>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</si>
  <si>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</si>
  <si>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</si>
  <si>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</si>
  <si>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</si>
  <si>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</si>
  <si>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</si>
  <si>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</si>
  <si>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</si>
  <si>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</si>
  <si>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</si>
  <si>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</si>
  <si>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</si>
  <si>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</si>
  <si>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</si>
  <si>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</si>
  <si>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</si>
  <si>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</si>
  <si>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</si>
  <si>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</si>
  <si>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</si>
  <si>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</si>
  <si>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</si>
  <si>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</si>
  <si>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</si>
  <si>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</si>
  <si>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</si>
  <si>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</si>
  <si>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</si>
  <si>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</si>
  <si>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</si>
  <si>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</si>
  <si>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</si>
  <si>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</si>
  <si>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</si>
  <si>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</si>
  <si>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</si>
  <si>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</si>
  <si>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</si>
  <si>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</si>
  <si>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</si>
  <si>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</si>
  <si>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</si>
  <si>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687</t>
  </si>
  <si>
    <t>Current Pending on 08/06/2016</t>
  </si>
  <si>
    <t>Prior Pending on 07/30/2016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</si>
</sst>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3">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3" fontId="4" fillId="38" borderId="3" xfId="0" applyNumberFormat="1" applyFont="1" applyFill="1" applyBorder="1"/>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6"/>
      <queryTableField id="2" name="DEF_DIST" tableColumnId="17"/>
      <queryTableField id="3" name="RELEASE_DATE" tableColumnId="18"/>
      <queryTableField id="4" name="RO" tableColumnId="19"/>
      <queryTableField id="5" name="COMP3_ISSUES_WGHTED_ACC" tableColumnId="20"/>
      <queryTableField id="6" name="COMP3_RTNG_CLM_WGHTED_ACC" tableColumnId="21"/>
      <queryTableField id="7" name="COMP12_RTNG_CLM_WGHTED_ACC" tableColumnId="22"/>
      <queryTableField id="8" name="COMP12_RTNG_CLM_MOE" tableColumnId="23"/>
      <queryTableField id="9" name="COMP12_AUTH_CLM_WGHTED_ACC" tableColumnId="24"/>
      <queryTableField id="10" name="COMP12_AUTH_CLM_MOE" tableColumnId="25"/>
      <queryTableField id="11" name="PMC3_RTNG_CLM_WGHTED_ACC" tableColumnId="26"/>
      <queryTableField id="12" name="PMC12_RTNG_CLM_WGHTED_ACC" tableColumnId="27"/>
      <queryTableField id="13" name="PMC12_RTNG_CLM_MOE" tableColumnId="28"/>
      <queryTableField id="14" name="PMC12_AUTH_CLM_WGHTED_ACC" tableColumnId="29"/>
      <queryTableField id="15" name="PMC12_AUTH_CLM_MOE" tableColumnId="30"/>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6" uniqueName="16" name="MMWR_ACCURACY_RO" queryTableFieldId="1"/>
    <tableColumn id="17" uniqueName="17" name="DEF_DIST" queryTableFieldId="2"/>
    <tableColumn id="18" uniqueName="18" name="RELEASE_DATE" queryTableFieldId="3" dataDxfId="15"/>
    <tableColumn id="19" uniqueName="19" name="RO" queryTableFieldId="4"/>
    <tableColumn id="20" uniqueName="20" name="COMP3_ISSUES_WGHTED_ACC" queryTableFieldId="5" dataDxfId="14"/>
    <tableColumn id="21" uniqueName="21" name="COMP3_RTNG_CLM_WGHTED_ACC" queryTableFieldId="6" dataDxfId="13"/>
    <tableColumn id="22" uniqueName="22" name="COMP12_RTNG_CLM_WGHTED_ACC" queryTableFieldId="7" dataDxfId="12"/>
    <tableColumn id="23" uniqueName="23" name="COMP12_RTNG_CLM_MOE" queryTableFieldId="8" dataDxfId="11"/>
    <tableColumn id="24" uniqueName="24" name="COMP12_AUTH_CLM_WGHTED_ACC" queryTableFieldId="9" dataDxfId="10"/>
    <tableColumn id="25" uniqueName="25" name="COMP12_AUTH_CLM_MOE" queryTableFieldId="10" dataDxfId="9"/>
    <tableColumn id="26" uniqueName="26" name="PMC3_RTNG_CLM_WGHTED_ACC" queryTableFieldId="11" dataDxfId="8"/>
    <tableColumn id="27" uniqueName="27" name="PMC12_RTNG_CLM_WGHTED_ACC" queryTableFieldId="12" dataDxfId="7"/>
    <tableColumn id="28" uniqueName="28" name="PMC12_RTNG_CLM_MOE" queryTableFieldId="13" dataDxfId="6"/>
    <tableColumn id="29" uniqueName="29" name="PMC12_AUTH_CLM_WGHTED_ACC" queryTableFieldId="14" dataDxfId="5"/>
    <tableColumn id="30" uniqueName="30"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5" t="s">
        <v>303</v>
      </c>
      <c r="B1" s="276"/>
      <c r="C1" s="276"/>
      <c r="D1" s="276"/>
      <c r="E1" s="276"/>
      <c r="F1" s="276"/>
      <c r="G1" s="276"/>
      <c r="H1" s="276"/>
      <c r="I1" s="276"/>
      <c r="J1" s="276"/>
      <c r="K1" s="276"/>
      <c r="L1" s="276"/>
      <c r="M1" s="276"/>
      <c r="N1" s="276"/>
      <c r="O1" s="276"/>
      <c r="P1" s="277"/>
    </row>
    <row r="2" spans="1:16" ht="29.25" customHeight="1" x14ac:dyDescent="0.2">
      <c r="A2" s="269" t="s">
        <v>305</v>
      </c>
      <c r="B2" s="270"/>
      <c r="C2" s="270"/>
      <c r="D2" s="270"/>
      <c r="E2" s="270"/>
      <c r="F2" s="270"/>
      <c r="G2" s="270"/>
      <c r="H2" s="270"/>
      <c r="I2" s="270"/>
      <c r="J2" s="270"/>
      <c r="K2" s="270"/>
      <c r="L2" s="270"/>
      <c r="M2" s="270"/>
      <c r="N2" s="271"/>
      <c r="O2" s="278"/>
      <c r="P2" s="279"/>
    </row>
    <row r="3" spans="1:16" x14ac:dyDescent="0.2">
      <c r="A3" s="269"/>
      <c r="B3" s="270"/>
      <c r="C3" s="270"/>
      <c r="D3" s="270"/>
      <c r="E3" s="270"/>
      <c r="F3" s="270"/>
      <c r="G3" s="270"/>
      <c r="H3" s="270"/>
      <c r="I3" s="270"/>
      <c r="J3" s="270"/>
      <c r="K3" s="270"/>
      <c r="L3" s="270"/>
      <c r="M3" s="270"/>
      <c r="N3" s="271"/>
      <c r="O3" s="280"/>
      <c r="P3" s="281"/>
    </row>
    <row r="4" spans="1:16" x14ac:dyDescent="0.2">
      <c r="A4" s="269"/>
      <c r="B4" s="270"/>
      <c r="C4" s="270"/>
      <c r="D4" s="270"/>
      <c r="E4" s="270"/>
      <c r="F4" s="270"/>
      <c r="G4" s="270"/>
      <c r="H4" s="270"/>
      <c r="I4" s="270"/>
      <c r="J4" s="270"/>
      <c r="K4" s="270"/>
      <c r="L4" s="270"/>
      <c r="M4" s="270"/>
      <c r="N4" s="271"/>
      <c r="O4" s="280"/>
      <c r="P4" s="281"/>
    </row>
    <row r="5" spans="1:16" x14ac:dyDescent="0.2">
      <c r="A5" s="269"/>
      <c r="B5" s="270"/>
      <c r="C5" s="270"/>
      <c r="D5" s="270"/>
      <c r="E5" s="270"/>
      <c r="F5" s="270"/>
      <c r="G5" s="270"/>
      <c r="H5" s="270"/>
      <c r="I5" s="270"/>
      <c r="J5" s="270"/>
      <c r="K5" s="270"/>
      <c r="L5" s="270"/>
      <c r="M5" s="270"/>
      <c r="N5" s="271"/>
      <c r="O5" s="280"/>
      <c r="P5" s="281"/>
    </row>
    <row r="6" spans="1:16" x14ac:dyDescent="0.2">
      <c r="A6" s="269"/>
      <c r="B6" s="270"/>
      <c r="C6" s="270"/>
      <c r="D6" s="270"/>
      <c r="E6" s="270"/>
      <c r="F6" s="270"/>
      <c r="G6" s="270"/>
      <c r="H6" s="270"/>
      <c r="I6" s="270"/>
      <c r="J6" s="270"/>
      <c r="K6" s="270"/>
      <c r="L6" s="270"/>
      <c r="M6" s="270"/>
      <c r="N6" s="271"/>
      <c r="O6" s="280"/>
      <c r="P6" s="281"/>
    </row>
    <row r="7" spans="1:16" ht="18" customHeight="1" thickBot="1" x14ac:dyDescent="0.25">
      <c r="A7" s="272"/>
      <c r="B7" s="273"/>
      <c r="C7" s="273"/>
      <c r="D7" s="273"/>
      <c r="E7" s="273"/>
      <c r="F7" s="273"/>
      <c r="G7" s="273"/>
      <c r="H7" s="273"/>
      <c r="I7" s="273"/>
      <c r="J7" s="273"/>
      <c r="K7" s="273"/>
      <c r="L7" s="273"/>
      <c r="M7" s="273"/>
      <c r="N7" s="274"/>
      <c r="O7" s="282"/>
      <c r="P7" s="283"/>
    </row>
    <row r="8" spans="1:16" ht="18.75" thickBot="1" x14ac:dyDescent="0.25">
      <c r="A8" s="266" t="s">
        <v>301</v>
      </c>
      <c r="B8" s="267"/>
      <c r="C8" s="267"/>
      <c r="D8" s="267"/>
      <c r="E8" s="267"/>
      <c r="F8" s="267"/>
      <c r="G8" s="268"/>
      <c r="H8" s="266" t="s">
        <v>302</v>
      </c>
      <c r="I8" s="267"/>
      <c r="J8" s="267"/>
      <c r="K8" s="267"/>
      <c r="L8" s="267"/>
      <c r="M8" s="267"/>
      <c r="N8" s="267"/>
      <c r="O8" s="267"/>
      <c r="P8" s="268"/>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1" max="1" width="3.7109375" customWidth="1"/>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1047</v>
      </c>
      <c r="C2" t="s">
        <v>501</v>
      </c>
      <c r="D2" t="s">
        <v>917</v>
      </c>
      <c r="E2" t="s">
        <v>918</v>
      </c>
      <c r="F2" t="s">
        <v>919</v>
      </c>
      <c r="G2" t="s">
        <v>920</v>
      </c>
      <c r="H2" t="s">
        <v>922</v>
      </c>
      <c r="I2" t="s">
        <v>1041</v>
      </c>
      <c r="J2" t="s">
        <v>923</v>
      </c>
      <c r="K2" t="s">
        <v>924</v>
      </c>
      <c r="L2" t="s">
        <v>921</v>
      </c>
      <c r="M2" t="s">
        <v>926</v>
      </c>
      <c r="N2" t="s">
        <v>927</v>
      </c>
      <c r="O2" t="s">
        <v>928</v>
      </c>
      <c r="P2" t="s">
        <v>929</v>
      </c>
    </row>
    <row r="3" spans="2:16" x14ac:dyDescent="0.2">
      <c r="B3" t="s">
        <v>585</v>
      </c>
      <c r="C3" t="s">
        <v>403</v>
      </c>
      <c r="D3" s="18">
        <v>42584.751192129632</v>
      </c>
      <c r="E3" t="s">
        <v>163</v>
      </c>
      <c r="F3" s="19">
        <v>0.92104935384138498</v>
      </c>
      <c r="G3" s="19">
        <v>0.72925752579512804</v>
      </c>
      <c r="H3" s="19">
        <v>0.88272816713040503</v>
      </c>
      <c r="I3" s="19">
        <v>4.7418521890686301E-2</v>
      </c>
      <c r="J3" s="19">
        <v>0.89673232886904797</v>
      </c>
      <c r="K3" s="19">
        <v>5.2022814670275197E-2</v>
      </c>
      <c r="L3" s="19"/>
      <c r="M3" s="19"/>
      <c r="N3" s="19"/>
      <c r="O3" s="19"/>
      <c r="P3" s="19"/>
    </row>
    <row r="4" spans="2:16" x14ac:dyDescent="0.2">
      <c r="B4" t="s">
        <v>644</v>
      </c>
      <c r="C4" t="s">
        <v>403</v>
      </c>
      <c r="D4" s="18">
        <v>42584.751192129632</v>
      </c>
      <c r="E4" t="s">
        <v>188</v>
      </c>
      <c r="F4" s="19">
        <v>0.93387373253145101</v>
      </c>
      <c r="G4" s="19">
        <v>0.838023088023088</v>
      </c>
      <c r="H4" s="19">
        <v>0.89838289631838997</v>
      </c>
      <c r="I4" s="19">
        <v>4.2937357412119501E-2</v>
      </c>
      <c r="J4" s="19">
        <v>0.96158686908005697</v>
      </c>
      <c r="K4" s="19">
        <v>3.7884263005439199E-2</v>
      </c>
      <c r="L4" s="19"/>
      <c r="M4" s="19"/>
      <c r="N4" s="19"/>
      <c r="O4" s="19"/>
      <c r="P4" s="19"/>
    </row>
    <row r="5" spans="2:16" x14ac:dyDescent="0.2">
      <c r="B5" t="s">
        <v>538</v>
      </c>
      <c r="C5" t="s">
        <v>379</v>
      </c>
      <c r="D5" s="18">
        <v>42584.751192129632</v>
      </c>
      <c r="E5" t="s">
        <v>145</v>
      </c>
      <c r="F5" s="19">
        <v>0.96330255354749195</v>
      </c>
      <c r="G5" s="19">
        <v>0.87996316449877598</v>
      </c>
      <c r="H5" s="19">
        <v>0.84586120702057299</v>
      </c>
      <c r="I5" s="19">
        <v>5.52000674157637E-2</v>
      </c>
      <c r="J5" s="19">
        <v>0.83747599964228703</v>
      </c>
      <c r="K5" s="19">
        <v>6.5331346143701605E-2</v>
      </c>
      <c r="L5" s="19"/>
      <c r="M5" s="19"/>
      <c r="N5" s="19"/>
      <c r="O5" s="19"/>
      <c r="P5" s="19"/>
    </row>
    <row r="6" spans="2:16" x14ac:dyDescent="0.2">
      <c r="B6" t="s">
        <v>532</v>
      </c>
      <c r="C6" t="s">
        <v>368</v>
      </c>
      <c r="D6" s="18">
        <v>42584.751192129632</v>
      </c>
      <c r="E6" t="s">
        <v>143</v>
      </c>
      <c r="F6" s="19">
        <v>0.90407995479671899</v>
      </c>
      <c r="G6" s="19">
        <v>0.76155029585798795</v>
      </c>
      <c r="H6" s="19">
        <v>0.80773220598491002</v>
      </c>
      <c r="I6" s="19">
        <v>4.6629541584565302E-2</v>
      </c>
      <c r="J6" s="19">
        <v>0.85954970185053403</v>
      </c>
      <c r="K6" s="19">
        <v>6.1770249450616203E-2</v>
      </c>
      <c r="L6" s="19"/>
      <c r="M6" s="19"/>
      <c r="N6" s="19"/>
      <c r="O6" s="19"/>
      <c r="P6" s="19"/>
    </row>
    <row r="7" spans="2:16" x14ac:dyDescent="0.2">
      <c r="B7" t="s">
        <v>600</v>
      </c>
      <c r="C7" t="s">
        <v>403</v>
      </c>
      <c r="D7" s="18">
        <v>42584.751192129632</v>
      </c>
      <c r="E7" t="s">
        <v>169</v>
      </c>
      <c r="F7" s="19">
        <v>0.97628100923037597</v>
      </c>
      <c r="G7" s="19">
        <v>0.92196924004825098</v>
      </c>
      <c r="H7" s="19">
        <v>0.91583508794317203</v>
      </c>
      <c r="I7" s="19">
        <v>4.5012225653454203E-2</v>
      </c>
      <c r="J7" s="19">
        <v>0.98071605813541296</v>
      </c>
      <c r="K7" s="19">
        <v>1.8180350296380501E-2</v>
      </c>
      <c r="L7" s="19"/>
      <c r="M7" s="19"/>
      <c r="N7" s="19"/>
      <c r="O7" s="19"/>
      <c r="P7" s="19"/>
    </row>
    <row r="8" spans="2:16" x14ac:dyDescent="0.2">
      <c r="B8" t="s">
        <v>511</v>
      </c>
      <c r="C8" t="s">
        <v>368</v>
      </c>
      <c r="D8" s="18">
        <v>42584.751192129632</v>
      </c>
      <c r="E8" t="s">
        <v>136</v>
      </c>
      <c r="F8" s="19">
        <v>0.93993653791471199</v>
      </c>
      <c r="G8" s="19">
        <v>0.87754362015272402</v>
      </c>
      <c r="H8" s="19">
        <v>0.81057562598789401</v>
      </c>
      <c r="I8" s="19">
        <v>5.9019322463691001E-2</v>
      </c>
      <c r="J8" s="19">
        <v>0.93119690973250602</v>
      </c>
      <c r="K8" s="19">
        <v>4.4909233852820897E-2</v>
      </c>
      <c r="L8" s="19"/>
      <c r="M8" s="19"/>
      <c r="N8" s="19"/>
      <c r="O8" s="19"/>
      <c r="P8" s="19"/>
    </row>
    <row r="9" spans="2:16" x14ac:dyDescent="0.2">
      <c r="B9" t="s">
        <v>519</v>
      </c>
      <c r="C9" t="s">
        <v>368</v>
      </c>
      <c r="D9" s="18">
        <v>42584.751192129632</v>
      </c>
      <c r="E9" t="s">
        <v>139</v>
      </c>
      <c r="F9" s="19">
        <v>0.95683022306212695</v>
      </c>
      <c r="G9" s="19">
        <v>0.862222222222222</v>
      </c>
      <c r="H9" s="19">
        <v>0.91044379374078499</v>
      </c>
      <c r="I9" s="19">
        <v>4.2015666606576803E-2</v>
      </c>
      <c r="J9" s="19">
        <v>0.83242717175484804</v>
      </c>
      <c r="K9" s="19">
        <v>6.4505543587498507E-2</v>
      </c>
      <c r="L9" s="19"/>
      <c r="M9" s="19"/>
      <c r="N9" s="19"/>
      <c r="O9" s="19"/>
      <c r="P9" s="19"/>
    </row>
    <row r="10" spans="2:16" x14ac:dyDescent="0.2">
      <c r="B10" t="s">
        <v>636</v>
      </c>
      <c r="C10" t="s">
        <v>384</v>
      </c>
      <c r="D10" s="18">
        <v>42584.751192129632</v>
      </c>
      <c r="E10" t="s">
        <v>672</v>
      </c>
      <c r="F10" s="19">
        <v>0.959598654798824</v>
      </c>
      <c r="G10" s="19">
        <v>0.926084474885845</v>
      </c>
      <c r="H10" s="19">
        <v>0.89925339664951798</v>
      </c>
      <c r="I10" s="19">
        <v>4.4302588745122398E-2</v>
      </c>
      <c r="J10" s="19">
        <v>0.83938744818779798</v>
      </c>
      <c r="K10" s="19">
        <v>6.7911065257578396E-2</v>
      </c>
      <c r="L10" s="19"/>
      <c r="M10" s="19"/>
      <c r="N10" s="19"/>
      <c r="O10" s="19"/>
      <c r="P10" s="19"/>
    </row>
    <row r="11" spans="2:16" x14ac:dyDescent="0.2">
      <c r="B11" t="s">
        <v>566</v>
      </c>
      <c r="C11" t="s">
        <v>389</v>
      </c>
      <c r="D11" s="18">
        <v>42584.751192129632</v>
      </c>
      <c r="E11" t="s">
        <v>155</v>
      </c>
      <c r="F11" s="19">
        <v>0.93613856950873497</v>
      </c>
      <c r="G11" s="19">
        <v>0.88680521729717998</v>
      </c>
      <c r="H11" s="19">
        <v>0.88424158660956398</v>
      </c>
      <c r="I11" s="19">
        <v>4.5278153066709299E-2</v>
      </c>
      <c r="J11" s="19">
        <v>0.86703175875889904</v>
      </c>
      <c r="K11" s="19">
        <v>8.1003051289297801E-2</v>
      </c>
      <c r="L11" s="252"/>
      <c r="M11" s="252"/>
      <c r="N11" s="252"/>
      <c r="O11" s="252"/>
      <c r="P11" s="252"/>
    </row>
    <row r="12" spans="2:16" x14ac:dyDescent="0.2">
      <c r="B12" t="s">
        <v>558</v>
      </c>
      <c r="C12" t="s">
        <v>389</v>
      </c>
      <c r="D12" s="18">
        <v>42584.751192129632</v>
      </c>
      <c r="E12" t="s">
        <v>152</v>
      </c>
      <c r="F12" s="19">
        <v>0.98928756671741902</v>
      </c>
      <c r="G12" s="19">
        <v>0.97583427071616002</v>
      </c>
      <c r="H12" s="19">
        <v>0.92479255872215305</v>
      </c>
      <c r="I12" s="19">
        <v>4.1045287456426903E-2</v>
      </c>
      <c r="J12" s="19">
        <v>0.88158201397129599</v>
      </c>
      <c r="K12" s="19">
        <v>5.1516310072086201E-2</v>
      </c>
      <c r="L12" s="19"/>
      <c r="M12" s="19"/>
      <c r="N12" s="19"/>
      <c r="O12" s="19"/>
      <c r="P12" s="19"/>
    </row>
    <row r="13" spans="2:16" x14ac:dyDescent="0.2">
      <c r="B13" t="s">
        <v>546</v>
      </c>
      <c r="C13" t="s">
        <v>379</v>
      </c>
      <c r="D13" s="18">
        <v>42584.751192129632</v>
      </c>
      <c r="E13" t="s">
        <v>148</v>
      </c>
      <c r="F13" s="19">
        <v>0.93859776537500395</v>
      </c>
      <c r="G13" s="19">
        <v>0.85084695311472502</v>
      </c>
      <c r="H13" s="19">
        <v>0.917776113151621</v>
      </c>
      <c r="I13" s="19">
        <v>4.2177393346934502E-2</v>
      </c>
      <c r="J13" s="19">
        <v>0.91754917567328498</v>
      </c>
      <c r="K13" s="19">
        <v>5.1552248982042297E-2</v>
      </c>
      <c r="L13" s="19"/>
      <c r="M13" s="19"/>
      <c r="N13" s="19"/>
      <c r="O13" s="19"/>
      <c r="P13" s="19"/>
    </row>
    <row r="14" spans="2:16" x14ac:dyDescent="0.2">
      <c r="B14" t="s">
        <v>384</v>
      </c>
      <c r="C14" t="s">
        <v>384</v>
      </c>
      <c r="D14" s="18">
        <v>42584.751192129632</v>
      </c>
      <c r="E14" t="s">
        <v>663</v>
      </c>
      <c r="F14" s="19">
        <v>0.94908787881316803</v>
      </c>
      <c r="G14" s="19">
        <v>0.85700483185618204</v>
      </c>
      <c r="H14" s="19">
        <v>0.88002085650197104</v>
      </c>
      <c r="I14" s="19">
        <v>1.8388590423976101E-2</v>
      </c>
      <c r="J14" s="19">
        <v>0.91500867232178495</v>
      </c>
      <c r="K14" s="19">
        <v>1.8579355910150398E-2</v>
      </c>
      <c r="L14" s="19"/>
      <c r="M14" s="19"/>
      <c r="N14" s="19"/>
      <c r="O14" s="19"/>
      <c r="P14" s="19"/>
    </row>
    <row r="15" spans="2:16" x14ac:dyDescent="0.2">
      <c r="B15" t="s">
        <v>583</v>
      </c>
      <c r="C15" t="s">
        <v>384</v>
      </c>
      <c r="D15" s="18">
        <v>42584.751192129632</v>
      </c>
      <c r="E15" t="s">
        <v>162</v>
      </c>
      <c r="F15" s="19">
        <v>0.95493910788684</v>
      </c>
      <c r="G15" s="19">
        <v>0.85304685961803495</v>
      </c>
      <c r="H15" s="19">
        <v>0.91328622578622598</v>
      </c>
      <c r="I15" s="19">
        <v>4.2831944804956099E-2</v>
      </c>
      <c r="J15" s="19">
        <v>0.91137319848718601</v>
      </c>
      <c r="K15" s="19">
        <v>4.1108169480772998E-2</v>
      </c>
      <c r="L15" s="19"/>
      <c r="M15" s="19"/>
      <c r="N15" s="19"/>
      <c r="O15" s="19"/>
      <c r="P15" s="19"/>
    </row>
    <row r="16" spans="2:16" x14ac:dyDescent="0.2">
      <c r="B16" t="s">
        <v>575</v>
      </c>
      <c r="C16" t="s">
        <v>389</v>
      </c>
      <c r="D16" s="18">
        <v>42584.751192129632</v>
      </c>
      <c r="E16" t="s">
        <v>159</v>
      </c>
      <c r="F16" s="19">
        <v>0.92184382923407604</v>
      </c>
      <c r="G16" s="19">
        <v>0.89107871370290404</v>
      </c>
      <c r="H16" s="19">
        <v>0.93911895571995296</v>
      </c>
      <c r="I16" s="19">
        <v>5.15241183507609E-2</v>
      </c>
      <c r="J16" s="19">
        <v>0.97686414426374601</v>
      </c>
      <c r="K16" s="19">
        <v>2.2827105818648299E-2</v>
      </c>
      <c r="L16" s="252"/>
      <c r="M16" s="252"/>
      <c r="N16" s="252"/>
      <c r="O16" s="252"/>
      <c r="P16" s="252"/>
    </row>
    <row r="17" spans="2:16" x14ac:dyDescent="0.2">
      <c r="B17" t="s">
        <v>568</v>
      </c>
      <c r="C17" t="s">
        <v>389</v>
      </c>
      <c r="D17" s="18">
        <v>42584.751192129632</v>
      </c>
      <c r="E17" t="s">
        <v>156</v>
      </c>
      <c r="F17" s="19">
        <v>0.89802846025343297</v>
      </c>
      <c r="G17" s="19">
        <v>0.77978252501924605</v>
      </c>
      <c r="H17" s="19">
        <v>0.89448325468661705</v>
      </c>
      <c r="I17" s="19">
        <v>4.3289321542875597E-2</v>
      </c>
      <c r="J17" s="19">
        <v>0.91858708373231202</v>
      </c>
      <c r="K17" s="19">
        <v>4.5179654983702001E-2</v>
      </c>
      <c r="L17" s="19"/>
      <c r="M17" s="19"/>
      <c r="N17" s="19"/>
      <c r="O17" s="19"/>
      <c r="P17" s="19"/>
    </row>
    <row r="18" spans="2:16" x14ac:dyDescent="0.2">
      <c r="B18" t="s">
        <v>632</v>
      </c>
      <c r="C18" t="s">
        <v>389</v>
      </c>
      <c r="D18" s="18">
        <v>42584.751192129632</v>
      </c>
      <c r="E18" t="s">
        <v>183</v>
      </c>
      <c r="F18" s="19">
        <v>0.90081791388360899</v>
      </c>
      <c r="G18" s="19">
        <v>0.88625709351098003</v>
      </c>
      <c r="H18" s="19">
        <v>0.88371055406830501</v>
      </c>
      <c r="I18" s="19">
        <v>5.2927696681556703E-2</v>
      </c>
      <c r="J18" s="19">
        <v>0.89355060943296305</v>
      </c>
      <c r="K18" s="19">
        <v>0.101988222408391</v>
      </c>
      <c r="L18" s="19"/>
      <c r="M18" s="19"/>
      <c r="N18" s="19"/>
      <c r="O18" s="19"/>
      <c r="P18" s="19"/>
    </row>
    <row r="19" spans="2:16" x14ac:dyDescent="0.2">
      <c r="B19" t="s">
        <v>630</v>
      </c>
      <c r="C19" t="s">
        <v>384</v>
      </c>
      <c r="D19" s="18">
        <v>42584.751192129632</v>
      </c>
      <c r="E19" t="s">
        <v>182</v>
      </c>
      <c r="F19" s="19">
        <v>0.97433287282774705</v>
      </c>
      <c r="G19" s="19">
        <v>0.91539440203562406</v>
      </c>
      <c r="H19" s="19">
        <v>0.929725062485799</v>
      </c>
      <c r="I19" s="19">
        <v>4.4932874438705001E-2</v>
      </c>
      <c r="J19" s="19">
        <v>0.92559295748950898</v>
      </c>
      <c r="K19" s="19">
        <v>6.5679739284348906E-2</v>
      </c>
      <c r="L19" s="19"/>
      <c r="M19" s="19"/>
      <c r="N19" s="19"/>
      <c r="O19" s="19"/>
      <c r="P19" s="19"/>
    </row>
    <row r="20" spans="2:16" x14ac:dyDescent="0.2">
      <c r="B20" t="s">
        <v>521</v>
      </c>
      <c r="C20" t="s">
        <v>368</v>
      </c>
      <c r="D20" s="18">
        <v>42584.751192129632</v>
      </c>
      <c r="E20" t="s">
        <v>140</v>
      </c>
      <c r="F20" s="19">
        <v>0.95444451993320401</v>
      </c>
      <c r="G20" s="19">
        <v>0.841482965931864</v>
      </c>
      <c r="H20" s="19">
        <v>0.91157882570503901</v>
      </c>
      <c r="I20" s="19">
        <v>4.6667229917174001E-2</v>
      </c>
      <c r="J20" s="19">
        <v>0.95342977007736696</v>
      </c>
      <c r="K20" s="19">
        <v>3.8443017085524001E-2</v>
      </c>
      <c r="L20" s="19"/>
      <c r="M20" s="19"/>
      <c r="N20" s="19"/>
      <c r="O20" s="19"/>
      <c r="P20" s="19"/>
    </row>
    <row r="21" spans="2:16" x14ac:dyDescent="0.2">
      <c r="B21" t="s">
        <v>640</v>
      </c>
      <c r="C21" t="s">
        <v>403</v>
      </c>
      <c r="D21" s="18">
        <v>42584.751192129632</v>
      </c>
      <c r="E21" t="s">
        <v>186</v>
      </c>
      <c r="F21" s="19">
        <v>0.91922446897070298</v>
      </c>
      <c r="G21" s="19">
        <v>0.87039728682170503</v>
      </c>
      <c r="H21" s="19">
        <v>0.89201330847370397</v>
      </c>
      <c r="I21" s="19">
        <v>4.4034825560490397E-2</v>
      </c>
      <c r="J21" s="19">
        <v>0.92249751984127004</v>
      </c>
      <c r="K21" s="19">
        <v>8.3048744338026503E-2</v>
      </c>
      <c r="L21" s="19"/>
      <c r="M21" s="19"/>
      <c r="N21" s="19"/>
      <c r="O21" s="19"/>
      <c r="P21" s="19"/>
    </row>
    <row r="22" spans="2:16" x14ac:dyDescent="0.2">
      <c r="B22" t="s">
        <v>618</v>
      </c>
      <c r="C22" t="s">
        <v>384</v>
      </c>
      <c r="D22" s="18">
        <v>42584.751192129632</v>
      </c>
      <c r="E22" t="s">
        <v>177</v>
      </c>
      <c r="F22" s="19">
        <v>0.94045071133250202</v>
      </c>
      <c r="G22" s="19">
        <v>0.83392417114695305</v>
      </c>
      <c r="H22" s="19">
        <v>0.83102929683950399</v>
      </c>
      <c r="I22" s="19">
        <v>5.1483422741362E-2</v>
      </c>
      <c r="J22" s="19">
        <v>0.86582899300460303</v>
      </c>
      <c r="K22" s="19">
        <v>7.6253318054137598E-2</v>
      </c>
      <c r="L22" s="19"/>
      <c r="M22" s="19"/>
      <c r="N22" s="19"/>
      <c r="O22" s="19"/>
      <c r="P22" s="19"/>
    </row>
    <row r="23" spans="2:16" x14ac:dyDescent="0.2">
      <c r="B23" t="s">
        <v>536</v>
      </c>
      <c r="C23" t="s">
        <v>368</v>
      </c>
      <c r="D23" s="18">
        <v>42584.751192129632</v>
      </c>
      <c r="E23" t="s">
        <v>144</v>
      </c>
      <c r="F23" s="19">
        <v>0.95910347412561203</v>
      </c>
      <c r="G23" s="19">
        <v>0.87954737732656496</v>
      </c>
      <c r="H23" s="19">
        <v>0.89319556179471904</v>
      </c>
      <c r="I23" s="19">
        <v>4.4956646518152503E-2</v>
      </c>
      <c r="J23" s="19">
        <v>0.89692599093827796</v>
      </c>
      <c r="K23" s="19">
        <v>5.0598798231345901E-2</v>
      </c>
      <c r="L23" s="19"/>
      <c r="M23" s="19"/>
      <c r="N23" s="19"/>
      <c r="O23" s="19"/>
      <c r="P23" s="19"/>
    </row>
    <row r="24" spans="2:16" x14ac:dyDescent="0.2">
      <c r="B24" t="s">
        <v>560</v>
      </c>
      <c r="C24" t="s">
        <v>389</v>
      </c>
      <c r="D24" s="18">
        <v>42584.751192129632</v>
      </c>
      <c r="E24" t="s">
        <v>153</v>
      </c>
      <c r="F24" s="19">
        <v>0.95896300977456805</v>
      </c>
      <c r="G24" s="19">
        <v>0.82859945654239398</v>
      </c>
      <c r="H24" s="19">
        <v>0.87789796784361995</v>
      </c>
      <c r="I24" s="19">
        <v>5.2082759545568999E-2</v>
      </c>
      <c r="J24" s="19">
        <v>0.92836509231471498</v>
      </c>
      <c r="K24" s="19">
        <v>4.8301788850881502E-2</v>
      </c>
      <c r="L24" s="19"/>
      <c r="M24" s="19"/>
      <c r="N24" s="19"/>
      <c r="O24" s="19"/>
      <c r="P24" s="19"/>
    </row>
    <row r="25" spans="2:16" x14ac:dyDescent="0.2">
      <c r="B25" t="s">
        <v>554</v>
      </c>
      <c r="C25" t="s">
        <v>384</v>
      </c>
      <c r="D25" s="18">
        <v>42584.751192129632</v>
      </c>
      <c r="E25" t="s">
        <v>151</v>
      </c>
      <c r="F25" s="19">
        <v>0.91602754142563303</v>
      </c>
      <c r="G25" s="19">
        <v>0.81039785050662005</v>
      </c>
      <c r="H25" s="19">
        <v>0.87540206368346196</v>
      </c>
      <c r="I25" s="19">
        <v>5.1005147322944602E-2</v>
      </c>
      <c r="J25" s="19">
        <v>0.85769892122748104</v>
      </c>
      <c r="K25" s="19">
        <v>6.3392193977086897E-2</v>
      </c>
      <c r="L25" s="19"/>
      <c r="M25" s="19"/>
      <c r="N25" s="19"/>
      <c r="O25" s="19"/>
      <c r="P25" s="19"/>
    </row>
    <row r="26" spans="2:16" x14ac:dyDescent="0.2">
      <c r="B26" t="s">
        <v>577</v>
      </c>
      <c r="C26" t="s">
        <v>389</v>
      </c>
      <c r="D26" s="18">
        <v>42584.751192129632</v>
      </c>
      <c r="E26" t="s">
        <v>160</v>
      </c>
      <c r="F26" s="19">
        <v>0.99172918908384</v>
      </c>
      <c r="G26" s="19">
        <v>0.98097068354812</v>
      </c>
      <c r="H26" s="19">
        <v>0.93395403294359203</v>
      </c>
      <c r="I26" s="19">
        <v>4.1425206876060099E-2</v>
      </c>
      <c r="J26" s="19">
        <v>0.98799111481327195</v>
      </c>
      <c r="K26" s="19">
        <v>1.7865895333821699E-2</v>
      </c>
      <c r="L26" s="19"/>
      <c r="M26" s="19"/>
      <c r="N26" s="19"/>
      <c r="O26" s="19"/>
      <c r="P26" s="19"/>
    </row>
    <row r="27" spans="2:16" x14ac:dyDescent="0.2">
      <c r="B27" t="s">
        <v>606</v>
      </c>
      <c r="C27" t="s">
        <v>384</v>
      </c>
      <c r="D27" s="18">
        <v>42584.751192129632</v>
      </c>
      <c r="E27" t="s">
        <v>172</v>
      </c>
      <c r="F27" s="19">
        <v>0.91862568807844702</v>
      </c>
      <c r="G27" s="19">
        <v>0.78700520144582597</v>
      </c>
      <c r="H27" s="19">
        <v>0.86321011836748796</v>
      </c>
      <c r="I27" s="19">
        <v>5.1342859378608101E-2</v>
      </c>
      <c r="J27" s="19">
        <v>0.93633106093119001</v>
      </c>
      <c r="K27" s="19">
        <v>4.33494080195942E-2</v>
      </c>
      <c r="L27" s="19"/>
      <c r="M27" s="19"/>
      <c r="N27" s="19"/>
      <c r="O27" s="19"/>
      <c r="P27" s="19"/>
    </row>
    <row r="28" spans="2:16" x14ac:dyDescent="0.2">
      <c r="B28" t="s">
        <v>592</v>
      </c>
      <c r="C28" t="s">
        <v>403</v>
      </c>
      <c r="D28" s="18">
        <v>42584.751192129632</v>
      </c>
      <c r="E28" t="s">
        <v>166</v>
      </c>
      <c r="F28" s="19">
        <v>0.94728243803033296</v>
      </c>
      <c r="G28" s="19">
        <v>0.92221574613747803</v>
      </c>
      <c r="H28" s="19">
        <v>0.87697169600875302</v>
      </c>
      <c r="I28" s="19">
        <v>4.3244071558683199E-2</v>
      </c>
      <c r="J28" s="19">
        <v>0.79575081219822996</v>
      </c>
      <c r="K28" s="19">
        <v>9.8788463340836505E-2</v>
      </c>
      <c r="L28" s="19"/>
      <c r="M28" s="19"/>
      <c r="N28" s="19"/>
      <c r="O28" s="19"/>
      <c r="P28" s="19"/>
    </row>
    <row r="29" spans="2:16" x14ac:dyDescent="0.2">
      <c r="B29" t="s">
        <v>562</v>
      </c>
      <c r="C29" t="s">
        <v>379</v>
      </c>
      <c r="D29" s="18">
        <v>42584.751192129632</v>
      </c>
      <c r="E29" t="s">
        <v>154</v>
      </c>
      <c r="F29" s="19">
        <v>0.923200601769395</v>
      </c>
      <c r="G29" s="19">
        <v>0.79571718591395302</v>
      </c>
      <c r="H29" s="19">
        <v>0.88003431329785697</v>
      </c>
      <c r="I29" s="19">
        <v>4.5312106459232102E-2</v>
      </c>
      <c r="J29" s="19">
        <v>0.92948120921234301</v>
      </c>
      <c r="K29" s="19">
        <v>4.0708738455880397E-2</v>
      </c>
      <c r="L29" s="19"/>
      <c r="M29" s="19"/>
      <c r="N29" s="19"/>
      <c r="O29" s="19"/>
      <c r="P29" s="19"/>
    </row>
    <row r="30" spans="2:16" x14ac:dyDescent="0.2">
      <c r="B30" t="s">
        <v>621</v>
      </c>
      <c r="C30" t="s">
        <v>368</v>
      </c>
      <c r="D30" s="18">
        <v>42584.751192129632</v>
      </c>
      <c r="E30" t="s">
        <v>178</v>
      </c>
      <c r="F30" s="19">
        <v>0.96060578092207405</v>
      </c>
      <c r="G30" s="19">
        <v>0.82818592018224002</v>
      </c>
      <c r="H30" s="19">
        <v>0.878746700905913</v>
      </c>
      <c r="I30" s="19">
        <v>4.9961380588676399E-2</v>
      </c>
      <c r="J30" s="19">
        <v>0.86798598227169599</v>
      </c>
      <c r="K30" s="19">
        <v>7.7975301228531399E-2</v>
      </c>
      <c r="L30" s="19"/>
      <c r="M30" s="19"/>
      <c r="N30" s="19"/>
      <c r="O30" s="19"/>
      <c r="P30" s="19"/>
    </row>
    <row r="31" spans="2:16" x14ac:dyDescent="0.2">
      <c r="B31" t="s">
        <v>614</v>
      </c>
      <c r="C31" t="s">
        <v>403</v>
      </c>
      <c r="D31" s="18">
        <v>42584.751192129632</v>
      </c>
      <c r="E31" t="s">
        <v>176</v>
      </c>
      <c r="F31" s="19">
        <v>0.93954021342118499</v>
      </c>
      <c r="G31" s="19">
        <v>0.86424809830310101</v>
      </c>
      <c r="H31" s="19">
        <v>0.88376693683103402</v>
      </c>
      <c r="I31" s="19">
        <v>5.2919749113650598E-2</v>
      </c>
      <c r="J31" s="19">
        <v>0.95980776972624804</v>
      </c>
      <c r="K31" s="19">
        <v>4.1180106764709699E-2</v>
      </c>
      <c r="L31" s="19"/>
      <c r="M31" s="19"/>
      <c r="N31" s="19"/>
      <c r="O31" s="19"/>
      <c r="P31" s="19"/>
    </row>
    <row r="32" spans="2:16" x14ac:dyDescent="0.2">
      <c r="B32" t="s">
        <v>389</v>
      </c>
      <c r="C32" t="s">
        <v>389</v>
      </c>
      <c r="D32" s="18">
        <v>42584.751192129632</v>
      </c>
      <c r="E32" t="s">
        <v>662</v>
      </c>
      <c r="F32" s="19">
        <v>0.94761421149926095</v>
      </c>
      <c r="G32" s="19">
        <v>0.88440972537066098</v>
      </c>
      <c r="H32" s="19">
        <v>0.91949912112507803</v>
      </c>
      <c r="I32" s="19">
        <v>1.32587355009699E-2</v>
      </c>
      <c r="J32" s="19">
        <v>0.91212673340706796</v>
      </c>
      <c r="K32" s="19">
        <v>1.69409766741501E-2</v>
      </c>
      <c r="L32" s="19"/>
      <c r="M32" s="19"/>
      <c r="N32" s="19"/>
      <c r="O32" s="19"/>
      <c r="P32" s="19"/>
    </row>
    <row r="33" spans="2:16" x14ac:dyDescent="0.2">
      <c r="B33" t="s">
        <v>209</v>
      </c>
      <c r="C33" t="s">
        <v>389</v>
      </c>
      <c r="D33" s="18">
        <v>42584.751192129632</v>
      </c>
      <c r="E33" t="s">
        <v>157</v>
      </c>
      <c r="F33" s="19">
        <v>0.98800687117249897</v>
      </c>
      <c r="G33" s="19">
        <v>0.95106837606837602</v>
      </c>
      <c r="H33" s="19">
        <v>0.97049729767670401</v>
      </c>
      <c r="I33" s="19">
        <v>3.23770724754937E-2</v>
      </c>
      <c r="J33" s="19">
        <v>0.88554703766455301</v>
      </c>
      <c r="K33" s="19">
        <v>4.7538378818697602E-2</v>
      </c>
      <c r="L33" s="19">
        <v>0.96110552763819102</v>
      </c>
      <c r="M33" s="19">
        <v>0.96239967637540502</v>
      </c>
      <c r="N33" s="19">
        <v>3.7286651021739302E-2</v>
      </c>
      <c r="O33" s="19">
        <v>0.98548792369622096</v>
      </c>
      <c r="P33" s="19">
        <v>1.6383998244628401E-2</v>
      </c>
    </row>
    <row r="34" spans="2:16" x14ac:dyDescent="0.2">
      <c r="B34" t="s">
        <v>570</v>
      </c>
      <c r="C34" t="s">
        <v>389</v>
      </c>
      <c r="D34" s="18">
        <v>42584.751192129632</v>
      </c>
      <c r="E34" t="s">
        <v>157</v>
      </c>
      <c r="F34" s="19">
        <v>0.98800687117249897</v>
      </c>
      <c r="G34" s="19">
        <v>0.95106837606837602</v>
      </c>
      <c r="H34" s="19">
        <v>0.97049729767670401</v>
      </c>
      <c r="I34" s="19">
        <v>3.23770724754937E-2</v>
      </c>
      <c r="J34" s="19">
        <v>0.88554703766455301</v>
      </c>
      <c r="K34" s="19">
        <v>4.7538378818697602E-2</v>
      </c>
      <c r="L34" s="19">
        <v>0.96110552763819102</v>
      </c>
      <c r="M34" s="19">
        <v>0.96239967637540502</v>
      </c>
      <c r="N34" s="19">
        <v>3.7286651021739302E-2</v>
      </c>
      <c r="O34" s="19">
        <v>0.98548792369622096</v>
      </c>
      <c r="P34" s="19">
        <v>1.6383998244628401E-2</v>
      </c>
    </row>
    <row r="35" spans="2:16" x14ac:dyDescent="0.2">
      <c r="B35" t="s">
        <v>552</v>
      </c>
      <c r="C35" t="s">
        <v>379</v>
      </c>
      <c r="D35" s="18">
        <v>42584.751192129632</v>
      </c>
      <c r="E35" t="s">
        <v>150</v>
      </c>
      <c r="F35" s="19">
        <v>0.91896714897143394</v>
      </c>
      <c r="G35" s="19">
        <v>0.846998951598812</v>
      </c>
      <c r="H35" s="19">
        <v>0.80941058330014903</v>
      </c>
      <c r="I35" s="19">
        <v>5.7738368098199398E-2</v>
      </c>
      <c r="J35" s="19">
        <v>0.94229759741570795</v>
      </c>
      <c r="K35" s="19">
        <v>3.9520746817903199E-2</v>
      </c>
      <c r="L35" s="19"/>
      <c r="M35" s="19"/>
      <c r="N35" s="19"/>
      <c r="O35" s="19"/>
      <c r="P35" s="19"/>
    </row>
    <row r="36" spans="2:16" x14ac:dyDescent="0.2">
      <c r="B36" t="s">
        <v>608</v>
      </c>
      <c r="C36" t="s">
        <v>384</v>
      </c>
      <c r="D36" s="18">
        <v>42584.751192129632</v>
      </c>
      <c r="E36" t="s">
        <v>173</v>
      </c>
      <c r="F36" s="19">
        <v>0.95989480022669305</v>
      </c>
      <c r="G36" s="19">
        <v>0.90650371884403602</v>
      </c>
      <c r="H36" s="19">
        <v>0.88099082872699397</v>
      </c>
      <c r="I36" s="19">
        <v>5.12302944870872E-2</v>
      </c>
      <c r="J36" s="19">
        <v>0.92982441481005096</v>
      </c>
      <c r="K36" s="19">
        <v>4.8987007159121299E-2</v>
      </c>
      <c r="L36" s="19"/>
      <c r="M36" s="19"/>
      <c r="N36" s="19"/>
      <c r="O36" s="19"/>
      <c r="P36" s="19"/>
    </row>
    <row r="37" spans="2:16" x14ac:dyDescent="0.2">
      <c r="B37" t="s">
        <v>548</v>
      </c>
      <c r="C37" t="s">
        <v>379</v>
      </c>
      <c r="D37" s="18">
        <v>42584.751192129632</v>
      </c>
      <c r="E37" t="s">
        <v>91</v>
      </c>
      <c r="F37" s="19">
        <v>0.96591657692131405</v>
      </c>
      <c r="G37" s="19">
        <v>0.84277475022706605</v>
      </c>
      <c r="H37" s="19">
        <v>0.91357784702171696</v>
      </c>
      <c r="I37" s="19">
        <v>4.93448635578368E-2</v>
      </c>
      <c r="J37" s="19">
        <v>0.921256112300611</v>
      </c>
      <c r="K37" s="19">
        <v>4.4348176592261403E-2</v>
      </c>
      <c r="L37" s="19"/>
      <c r="M37" s="19"/>
      <c r="N37" s="19"/>
      <c r="O37" s="19"/>
      <c r="P37" s="19"/>
    </row>
    <row r="38" spans="2:16" x14ac:dyDescent="0.2">
      <c r="B38" t="s">
        <v>550</v>
      </c>
      <c r="C38" t="s">
        <v>384</v>
      </c>
      <c r="D38" s="18">
        <v>42584.751192129632</v>
      </c>
      <c r="E38" t="s">
        <v>149</v>
      </c>
      <c r="F38" s="19">
        <v>0.93970777468764299</v>
      </c>
      <c r="G38" s="19">
        <v>0.80017301038062305</v>
      </c>
      <c r="H38" s="19">
        <v>0.89524771390760105</v>
      </c>
      <c r="I38" s="19">
        <v>4.5015086181634599E-2</v>
      </c>
      <c r="J38" s="19">
        <v>0.88902092131449895</v>
      </c>
      <c r="K38" s="19">
        <v>0.100732040057814</v>
      </c>
      <c r="L38" s="19"/>
      <c r="M38" s="19"/>
      <c r="N38" s="19"/>
      <c r="O38" s="19"/>
      <c r="P38" s="19"/>
    </row>
    <row r="39" spans="2:16" x14ac:dyDescent="0.2">
      <c r="B39" t="s">
        <v>517</v>
      </c>
      <c r="C39" t="s">
        <v>368</v>
      </c>
      <c r="D39" s="18">
        <v>42584.751192129632</v>
      </c>
      <c r="E39" t="s">
        <v>138</v>
      </c>
      <c r="F39" s="19">
        <v>0.90861043125821706</v>
      </c>
      <c r="G39" s="19">
        <v>0.83947763451539104</v>
      </c>
      <c r="H39" s="19">
        <v>0.85876523062754795</v>
      </c>
      <c r="I39" s="19">
        <v>5.4947744562224503E-2</v>
      </c>
      <c r="J39" s="19">
        <v>0.88885208623191703</v>
      </c>
      <c r="K39" s="19">
        <v>7.2089607893006599E-2</v>
      </c>
      <c r="L39" s="19"/>
      <c r="M39" s="19"/>
      <c r="N39" s="19"/>
      <c r="O39" s="19"/>
      <c r="P39" s="19"/>
    </row>
    <row r="40" spans="2:16" x14ac:dyDescent="0.2">
      <c r="B40" t="s">
        <v>523</v>
      </c>
      <c r="C40" t="s">
        <v>368</v>
      </c>
      <c r="D40" s="18">
        <v>42584.751192129632</v>
      </c>
      <c r="E40" t="s">
        <v>141</v>
      </c>
      <c r="F40" s="19">
        <v>0.95636910732196601</v>
      </c>
      <c r="G40" s="19">
        <v>0.86222627737226298</v>
      </c>
      <c r="H40" s="19">
        <v>0.89074793938739505</v>
      </c>
      <c r="I40" s="19">
        <v>4.2339201024592703E-2</v>
      </c>
      <c r="J40" s="19">
        <v>0.814498572544615</v>
      </c>
      <c r="K40" s="19">
        <v>7.5651181020405897E-2</v>
      </c>
      <c r="L40" s="19"/>
      <c r="M40" s="19"/>
      <c r="N40" s="19"/>
      <c r="O40" s="19"/>
      <c r="P40" s="19"/>
    </row>
    <row r="41" spans="2:16" x14ac:dyDescent="0.2">
      <c r="B41" t="s">
        <v>368</v>
      </c>
      <c r="C41" t="s">
        <v>368</v>
      </c>
      <c r="D41" s="18">
        <v>42584.751192129632</v>
      </c>
      <c r="E41" t="s">
        <v>661</v>
      </c>
      <c r="F41" s="19">
        <v>0.95335853088436695</v>
      </c>
      <c r="G41" s="19">
        <v>0.84907046356133897</v>
      </c>
      <c r="H41" s="19">
        <v>0.87383267458712599</v>
      </c>
      <c r="I41" s="19">
        <v>1.5346714540121801E-2</v>
      </c>
      <c r="J41" s="19">
        <v>0.87593245858850399</v>
      </c>
      <c r="K41" s="19">
        <v>3.1626362895585798E-2</v>
      </c>
      <c r="L41" s="19"/>
      <c r="M41" s="19"/>
      <c r="N41" s="19"/>
      <c r="O41" s="19"/>
      <c r="P41" s="19"/>
    </row>
    <row r="42" spans="2:16" x14ac:dyDescent="0.2">
      <c r="B42" t="s">
        <v>590</v>
      </c>
      <c r="C42" t="s">
        <v>403</v>
      </c>
      <c r="D42" s="18">
        <v>42584.751192129632</v>
      </c>
      <c r="E42" t="s">
        <v>165</v>
      </c>
      <c r="F42" s="19">
        <v>0.91806379647978997</v>
      </c>
      <c r="G42" s="19">
        <v>0.76052934407364803</v>
      </c>
      <c r="H42" s="19">
        <v>0.87453527349996896</v>
      </c>
      <c r="I42" s="19">
        <v>4.8080434968708202E-2</v>
      </c>
      <c r="J42" s="19">
        <v>0.89230064734274495</v>
      </c>
      <c r="K42" s="19">
        <v>5.6360483237143003E-2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403</v>
      </c>
      <c r="C44" t="s">
        <v>403</v>
      </c>
      <c r="D44" s="18">
        <v>42584.751192129632</v>
      </c>
      <c r="E44" t="s">
        <v>664</v>
      </c>
      <c r="F44" s="19">
        <v>0.95644376804726705</v>
      </c>
      <c r="G44" s="19">
        <v>0.85650539999154496</v>
      </c>
      <c r="H44" s="19">
        <v>0.87583755358890503</v>
      </c>
      <c r="I44" s="19">
        <v>1.7961108971639699E-2</v>
      </c>
      <c r="J44" s="19">
        <v>0.90305586490144996</v>
      </c>
      <c r="K44" s="19">
        <v>2.0128284813304101E-2</v>
      </c>
      <c r="L44" s="19"/>
      <c r="M44" s="19"/>
      <c r="N44" s="19"/>
      <c r="O44" s="19"/>
      <c r="P44" s="19"/>
    </row>
    <row r="45" spans="2:16" x14ac:dyDescent="0.2">
      <c r="B45" t="s">
        <v>210</v>
      </c>
      <c r="C45" t="s">
        <v>368</v>
      </c>
      <c r="D45" s="18">
        <v>42584.751192129632</v>
      </c>
      <c r="E45" t="s">
        <v>99</v>
      </c>
      <c r="F45" s="19">
        <v>0.92772431972499003</v>
      </c>
      <c r="G45" s="19">
        <v>0.84681366347370302</v>
      </c>
      <c r="H45" s="19">
        <v>0.89513162669833102</v>
      </c>
      <c r="I45" s="19">
        <v>4.1778757658643299E-2</v>
      </c>
      <c r="J45" s="19">
        <v>0.88658462018541395</v>
      </c>
      <c r="K45" s="19">
        <v>4.7840515973508697E-2</v>
      </c>
      <c r="L45" s="19">
        <v>1</v>
      </c>
      <c r="M45" s="19">
        <v>0.94032486922637104</v>
      </c>
      <c r="N45" s="19">
        <v>4.0677243867986802E-2</v>
      </c>
      <c r="O45" s="19">
        <v>0.94630224150561704</v>
      </c>
      <c r="P45" s="19">
        <v>3.7678527632225102E-2</v>
      </c>
    </row>
    <row r="46" spans="2:16" x14ac:dyDescent="0.2">
      <c r="B46" t="s">
        <v>525</v>
      </c>
      <c r="C46" t="s">
        <v>368</v>
      </c>
      <c r="D46" s="18">
        <v>42584.751192129632</v>
      </c>
      <c r="E46" t="s">
        <v>99</v>
      </c>
      <c r="F46" s="19">
        <v>0.92772431972499003</v>
      </c>
      <c r="G46" s="19">
        <v>0.84681366347370302</v>
      </c>
      <c r="H46" s="19">
        <v>0.89513162669833102</v>
      </c>
      <c r="I46" s="19">
        <v>4.1778757658643299E-2</v>
      </c>
      <c r="J46" s="19">
        <v>0.88658462018541395</v>
      </c>
      <c r="K46" s="19">
        <v>4.7840515973508697E-2</v>
      </c>
      <c r="L46" s="19">
        <v>1</v>
      </c>
      <c r="M46" s="19">
        <v>0.94032486922637104</v>
      </c>
      <c r="N46" s="19">
        <v>4.0677243867986802E-2</v>
      </c>
      <c r="O46" s="19">
        <v>0.94630224150561704</v>
      </c>
      <c r="P46" s="19">
        <v>3.7678527632225102E-2</v>
      </c>
    </row>
    <row r="47" spans="2:16" x14ac:dyDescent="0.2">
      <c r="B47" t="s">
        <v>594</v>
      </c>
      <c r="C47" t="s">
        <v>403</v>
      </c>
      <c r="D47" s="18">
        <v>42584.751192129632</v>
      </c>
      <c r="E47" t="s">
        <v>167</v>
      </c>
      <c r="F47" s="19">
        <v>0.93501505277869901</v>
      </c>
      <c r="G47" s="19">
        <v>0.87263357743422798</v>
      </c>
      <c r="H47" s="19">
        <v>0.89035927942461501</v>
      </c>
      <c r="I47" s="19">
        <v>4.8839069473178801E-2</v>
      </c>
      <c r="J47" s="19">
        <v>0.91939902839022003</v>
      </c>
      <c r="K47" s="19">
        <v>5.2589665198175803E-2</v>
      </c>
      <c r="L47" s="19"/>
      <c r="M47" s="19"/>
      <c r="N47" s="19"/>
      <c r="O47" s="19"/>
      <c r="P47" s="19"/>
    </row>
    <row r="48" spans="2:16" x14ac:dyDescent="0.2">
      <c r="B48" t="s">
        <v>528</v>
      </c>
      <c r="C48" t="s">
        <v>368</v>
      </c>
      <c r="D48" s="18">
        <v>42584.751192129632</v>
      </c>
      <c r="E48" t="s">
        <v>142</v>
      </c>
      <c r="F48" s="19">
        <v>0.95074676675146796</v>
      </c>
      <c r="G48" s="19">
        <v>0.82597560975609796</v>
      </c>
      <c r="H48" s="19">
        <v>0.865898794915685</v>
      </c>
      <c r="I48" s="19">
        <v>4.9207413160781602E-2</v>
      </c>
      <c r="J48" s="19">
        <v>0.90190910120751699</v>
      </c>
      <c r="K48" s="19">
        <v>4.9962499115161901E-2</v>
      </c>
      <c r="L48" s="19"/>
      <c r="M48" s="19"/>
      <c r="N48" s="19"/>
      <c r="O48" s="19"/>
      <c r="P48" s="19"/>
    </row>
    <row r="49" spans="2:16" x14ac:dyDescent="0.2">
      <c r="B49" t="s">
        <v>602</v>
      </c>
      <c r="C49" t="s">
        <v>403</v>
      </c>
      <c r="D49" s="18">
        <v>42584.751192129632</v>
      </c>
      <c r="E49" t="s">
        <v>170</v>
      </c>
      <c r="F49" s="19">
        <v>0.98479937233339998</v>
      </c>
      <c r="G49" s="19">
        <v>0.98117918902802603</v>
      </c>
      <c r="H49" s="19">
        <v>0.91475675989784</v>
      </c>
      <c r="I49" s="19">
        <v>4.8872395526493598E-2</v>
      </c>
      <c r="J49" s="19">
        <v>0.90617337371989004</v>
      </c>
      <c r="K49" s="19">
        <v>6.5005171396284506E-2</v>
      </c>
      <c r="L49" s="19"/>
      <c r="M49" s="19"/>
      <c r="N49" s="19"/>
      <c r="O49" s="19"/>
      <c r="P49" s="19"/>
    </row>
    <row r="50" spans="2:16" x14ac:dyDescent="0.2">
      <c r="B50" t="s">
        <v>513</v>
      </c>
      <c r="C50" t="s">
        <v>368</v>
      </c>
      <c r="D50" s="18">
        <v>42584.751192129632</v>
      </c>
      <c r="E50" t="s">
        <v>137</v>
      </c>
      <c r="F50" s="19">
        <v>0.96736135185518601</v>
      </c>
      <c r="G50" s="19">
        <v>0.86104246831644704</v>
      </c>
      <c r="H50" s="19">
        <v>0.86782637976757904</v>
      </c>
      <c r="I50" s="19">
        <v>5.4538171765275298E-2</v>
      </c>
      <c r="J50" s="19">
        <v>0.92296878068812804</v>
      </c>
      <c r="K50" s="19">
        <v>5.5376387136924297E-2</v>
      </c>
      <c r="L50" s="19"/>
      <c r="M50" s="19"/>
      <c r="N50" s="19"/>
      <c r="O50" s="19"/>
      <c r="P50" s="19"/>
    </row>
    <row r="51" spans="2:16" x14ac:dyDescent="0.2">
      <c r="B51" t="s">
        <v>610</v>
      </c>
      <c r="C51" t="s">
        <v>403</v>
      </c>
      <c r="D51" s="18">
        <v>42584.751192129632</v>
      </c>
      <c r="E51" t="s">
        <v>174</v>
      </c>
      <c r="F51" s="19">
        <v>0.95469065624953098</v>
      </c>
      <c r="G51" s="19">
        <v>0.839751243781095</v>
      </c>
      <c r="H51" s="19">
        <v>0.86789596695293003</v>
      </c>
      <c r="I51" s="19">
        <v>5.1510842107216799E-2</v>
      </c>
      <c r="J51" s="19">
        <v>0.90654465867979905</v>
      </c>
      <c r="K51" s="19">
        <v>5.2769412600228799E-2</v>
      </c>
      <c r="L51" s="19"/>
      <c r="M51" s="19"/>
      <c r="N51" s="19"/>
      <c r="O51" s="19"/>
      <c r="P51" s="19"/>
    </row>
    <row r="52" spans="2:16" x14ac:dyDescent="0.2">
      <c r="B52" t="s">
        <v>534</v>
      </c>
      <c r="C52" t="s">
        <v>368</v>
      </c>
      <c r="D52" s="18">
        <v>42584.751192129632</v>
      </c>
      <c r="E52" t="s">
        <v>103</v>
      </c>
      <c r="F52" s="19">
        <v>0.95898587897020404</v>
      </c>
      <c r="G52" s="19">
        <v>0.81915152780677902</v>
      </c>
      <c r="H52" s="19">
        <v>0.88073942800484195</v>
      </c>
      <c r="I52" s="19">
        <v>4.7679236017720401E-2</v>
      </c>
      <c r="J52" s="19">
        <v>0.90782617926809495</v>
      </c>
      <c r="K52" s="19">
        <v>4.4541584950891902E-2</v>
      </c>
      <c r="L52" s="19"/>
      <c r="M52" s="19"/>
      <c r="N52" s="19"/>
      <c r="O52" s="19"/>
      <c r="P52" s="19"/>
    </row>
    <row r="53" spans="2:16" x14ac:dyDescent="0.2">
      <c r="B53" t="s">
        <v>587</v>
      </c>
      <c r="C53" t="s">
        <v>384</v>
      </c>
      <c r="D53" s="18">
        <v>42584.751192129632</v>
      </c>
      <c r="E53" t="s">
        <v>164</v>
      </c>
      <c r="F53" s="19">
        <v>0.96023925657922804</v>
      </c>
      <c r="G53" s="19">
        <v>0.80242292248009295</v>
      </c>
      <c r="H53" s="19">
        <v>0.89663144171863896</v>
      </c>
      <c r="I53" s="19">
        <v>4.8075365302181802E-2</v>
      </c>
      <c r="J53" s="19">
        <v>0.96989691390806598</v>
      </c>
      <c r="K53" s="19">
        <v>3.0785831251215801E-2</v>
      </c>
      <c r="L53" s="252"/>
      <c r="M53" s="252"/>
      <c r="N53" s="252"/>
      <c r="O53" s="252"/>
      <c r="P53" s="252"/>
    </row>
    <row r="54" spans="2:16" x14ac:dyDescent="0.2">
      <c r="B54" t="s">
        <v>623</v>
      </c>
      <c r="C54" t="s">
        <v>403</v>
      </c>
      <c r="D54" s="18">
        <v>42584.751192129632</v>
      </c>
      <c r="E54" t="s">
        <v>179</v>
      </c>
      <c r="F54" s="19">
        <v>0.96395318917032502</v>
      </c>
      <c r="G54" s="19">
        <v>0.79816478792886403</v>
      </c>
      <c r="H54" s="19">
        <v>0.82158327805127795</v>
      </c>
      <c r="I54" s="19">
        <v>5.4128314957837001E-2</v>
      </c>
      <c r="J54" s="19">
        <v>0.91121143465408005</v>
      </c>
      <c r="K54" s="19">
        <v>4.1901794093732903E-2</v>
      </c>
      <c r="L54" s="19"/>
      <c r="M54" s="19"/>
      <c r="N54" s="19"/>
      <c r="O54" s="19"/>
      <c r="P54" s="19"/>
    </row>
    <row r="55" spans="2:16" x14ac:dyDescent="0.2">
      <c r="B55" t="s">
        <v>612</v>
      </c>
      <c r="C55" t="s">
        <v>379</v>
      </c>
      <c r="D55" s="18">
        <v>42584.751192129632</v>
      </c>
      <c r="E55" t="s">
        <v>175</v>
      </c>
      <c r="F55" s="19">
        <v>0.925152462308791</v>
      </c>
      <c r="G55" s="19">
        <v>0.785621326042379</v>
      </c>
      <c r="H55" s="19">
        <v>0.81591556804690402</v>
      </c>
      <c r="I55" s="19">
        <v>5.1722402372054603E-2</v>
      </c>
      <c r="J55" s="19">
        <v>0.85026685361496201</v>
      </c>
      <c r="K55" s="19">
        <v>7.7511098704103096E-2</v>
      </c>
      <c r="L55" s="19"/>
      <c r="M55" s="19"/>
      <c r="N55" s="19"/>
      <c r="O55" s="19"/>
      <c r="P55" s="19"/>
    </row>
    <row r="56" spans="2:16" x14ac:dyDescent="0.2">
      <c r="B56" t="s">
        <v>596</v>
      </c>
      <c r="C56" t="s">
        <v>403</v>
      </c>
      <c r="D56" s="18">
        <v>42584.751192129632</v>
      </c>
      <c r="E56" t="s">
        <v>168</v>
      </c>
      <c r="F56" s="19">
        <v>0.97275646507978897</v>
      </c>
      <c r="G56" s="19">
        <v>0.89535206061726103</v>
      </c>
      <c r="H56" s="19">
        <v>0.89484244269603297</v>
      </c>
      <c r="I56" s="19">
        <v>4.4192604820413803E-2</v>
      </c>
      <c r="J56" s="19">
        <v>0.91543445316219196</v>
      </c>
      <c r="K56" s="19">
        <v>5.3028833687820097E-2</v>
      </c>
      <c r="L56" s="19"/>
      <c r="M56" s="19"/>
      <c r="N56" s="19"/>
      <c r="O56" s="19"/>
      <c r="P56" s="19"/>
    </row>
    <row r="57" spans="2:16" x14ac:dyDescent="0.2">
      <c r="B57" t="s">
        <v>634</v>
      </c>
      <c r="C57" t="s">
        <v>389</v>
      </c>
      <c r="D57" s="18">
        <v>42584.751192129632</v>
      </c>
      <c r="E57" t="s">
        <v>184</v>
      </c>
      <c r="F57" s="19">
        <v>0.94302385048119397</v>
      </c>
      <c r="G57" s="19">
        <v>0.73242217160212597</v>
      </c>
      <c r="H57" s="19">
        <v>0.842639922355225</v>
      </c>
      <c r="I57" s="19">
        <v>6.10990790525828E-2</v>
      </c>
      <c r="J57" s="19">
        <v>0.91095416383026995</v>
      </c>
      <c r="K57" s="19">
        <v>9.4213366297531298E-2</v>
      </c>
      <c r="L57" s="19"/>
      <c r="M57" s="19"/>
      <c r="N57" s="19"/>
      <c r="O57" s="19"/>
      <c r="P57" s="19"/>
    </row>
    <row r="58" spans="2:16" x14ac:dyDescent="0.2">
      <c r="B58" t="s">
        <v>379</v>
      </c>
      <c r="C58" t="s">
        <v>379</v>
      </c>
      <c r="D58" s="18">
        <v>42584.751192129632</v>
      </c>
      <c r="E58" t="s">
        <v>660</v>
      </c>
      <c r="F58" s="19">
        <v>0.945371465366311</v>
      </c>
      <c r="G58" s="19">
        <v>0.84308706024441804</v>
      </c>
      <c r="H58" s="19">
        <v>0.86470119757070396</v>
      </c>
      <c r="I58" s="19">
        <v>2.2213018129089199E-2</v>
      </c>
      <c r="J58" s="19">
        <v>0.89465850415319303</v>
      </c>
      <c r="K58" s="19">
        <v>2.38465537076211E-2</v>
      </c>
      <c r="L58" s="19"/>
      <c r="M58" s="19"/>
      <c r="N58" s="19"/>
      <c r="O58" s="19"/>
      <c r="P58" s="19"/>
    </row>
    <row r="59" spans="2:16" x14ac:dyDescent="0.2">
      <c r="B59" t="s">
        <v>573</v>
      </c>
      <c r="C59" t="s">
        <v>389</v>
      </c>
      <c r="D59" s="18">
        <v>42584.751192129632</v>
      </c>
      <c r="E59" t="s">
        <v>158</v>
      </c>
      <c r="F59" s="19">
        <v>0.95493202689232504</v>
      </c>
      <c r="G59" s="19">
        <v>0.85264245515300696</v>
      </c>
      <c r="H59" s="19">
        <v>0.91846835170212304</v>
      </c>
      <c r="I59" s="19">
        <v>3.9100268771815903E-2</v>
      </c>
      <c r="J59" s="19">
        <v>0.83119256360990601</v>
      </c>
      <c r="K59" s="19">
        <v>5.8385178917865002E-2</v>
      </c>
      <c r="L59" s="19"/>
      <c r="M59" s="19"/>
      <c r="N59" s="19"/>
      <c r="O59" s="19"/>
      <c r="P59" s="19"/>
    </row>
    <row r="60" spans="2:16" x14ac:dyDescent="0.2">
      <c r="B60" t="s">
        <v>212</v>
      </c>
      <c r="C60" t="s">
        <v>389</v>
      </c>
      <c r="D60" s="18">
        <v>42584.751192129632</v>
      </c>
      <c r="E60" t="s">
        <v>161</v>
      </c>
      <c r="F60" s="19">
        <v>0.92150030381270198</v>
      </c>
      <c r="G60" s="19">
        <v>0.877269064884592</v>
      </c>
      <c r="H60" s="19">
        <v>0.95673166481386895</v>
      </c>
      <c r="I60" s="19">
        <v>3.4507619813907799E-2</v>
      </c>
      <c r="J60" s="19">
        <v>0.92879581726340699</v>
      </c>
      <c r="K60" s="19">
        <v>3.8422477958479098E-2</v>
      </c>
      <c r="L60" s="19">
        <v>1</v>
      </c>
      <c r="M60" s="19">
        <v>0.99137898774441002</v>
      </c>
      <c r="N60" s="19">
        <v>1.28793727116459E-2</v>
      </c>
      <c r="O60" s="19">
        <v>0.98073203423033295</v>
      </c>
      <c r="P60" s="19">
        <v>2.3364044644334801E-2</v>
      </c>
    </row>
    <row r="61" spans="2:16" x14ac:dyDescent="0.2">
      <c r="B61" t="s">
        <v>579</v>
      </c>
      <c r="C61" t="s">
        <v>389</v>
      </c>
      <c r="D61" s="18">
        <v>42584.751192129632</v>
      </c>
      <c r="E61" t="s">
        <v>161</v>
      </c>
      <c r="F61" s="19">
        <v>0.92150030381270198</v>
      </c>
      <c r="G61" s="19">
        <v>0.877269064884592</v>
      </c>
      <c r="H61" s="19">
        <v>0.95673166481386895</v>
      </c>
      <c r="I61" s="19">
        <v>3.4507619813907799E-2</v>
      </c>
      <c r="J61" s="19">
        <v>0.92879581726340699</v>
      </c>
      <c r="K61" s="19">
        <v>3.8422477958479098E-2</v>
      </c>
      <c r="L61" s="19">
        <v>1</v>
      </c>
      <c r="M61" s="19">
        <v>0.99137898774441002</v>
      </c>
      <c r="N61" s="19">
        <v>1.28793727116459E-2</v>
      </c>
      <c r="O61" s="19">
        <v>0.98073203423033295</v>
      </c>
      <c r="P61" s="19">
        <v>2.3364044644334801E-2</v>
      </c>
    </row>
    <row r="62" spans="2:16" x14ac:dyDescent="0.2">
      <c r="B62" t="s">
        <v>540</v>
      </c>
      <c r="C62" t="s">
        <v>379</v>
      </c>
      <c r="D62" s="18">
        <v>42584.751192129632</v>
      </c>
      <c r="E62" t="s">
        <v>146</v>
      </c>
      <c r="F62" s="19">
        <v>0.94497340783296002</v>
      </c>
      <c r="G62" s="19">
        <v>0.85187520433422104</v>
      </c>
      <c r="H62" s="19">
        <v>0.84893903572531004</v>
      </c>
      <c r="I62" s="19">
        <v>5.6198642934354802E-2</v>
      </c>
      <c r="J62" s="19">
        <v>0.87542846915699002</v>
      </c>
      <c r="K62" s="19">
        <v>6.0670182231341803E-2</v>
      </c>
      <c r="L62" s="19"/>
      <c r="M62" s="19"/>
      <c r="N62" s="19"/>
      <c r="O62" s="19"/>
      <c r="P62" s="19"/>
    </row>
    <row r="63" spans="2:16" x14ac:dyDescent="0.2">
      <c r="B63" t="s">
        <v>626</v>
      </c>
      <c r="C63" t="s">
        <v>368</v>
      </c>
      <c r="D63" s="18">
        <v>42584.751192129632</v>
      </c>
      <c r="E63" t="s">
        <v>180</v>
      </c>
      <c r="F63" s="19">
        <v>0.94678323075158999</v>
      </c>
      <c r="G63" s="19">
        <v>0.86753516691161103</v>
      </c>
      <c r="H63" s="19">
        <v>0.899253271220113</v>
      </c>
      <c r="I63" s="19">
        <v>4.4797839732621698E-2</v>
      </c>
      <c r="J63" s="19">
        <v>0.92462705526085798</v>
      </c>
      <c r="K63" s="19">
        <v>5.1063707128127897E-2</v>
      </c>
      <c r="L63" s="19"/>
      <c r="M63" s="19"/>
      <c r="N63" s="19"/>
      <c r="O63" s="19"/>
      <c r="P63" s="19"/>
    </row>
    <row r="64" spans="2:16" x14ac:dyDescent="0.2">
      <c r="B64" t="s">
        <v>695</v>
      </c>
      <c r="C64" t="s">
        <v>6</v>
      </c>
      <c r="D64" s="18">
        <v>42584.751192129632</v>
      </c>
      <c r="E64" t="s">
        <v>436</v>
      </c>
      <c r="F64" s="19"/>
      <c r="G64" s="19"/>
      <c r="H64" s="19"/>
      <c r="I64" s="19"/>
      <c r="J64" s="19"/>
      <c r="K64" s="19"/>
      <c r="L64" s="19">
        <v>0.98861798182406402</v>
      </c>
      <c r="M64" s="19">
        <v>0.96596963758717302</v>
      </c>
      <c r="N64" s="19">
        <v>1.8343995693259299E-2</v>
      </c>
      <c r="O64" s="19">
        <v>0.96864495028045905</v>
      </c>
      <c r="P64" s="19">
        <v>1.7727389141889E-2</v>
      </c>
    </row>
    <row r="65" spans="2:16" x14ac:dyDescent="0.2">
      <c r="B65" t="s">
        <v>697</v>
      </c>
      <c r="C65" t="s">
        <v>6</v>
      </c>
      <c r="D65" s="18">
        <v>42584.751192129632</v>
      </c>
      <c r="E65" t="s">
        <v>436</v>
      </c>
      <c r="F65" s="19">
        <v>0.95094960200766199</v>
      </c>
      <c r="G65" s="19">
        <v>0.85807148250309495</v>
      </c>
      <c r="H65" s="19">
        <v>0.88238313577417604</v>
      </c>
      <c r="I65" s="19">
        <v>7.8748943047496304E-3</v>
      </c>
      <c r="J65" s="19">
        <v>0.897546515808477</v>
      </c>
      <c r="K65" s="19">
        <v>1.18264562793959E-2</v>
      </c>
      <c r="L65" s="19">
        <v>0.98861798182406402</v>
      </c>
      <c r="M65" s="19">
        <v>0.96596963758717302</v>
      </c>
      <c r="N65" s="19">
        <v>1.8343995693259299E-2</v>
      </c>
      <c r="O65" s="19">
        <v>0.96864495028045905</v>
      </c>
      <c r="P65" s="19">
        <v>1.7727389141889E-2</v>
      </c>
    </row>
    <row r="66" spans="2:16" x14ac:dyDescent="0.2">
      <c r="B66" t="s">
        <v>604</v>
      </c>
      <c r="C66" t="s">
        <v>384</v>
      </c>
      <c r="D66" s="18">
        <v>42584.751192129632</v>
      </c>
      <c r="E66" t="s">
        <v>171</v>
      </c>
      <c r="F66" s="19">
        <v>0.94960591849143094</v>
      </c>
      <c r="G66" s="19">
        <v>0.91043400011801501</v>
      </c>
      <c r="H66" s="19">
        <v>0.88608190783869001</v>
      </c>
      <c r="I66" s="19">
        <v>4.7601408293891402E-2</v>
      </c>
      <c r="J66" s="19">
        <v>0.88427488932320097</v>
      </c>
      <c r="K66" s="19">
        <v>4.6185417301871999E-2</v>
      </c>
      <c r="L66" s="19"/>
      <c r="M66" s="19"/>
      <c r="N66" s="19"/>
      <c r="O66" s="19"/>
      <c r="P66" s="19"/>
    </row>
    <row r="67" spans="2:16" x14ac:dyDescent="0.2">
      <c r="B67" t="s">
        <v>669</v>
      </c>
      <c r="C67" t="s">
        <v>368</v>
      </c>
      <c r="D67" s="18">
        <v>42584.751192129632</v>
      </c>
      <c r="E67" t="s">
        <v>668</v>
      </c>
      <c r="F67" s="152"/>
      <c r="G67" s="152"/>
      <c r="H67" s="152">
        <v>0.88882935929979301</v>
      </c>
      <c r="I67" s="152">
        <v>0.122765579445424</v>
      </c>
      <c r="J67" s="152">
        <v>0.83280059390964101</v>
      </c>
      <c r="K67" s="152">
        <v>6.9714272031192404E-2</v>
      </c>
      <c r="L67" s="152"/>
      <c r="M67" s="152"/>
      <c r="N67" s="152"/>
      <c r="O67" s="152"/>
      <c r="P67" s="152"/>
    </row>
    <row r="68" spans="2:16" x14ac:dyDescent="0.2">
      <c r="B68" t="s">
        <v>628</v>
      </c>
      <c r="C68" t="s">
        <v>368</v>
      </c>
      <c r="D68" s="18">
        <v>42584.751192129632</v>
      </c>
      <c r="E68" t="s">
        <v>89</v>
      </c>
      <c r="F68" s="152">
        <v>0.94781434257032005</v>
      </c>
      <c r="G68" s="152">
        <v>0.87560940636650397</v>
      </c>
      <c r="H68" s="152">
        <v>0.85696304103726595</v>
      </c>
      <c r="I68" s="152">
        <v>4.5675954794637701E-2</v>
      </c>
      <c r="J68" s="152">
        <v>0.866091921155973</v>
      </c>
      <c r="K68" s="152">
        <v>0.115923375956293</v>
      </c>
      <c r="L68" s="152"/>
      <c r="M68" s="152"/>
      <c r="N68" s="152"/>
      <c r="O68" s="152"/>
      <c r="P68" s="152"/>
    </row>
    <row r="69" spans="2:16" x14ac:dyDescent="0.2">
      <c r="B69" t="s">
        <v>638</v>
      </c>
      <c r="C69" t="s">
        <v>389</v>
      </c>
      <c r="D69" s="18">
        <v>42584.751192129632</v>
      </c>
      <c r="E69" t="s">
        <v>185</v>
      </c>
      <c r="F69" s="152">
        <v>0.89973586412359097</v>
      </c>
      <c r="G69" s="152">
        <v>0.82118713319961401</v>
      </c>
      <c r="H69" s="152">
        <v>0.887756775115359</v>
      </c>
      <c r="I69" s="152">
        <v>5.0030656721340099E-2</v>
      </c>
      <c r="J69" s="152">
        <v>0.89940159802475905</v>
      </c>
      <c r="K69" s="152">
        <v>6.2788446009709606E-2</v>
      </c>
      <c r="L69" s="152"/>
      <c r="M69" s="152"/>
      <c r="N69" s="152"/>
      <c r="O69" s="152"/>
      <c r="P69" s="152"/>
    </row>
    <row r="70" spans="2:16" x14ac:dyDescent="0.2">
      <c r="B70" t="s">
        <v>642</v>
      </c>
      <c r="C70" t="s">
        <v>368</v>
      </c>
      <c r="D70" s="18">
        <v>42584.751192129632</v>
      </c>
      <c r="E70" t="s">
        <v>187</v>
      </c>
      <c r="F70" s="152">
        <v>0.91730563326770997</v>
      </c>
      <c r="G70" s="152">
        <v>0.83668300653594796</v>
      </c>
      <c r="H70" s="152">
        <v>0.872024457507802</v>
      </c>
      <c r="I70" s="152">
        <v>4.6132350672263102E-2</v>
      </c>
      <c r="J70" s="152">
        <v>0.89237000753579498</v>
      </c>
      <c r="K70" s="152">
        <v>7.1771077985603102E-2</v>
      </c>
      <c r="L70" s="152"/>
      <c r="M70" s="152"/>
      <c r="N70" s="152"/>
      <c r="O70" s="152"/>
      <c r="P70" s="152"/>
    </row>
    <row r="71" spans="2:16" x14ac:dyDescent="0.2">
      <c r="B71" t="s">
        <v>542</v>
      </c>
      <c r="C71" t="s">
        <v>368</v>
      </c>
      <c r="D71" s="18">
        <v>42584.751192129632</v>
      </c>
      <c r="E71" t="s">
        <v>147</v>
      </c>
      <c r="F71" s="152">
        <v>0.96188619376942197</v>
      </c>
      <c r="G71" s="152">
        <v>0.86729710634399304</v>
      </c>
      <c r="H71" s="152">
        <v>0.85716717161620004</v>
      </c>
      <c r="I71" s="152">
        <v>4.7966038447227001E-2</v>
      </c>
      <c r="J71" s="152">
        <v>0.94065368739644595</v>
      </c>
      <c r="K71" s="152">
        <v>4.7287604697840102E-2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949</v>
      </c>
      <c r="C2" t="s">
        <v>950</v>
      </c>
      <c r="D2" t="s">
        <v>133</v>
      </c>
      <c r="F2" t="s">
        <v>944</v>
      </c>
      <c r="G2" t="s">
        <v>931</v>
      </c>
      <c r="H2" t="s">
        <v>932</v>
      </c>
      <c r="I2" t="s">
        <v>933</v>
      </c>
      <c r="J2" t="s">
        <v>934</v>
      </c>
      <c r="K2" t="s">
        <v>935</v>
      </c>
      <c r="L2" t="s">
        <v>936</v>
      </c>
      <c r="M2" t="s">
        <v>937</v>
      </c>
      <c r="N2" t="s">
        <v>938</v>
      </c>
      <c r="O2" t="s">
        <v>939</v>
      </c>
      <c r="P2" t="s">
        <v>940</v>
      </c>
      <c r="Q2" t="s">
        <v>941</v>
      </c>
      <c r="R2" t="s">
        <v>942</v>
      </c>
      <c r="S2" t="s">
        <v>943</v>
      </c>
      <c r="V2" t="s">
        <v>945</v>
      </c>
      <c r="W2" t="s">
        <v>931</v>
      </c>
      <c r="X2" t="s">
        <v>932</v>
      </c>
      <c r="Y2" t="s">
        <v>933</v>
      </c>
      <c r="Z2" t="s">
        <v>934</v>
      </c>
      <c r="AA2" t="s">
        <v>935</v>
      </c>
      <c r="AB2" t="s">
        <v>936</v>
      </c>
      <c r="AC2" t="s">
        <v>937</v>
      </c>
      <c r="AD2" t="s">
        <v>938</v>
      </c>
      <c r="AE2" t="s">
        <v>939</v>
      </c>
      <c r="AF2" t="s">
        <v>940</v>
      </c>
      <c r="AG2" t="s">
        <v>941</v>
      </c>
      <c r="AH2" t="s">
        <v>942</v>
      </c>
      <c r="AI2" t="s">
        <v>943</v>
      </c>
      <c r="AL2" t="s">
        <v>946</v>
      </c>
      <c r="AM2" t="s">
        <v>931</v>
      </c>
      <c r="AN2" t="s">
        <v>932</v>
      </c>
      <c r="AO2" t="s">
        <v>933</v>
      </c>
      <c r="AP2" t="s">
        <v>934</v>
      </c>
      <c r="AQ2" t="s">
        <v>935</v>
      </c>
      <c r="AR2" t="s">
        <v>936</v>
      </c>
      <c r="AS2" t="s">
        <v>937</v>
      </c>
      <c r="AT2" t="s">
        <v>938</v>
      </c>
      <c r="AU2" t="s">
        <v>939</v>
      </c>
      <c r="AV2" t="s">
        <v>940</v>
      </c>
      <c r="AW2" t="s">
        <v>941</v>
      </c>
      <c r="AX2" t="s">
        <v>942</v>
      </c>
      <c r="AY2" t="s">
        <v>943</v>
      </c>
    </row>
    <row r="3" spans="2:51" x14ac:dyDescent="0.2">
      <c r="B3" t="s">
        <v>952</v>
      </c>
      <c r="C3">
        <v>402926</v>
      </c>
      <c r="D3">
        <v>397.99113702620002</v>
      </c>
      <c r="F3" t="s">
        <v>8</v>
      </c>
      <c r="G3">
        <v>11389</v>
      </c>
      <c r="P3">
        <v>11389</v>
      </c>
      <c r="Q3">
        <v>182.08429926240001</v>
      </c>
      <c r="V3" t="s">
        <v>309</v>
      </c>
      <c r="W3">
        <v>340</v>
      </c>
      <c r="X3">
        <v>215</v>
      </c>
      <c r="Y3">
        <v>341.97674418600002</v>
      </c>
      <c r="Z3">
        <v>59</v>
      </c>
      <c r="AA3">
        <v>424.7457627119</v>
      </c>
      <c r="AB3">
        <v>90</v>
      </c>
      <c r="AC3">
        <v>396.76666666670002</v>
      </c>
      <c r="AD3">
        <v>23</v>
      </c>
      <c r="AE3">
        <v>745.39130434779997</v>
      </c>
      <c r="AF3">
        <v>11</v>
      </c>
      <c r="AG3">
        <v>259.45454545450002</v>
      </c>
      <c r="AH3">
        <v>1</v>
      </c>
      <c r="AI3">
        <v>548</v>
      </c>
      <c r="AL3" t="s">
        <v>309</v>
      </c>
      <c r="AM3">
        <v>1</v>
      </c>
      <c r="AT3">
        <v>1</v>
      </c>
      <c r="AU3">
        <v>369</v>
      </c>
    </row>
    <row r="4" spans="2:51" x14ac:dyDescent="0.2">
      <c r="B4" t="s">
        <v>951</v>
      </c>
      <c r="C4">
        <v>34308</v>
      </c>
      <c r="D4">
        <v>397.99113702620002</v>
      </c>
      <c r="F4" t="s">
        <v>8</v>
      </c>
      <c r="G4">
        <v>11389</v>
      </c>
      <c r="P4">
        <v>11389</v>
      </c>
      <c r="Q4">
        <v>182.08429926240001</v>
      </c>
      <c r="V4" t="s">
        <v>8</v>
      </c>
      <c r="W4">
        <v>4239</v>
      </c>
      <c r="X4">
        <v>3132</v>
      </c>
      <c r="Y4">
        <v>484.25199616740002</v>
      </c>
      <c r="Z4">
        <v>501</v>
      </c>
      <c r="AA4">
        <v>451.20758483029999</v>
      </c>
      <c r="AB4">
        <v>460</v>
      </c>
      <c r="AC4">
        <v>414.66304347829998</v>
      </c>
      <c r="AD4">
        <v>607</v>
      </c>
      <c r="AE4">
        <v>838.02800658980004</v>
      </c>
      <c r="AF4">
        <v>38</v>
      </c>
      <c r="AG4">
        <v>376.02631578950002</v>
      </c>
      <c r="AH4">
        <v>2</v>
      </c>
      <c r="AI4">
        <v>133</v>
      </c>
      <c r="AL4" t="s">
        <v>8</v>
      </c>
      <c r="AM4">
        <v>31</v>
      </c>
      <c r="AN4">
        <v>27</v>
      </c>
      <c r="AO4">
        <v>174.8148148148</v>
      </c>
      <c r="AP4">
        <v>14</v>
      </c>
      <c r="AQ4">
        <v>378.35714285709997</v>
      </c>
      <c r="AR4">
        <v>4</v>
      </c>
      <c r="AS4">
        <v>157</v>
      </c>
    </row>
    <row r="5" spans="2:51" x14ac:dyDescent="0.2">
      <c r="B5" t="s">
        <v>963</v>
      </c>
      <c r="C5">
        <v>26448</v>
      </c>
      <c r="D5">
        <v>536.14001058680003</v>
      </c>
      <c r="F5" t="s">
        <v>43</v>
      </c>
      <c r="G5">
        <v>566</v>
      </c>
      <c r="H5">
        <v>485</v>
      </c>
      <c r="I5">
        <v>271.65360824739997</v>
      </c>
      <c r="J5">
        <v>42</v>
      </c>
      <c r="K5">
        <v>567.33333333329995</v>
      </c>
      <c r="L5">
        <v>69</v>
      </c>
      <c r="M5">
        <v>170.4492753623</v>
      </c>
      <c r="N5">
        <v>12</v>
      </c>
      <c r="O5">
        <v>421</v>
      </c>
      <c r="V5" t="s">
        <v>8</v>
      </c>
      <c r="W5">
        <v>4579</v>
      </c>
      <c r="X5">
        <v>3347</v>
      </c>
      <c r="Y5">
        <v>475.10998206810001</v>
      </c>
      <c r="Z5">
        <v>560</v>
      </c>
      <c r="AA5">
        <v>448.41964285709997</v>
      </c>
      <c r="AB5">
        <v>550</v>
      </c>
      <c r="AC5">
        <v>411.73454545449999</v>
      </c>
      <c r="AD5">
        <v>630</v>
      </c>
      <c r="AE5">
        <v>834.64603174599995</v>
      </c>
      <c r="AF5">
        <v>49</v>
      </c>
      <c r="AG5">
        <v>349.85714285709997</v>
      </c>
      <c r="AH5">
        <v>3</v>
      </c>
      <c r="AI5">
        <v>271.3333333333</v>
      </c>
      <c r="AL5" t="s">
        <v>8</v>
      </c>
      <c r="AM5">
        <v>32</v>
      </c>
      <c r="AN5">
        <v>27</v>
      </c>
      <c r="AO5">
        <v>174.8148148148</v>
      </c>
      <c r="AP5">
        <v>14</v>
      </c>
      <c r="AQ5">
        <v>378.35714285709997</v>
      </c>
      <c r="AR5">
        <v>4</v>
      </c>
      <c r="AS5">
        <v>157</v>
      </c>
      <c r="AT5">
        <v>1</v>
      </c>
      <c r="AU5">
        <v>369</v>
      </c>
    </row>
    <row r="6" spans="2:51" x14ac:dyDescent="0.2">
      <c r="B6" t="s">
        <v>241</v>
      </c>
      <c r="C6">
        <v>51411</v>
      </c>
      <c r="D6">
        <v>527.54647838009998</v>
      </c>
      <c r="F6" t="s">
        <v>37</v>
      </c>
      <c r="G6">
        <v>8228</v>
      </c>
      <c r="H6">
        <v>6658</v>
      </c>
      <c r="I6">
        <v>444.74031240609997</v>
      </c>
      <c r="J6">
        <v>355</v>
      </c>
      <c r="K6">
        <v>957.18309859149997</v>
      </c>
      <c r="L6">
        <v>1059</v>
      </c>
      <c r="M6">
        <v>638.93201133139996</v>
      </c>
      <c r="N6">
        <v>489</v>
      </c>
      <c r="O6">
        <v>589.72597137009996</v>
      </c>
      <c r="R6">
        <v>22</v>
      </c>
      <c r="S6">
        <v>540.77272727269997</v>
      </c>
      <c r="V6" t="s">
        <v>398</v>
      </c>
      <c r="W6">
        <v>1529</v>
      </c>
      <c r="X6">
        <v>893</v>
      </c>
      <c r="Y6">
        <v>194.81746920489999</v>
      </c>
      <c r="Z6">
        <v>141</v>
      </c>
      <c r="AA6">
        <v>296.31205673760002</v>
      </c>
      <c r="AB6">
        <v>450</v>
      </c>
      <c r="AC6">
        <v>314.5</v>
      </c>
      <c r="AD6">
        <v>122</v>
      </c>
      <c r="AE6">
        <v>312.34426229510001</v>
      </c>
      <c r="AF6">
        <v>62</v>
      </c>
      <c r="AG6">
        <v>195.564516129</v>
      </c>
      <c r="AH6">
        <v>2</v>
      </c>
      <c r="AI6">
        <v>401</v>
      </c>
      <c r="AL6" t="s">
        <v>398</v>
      </c>
      <c r="AM6">
        <v>26</v>
      </c>
      <c r="AN6">
        <v>18</v>
      </c>
      <c r="AO6">
        <v>143</v>
      </c>
      <c r="AP6">
        <v>20</v>
      </c>
      <c r="AQ6">
        <v>211.4</v>
      </c>
      <c r="AR6">
        <v>8</v>
      </c>
      <c r="AS6">
        <v>270.5</v>
      </c>
    </row>
    <row r="7" spans="2:51" x14ac:dyDescent="0.2">
      <c r="B7" t="s">
        <v>240</v>
      </c>
      <c r="C7">
        <v>231050</v>
      </c>
      <c r="D7">
        <v>409.8334768853</v>
      </c>
      <c r="F7" t="s">
        <v>42</v>
      </c>
      <c r="G7">
        <v>4855</v>
      </c>
      <c r="H7">
        <v>3370</v>
      </c>
      <c r="I7">
        <v>376.04391691389998</v>
      </c>
      <c r="J7">
        <v>889</v>
      </c>
      <c r="K7">
        <v>436.73903262089999</v>
      </c>
      <c r="L7">
        <v>902</v>
      </c>
      <c r="M7">
        <v>428.79379157429997</v>
      </c>
      <c r="N7">
        <v>547</v>
      </c>
      <c r="O7">
        <v>412.97989031079999</v>
      </c>
      <c r="R7">
        <v>36</v>
      </c>
      <c r="S7">
        <v>478.7777777778</v>
      </c>
      <c r="V7" t="s">
        <v>390</v>
      </c>
      <c r="W7">
        <v>12492</v>
      </c>
      <c r="X7">
        <v>9251</v>
      </c>
      <c r="Y7">
        <v>649.10225921519998</v>
      </c>
      <c r="Z7">
        <v>626</v>
      </c>
      <c r="AA7">
        <v>920.74121405749997</v>
      </c>
      <c r="AB7">
        <v>2262</v>
      </c>
      <c r="AC7">
        <v>1109.5119363394999</v>
      </c>
      <c r="AD7">
        <v>730</v>
      </c>
      <c r="AE7">
        <v>902.57534246579996</v>
      </c>
      <c r="AF7">
        <v>236</v>
      </c>
      <c r="AG7">
        <v>173.72033898309999</v>
      </c>
      <c r="AH7">
        <v>13</v>
      </c>
      <c r="AI7">
        <v>991.84615384619997</v>
      </c>
      <c r="AL7" t="s">
        <v>390</v>
      </c>
      <c r="AM7">
        <v>286</v>
      </c>
      <c r="AN7">
        <v>188</v>
      </c>
      <c r="AO7">
        <v>386.11170212770003</v>
      </c>
      <c r="AP7">
        <v>29</v>
      </c>
      <c r="AQ7">
        <v>831.31034482760003</v>
      </c>
      <c r="AR7">
        <v>95</v>
      </c>
      <c r="AS7">
        <v>346.30526315790001</v>
      </c>
      <c r="AT7">
        <v>3</v>
      </c>
      <c r="AU7">
        <v>760</v>
      </c>
    </row>
    <row r="8" spans="2:51" x14ac:dyDescent="0.2">
      <c r="B8" t="s">
        <v>242</v>
      </c>
      <c r="C8">
        <v>22326</v>
      </c>
      <c r="D8">
        <v>506.630763027</v>
      </c>
      <c r="F8" t="s">
        <v>50</v>
      </c>
      <c r="G8">
        <v>1170</v>
      </c>
      <c r="H8">
        <v>552</v>
      </c>
      <c r="I8">
        <v>326.11413043480002</v>
      </c>
      <c r="J8">
        <v>473</v>
      </c>
      <c r="K8">
        <v>337.30655391120001</v>
      </c>
      <c r="L8">
        <v>458</v>
      </c>
      <c r="M8">
        <v>174.0807860262</v>
      </c>
      <c r="N8">
        <v>159</v>
      </c>
      <c r="O8">
        <v>211.320754717</v>
      </c>
      <c r="R8">
        <v>1</v>
      </c>
      <c r="S8">
        <v>257</v>
      </c>
      <c r="V8" t="s">
        <v>421</v>
      </c>
      <c r="W8">
        <v>1363</v>
      </c>
      <c r="X8">
        <v>958</v>
      </c>
      <c r="Y8">
        <v>217.08141962420001</v>
      </c>
      <c r="Z8">
        <v>132</v>
      </c>
      <c r="AA8">
        <v>326.73484848480001</v>
      </c>
      <c r="AB8">
        <v>143</v>
      </c>
      <c r="AC8">
        <v>191.83916083919999</v>
      </c>
      <c r="AD8">
        <v>160</v>
      </c>
      <c r="AE8">
        <v>390.42500000000001</v>
      </c>
      <c r="AF8">
        <v>97</v>
      </c>
      <c r="AG8">
        <v>167.38144329900001</v>
      </c>
      <c r="AH8">
        <v>5</v>
      </c>
      <c r="AI8">
        <v>385.2</v>
      </c>
      <c r="AL8" t="s">
        <v>421</v>
      </c>
      <c r="AM8">
        <v>28</v>
      </c>
      <c r="AN8">
        <v>22</v>
      </c>
      <c r="AO8">
        <v>135.7727272727</v>
      </c>
      <c r="AP8">
        <v>7</v>
      </c>
      <c r="AQ8">
        <v>248</v>
      </c>
      <c r="AR8">
        <v>6</v>
      </c>
      <c r="AS8">
        <v>213</v>
      </c>
    </row>
    <row r="9" spans="2:51" x14ac:dyDescent="0.2">
      <c r="B9" t="s">
        <v>243</v>
      </c>
      <c r="C9">
        <v>11389</v>
      </c>
      <c r="D9">
        <v>182.08429926240001</v>
      </c>
      <c r="F9" t="s">
        <v>81</v>
      </c>
      <c r="G9">
        <v>1335</v>
      </c>
      <c r="H9">
        <v>1031</v>
      </c>
      <c r="I9">
        <v>242.70902036859999</v>
      </c>
      <c r="J9">
        <v>172</v>
      </c>
      <c r="K9">
        <v>373.20348837210003</v>
      </c>
      <c r="L9">
        <v>132</v>
      </c>
      <c r="M9">
        <v>142.53030303029999</v>
      </c>
      <c r="N9">
        <v>168</v>
      </c>
      <c r="O9">
        <v>375.56547619050002</v>
      </c>
      <c r="R9">
        <v>4</v>
      </c>
      <c r="S9">
        <v>215.25</v>
      </c>
      <c r="V9" t="s">
        <v>391</v>
      </c>
      <c r="W9">
        <v>8138</v>
      </c>
      <c r="X9">
        <v>6280</v>
      </c>
      <c r="Y9">
        <v>503.65047770699999</v>
      </c>
      <c r="Z9">
        <v>351</v>
      </c>
      <c r="AA9">
        <v>899.44444444440001</v>
      </c>
      <c r="AB9">
        <v>1349</v>
      </c>
      <c r="AC9">
        <v>890.93624907339995</v>
      </c>
      <c r="AD9">
        <v>387</v>
      </c>
      <c r="AE9">
        <v>691.94315245480004</v>
      </c>
      <c r="AF9">
        <v>121</v>
      </c>
      <c r="AG9">
        <v>159.84297520659999</v>
      </c>
      <c r="AH9">
        <v>1</v>
      </c>
      <c r="AI9">
        <v>380</v>
      </c>
      <c r="AL9" t="s">
        <v>391</v>
      </c>
      <c r="AM9">
        <v>141</v>
      </c>
      <c r="AN9">
        <v>107</v>
      </c>
      <c r="AO9">
        <v>341.83177570089998</v>
      </c>
      <c r="AP9">
        <v>16</v>
      </c>
      <c r="AQ9">
        <v>696.0625</v>
      </c>
      <c r="AR9">
        <v>30</v>
      </c>
      <c r="AS9">
        <v>213.3</v>
      </c>
      <c r="AT9">
        <v>4</v>
      </c>
      <c r="AU9">
        <v>24</v>
      </c>
    </row>
    <row r="10" spans="2:51" x14ac:dyDescent="0.2">
      <c r="B10" t="s">
        <v>947</v>
      </c>
      <c r="C10">
        <v>593</v>
      </c>
      <c r="D10">
        <v>455.35919055649998</v>
      </c>
      <c r="F10" t="s">
        <v>76</v>
      </c>
      <c r="G10">
        <v>3595</v>
      </c>
      <c r="H10">
        <v>1653</v>
      </c>
      <c r="I10">
        <v>206.24077434969999</v>
      </c>
      <c r="J10">
        <v>891</v>
      </c>
      <c r="K10">
        <v>293.30864197530002</v>
      </c>
      <c r="L10">
        <v>1870</v>
      </c>
      <c r="M10">
        <v>358.10320855610001</v>
      </c>
      <c r="N10">
        <v>72</v>
      </c>
      <c r="O10">
        <v>262.19444444440001</v>
      </c>
      <c r="V10" t="s">
        <v>393</v>
      </c>
      <c r="W10">
        <v>8375</v>
      </c>
      <c r="X10">
        <v>6563</v>
      </c>
      <c r="Y10">
        <v>444.26481791859999</v>
      </c>
      <c r="Z10">
        <v>357</v>
      </c>
      <c r="AA10">
        <v>923.55182072829996</v>
      </c>
      <c r="AB10">
        <v>1056</v>
      </c>
      <c r="AC10">
        <v>635.76231060609996</v>
      </c>
      <c r="AD10">
        <v>486</v>
      </c>
      <c r="AE10">
        <v>573.12551440330003</v>
      </c>
      <c r="AF10">
        <v>248</v>
      </c>
      <c r="AG10">
        <v>172.7862903226</v>
      </c>
      <c r="AH10">
        <v>22</v>
      </c>
      <c r="AI10">
        <v>540.77272727269997</v>
      </c>
      <c r="AL10" t="s">
        <v>393</v>
      </c>
      <c r="AM10">
        <v>303</v>
      </c>
      <c r="AN10">
        <v>187</v>
      </c>
      <c r="AO10">
        <v>393.72727272729998</v>
      </c>
      <c r="AP10">
        <v>35</v>
      </c>
      <c r="AQ10">
        <v>557.34285714290002</v>
      </c>
      <c r="AR10">
        <v>105</v>
      </c>
      <c r="AS10">
        <v>402.8</v>
      </c>
      <c r="AT10">
        <v>11</v>
      </c>
      <c r="AU10">
        <v>168.63636363640001</v>
      </c>
    </row>
    <row r="11" spans="2:51" x14ac:dyDescent="0.2">
      <c r="F11" t="s">
        <v>38</v>
      </c>
      <c r="G11">
        <v>12400</v>
      </c>
      <c r="H11">
        <v>9339</v>
      </c>
      <c r="I11">
        <v>656.80651033300001</v>
      </c>
      <c r="J11">
        <v>568</v>
      </c>
      <c r="K11">
        <v>955.75880281690002</v>
      </c>
      <c r="L11">
        <v>2311</v>
      </c>
      <c r="M11">
        <v>1124.8662916486001</v>
      </c>
      <c r="N11">
        <v>738</v>
      </c>
      <c r="O11">
        <v>911.82249322489997</v>
      </c>
      <c r="R11">
        <v>12</v>
      </c>
      <c r="S11">
        <v>1030.3333333333001</v>
      </c>
      <c r="V11" t="s">
        <v>394</v>
      </c>
      <c r="W11">
        <v>5003</v>
      </c>
      <c r="X11">
        <v>3224</v>
      </c>
      <c r="Y11">
        <v>364.88678660049999</v>
      </c>
      <c r="Z11">
        <v>793</v>
      </c>
      <c r="AA11">
        <v>409.2408575032</v>
      </c>
      <c r="AB11">
        <v>900</v>
      </c>
      <c r="AC11">
        <v>444.8011111111</v>
      </c>
      <c r="AD11">
        <v>541</v>
      </c>
      <c r="AE11">
        <v>420.41774491680002</v>
      </c>
      <c r="AF11">
        <v>300</v>
      </c>
      <c r="AG11">
        <v>176.92666666669999</v>
      </c>
      <c r="AH11">
        <v>38</v>
      </c>
      <c r="AI11">
        <v>462.15789473680002</v>
      </c>
      <c r="AL11" t="s">
        <v>394</v>
      </c>
      <c r="AM11">
        <v>223</v>
      </c>
      <c r="AN11">
        <v>171</v>
      </c>
      <c r="AO11">
        <v>357.42105263159999</v>
      </c>
      <c r="AP11">
        <v>21</v>
      </c>
      <c r="AQ11">
        <v>482.61904761900001</v>
      </c>
      <c r="AR11">
        <v>44</v>
      </c>
      <c r="AS11">
        <v>322.65909090909997</v>
      </c>
      <c r="AT11">
        <v>7</v>
      </c>
      <c r="AU11">
        <v>527.57142857140002</v>
      </c>
      <c r="AV11">
        <v>1</v>
      </c>
      <c r="AW11">
        <v>2164</v>
      </c>
    </row>
    <row r="12" spans="2:51" x14ac:dyDescent="0.2">
      <c r="F12" t="s">
        <v>56</v>
      </c>
      <c r="G12">
        <v>3083</v>
      </c>
      <c r="H12">
        <v>2629</v>
      </c>
      <c r="I12">
        <v>341.96918980599997</v>
      </c>
      <c r="J12">
        <v>374</v>
      </c>
      <c r="K12">
        <v>314.89572192510002</v>
      </c>
      <c r="L12">
        <v>404</v>
      </c>
      <c r="M12">
        <v>326.48762376240001</v>
      </c>
      <c r="N12">
        <v>49</v>
      </c>
      <c r="O12">
        <v>119.26530612240001</v>
      </c>
      <c r="R12">
        <v>1</v>
      </c>
      <c r="S12">
        <v>543</v>
      </c>
      <c r="V12" t="s">
        <v>396</v>
      </c>
      <c r="W12">
        <v>6097</v>
      </c>
      <c r="X12">
        <v>5138</v>
      </c>
      <c r="Y12">
        <v>287.65336706890002</v>
      </c>
      <c r="Z12">
        <v>569</v>
      </c>
      <c r="AA12">
        <v>534.60984182779998</v>
      </c>
      <c r="AB12">
        <v>352</v>
      </c>
      <c r="AC12">
        <v>198.0625</v>
      </c>
      <c r="AD12">
        <v>343</v>
      </c>
      <c r="AE12">
        <v>396.70262390670001</v>
      </c>
      <c r="AF12">
        <v>252</v>
      </c>
      <c r="AG12">
        <v>195.75</v>
      </c>
      <c r="AH12">
        <v>12</v>
      </c>
      <c r="AI12">
        <v>282.1666666667</v>
      </c>
      <c r="AL12" t="s">
        <v>396</v>
      </c>
      <c r="AM12">
        <v>208</v>
      </c>
      <c r="AN12">
        <v>167</v>
      </c>
      <c r="AO12">
        <v>327.05988023949999</v>
      </c>
      <c r="AP12">
        <v>17</v>
      </c>
      <c r="AQ12">
        <v>641.8235294118</v>
      </c>
      <c r="AR12">
        <v>38</v>
      </c>
      <c r="AS12">
        <v>273.02631578950002</v>
      </c>
      <c r="AT12">
        <v>3</v>
      </c>
      <c r="AU12">
        <v>131.3333333333</v>
      </c>
    </row>
    <row r="13" spans="2:51" x14ac:dyDescent="0.2">
      <c r="F13" t="s">
        <v>75</v>
      </c>
      <c r="G13">
        <v>5749</v>
      </c>
      <c r="H13">
        <v>5106</v>
      </c>
      <c r="I13">
        <v>282.02781041909998</v>
      </c>
      <c r="J13">
        <v>559</v>
      </c>
      <c r="K13">
        <v>535.7835420394</v>
      </c>
      <c r="L13">
        <v>285</v>
      </c>
      <c r="M13">
        <v>116.44210526320001</v>
      </c>
      <c r="N13">
        <v>345</v>
      </c>
      <c r="O13">
        <v>394.33043478259998</v>
      </c>
      <c r="R13">
        <v>13</v>
      </c>
      <c r="S13">
        <v>284.76923076920002</v>
      </c>
      <c r="V13" t="s">
        <v>399</v>
      </c>
      <c r="W13">
        <v>1032</v>
      </c>
      <c r="X13">
        <v>265</v>
      </c>
      <c r="Y13">
        <v>148.45660377359999</v>
      </c>
      <c r="Z13">
        <v>278</v>
      </c>
      <c r="AA13">
        <v>198.52517985610001</v>
      </c>
      <c r="AB13">
        <v>478</v>
      </c>
      <c r="AC13">
        <v>220.63179916319999</v>
      </c>
      <c r="AD13">
        <v>161</v>
      </c>
      <c r="AE13">
        <v>213.30434782610001</v>
      </c>
      <c r="AF13">
        <v>127</v>
      </c>
      <c r="AG13">
        <v>180.59055118110001</v>
      </c>
      <c r="AH13">
        <v>1</v>
      </c>
      <c r="AI13">
        <v>257</v>
      </c>
      <c r="AL13" t="s">
        <v>399</v>
      </c>
      <c r="AM13">
        <v>12</v>
      </c>
      <c r="AN13">
        <v>7</v>
      </c>
      <c r="AO13">
        <v>104.1428571429</v>
      </c>
      <c r="AP13">
        <v>4</v>
      </c>
      <c r="AQ13">
        <v>235.75</v>
      </c>
      <c r="AR13">
        <v>3</v>
      </c>
      <c r="AS13">
        <v>53</v>
      </c>
      <c r="AT13">
        <v>2</v>
      </c>
      <c r="AU13">
        <v>136.5</v>
      </c>
    </row>
    <row r="14" spans="2:51" x14ac:dyDescent="0.2">
      <c r="F14" t="s">
        <v>41</v>
      </c>
      <c r="G14">
        <v>1501</v>
      </c>
      <c r="H14">
        <v>910</v>
      </c>
      <c r="I14">
        <v>192.44175824179999</v>
      </c>
      <c r="J14">
        <v>177</v>
      </c>
      <c r="K14">
        <v>378.43502824860002</v>
      </c>
      <c r="L14">
        <v>463</v>
      </c>
      <c r="M14">
        <v>305.25701943839999</v>
      </c>
      <c r="N14">
        <v>126</v>
      </c>
      <c r="O14">
        <v>314.78571428570001</v>
      </c>
      <c r="R14">
        <v>2</v>
      </c>
      <c r="S14">
        <v>401</v>
      </c>
      <c r="V14" t="s">
        <v>400</v>
      </c>
      <c r="W14">
        <v>2035</v>
      </c>
      <c r="X14">
        <v>943</v>
      </c>
      <c r="Y14">
        <v>181.21845174969999</v>
      </c>
      <c r="Z14">
        <v>563</v>
      </c>
      <c r="AA14">
        <v>204.3428063943</v>
      </c>
      <c r="AB14">
        <v>860</v>
      </c>
      <c r="AC14">
        <v>281.61627906979999</v>
      </c>
      <c r="AD14">
        <v>60</v>
      </c>
      <c r="AE14">
        <v>272.6666666667</v>
      </c>
      <c r="AF14">
        <v>172</v>
      </c>
      <c r="AG14">
        <v>157.4534883721</v>
      </c>
      <c r="AL14" t="s">
        <v>400</v>
      </c>
      <c r="AM14">
        <v>30</v>
      </c>
      <c r="AN14">
        <v>21</v>
      </c>
      <c r="AO14">
        <v>101.1428571429</v>
      </c>
      <c r="AP14">
        <v>16</v>
      </c>
      <c r="AQ14">
        <v>259.875</v>
      </c>
      <c r="AR14">
        <v>5</v>
      </c>
      <c r="AS14">
        <v>131.19999999999999</v>
      </c>
      <c r="AT14">
        <v>4</v>
      </c>
      <c r="AU14">
        <v>143.25</v>
      </c>
    </row>
    <row r="15" spans="2:51" x14ac:dyDescent="0.2">
      <c r="F15" t="s">
        <v>74</v>
      </c>
      <c r="G15">
        <v>224</v>
      </c>
      <c r="H15">
        <v>98</v>
      </c>
      <c r="I15">
        <v>278.24489795919999</v>
      </c>
      <c r="J15">
        <v>126</v>
      </c>
      <c r="K15">
        <v>269.11904761900001</v>
      </c>
      <c r="L15">
        <v>79</v>
      </c>
      <c r="M15">
        <v>262.49367088610001</v>
      </c>
      <c r="N15">
        <v>43</v>
      </c>
      <c r="O15">
        <v>210</v>
      </c>
      <c r="R15">
        <v>4</v>
      </c>
      <c r="S15">
        <v>405</v>
      </c>
      <c r="V15" t="s">
        <v>395</v>
      </c>
      <c r="W15">
        <v>3172</v>
      </c>
      <c r="X15">
        <v>2596</v>
      </c>
      <c r="Y15">
        <v>346.31471494610003</v>
      </c>
      <c r="Z15">
        <v>368</v>
      </c>
      <c r="AA15">
        <v>320.53260869569999</v>
      </c>
      <c r="AB15">
        <v>409</v>
      </c>
      <c r="AC15">
        <v>324.49388753059998</v>
      </c>
      <c r="AD15">
        <v>59</v>
      </c>
      <c r="AE15">
        <v>223.57627118639999</v>
      </c>
      <c r="AF15">
        <v>106</v>
      </c>
      <c r="AG15">
        <v>152.46226415090001</v>
      </c>
      <c r="AH15">
        <v>2</v>
      </c>
      <c r="AI15">
        <v>406.5</v>
      </c>
      <c r="AL15" t="s">
        <v>395</v>
      </c>
      <c r="AM15">
        <v>93</v>
      </c>
      <c r="AN15">
        <v>71</v>
      </c>
      <c r="AO15">
        <v>356.0845070423</v>
      </c>
      <c r="AP15">
        <v>6</v>
      </c>
      <c r="AQ15">
        <v>575.33333333329995</v>
      </c>
      <c r="AR15">
        <v>20</v>
      </c>
      <c r="AS15">
        <v>465.65</v>
      </c>
      <c r="AT15">
        <v>2</v>
      </c>
      <c r="AU15">
        <v>337.5</v>
      </c>
    </row>
    <row r="16" spans="2:51" x14ac:dyDescent="0.2">
      <c r="F16" t="s">
        <v>48</v>
      </c>
      <c r="G16">
        <v>8082</v>
      </c>
      <c r="H16">
        <v>6366</v>
      </c>
      <c r="I16">
        <v>510.11577128499999</v>
      </c>
      <c r="J16">
        <v>289</v>
      </c>
      <c r="K16">
        <v>1009.2941176471001</v>
      </c>
      <c r="L16">
        <v>1326</v>
      </c>
      <c r="M16">
        <v>925.09351432879998</v>
      </c>
      <c r="N16">
        <v>389</v>
      </c>
      <c r="O16">
        <v>699.77120822619997</v>
      </c>
      <c r="R16">
        <v>1</v>
      </c>
      <c r="S16">
        <v>380</v>
      </c>
      <c r="V16" t="s">
        <v>418</v>
      </c>
      <c r="W16">
        <v>450</v>
      </c>
      <c r="X16">
        <v>368</v>
      </c>
      <c r="Y16">
        <v>279.64130434779997</v>
      </c>
      <c r="Z16">
        <v>35</v>
      </c>
      <c r="AA16">
        <v>599.08571428569996</v>
      </c>
      <c r="AB16">
        <v>58</v>
      </c>
      <c r="AC16">
        <v>314.77586206900003</v>
      </c>
      <c r="AD16">
        <v>9</v>
      </c>
      <c r="AE16">
        <v>426</v>
      </c>
      <c r="AF16">
        <v>15</v>
      </c>
      <c r="AG16">
        <v>189.13333333329999</v>
      </c>
      <c r="AL16" t="s">
        <v>418</v>
      </c>
      <c r="AM16">
        <v>4</v>
      </c>
      <c r="AN16">
        <v>2</v>
      </c>
      <c r="AO16">
        <v>103</v>
      </c>
      <c r="AP16">
        <v>3</v>
      </c>
      <c r="AQ16">
        <v>172.6666666667</v>
      </c>
      <c r="AR16">
        <v>1</v>
      </c>
      <c r="AS16">
        <v>145</v>
      </c>
      <c r="AT16">
        <v>1</v>
      </c>
      <c r="AU16">
        <v>4</v>
      </c>
    </row>
    <row r="17" spans="6:49" x14ac:dyDescent="0.2">
      <c r="F17" t="s">
        <v>389</v>
      </c>
      <c r="G17">
        <v>50788</v>
      </c>
      <c r="H17">
        <v>38197</v>
      </c>
      <c r="I17">
        <v>446.47587506870002</v>
      </c>
      <c r="J17">
        <v>4915</v>
      </c>
      <c r="K17">
        <v>526.89460834179999</v>
      </c>
      <c r="L17">
        <v>9358</v>
      </c>
      <c r="M17">
        <v>640.81598632190003</v>
      </c>
      <c r="N17">
        <v>3137</v>
      </c>
      <c r="O17">
        <v>564.43034746570004</v>
      </c>
      <c r="R17">
        <v>96</v>
      </c>
      <c r="S17">
        <v>517.3125</v>
      </c>
      <c r="V17" t="s">
        <v>419</v>
      </c>
      <c r="W17">
        <v>197</v>
      </c>
      <c r="X17">
        <v>55</v>
      </c>
      <c r="Y17">
        <v>261.29090909090002</v>
      </c>
      <c r="Z17">
        <v>37</v>
      </c>
      <c r="AA17">
        <v>235.59459459460001</v>
      </c>
      <c r="AB17">
        <v>47</v>
      </c>
      <c r="AC17">
        <v>338.8723404255</v>
      </c>
      <c r="AD17">
        <v>45</v>
      </c>
      <c r="AE17">
        <v>274.68888888890001</v>
      </c>
      <c r="AF17">
        <v>46</v>
      </c>
      <c r="AG17">
        <v>248.84782608699999</v>
      </c>
      <c r="AH17">
        <v>4</v>
      </c>
      <c r="AI17">
        <v>405</v>
      </c>
      <c r="AL17" t="s">
        <v>419</v>
      </c>
      <c r="AM17">
        <v>6</v>
      </c>
      <c r="AN17">
        <v>3</v>
      </c>
      <c r="AO17">
        <v>218.6666666667</v>
      </c>
      <c r="AP17">
        <v>3</v>
      </c>
      <c r="AQ17">
        <v>160.6666666667</v>
      </c>
      <c r="AR17">
        <v>3</v>
      </c>
      <c r="AS17">
        <v>203.6666666667</v>
      </c>
    </row>
    <row r="18" spans="6:49" x14ac:dyDescent="0.2">
      <c r="F18" t="s">
        <v>68</v>
      </c>
      <c r="G18">
        <v>2956</v>
      </c>
      <c r="H18">
        <v>2430</v>
      </c>
      <c r="I18">
        <v>313.35308641979998</v>
      </c>
      <c r="J18">
        <v>323</v>
      </c>
      <c r="K18">
        <v>449.07430340560001</v>
      </c>
      <c r="L18">
        <v>357</v>
      </c>
      <c r="M18">
        <v>266.8823529412</v>
      </c>
      <c r="N18">
        <v>165</v>
      </c>
      <c r="O18">
        <v>503.32121212120001</v>
      </c>
      <c r="R18">
        <v>4</v>
      </c>
      <c r="S18">
        <v>312</v>
      </c>
      <c r="V18" t="s">
        <v>389</v>
      </c>
      <c r="W18">
        <v>49883</v>
      </c>
      <c r="X18">
        <v>36534</v>
      </c>
      <c r="Y18">
        <v>447.42749219900003</v>
      </c>
      <c r="Z18">
        <v>4250</v>
      </c>
      <c r="AA18">
        <v>530.18894117649995</v>
      </c>
      <c r="AB18">
        <v>8364</v>
      </c>
      <c r="AC18">
        <v>661.94464371109996</v>
      </c>
      <c r="AD18">
        <v>3103</v>
      </c>
      <c r="AE18">
        <v>563.76990009669998</v>
      </c>
      <c r="AF18">
        <v>1782</v>
      </c>
      <c r="AG18">
        <v>176.4421997755</v>
      </c>
      <c r="AH18">
        <v>100</v>
      </c>
      <c r="AI18">
        <v>515.37</v>
      </c>
      <c r="AL18" t="s">
        <v>389</v>
      </c>
      <c r="AM18">
        <v>1360</v>
      </c>
      <c r="AN18">
        <v>964</v>
      </c>
      <c r="AO18">
        <v>345.52697095439999</v>
      </c>
      <c r="AP18">
        <v>177</v>
      </c>
      <c r="AQ18">
        <v>515.90395480229995</v>
      </c>
      <c r="AR18">
        <v>358</v>
      </c>
      <c r="AS18">
        <v>336.56424581009998</v>
      </c>
      <c r="AT18">
        <v>37</v>
      </c>
      <c r="AU18">
        <v>266.02702702699997</v>
      </c>
      <c r="AV18">
        <v>1</v>
      </c>
      <c r="AW18">
        <v>2164</v>
      </c>
    </row>
    <row r="19" spans="6:49" x14ac:dyDescent="0.2">
      <c r="F19" t="s">
        <v>34</v>
      </c>
      <c r="G19">
        <v>781</v>
      </c>
      <c r="H19">
        <v>506</v>
      </c>
      <c r="I19">
        <v>245</v>
      </c>
      <c r="J19">
        <v>127</v>
      </c>
      <c r="K19">
        <v>334.66929133859998</v>
      </c>
      <c r="L19">
        <v>131</v>
      </c>
      <c r="M19">
        <v>209.8473282443</v>
      </c>
      <c r="N19">
        <v>141</v>
      </c>
      <c r="O19">
        <v>574.29787234039998</v>
      </c>
      <c r="R19">
        <v>3</v>
      </c>
      <c r="S19">
        <v>210</v>
      </c>
      <c r="V19" t="s">
        <v>407</v>
      </c>
      <c r="W19">
        <v>864</v>
      </c>
      <c r="X19">
        <v>519</v>
      </c>
      <c r="Y19">
        <v>260.98651252410002</v>
      </c>
      <c r="Z19">
        <v>129</v>
      </c>
      <c r="AA19">
        <v>362.91472868220001</v>
      </c>
      <c r="AB19">
        <v>132</v>
      </c>
      <c r="AC19">
        <v>233.28030303029999</v>
      </c>
      <c r="AD19">
        <v>137</v>
      </c>
      <c r="AE19">
        <v>555.02919708030004</v>
      </c>
      <c r="AF19">
        <v>73</v>
      </c>
      <c r="AG19">
        <v>187.06849315069999</v>
      </c>
      <c r="AH19">
        <v>3</v>
      </c>
      <c r="AI19">
        <v>210</v>
      </c>
      <c r="AL19" t="s">
        <v>407</v>
      </c>
      <c r="AM19">
        <v>7</v>
      </c>
      <c r="AN19">
        <v>4</v>
      </c>
      <c r="AO19">
        <v>64</v>
      </c>
      <c r="AP19">
        <v>4</v>
      </c>
      <c r="AQ19">
        <v>250.75</v>
      </c>
      <c r="AR19">
        <v>3</v>
      </c>
      <c r="AS19">
        <v>84.666666666699996</v>
      </c>
    </row>
    <row r="20" spans="6:49" x14ac:dyDescent="0.2">
      <c r="F20" t="s">
        <v>55</v>
      </c>
      <c r="G20">
        <v>813</v>
      </c>
      <c r="H20">
        <v>318</v>
      </c>
      <c r="I20">
        <v>248.93081761010001</v>
      </c>
      <c r="J20">
        <v>284</v>
      </c>
      <c r="K20">
        <v>309.58098591549998</v>
      </c>
      <c r="L20">
        <v>205</v>
      </c>
      <c r="M20">
        <v>234.80487804879999</v>
      </c>
      <c r="N20">
        <v>289</v>
      </c>
      <c r="O20">
        <v>601.14532871970005</v>
      </c>
      <c r="R20">
        <v>1</v>
      </c>
      <c r="S20">
        <v>81</v>
      </c>
      <c r="V20" t="s">
        <v>423</v>
      </c>
      <c r="W20">
        <v>250</v>
      </c>
      <c r="X20">
        <v>111</v>
      </c>
      <c r="Y20">
        <v>202.43243243239999</v>
      </c>
      <c r="Z20">
        <v>97</v>
      </c>
      <c r="AA20">
        <v>230.4742268041</v>
      </c>
      <c r="AB20">
        <v>57</v>
      </c>
      <c r="AC20">
        <v>275.85964912280002</v>
      </c>
      <c r="AD20">
        <v>47</v>
      </c>
      <c r="AE20">
        <v>465.51063829790002</v>
      </c>
      <c r="AF20">
        <v>33</v>
      </c>
      <c r="AG20">
        <v>224.2727272727</v>
      </c>
      <c r="AH20">
        <v>2</v>
      </c>
      <c r="AI20">
        <v>549</v>
      </c>
      <c r="AL20" t="s">
        <v>423</v>
      </c>
      <c r="AM20">
        <v>2</v>
      </c>
      <c r="AN20">
        <v>1</v>
      </c>
      <c r="AO20">
        <v>206</v>
      </c>
      <c r="AP20">
        <v>1</v>
      </c>
      <c r="AQ20">
        <v>275</v>
      </c>
      <c r="AR20">
        <v>1</v>
      </c>
      <c r="AS20">
        <v>144</v>
      </c>
    </row>
    <row r="21" spans="6:49" x14ac:dyDescent="0.2">
      <c r="F21" t="s">
        <v>62</v>
      </c>
      <c r="G21">
        <v>8247</v>
      </c>
      <c r="H21">
        <v>7071</v>
      </c>
      <c r="I21">
        <v>392.26587469949999</v>
      </c>
      <c r="J21">
        <v>563</v>
      </c>
      <c r="K21">
        <v>649.43161634099999</v>
      </c>
      <c r="L21">
        <v>865</v>
      </c>
      <c r="M21">
        <v>493.16069364160001</v>
      </c>
      <c r="N21">
        <v>305</v>
      </c>
      <c r="O21">
        <v>486.64918032790001</v>
      </c>
      <c r="R21">
        <v>6</v>
      </c>
      <c r="S21">
        <v>331</v>
      </c>
      <c r="V21" t="s">
        <v>427</v>
      </c>
      <c r="W21">
        <v>1114</v>
      </c>
      <c r="X21">
        <v>775</v>
      </c>
      <c r="Y21">
        <v>324.17290322579998</v>
      </c>
      <c r="Z21">
        <v>146</v>
      </c>
      <c r="AA21">
        <v>344.4931506849</v>
      </c>
      <c r="AB21">
        <v>255</v>
      </c>
      <c r="AC21">
        <v>273.28627450980002</v>
      </c>
      <c r="AD21">
        <v>48</v>
      </c>
      <c r="AE21">
        <v>502.5208333333</v>
      </c>
      <c r="AF21">
        <v>33</v>
      </c>
      <c r="AG21">
        <v>191.93939393939999</v>
      </c>
      <c r="AH21">
        <v>3</v>
      </c>
      <c r="AI21">
        <v>363</v>
      </c>
      <c r="AL21" t="s">
        <v>427</v>
      </c>
      <c r="AM21">
        <v>9</v>
      </c>
      <c r="AN21">
        <v>7</v>
      </c>
      <c r="AO21">
        <v>210.71428571429999</v>
      </c>
      <c r="AP21">
        <v>6</v>
      </c>
      <c r="AQ21">
        <v>269.8333333333</v>
      </c>
      <c r="AR21">
        <v>2</v>
      </c>
      <c r="AS21">
        <v>202</v>
      </c>
    </row>
    <row r="22" spans="6:49" x14ac:dyDescent="0.2">
      <c r="F22" t="s">
        <v>64</v>
      </c>
      <c r="G22">
        <v>6718</v>
      </c>
      <c r="H22">
        <v>5109</v>
      </c>
      <c r="I22">
        <v>425.81092190250001</v>
      </c>
      <c r="J22">
        <v>544</v>
      </c>
      <c r="K22">
        <v>635.67095588239999</v>
      </c>
      <c r="L22">
        <v>1232</v>
      </c>
      <c r="M22">
        <v>690.06899350649996</v>
      </c>
      <c r="N22">
        <v>358</v>
      </c>
      <c r="O22">
        <v>491.24301675980001</v>
      </c>
      <c r="R22">
        <v>19</v>
      </c>
      <c r="S22">
        <v>603.89473684209997</v>
      </c>
      <c r="V22" t="s">
        <v>412</v>
      </c>
      <c r="W22">
        <v>2999</v>
      </c>
      <c r="X22">
        <v>2380</v>
      </c>
      <c r="Y22">
        <v>319.92857142859998</v>
      </c>
      <c r="Z22">
        <v>316</v>
      </c>
      <c r="AA22">
        <v>452.03797468350001</v>
      </c>
      <c r="AB22">
        <v>379</v>
      </c>
      <c r="AC22">
        <v>305.72823219000003</v>
      </c>
      <c r="AD22">
        <v>166</v>
      </c>
      <c r="AE22">
        <v>500.57228915659999</v>
      </c>
      <c r="AF22">
        <v>71</v>
      </c>
      <c r="AG22">
        <v>241.01408450700001</v>
      </c>
      <c r="AH22">
        <v>3</v>
      </c>
      <c r="AI22">
        <v>352.3333333333</v>
      </c>
      <c r="AL22" t="s">
        <v>412</v>
      </c>
      <c r="AM22">
        <v>29</v>
      </c>
      <c r="AN22">
        <v>21</v>
      </c>
      <c r="AO22">
        <v>150.1428571429</v>
      </c>
      <c r="AP22">
        <v>12</v>
      </c>
      <c r="AQ22">
        <v>202.5</v>
      </c>
      <c r="AR22">
        <v>5</v>
      </c>
      <c r="AS22">
        <v>116</v>
      </c>
      <c r="AT22">
        <v>3</v>
      </c>
      <c r="AU22">
        <v>304.6666666667</v>
      </c>
    </row>
    <row r="23" spans="6:49" x14ac:dyDescent="0.2">
      <c r="F23" t="s">
        <v>73</v>
      </c>
      <c r="G23">
        <v>4598</v>
      </c>
      <c r="H23">
        <v>3397</v>
      </c>
      <c r="I23">
        <v>288.33146894319998</v>
      </c>
      <c r="J23">
        <v>742</v>
      </c>
      <c r="K23">
        <v>357.48787061989998</v>
      </c>
      <c r="L23">
        <v>936</v>
      </c>
      <c r="M23">
        <v>265.04059829059997</v>
      </c>
      <c r="N23">
        <v>244</v>
      </c>
      <c r="O23">
        <v>482.37704918029999</v>
      </c>
      <c r="R23">
        <v>21</v>
      </c>
      <c r="S23">
        <v>355</v>
      </c>
      <c r="V23" t="s">
        <v>408</v>
      </c>
      <c r="W23">
        <v>4733</v>
      </c>
      <c r="X23">
        <v>3421</v>
      </c>
      <c r="Y23">
        <v>393.11107863199999</v>
      </c>
      <c r="Z23">
        <v>399</v>
      </c>
      <c r="AA23">
        <v>512.03759398499994</v>
      </c>
      <c r="AB23">
        <v>905</v>
      </c>
      <c r="AC23">
        <v>577.53701657459999</v>
      </c>
      <c r="AD23">
        <v>252</v>
      </c>
      <c r="AE23">
        <v>476.31349206350001</v>
      </c>
      <c r="AF23">
        <v>146</v>
      </c>
      <c r="AG23">
        <v>172.97260273969999</v>
      </c>
      <c r="AH23">
        <v>9</v>
      </c>
      <c r="AI23">
        <v>352.8888888889</v>
      </c>
      <c r="AL23" t="s">
        <v>408</v>
      </c>
      <c r="AM23">
        <v>35</v>
      </c>
      <c r="AN23">
        <v>28</v>
      </c>
      <c r="AO23">
        <v>169.92857142860001</v>
      </c>
      <c r="AP23">
        <v>12</v>
      </c>
      <c r="AQ23">
        <v>181.5</v>
      </c>
      <c r="AR23">
        <v>7</v>
      </c>
      <c r="AS23">
        <v>79.857142857100001</v>
      </c>
    </row>
    <row r="24" spans="6:49" x14ac:dyDescent="0.2">
      <c r="F24" t="s">
        <v>45</v>
      </c>
      <c r="G24">
        <v>1307</v>
      </c>
      <c r="H24">
        <v>925</v>
      </c>
      <c r="I24">
        <v>314.62594594590001</v>
      </c>
      <c r="J24">
        <v>193</v>
      </c>
      <c r="K24">
        <v>346.24352331609998</v>
      </c>
      <c r="L24">
        <v>327</v>
      </c>
      <c r="M24">
        <v>286.11620795110002</v>
      </c>
      <c r="N24">
        <v>52</v>
      </c>
      <c r="O24">
        <v>547.65384615380003</v>
      </c>
      <c r="R24">
        <v>3</v>
      </c>
      <c r="S24">
        <v>363</v>
      </c>
      <c r="V24" t="s">
        <v>425</v>
      </c>
      <c r="W24">
        <v>6940</v>
      </c>
      <c r="X24">
        <v>5123</v>
      </c>
      <c r="Y24">
        <v>426.43841499119998</v>
      </c>
      <c r="Z24">
        <v>552</v>
      </c>
      <c r="AA24">
        <v>616.34782608700004</v>
      </c>
      <c r="AB24">
        <v>1234</v>
      </c>
      <c r="AC24">
        <v>664.11912479739999</v>
      </c>
      <c r="AD24">
        <v>365</v>
      </c>
      <c r="AE24">
        <v>504.0246575342</v>
      </c>
      <c r="AF24">
        <v>199</v>
      </c>
      <c r="AG24">
        <v>170.47738693470001</v>
      </c>
      <c r="AH24">
        <v>19</v>
      </c>
      <c r="AI24">
        <v>648.52631578950002</v>
      </c>
      <c r="AL24" t="s">
        <v>425</v>
      </c>
      <c r="AM24">
        <v>50</v>
      </c>
      <c r="AN24">
        <v>36</v>
      </c>
      <c r="AO24">
        <v>179.75</v>
      </c>
      <c r="AP24">
        <v>34</v>
      </c>
      <c r="AQ24">
        <v>276.73529411760001</v>
      </c>
      <c r="AR24">
        <v>12</v>
      </c>
      <c r="AS24">
        <v>83</v>
      </c>
      <c r="AT24">
        <v>2</v>
      </c>
      <c r="AU24">
        <v>266</v>
      </c>
    </row>
    <row r="25" spans="6:49" x14ac:dyDescent="0.2">
      <c r="F25" t="s">
        <v>66</v>
      </c>
      <c r="G25">
        <v>4646</v>
      </c>
      <c r="H25">
        <v>3469</v>
      </c>
      <c r="I25">
        <v>399.12020755259999</v>
      </c>
      <c r="J25">
        <v>401</v>
      </c>
      <c r="K25">
        <v>506.9775561097</v>
      </c>
      <c r="L25">
        <v>910</v>
      </c>
      <c r="M25">
        <v>591.08571428569996</v>
      </c>
      <c r="N25">
        <v>256</v>
      </c>
      <c r="O25">
        <v>518.7265625</v>
      </c>
      <c r="R25">
        <v>11</v>
      </c>
      <c r="S25">
        <v>356.72727272729998</v>
      </c>
      <c r="V25" t="s">
        <v>406</v>
      </c>
      <c r="W25">
        <v>17942</v>
      </c>
      <c r="X25">
        <v>14469</v>
      </c>
      <c r="Y25">
        <v>332.75215978990002</v>
      </c>
      <c r="Z25">
        <v>1978</v>
      </c>
      <c r="AA25">
        <v>479.35237613750002</v>
      </c>
      <c r="AB25">
        <v>1968</v>
      </c>
      <c r="AC25">
        <v>350.08231707319999</v>
      </c>
      <c r="AD25">
        <v>760</v>
      </c>
      <c r="AE25">
        <v>412.11447368419999</v>
      </c>
      <c r="AF25">
        <v>734</v>
      </c>
      <c r="AG25">
        <v>181.82561307899999</v>
      </c>
      <c r="AH25">
        <v>11</v>
      </c>
      <c r="AI25">
        <v>323.45454545450002</v>
      </c>
      <c r="AL25" t="s">
        <v>406</v>
      </c>
      <c r="AM25">
        <v>252</v>
      </c>
      <c r="AN25">
        <v>177</v>
      </c>
      <c r="AO25">
        <v>151.45762711859999</v>
      </c>
      <c r="AP25">
        <v>128</v>
      </c>
      <c r="AQ25">
        <v>219.890625</v>
      </c>
      <c r="AR25">
        <v>64</v>
      </c>
      <c r="AS25">
        <v>132.71875</v>
      </c>
      <c r="AT25">
        <v>11</v>
      </c>
      <c r="AU25">
        <v>209.36363636359999</v>
      </c>
    </row>
    <row r="26" spans="6:49" x14ac:dyDescent="0.2">
      <c r="F26" t="s">
        <v>32</v>
      </c>
      <c r="G26">
        <v>180</v>
      </c>
      <c r="H26">
        <v>87</v>
      </c>
      <c r="I26">
        <v>181.7586206897</v>
      </c>
      <c r="J26">
        <v>112</v>
      </c>
      <c r="K26">
        <v>270.29464285709997</v>
      </c>
      <c r="L26">
        <v>44</v>
      </c>
      <c r="M26">
        <v>132.86363636359999</v>
      </c>
      <c r="N26">
        <v>47</v>
      </c>
      <c r="O26">
        <v>485.89361702129997</v>
      </c>
      <c r="R26">
        <v>2</v>
      </c>
      <c r="S26">
        <v>549</v>
      </c>
      <c r="V26" t="s">
        <v>404</v>
      </c>
      <c r="W26">
        <v>1628</v>
      </c>
      <c r="X26">
        <v>1191</v>
      </c>
      <c r="Y26">
        <v>303.00755667509998</v>
      </c>
      <c r="Z26">
        <v>298</v>
      </c>
      <c r="AA26">
        <v>355.35234899329998</v>
      </c>
      <c r="AB26">
        <v>310</v>
      </c>
      <c r="AC26">
        <v>267.3387096774</v>
      </c>
      <c r="AD26">
        <v>58</v>
      </c>
      <c r="AE26">
        <v>293.60344827590001</v>
      </c>
      <c r="AF26">
        <v>67</v>
      </c>
      <c r="AG26">
        <v>221.58208955219999</v>
      </c>
      <c r="AH26">
        <v>2</v>
      </c>
      <c r="AI26">
        <v>321</v>
      </c>
      <c r="AL26" t="s">
        <v>404</v>
      </c>
      <c r="AM26">
        <v>16</v>
      </c>
      <c r="AN26">
        <v>11</v>
      </c>
      <c r="AO26">
        <v>94</v>
      </c>
      <c r="AP26">
        <v>9</v>
      </c>
      <c r="AQ26">
        <v>231.55555555559999</v>
      </c>
      <c r="AR26">
        <v>5</v>
      </c>
      <c r="AS26">
        <v>65.599999999999994</v>
      </c>
    </row>
    <row r="27" spans="6:49" x14ac:dyDescent="0.2">
      <c r="F27" t="s">
        <v>71</v>
      </c>
      <c r="G27">
        <v>3745</v>
      </c>
      <c r="H27">
        <v>3441</v>
      </c>
      <c r="I27">
        <v>233.10142400460001</v>
      </c>
      <c r="J27">
        <v>791</v>
      </c>
      <c r="K27">
        <v>384.92288242730001</v>
      </c>
      <c r="L27">
        <v>157</v>
      </c>
      <c r="M27">
        <v>85.114649681499998</v>
      </c>
      <c r="N27">
        <v>144</v>
      </c>
      <c r="O27">
        <v>248.6111111111</v>
      </c>
      <c r="R27">
        <v>3</v>
      </c>
      <c r="S27">
        <v>219</v>
      </c>
      <c r="V27" t="s">
        <v>80</v>
      </c>
      <c r="W27">
        <v>4844</v>
      </c>
      <c r="X27">
        <v>3454</v>
      </c>
      <c r="Y27">
        <v>295.18239722060002</v>
      </c>
      <c r="Z27">
        <v>751</v>
      </c>
      <c r="AA27">
        <v>368.23035952060002</v>
      </c>
      <c r="AB27">
        <v>957</v>
      </c>
      <c r="AC27">
        <v>278.37931034479999</v>
      </c>
      <c r="AD27">
        <v>250</v>
      </c>
      <c r="AE27">
        <v>513.31200000000001</v>
      </c>
      <c r="AF27">
        <v>163</v>
      </c>
      <c r="AG27">
        <v>176.75460122699999</v>
      </c>
      <c r="AH27">
        <v>20</v>
      </c>
      <c r="AI27">
        <v>324.7</v>
      </c>
      <c r="AL27" t="s">
        <v>80</v>
      </c>
      <c r="AM27">
        <v>51</v>
      </c>
      <c r="AN27">
        <v>37</v>
      </c>
      <c r="AO27">
        <v>145.35135135140001</v>
      </c>
      <c r="AP27">
        <v>27</v>
      </c>
      <c r="AQ27">
        <v>246.5925925926</v>
      </c>
      <c r="AR27">
        <v>10</v>
      </c>
      <c r="AS27">
        <v>98.7</v>
      </c>
      <c r="AT27">
        <v>4</v>
      </c>
      <c r="AU27">
        <v>321.75</v>
      </c>
    </row>
    <row r="28" spans="6:49" x14ac:dyDescent="0.2">
      <c r="F28" t="s">
        <v>31</v>
      </c>
      <c r="G28">
        <v>1459</v>
      </c>
      <c r="H28">
        <v>1134</v>
      </c>
      <c r="I28">
        <v>294.0335097002</v>
      </c>
      <c r="J28">
        <v>329</v>
      </c>
      <c r="K28">
        <v>366.03951367780002</v>
      </c>
      <c r="L28">
        <v>277</v>
      </c>
      <c r="M28">
        <v>226.5126353791</v>
      </c>
      <c r="N28">
        <v>46</v>
      </c>
      <c r="O28">
        <v>223.0652173913</v>
      </c>
      <c r="R28">
        <v>2</v>
      </c>
      <c r="S28">
        <v>321</v>
      </c>
      <c r="V28" t="s">
        <v>403</v>
      </c>
      <c r="W28">
        <v>41314</v>
      </c>
      <c r="X28">
        <v>31443</v>
      </c>
      <c r="Y28">
        <v>346.5030690456</v>
      </c>
      <c r="Z28">
        <v>4666</v>
      </c>
      <c r="AA28">
        <v>458.08701243029998</v>
      </c>
      <c r="AB28">
        <v>6197</v>
      </c>
      <c r="AC28">
        <v>421.57753751820002</v>
      </c>
      <c r="AD28">
        <v>2083</v>
      </c>
      <c r="AE28">
        <v>464.56937109939997</v>
      </c>
      <c r="AF28">
        <v>1519</v>
      </c>
      <c r="AG28">
        <v>184.857801185</v>
      </c>
      <c r="AH28">
        <v>72</v>
      </c>
      <c r="AI28">
        <v>417.5833333333</v>
      </c>
      <c r="AL28" t="s">
        <v>403</v>
      </c>
      <c r="AM28">
        <v>451</v>
      </c>
      <c r="AN28">
        <v>322</v>
      </c>
      <c r="AO28">
        <v>153.84782608699999</v>
      </c>
      <c r="AP28">
        <v>233</v>
      </c>
      <c r="AQ28">
        <v>230.9098712446</v>
      </c>
      <c r="AR28">
        <v>109</v>
      </c>
      <c r="AS28">
        <v>116.9357798165</v>
      </c>
      <c r="AT28">
        <v>20</v>
      </c>
      <c r="AU28">
        <v>251.8</v>
      </c>
    </row>
    <row r="29" spans="6:49" x14ac:dyDescent="0.2">
      <c r="F29" t="s">
        <v>52</v>
      </c>
      <c r="G29">
        <v>4923</v>
      </c>
      <c r="H29">
        <v>3799</v>
      </c>
      <c r="I29">
        <v>306.22821795210001</v>
      </c>
      <c r="J29">
        <v>609</v>
      </c>
      <c r="K29">
        <v>439.84072249590002</v>
      </c>
      <c r="L29">
        <v>860</v>
      </c>
      <c r="M29">
        <v>231.54069767440001</v>
      </c>
      <c r="N29">
        <v>263</v>
      </c>
      <c r="O29">
        <v>395.9125475285</v>
      </c>
      <c r="R29">
        <v>1</v>
      </c>
      <c r="S29">
        <v>204</v>
      </c>
      <c r="V29" t="s">
        <v>387</v>
      </c>
      <c r="W29">
        <v>9851</v>
      </c>
      <c r="X29">
        <v>4645</v>
      </c>
      <c r="Y29">
        <v>259.6199397071</v>
      </c>
      <c r="Z29">
        <v>598</v>
      </c>
      <c r="AA29">
        <v>545.26086956519998</v>
      </c>
      <c r="AB29">
        <v>3550</v>
      </c>
      <c r="AC29">
        <v>566.1292957746</v>
      </c>
      <c r="AD29">
        <v>1119</v>
      </c>
      <c r="AE29">
        <v>455.93559928439998</v>
      </c>
      <c r="AF29">
        <v>523</v>
      </c>
      <c r="AG29">
        <v>181.0803059273</v>
      </c>
      <c r="AH29">
        <v>14</v>
      </c>
      <c r="AI29">
        <v>575.71428571429999</v>
      </c>
      <c r="AL29" t="s">
        <v>387</v>
      </c>
      <c r="AM29">
        <v>250</v>
      </c>
      <c r="AN29">
        <v>176</v>
      </c>
      <c r="AO29">
        <v>370.91477272729998</v>
      </c>
      <c r="AP29">
        <v>23</v>
      </c>
      <c r="AQ29">
        <v>448.73913043480002</v>
      </c>
      <c r="AR29">
        <v>61</v>
      </c>
      <c r="AS29">
        <v>347.52459016389997</v>
      </c>
      <c r="AT29">
        <v>12</v>
      </c>
      <c r="AU29">
        <v>457.9166666667</v>
      </c>
      <c r="AV29">
        <v>1</v>
      </c>
      <c r="AW29">
        <v>2320</v>
      </c>
    </row>
    <row r="30" spans="6:49" x14ac:dyDescent="0.2">
      <c r="F30" t="s">
        <v>403</v>
      </c>
      <c r="G30">
        <v>40373</v>
      </c>
      <c r="H30">
        <v>31686</v>
      </c>
      <c r="I30">
        <v>343.47999116329999</v>
      </c>
      <c r="J30">
        <v>5018</v>
      </c>
      <c r="K30">
        <v>447.4543642886</v>
      </c>
      <c r="L30">
        <v>6301</v>
      </c>
      <c r="M30">
        <v>413.94302491669998</v>
      </c>
      <c r="N30">
        <v>2310</v>
      </c>
      <c r="O30">
        <v>482.26969696970002</v>
      </c>
      <c r="R30">
        <v>76</v>
      </c>
      <c r="S30">
        <v>401.15789473680002</v>
      </c>
      <c r="V30" t="s">
        <v>424</v>
      </c>
      <c r="W30">
        <v>31212</v>
      </c>
      <c r="X30">
        <v>26499</v>
      </c>
      <c r="Y30">
        <v>465.1167301959</v>
      </c>
      <c r="Z30">
        <v>2258</v>
      </c>
      <c r="AA30">
        <v>686.51727192210001</v>
      </c>
      <c r="AB30">
        <v>1213</v>
      </c>
      <c r="AC30">
        <v>257.65375103050002</v>
      </c>
      <c r="AD30">
        <v>2342</v>
      </c>
      <c r="AE30">
        <v>349.74978650729997</v>
      </c>
      <c r="AF30">
        <v>1113</v>
      </c>
      <c r="AG30">
        <v>166.92273135670001</v>
      </c>
      <c r="AH30">
        <v>45</v>
      </c>
      <c r="AI30">
        <v>314.2222222222</v>
      </c>
      <c r="AL30" t="s">
        <v>424</v>
      </c>
      <c r="AM30">
        <v>332</v>
      </c>
      <c r="AN30">
        <v>228</v>
      </c>
      <c r="AO30">
        <v>200.3947368421</v>
      </c>
      <c r="AP30">
        <v>126</v>
      </c>
      <c r="AQ30">
        <v>413.2222222222</v>
      </c>
      <c r="AR30">
        <v>94</v>
      </c>
      <c r="AS30">
        <v>133.9042553191</v>
      </c>
      <c r="AT30">
        <v>10</v>
      </c>
      <c r="AU30">
        <v>268.5</v>
      </c>
    </row>
    <row r="31" spans="6:49" x14ac:dyDescent="0.2">
      <c r="F31" t="s">
        <v>25</v>
      </c>
      <c r="G31">
        <v>17944</v>
      </c>
      <c r="H31">
        <v>15958</v>
      </c>
      <c r="I31">
        <v>531.03026695070002</v>
      </c>
      <c r="J31">
        <v>1001</v>
      </c>
      <c r="K31">
        <v>771.43456543460002</v>
      </c>
      <c r="L31">
        <v>1055</v>
      </c>
      <c r="M31">
        <v>307.4900473934</v>
      </c>
      <c r="N31">
        <v>895</v>
      </c>
      <c r="O31">
        <v>355.7219730942</v>
      </c>
      <c r="R31">
        <v>36</v>
      </c>
      <c r="S31">
        <v>393.1666666667</v>
      </c>
      <c r="V31" t="s">
        <v>380</v>
      </c>
      <c r="W31">
        <v>18872</v>
      </c>
      <c r="X31">
        <v>16142</v>
      </c>
      <c r="Y31">
        <v>528.84859373059999</v>
      </c>
      <c r="Z31">
        <v>1186</v>
      </c>
      <c r="AA31">
        <v>749.57166947719998</v>
      </c>
      <c r="AB31">
        <v>1225</v>
      </c>
      <c r="AC31">
        <v>325.30040816330001</v>
      </c>
      <c r="AD31">
        <v>950</v>
      </c>
      <c r="AE31">
        <v>356.56599788810001</v>
      </c>
      <c r="AF31">
        <v>520</v>
      </c>
      <c r="AG31">
        <v>169.02312138729999</v>
      </c>
      <c r="AH31">
        <v>35</v>
      </c>
      <c r="AI31">
        <v>380.25714285710001</v>
      </c>
      <c r="AL31" t="s">
        <v>380</v>
      </c>
      <c r="AM31">
        <v>207</v>
      </c>
      <c r="AN31">
        <v>131</v>
      </c>
      <c r="AO31">
        <v>221.42748091600001</v>
      </c>
      <c r="AP31">
        <v>68</v>
      </c>
      <c r="AQ31">
        <v>392.4117647059</v>
      </c>
      <c r="AR31">
        <v>57</v>
      </c>
      <c r="AS31">
        <v>181.4385964912</v>
      </c>
      <c r="AT31">
        <v>19</v>
      </c>
      <c r="AU31">
        <v>382.15789473680002</v>
      </c>
    </row>
    <row r="32" spans="6:49" x14ac:dyDescent="0.2">
      <c r="F32" t="s">
        <v>39</v>
      </c>
      <c r="G32">
        <v>13049</v>
      </c>
      <c r="H32">
        <v>10515</v>
      </c>
      <c r="I32">
        <v>418.74158265170001</v>
      </c>
      <c r="J32">
        <v>515</v>
      </c>
      <c r="K32">
        <v>699.33980582519996</v>
      </c>
      <c r="L32">
        <v>1645</v>
      </c>
      <c r="M32">
        <v>468.15562310029998</v>
      </c>
      <c r="N32">
        <v>849</v>
      </c>
      <c r="O32">
        <v>551.84805653709998</v>
      </c>
      <c r="R32">
        <v>40</v>
      </c>
      <c r="S32">
        <v>413.7</v>
      </c>
      <c r="V32" t="s">
        <v>392</v>
      </c>
      <c r="W32">
        <v>3161</v>
      </c>
      <c r="X32">
        <v>1973</v>
      </c>
      <c r="Y32">
        <v>395.10035478970002</v>
      </c>
      <c r="Z32">
        <v>445</v>
      </c>
      <c r="AA32">
        <v>457.35056179780003</v>
      </c>
      <c r="AB32">
        <v>586</v>
      </c>
      <c r="AC32">
        <v>470.22866894200001</v>
      </c>
      <c r="AD32">
        <v>473</v>
      </c>
      <c r="AE32">
        <v>662.20507399580003</v>
      </c>
      <c r="AF32">
        <v>118</v>
      </c>
      <c r="AG32">
        <v>188.5593220339</v>
      </c>
      <c r="AH32">
        <v>11</v>
      </c>
      <c r="AI32">
        <v>562.90909090909997</v>
      </c>
      <c r="AL32" t="s">
        <v>392</v>
      </c>
      <c r="AM32">
        <v>103</v>
      </c>
      <c r="AN32">
        <v>69</v>
      </c>
      <c r="AO32">
        <v>362.68115942029999</v>
      </c>
      <c r="AP32">
        <v>12</v>
      </c>
      <c r="AQ32">
        <v>614.91666666670005</v>
      </c>
      <c r="AR32">
        <v>32</v>
      </c>
      <c r="AS32">
        <v>281.125</v>
      </c>
      <c r="AT32">
        <v>2</v>
      </c>
      <c r="AU32">
        <v>149</v>
      </c>
    </row>
    <row r="33" spans="6:49" x14ac:dyDescent="0.2">
      <c r="F33" t="s">
        <v>72</v>
      </c>
      <c r="G33">
        <v>4997</v>
      </c>
      <c r="H33">
        <v>2384</v>
      </c>
      <c r="I33">
        <v>343.51028115819997</v>
      </c>
      <c r="J33">
        <v>495</v>
      </c>
      <c r="K33">
        <v>481.23232323230002</v>
      </c>
      <c r="L33">
        <v>1780</v>
      </c>
      <c r="M33">
        <v>628.43483146070002</v>
      </c>
      <c r="N33">
        <v>822</v>
      </c>
      <c r="O33">
        <v>731.19708029200001</v>
      </c>
      <c r="R33">
        <v>11</v>
      </c>
      <c r="S33">
        <v>664.54545454549998</v>
      </c>
      <c r="V33" t="s">
        <v>383</v>
      </c>
      <c r="W33">
        <v>7327</v>
      </c>
      <c r="X33">
        <v>4766</v>
      </c>
      <c r="Y33">
        <v>282.65694502730003</v>
      </c>
      <c r="Z33">
        <v>506</v>
      </c>
      <c r="AA33">
        <v>503.55138339920001</v>
      </c>
      <c r="AB33">
        <v>1524</v>
      </c>
      <c r="AC33">
        <v>322.96522309710002</v>
      </c>
      <c r="AD33">
        <v>668</v>
      </c>
      <c r="AE33">
        <v>430.52395209579998</v>
      </c>
      <c r="AF33">
        <v>362</v>
      </c>
      <c r="AG33">
        <v>197.2154696133</v>
      </c>
      <c r="AH33">
        <v>7</v>
      </c>
      <c r="AI33">
        <v>426.71428571429999</v>
      </c>
      <c r="AL33" t="s">
        <v>383</v>
      </c>
      <c r="AM33">
        <v>239</v>
      </c>
      <c r="AN33">
        <v>174</v>
      </c>
      <c r="AO33">
        <v>327.9827586207</v>
      </c>
      <c r="AP33">
        <v>21</v>
      </c>
      <c r="AQ33">
        <v>510.47619047619997</v>
      </c>
      <c r="AR33">
        <v>61</v>
      </c>
      <c r="AS33">
        <v>301.7213114754</v>
      </c>
      <c r="AT33">
        <v>4</v>
      </c>
      <c r="AU33">
        <v>434.75</v>
      </c>
    </row>
    <row r="34" spans="6:49" x14ac:dyDescent="0.2">
      <c r="F34" t="s">
        <v>58</v>
      </c>
      <c r="G34">
        <v>6819</v>
      </c>
      <c r="H34">
        <v>4670</v>
      </c>
      <c r="I34">
        <v>270.27323340470002</v>
      </c>
      <c r="J34">
        <v>491</v>
      </c>
      <c r="K34">
        <v>499.70468431770001</v>
      </c>
      <c r="L34">
        <v>1474</v>
      </c>
      <c r="M34">
        <v>301.01899592939998</v>
      </c>
      <c r="N34">
        <v>667</v>
      </c>
      <c r="O34">
        <v>433.68065967019999</v>
      </c>
      <c r="R34">
        <v>8</v>
      </c>
      <c r="S34">
        <v>377.125</v>
      </c>
      <c r="V34" t="s">
        <v>426</v>
      </c>
      <c r="W34">
        <v>5250</v>
      </c>
      <c r="X34">
        <v>2417</v>
      </c>
      <c r="Y34">
        <v>337.19495033110002</v>
      </c>
      <c r="Z34">
        <v>476</v>
      </c>
      <c r="AA34">
        <v>470.02310924369999</v>
      </c>
      <c r="AB34">
        <v>1745</v>
      </c>
      <c r="AC34">
        <v>624.84412607449997</v>
      </c>
      <c r="AD34">
        <v>803</v>
      </c>
      <c r="AE34">
        <v>724.0087173101</v>
      </c>
      <c r="AF34">
        <v>276</v>
      </c>
      <c r="AG34">
        <v>190.18840579709999</v>
      </c>
      <c r="AH34">
        <v>9</v>
      </c>
      <c r="AI34">
        <v>565.7777777778</v>
      </c>
      <c r="AL34" t="s">
        <v>426</v>
      </c>
      <c r="AM34">
        <v>77</v>
      </c>
      <c r="AN34">
        <v>44</v>
      </c>
      <c r="AO34">
        <v>209.29545454550001</v>
      </c>
      <c r="AP34">
        <v>18</v>
      </c>
      <c r="AQ34">
        <v>342.8888888889</v>
      </c>
      <c r="AR34">
        <v>26</v>
      </c>
      <c r="AS34">
        <v>125.5769230769</v>
      </c>
      <c r="AT34">
        <v>7</v>
      </c>
      <c r="AU34">
        <v>180.57142857139999</v>
      </c>
    </row>
    <row r="35" spans="6:49" x14ac:dyDescent="0.2">
      <c r="F35" t="s">
        <v>53</v>
      </c>
      <c r="G35">
        <v>2928</v>
      </c>
      <c r="H35">
        <v>1886</v>
      </c>
      <c r="I35">
        <v>389.28260869569999</v>
      </c>
      <c r="J35">
        <v>433</v>
      </c>
      <c r="K35">
        <v>450.28175519630003</v>
      </c>
      <c r="L35">
        <v>564</v>
      </c>
      <c r="M35">
        <v>452.40602836879998</v>
      </c>
      <c r="N35">
        <v>468</v>
      </c>
      <c r="O35">
        <v>647.51709401710002</v>
      </c>
      <c r="R35">
        <v>10</v>
      </c>
      <c r="S35">
        <v>595.6</v>
      </c>
      <c r="V35" t="s">
        <v>382</v>
      </c>
      <c r="W35">
        <v>13368</v>
      </c>
      <c r="X35">
        <v>10392</v>
      </c>
      <c r="Y35">
        <v>420.08449619859999</v>
      </c>
      <c r="Z35">
        <v>515</v>
      </c>
      <c r="AA35">
        <v>700.37087378640001</v>
      </c>
      <c r="AB35">
        <v>1695</v>
      </c>
      <c r="AC35">
        <v>468.76224188790002</v>
      </c>
      <c r="AD35">
        <v>844</v>
      </c>
      <c r="AE35">
        <v>544.28436018959997</v>
      </c>
      <c r="AF35">
        <v>399</v>
      </c>
      <c r="AG35">
        <v>166.74185463660001</v>
      </c>
      <c r="AH35">
        <v>38</v>
      </c>
      <c r="AI35">
        <v>383.52631578950002</v>
      </c>
      <c r="AL35" t="s">
        <v>382</v>
      </c>
      <c r="AM35">
        <v>132</v>
      </c>
      <c r="AN35">
        <v>90</v>
      </c>
      <c r="AO35">
        <v>203.41111111110001</v>
      </c>
      <c r="AP35">
        <v>42</v>
      </c>
      <c r="AQ35">
        <v>341.92857142859998</v>
      </c>
      <c r="AR35">
        <v>33</v>
      </c>
      <c r="AS35">
        <v>212.75757575759999</v>
      </c>
      <c r="AT35">
        <v>8</v>
      </c>
      <c r="AU35">
        <v>383.25</v>
      </c>
      <c r="AV35">
        <v>1</v>
      </c>
      <c r="AW35">
        <v>2</v>
      </c>
    </row>
    <row r="36" spans="6:49" x14ac:dyDescent="0.2">
      <c r="F36" t="s">
        <v>57</v>
      </c>
      <c r="G36">
        <v>9323</v>
      </c>
      <c r="H36">
        <v>4553</v>
      </c>
      <c r="I36">
        <v>244.76669595780001</v>
      </c>
      <c r="J36">
        <v>598</v>
      </c>
      <c r="K36">
        <v>543.44481605349995</v>
      </c>
      <c r="L36">
        <v>3617</v>
      </c>
      <c r="M36">
        <v>564.70445120270006</v>
      </c>
      <c r="N36">
        <v>1141</v>
      </c>
      <c r="O36">
        <v>449.18070175439999</v>
      </c>
      <c r="R36">
        <v>12</v>
      </c>
      <c r="S36">
        <v>524.33333333329995</v>
      </c>
      <c r="V36" t="s">
        <v>379</v>
      </c>
      <c r="W36">
        <v>89041</v>
      </c>
      <c r="X36">
        <v>66834</v>
      </c>
      <c r="Y36">
        <v>439.5245177992</v>
      </c>
      <c r="Z36">
        <v>5984</v>
      </c>
      <c r="AA36">
        <v>636.35594919790003</v>
      </c>
      <c r="AB36">
        <v>11538</v>
      </c>
      <c r="AC36">
        <v>465.7171086843</v>
      </c>
      <c r="AD36">
        <v>7199</v>
      </c>
      <c r="AE36">
        <v>459.77567755389998</v>
      </c>
      <c r="AF36">
        <v>3311</v>
      </c>
      <c r="AG36">
        <v>175.49154078550001</v>
      </c>
      <c r="AH36">
        <v>159</v>
      </c>
      <c r="AI36">
        <v>404.74213836479998</v>
      </c>
      <c r="AL36" t="s">
        <v>379</v>
      </c>
      <c r="AM36">
        <v>1340</v>
      </c>
      <c r="AN36">
        <v>912</v>
      </c>
      <c r="AO36">
        <v>273.67105263159999</v>
      </c>
      <c r="AP36">
        <v>310</v>
      </c>
      <c r="AQ36">
        <v>411.94516129030001</v>
      </c>
      <c r="AR36">
        <v>364</v>
      </c>
      <c r="AS36">
        <v>224.76648351649999</v>
      </c>
      <c r="AT36">
        <v>62</v>
      </c>
      <c r="AU36">
        <v>351.74193548390002</v>
      </c>
      <c r="AV36">
        <v>2</v>
      </c>
      <c r="AW36">
        <v>1161</v>
      </c>
    </row>
    <row r="37" spans="6:49" x14ac:dyDescent="0.2">
      <c r="F37" t="s">
        <v>77</v>
      </c>
      <c r="G37">
        <v>29582</v>
      </c>
      <c r="H37">
        <v>26331</v>
      </c>
      <c r="I37">
        <v>464.43841391619998</v>
      </c>
      <c r="J37">
        <v>1830</v>
      </c>
      <c r="K37">
        <v>721.04098360659998</v>
      </c>
      <c r="L37">
        <v>905</v>
      </c>
      <c r="M37">
        <v>171.1900552486</v>
      </c>
      <c r="N37">
        <v>2303</v>
      </c>
      <c r="O37">
        <v>334.32479374730002</v>
      </c>
      <c r="R37">
        <v>43</v>
      </c>
      <c r="S37">
        <v>296.16279069770002</v>
      </c>
      <c r="V37" t="s">
        <v>405</v>
      </c>
      <c r="W37">
        <v>543</v>
      </c>
      <c r="X37">
        <v>261</v>
      </c>
      <c r="Y37">
        <v>138.5747126437</v>
      </c>
      <c r="Z37">
        <v>248</v>
      </c>
      <c r="AA37">
        <v>213.22177419350001</v>
      </c>
      <c r="AB37">
        <v>132</v>
      </c>
      <c r="AC37">
        <v>191.62878787880001</v>
      </c>
      <c r="AD37">
        <v>84</v>
      </c>
      <c r="AE37">
        <v>244.15476190480001</v>
      </c>
      <c r="AF37">
        <v>55</v>
      </c>
      <c r="AG37">
        <v>203.96363636359999</v>
      </c>
      <c r="AH37">
        <v>11</v>
      </c>
      <c r="AI37">
        <v>309.27272727270002</v>
      </c>
      <c r="AL37" t="s">
        <v>405</v>
      </c>
      <c r="AM37">
        <v>16</v>
      </c>
      <c r="AN37">
        <v>13</v>
      </c>
      <c r="AO37">
        <v>98.615384615400004</v>
      </c>
      <c r="AP37">
        <v>6</v>
      </c>
      <c r="AQ37">
        <v>209</v>
      </c>
      <c r="AR37">
        <v>2</v>
      </c>
      <c r="AS37">
        <v>57.5</v>
      </c>
      <c r="AT37">
        <v>1</v>
      </c>
      <c r="AU37">
        <v>236</v>
      </c>
    </row>
    <row r="38" spans="6:49" x14ac:dyDescent="0.2">
      <c r="F38" t="s">
        <v>379</v>
      </c>
      <c r="G38">
        <v>84642</v>
      </c>
      <c r="H38">
        <v>66297</v>
      </c>
      <c r="I38">
        <v>437.97373740419999</v>
      </c>
      <c r="J38">
        <v>5363</v>
      </c>
      <c r="K38">
        <v>644.30132388590005</v>
      </c>
      <c r="L38">
        <v>11040</v>
      </c>
      <c r="M38">
        <v>462.8128623188</v>
      </c>
      <c r="N38">
        <v>7145</v>
      </c>
      <c r="O38">
        <v>456.68477804230002</v>
      </c>
      <c r="R38">
        <v>160</v>
      </c>
      <c r="S38">
        <v>412.57499999999999</v>
      </c>
      <c r="V38" t="s">
        <v>409</v>
      </c>
      <c r="W38">
        <v>41908</v>
      </c>
      <c r="X38">
        <v>29821</v>
      </c>
      <c r="Y38">
        <v>464.73096140299998</v>
      </c>
      <c r="Z38">
        <v>2632</v>
      </c>
      <c r="AA38">
        <v>667.58282674769998</v>
      </c>
      <c r="AB38">
        <v>8743</v>
      </c>
      <c r="AC38">
        <v>680.74082122840002</v>
      </c>
      <c r="AD38">
        <v>2027</v>
      </c>
      <c r="AE38">
        <v>531.72458045409996</v>
      </c>
      <c r="AF38">
        <v>1263</v>
      </c>
      <c r="AG38">
        <v>190.29928741090001</v>
      </c>
      <c r="AH38">
        <v>54</v>
      </c>
      <c r="AI38">
        <v>545.44444444440001</v>
      </c>
      <c r="AL38" t="s">
        <v>409</v>
      </c>
      <c r="AM38">
        <v>277</v>
      </c>
      <c r="AN38">
        <v>190</v>
      </c>
      <c r="AO38">
        <v>235.1052631579</v>
      </c>
      <c r="AP38">
        <v>127</v>
      </c>
      <c r="AQ38">
        <v>283.41732283459999</v>
      </c>
      <c r="AR38">
        <v>78</v>
      </c>
      <c r="AS38">
        <v>227.12820512819999</v>
      </c>
      <c r="AT38">
        <v>9</v>
      </c>
      <c r="AU38">
        <v>198.44444444440001</v>
      </c>
    </row>
    <row r="39" spans="6:49" x14ac:dyDescent="0.2">
      <c r="F39" t="s">
        <v>79</v>
      </c>
      <c r="G39">
        <v>20187</v>
      </c>
      <c r="H39">
        <v>15675</v>
      </c>
      <c r="I39">
        <v>410.70417862839997</v>
      </c>
      <c r="J39">
        <v>1091</v>
      </c>
      <c r="K39">
        <v>763.12923923009998</v>
      </c>
      <c r="L39">
        <v>3678</v>
      </c>
      <c r="M39">
        <v>663.9918433931</v>
      </c>
      <c r="N39">
        <v>807</v>
      </c>
      <c r="O39">
        <v>397.175960347</v>
      </c>
      <c r="R39">
        <v>27</v>
      </c>
      <c r="S39">
        <v>371.3703703704</v>
      </c>
      <c r="V39" t="s">
        <v>417</v>
      </c>
      <c r="W39">
        <v>334</v>
      </c>
      <c r="X39">
        <v>173</v>
      </c>
      <c r="Y39">
        <v>198.82658959540001</v>
      </c>
      <c r="Z39">
        <v>133</v>
      </c>
      <c r="AA39">
        <v>214.94736842110001</v>
      </c>
      <c r="AB39">
        <v>91</v>
      </c>
      <c r="AC39">
        <v>252.30769230769999</v>
      </c>
      <c r="AD39">
        <v>47</v>
      </c>
      <c r="AE39">
        <v>371.57446808510002</v>
      </c>
      <c r="AF39">
        <v>21</v>
      </c>
      <c r="AG39">
        <v>295.09523809519999</v>
      </c>
      <c r="AH39">
        <v>2</v>
      </c>
      <c r="AI39">
        <v>487</v>
      </c>
      <c r="AL39" t="s">
        <v>417</v>
      </c>
      <c r="AM39">
        <v>5</v>
      </c>
      <c r="AN39">
        <v>4</v>
      </c>
      <c r="AO39">
        <v>78.75</v>
      </c>
      <c r="AP39">
        <v>1</v>
      </c>
      <c r="AQ39">
        <v>326</v>
      </c>
      <c r="AR39">
        <v>1</v>
      </c>
      <c r="AS39">
        <v>109</v>
      </c>
    </row>
    <row r="40" spans="6:49" x14ac:dyDescent="0.2">
      <c r="F40" t="s">
        <v>40</v>
      </c>
      <c r="G40">
        <v>6418</v>
      </c>
      <c r="H40">
        <v>3889</v>
      </c>
      <c r="I40">
        <v>291.59012599639999</v>
      </c>
      <c r="J40">
        <v>250</v>
      </c>
      <c r="K40">
        <v>469.30799999999999</v>
      </c>
      <c r="L40">
        <v>2136</v>
      </c>
      <c r="M40">
        <v>797.88998127340005</v>
      </c>
      <c r="N40">
        <v>378</v>
      </c>
      <c r="O40">
        <v>375.58994708990002</v>
      </c>
      <c r="R40">
        <v>15</v>
      </c>
      <c r="S40">
        <v>451.86666666669998</v>
      </c>
      <c r="V40" t="s">
        <v>420</v>
      </c>
      <c r="W40">
        <v>197</v>
      </c>
      <c r="X40">
        <v>84</v>
      </c>
      <c r="Y40">
        <v>286.09523809519999</v>
      </c>
      <c r="Z40">
        <v>58</v>
      </c>
      <c r="AA40">
        <v>247.05172413790001</v>
      </c>
      <c r="AB40">
        <v>69</v>
      </c>
      <c r="AC40">
        <v>315.72463768120002</v>
      </c>
      <c r="AD40">
        <v>19</v>
      </c>
      <c r="AE40">
        <v>318.84210526319998</v>
      </c>
      <c r="AF40">
        <v>23</v>
      </c>
      <c r="AG40">
        <v>182.82608695650001</v>
      </c>
      <c r="AH40">
        <v>2</v>
      </c>
      <c r="AI40">
        <v>496.5</v>
      </c>
      <c r="AL40" t="s">
        <v>420</v>
      </c>
      <c r="AM40">
        <v>2</v>
      </c>
      <c r="AP40">
        <v>2</v>
      </c>
      <c r="AQ40">
        <v>453</v>
      </c>
      <c r="AR40">
        <v>2</v>
      </c>
      <c r="AS40">
        <v>362</v>
      </c>
    </row>
    <row r="41" spans="6:49" x14ac:dyDescent="0.2">
      <c r="F41" t="s">
        <v>46</v>
      </c>
      <c r="G41">
        <v>19516</v>
      </c>
      <c r="H41">
        <v>13280</v>
      </c>
      <c r="I41">
        <v>532.68069884780004</v>
      </c>
      <c r="J41">
        <v>1100</v>
      </c>
      <c r="K41">
        <v>634.32454545450003</v>
      </c>
      <c r="L41">
        <v>5019</v>
      </c>
      <c r="M41">
        <v>702.99860529989996</v>
      </c>
      <c r="N41">
        <v>1195</v>
      </c>
      <c r="O41">
        <v>642.10385259630004</v>
      </c>
      <c r="R41">
        <v>22</v>
      </c>
      <c r="S41">
        <v>757.40909090909997</v>
      </c>
      <c r="V41" t="s">
        <v>410</v>
      </c>
      <c r="W41">
        <v>5339</v>
      </c>
      <c r="X41">
        <v>4115</v>
      </c>
      <c r="Y41">
        <v>457.75164034020003</v>
      </c>
      <c r="Z41">
        <v>257</v>
      </c>
      <c r="AA41">
        <v>881.22957198439997</v>
      </c>
      <c r="AB41">
        <v>561</v>
      </c>
      <c r="AC41">
        <v>263.4367201426</v>
      </c>
      <c r="AD41">
        <v>454</v>
      </c>
      <c r="AE41">
        <v>585.37885462559996</v>
      </c>
      <c r="AF41">
        <v>206</v>
      </c>
      <c r="AG41">
        <v>187.28155339809999</v>
      </c>
      <c r="AH41">
        <v>3</v>
      </c>
      <c r="AI41">
        <v>257</v>
      </c>
      <c r="AL41" t="s">
        <v>410</v>
      </c>
      <c r="AM41">
        <v>144</v>
      </c>
      <c r="AN41">
        <v>98</v>
      </c>
      <c r="AO41">
        <v>354.05102040819997</v>
      </c>
      <c r="AP41">
        <v>13</v>
      </c>
      <c r="AQ41">
        <v>631.69230769230001</v>
      </c>
      <c r="AR41">
        <v>45</v>
      </c>
      <c r="AS41">
        <v>243.75555555560001</v>
      </c>
      <c r="AT41">
        <v>1</v>
      </c>
      <c r="AU41">
        <v>17</v>
      </c>
    </row>
    <row r="42" spans="6:49" x14ac:dyDescent="0.2">
      <c r="F42" t="s">
        <v>49</v>
      </c>
      <c r="G42">
        <v>4611</v>
      </c>
      <c r="H42">
        <v>3016</v>
      </c>
      <c r="I42">
        <v>328.16279840850001</v>
      </c>
      <c r="J42">
        <v>351</v>
      </c>
      <c r="K42">
        <v>497.88603988599999</v>
      </c>
      <c r="L42">
        <v>1131</v>
      </c>
      <c r="M42">
        <v>356.01856763929999</v>
      </c>
      <c r="N42">
        <v>457</v>
      </c>
      <c r="O42">
        <v>527.06564551420001</v>
      </c>
      <c r="R42">
        <v>7</v>
      </c>
      <c r="S42">
        <v>611.28571428570001</v>
      </c>
      <c r="V42" t="s">
        <v>402</v>
      </c>
      <c r="W42">
        <v>6703</v>
      </c>
      <c r="X42">
        <v>4039</v>
      </c>
      <c r="Y42">
        <v>306.29091359249998</v>
      </c>
      <c r="Z42">
        <v>298</v>
      </c>
      <c r="AA42">
        <v>472.13758389259999</v>
      </c>
      <c r="AB42">
        <v>2045</v>
      </c>
      <c r="AC42">
        <v>781.430806846</v>
      </c>
      <c r="AD42">
        <v>368</v>
      </c>
      <c r="AE42">
        <v>397.03804347829998</v>
      </c>
      <c r="AF42">
        <v>237</v>
      </c>
      <c r="AG42">
        <v>179.72151898729999</v>
      </c>
      <c r="AH42">
        <v>14</v>
      </c>
      <c r="AI42">
        <v>446.78571428570001</v>
      </c>
      <c r="AL42" t="s">
        <v>402</v>
      </c>
      <c r="AM42">
        <v>58</v>
      </c>
      <c r="AN42">
        <v>40</v>
      </c>
      <c r="AO42">
        <v>190.05</v>
      </c>
      <c r="AP42">
        <v>29</v>
      </c>
      <c r="AQ42">
        <v>237</v>
      </c>
      <c r="AR42">
        <v>16</v>
      </c>
      <c r="AS42">
        <v>110.125</v>
      </c>
      <c r="AT42">
        <v>2</v>
      </c>
      <c r="AU42">
        <v>502.5</v>
      </c>
    </row>
    <row r="43" spans="6:49" x14ac:dyDescent="0.2">
      <c r="F43" t="s">
        <v>36</v>
      </c>
      <c r="G43">
        <v>305</v>
      </c>
      <c r="H43">
        <v>225</v>
      </c>
      <c r="I43">
        <v>480.37333333330002</v>
      </c>
      <c r="J43">
        <v>113</v>
      </c>
      <c r="K43">
        <v>376.56637168140003</v>
      </c>
      <c r="L43">
        <v>59</v>
      </c>
      <c r="M43">
        <v>214.67796610170001</v>
      </c>
      <c r="N43">
        <v>20</v>
      </c>
      <c r="O43">
        <v>301.5</v>
      </c>
      <c r="R43">
        <v>1</v>
      </c>
      <c r="S43">
        <v>470</v>
      </c>
      <c r="V43" t="s">
        <v>411</v>
      </c>
      <c r="W43">
        <v>4214</v>
      </c>
      <c r="X43">
        <v>2768</v>
      </c>
      <c r="Y43">
        <v>214.09212427750001</v>
      </c>
      <c r="Z43">
        <v>848</v>
      </c>
      <c r="AA43">
        <v>305.44693396230002</v>
      </c>
      <c r="AB43">
        <v>800</v>
      </c>
      <c r="AC43">
        <v>237.14125000000001</v>
      </c>
      <c r="AD43">
        <v>387</v>
      </c>
      <c r="AE43">
        <v>284.97932816539998</v>
      </c>
      <c r="AF43">
        <v>252</v>
      </c>
      <c r="AG43">
        <v>173.51587301590001</v>
      </c>
      <c r="AH43">
        <v>7</v>
      </c>
      <c r="AI43">
        <v>241.57142857139999</v>
      </c>
      <c r="AL43" t="s">
        <v>411</v>
      </c>
      <c r="AM43">
        <v>72</v>
      </c>
      <c r="AN43">
        <v>52</v>
      </c>
      <c r="AO43">
        <v>156.2115384615</v>
      </c>
      <c r="AP43">
        <v>38</v>
      </c>
      <c r="AQ43">
        <v>231.52631578949999</v>
      </c>
      <c r="AR43">
        <v>16</v>
      </c>
      <c r="AS43">
        <v>92.125</v>
      </c>
      <c r="AT43">
        <v>4</v>
      </c>
      <c r="AU43">
        <v>321.25</v>
      </c>
    </row>
    <row r="44" spans="6:49" x14ac:dyDescent="0.2">
      <c r="F44" t="s">
        <v>27</v>
      </c>
      <c r="G44">
        <v>3853</v>
      </c>
      <c r="H44">
        <v>2681</v>
      </c>
      <c r="I44">
        <v>202.08839985079999</v>
      </c>
      <c r="J44">
        <v>860</v>
      </c>
      <c r="K44">
        <v>304.06511627909998</v>
      </c>
      <c r="L44">
        <v>763</v>
      </c>
      <c r="M44">
        <v>217.0969855832</v>
      </c>
      <c r="N44">
        <v>402</v>
      </c>
      <c r="O44">
        <v>286.13930348259998</v>
      </c>
      <c r="R44">
        <v>7</v>
      </c>
      <c r="S44">
        <v>241.57142857139999</v>
      </c>
      <c r="V44" t="s">
        <v>386</v>
      </c>
      <c r="W44">
        <v>6038</v>
      </c>
      <c r="X44">
        <v>4978</v>
      </c>
      <c r="Y44">
        <v>456.54801124950001</v>
      </c>
      <c r="Z44">
        <v>415</v>
      </c>
      <c r="AA44">
        <v>690.00240963860006</v>
      </c>
      <c r="AB44">
        <v>560</v>
      </c>
      <c r="AC44">
        <v>375.83571428570002</v>
      </c>
      <c r="AD44">
        <v>296</v>
      </c>
      <c r="AE44">
        <v>461.2668918919</v>
      </c>
      <c r="AF44">
        <v>186</v>
      </c>
      <c r="AG44">
        <v>193.52150537630001</v>
      </c>
      <c r="AH44">
        <v>18</v>
      </c>
      <c r="AI44">
        <v>486.3333333333</v>
      </c>
      <c r="AL44" t="s">
        <v>386</v>
      </c>
      <c r="AM44">
        <v>158</v>
      </c>
      <c r="AN44">
        <v>114</v>
      </c>
      <c r="AO44">
        <v>331.59649122809998</v>
      </c>
      <c r="AP44">
        <v>25</v>
      </c>
      <c r="AQ44">
        <v>762.76</v>
      </c>
      <c r="AR44">
        <v>41</v>
      </c>
      <c r="AS44">
        <v>363.41463414629999</v>
      </c>
      <c r="AT44">
        <v>3</v>
      </c>
      <c r="AU44">
        <v>535</v>
      </c>
    </row>
    <row r="45" spans="6:49" x14ac:dyDescent="0.2">
      <c r="F45" t="s">
        <v>51</v>
      </c>
      <c r="G45">
        <v>5288</v>
      </c>
      <c r="H45">
        <v>4261</v>
      </c>
      <c r="I45">
        <v>460.0459985919</v>
      </c>
      <c r="J45">
        <v>251</v>
      </c>
      <c r="K45">
        <v>906.20318725100003</v>
      </c>
      <c r="L45">
        <v>559</v>
      </c>
      <c r="M45">
        <v>246.06440071559999</v>
      </c>
      <c r="N45">
        <v>464</v>
      </c>
      <c r="O45">
        <v>591.09267241379996</v>
      </c>
      <c r="R45">
        <v>4</v>
      </c>
      <c r="S45">
        <v>401.5</v>
      </c>
      <c r="V45" t="s">
        <v>388</v>
      </c>
      <c r="W45">
        <v>4900</v>
      </c>
      <c r="X45">
        <v>3072</v>
      </c>
      <c r="Y45">
        <v>334.8662109375</v>
      </c>
      <c r="Z45">
        <v>357</v>
      </c>
      <c r="AA45">
        <v>504.61344537820003</v>
      </c>
      <c r="AB45">
        <v>1156</v>
      </c>
      <c r="AC45">
        <v>364.78979238749997</v>
      </c>
      <c r="AD45">
        <v>462</v>
      </c>
      <c r="AE45">
        <v>522.25974025970004</v>
      </c>
      <c r="AF45">
        <v>203</v>
      </c>
      <c r="AG45">
        <v>214.8522167488</v>
      </c>
      <c r="AH45">
        <v>7</v>
      </c>
      <c r="AI45">
        <v>611.28571428570001</v>
      </c>
      <c r="AL45" t="s">
        <v>388</v>
      </c>
      <c r="AM45">
        <v>143</v>
      </c>
      <c r="AN45">
        <v>97</v>
      </c>
      <c r="AO45">
        <v>340.92783505149998</v>
      </c>
      <c r="AP45">
        <v>12</v>
      </c>
      <c r="AQ45">
        <v>536.5</v>
      </c>
      <c r="AR45">
        <v>45</v>
      </c>
      <c r="AS45">
        <v>381.35555555560001</v>
      </c>
      <c r="AT45">
        <v>1</v>
      </c>
      <c r="AU45">
        <v>478</v>
      </c>
    </row>
    <row r="46" spans="6:49" x14ac:dyDescent="0.2">
      <c r="F46" t="s">
        <v>59</v>
      </c>
      <c r="G46">
        <v>5853</v>
      </c>
      <c r="H46">
        <v>4978</v>
      </c>
      <c r="I46">
        <v>460.63238248290003</v>
      </c>
      <c r="J46">
        <v>407</v>
      </c>
      <c r="K46">
        <v>696.38083538080002</v>
      </c>
      <c r="L46">
        <v>558</v>
      </c>
      <c r="M46">
        <v>381.40501792110001</v>
      </c>
      <c r="N46">
        <v>298</v>
      </c>
      <c r="O46">
        <v>464.92617449660003</v>
      </c>
      <c r="R46">
        <v>19</v>
      </c>
      <c r="S46">
        <v>468.52631578950002</v>
      </c>
      <c r="V46" t="s">
        <v>384</v>
      </c>
      <c r="W46">
        <v>70176</v>
      </c>
      <c r="X46">
        <v>49311</v>
      </c>
      <c r="Y46">
        <v>425.22171523600002</v>
      </c>
      <c r="Z46">
        <v>5246</v>
      </c>
      <c r="AA46">
        <v>561.48760960729999</v>
      </c>
      <c r="AB46">
        <v>14157</v>
      </c>
      <c r="AC46">
        <v>606.72804972799997</v>
      </c>
      <c r="AD46">
        <v>4144</v>
      </c>
      <c r="AE46">
        <v>487.87907313540001</v>
      </c>
      <c r="AF46">
        <v>2446</v>
      </c>
      <c r="AG46">
        <v>190.7105478332</v>
      </c>
      <c r="AH46">
        <v>118</v>
      </c>
      <c r="AI46">
        <v>479.43220338980001</v>
      </c>
      <c r="AL46" t="s">
        <v>384</v>
      </c>
      <c r="AM46">
        <v>875</v>
      </c>
      <c r="AN46">
        <v>608</v>
      </c>
      <c r="AO46">
        <v>275.59375</v>
      </c>
      <c r="AP46">
        <v>253</v>
      </c>
      <c r="AQ46">
        <v>347.31225296439999</v>
      </c>
      <c r="AR46">
        <v>246</v>
      </c>
      <c r="AS46">
        <v>263.94308943089999</v>
      </c>
      <c r="AT46">
        <v>21</v>
      </c>
      <c r="AU46">
        <v>305.3333333333</v>
      </c>
    </row>
    <row r="47" spans="6:49" x14ac:dyDescent="0.2">
      <c r="F47" t="s">
        <v>181</v>
      </c>
      <c r="G47">
        <v>485</v>
      </c>
      <c r="H47">
        <v>354</v>
      </c>
      <c r="I47">
        <v>343.1666666667</v>
      </c>
      <c r="J47">
        <v>177</v>
      </c>
      <c r="K47">
        <v>299.7457627119</v>
      </c>
      <c r="L47">
        <v>84</v>
      </c>
      <c r="M47">
        <v>187.79761904759999</v>
      </c>
      <c r="N47">
        <v>45</v>
      </c>
      <c r="O47">
        <v>381.97777777779999</v>
      </c>
      <c r="R47">
        <v>2</v>
      </c>
      <c r="S47">
        <v>487</v>
      </c>
      <c r="V47" t="s">
        <v>415</v>
      </c>
      <c r="W47">
        <v>502</v>
      </c>
      <c r="X47">
        <v>385</v>
      </c>
      <c r="Y47">
        <v>247.73766233769999</v>
      </c>
      <c r="Z47">
        <v>27</v>
      </c>
      <c r="AA47">
        <v>608.8148148148</v>
      </c>
      <c r="AB47">
        <v>33</v>
      </c>
      <c r="AC47">
        <v>470.75757575760002</v>
      </c>
      <c r="AD47">
        <v>65</v>
      </c>
      <c r="AE47">
        <v>302.87692307690003</v>
      </c>
      <c r="AF47">
        <v>12</v>
      </c>
      <c r="AG47">
        <v>310.1666666667</v>
      </c>
      <c r="AH47">
        <v>7</v>
      </c>
      <c r="AI47">
        <v>305.71428571429999</v>
      </c>
      <c r="AL47" t="s">
        <v>415</v>
      </c>
      <c r="AM47">
        <v>24</v>
      </c>
      <c r="AN47">
        <v>17</v>
      </c>
      <c r="AO47">
        <v>168.76470588239999</v>
      </c>
      <c r="AP47">
        <v>4</v>
      </c>
      <c r="AQ47">
        <v>257</v>
      </c>
      <c r="AR47">
        <v>7</v>
      </c>
      <c r="AS47">
        <v>68.857142857100001</v>
      </c>
    </row>
    <row r="48" spans="6:49" x14ac:dyDescent="0.2">
      <c r="F48" t="s">
        <v>70</v>
      </c>
      <c r="G48">
        <v>1022</v>
      </c>
      <c r="H48">
        <v>835</v>
      </c>
      <c r="I48">
        <v>354.71856287430001</v>
      </c>
      <c r="J48">
        <v>547</v>
      </c>
      <c r="K48">
        <v>374.48446069469998</v>
      </c>
      <c r="L48">
        <v>101</v>
      </c>
      <c r="M48">
        <v>140.56435643559999</v>
      </c>
      <c r="N48">
        <v>76</v>
      </c>
      <c r="O48">
        <v>209.3947368421</v>
      </c>
      <c r="R48">
        <v>10</v>
      </c>
      <c r="S48">
        <v>243.8</v>
      </c>
      <c r="V48" t="s">
        <v>416</v>
      </c>
      <c r="W48">
        <v>116</v>
      </c>
      <c r="X48">
        <v>84</v>
      </c>
      <c r="Y48">
        <v>180.48809523809999</v>
      </c>
      <c r="Z48">
        <v>33</v>
      </c>
      <c r="AA48">
        <v>202.87878787880001</v>
      </c>
      <c r="AB48">
        <v>5</v>
      </c>
      <c r="AC48">
        <v>335.4</v>
      </c>
      <c r="AD48">
        <v>18</v>
      </c>
      <c r="AE48">
        <v>363.55555555559999</v>
      </c>
      <c r="AF48">
        <v>6</v>
      </c>
      <c r="AG48">
        <v>84.333333333300004</v>
      </c>
      <c r="AH48">
        <v>3</v>
      </c>
      <c r="AI48">
        <v>269.6666666667</v>
      </c>
      <c r="AL48" t="s">
        <v>416</v>
      </c>
      <c r="AM48">
        <v>8</v>
      </c>
      <c r="AN48">
        <v>6</v>
      </c>
      <c r="AO48">
        <v>178</v>
      </c>
      <c r="AP48">
        <v>4</v>
      </c>
      <c r="AQ48">
        <v>221.25</v>
      </c>
      <c r="AR48">
        <v>1</v>
      </c>
      <c r="AS48">
        <v>123</v>
      </c>
      <c r="AT48">
        <v>1</v>
      </c>
      <c r="AU48">
        <v>793</v>
      </c>
    </row>
    <row r="49" spans="6:51" x14ac:dyDescent="0.2">
      <c r="F49" t="s">
        <v>384</v>
      </c>
      <c r="G49">
        <v>67538</v>
      </c>
      <c r="H49">
        <v>49194</v>
      </c>
      <c r="I49">
        <v>425.99203138659999</v>
      </c>
      <c r="J49">
        <v>5147</v>
      </c>
      <c r="K49">
        <v>562.51136584419999</v>
      </c>
      <c r="L49">
        <v>14088</v>
      </c>
      <c r="M49">
        <v>613.01242191940003</v>
      </c>
      <c r="N49">
        <v>4142</v>
      </c>
      <c r="O49">
        <v>491.91282298959999</v>
      </c>
      <c r="R49">
        <v>114</v>
      </c>
      <c r="S49">
        <v>472.17543859649999</v>
      </c>
      <c r="V49" t="s">
        <v>422</v>
      </c>
      <c r="W49">
        <v>632</v>
      </c>
      <c r="X49">
        <v>381</v>
      </c>
      <c r="Y49">
        <v>359.52493438319999</v>
      </c>
      <c r="Z49">
        <v>50</v>
      </c>
      <c r="AA49">
        <v>574.78</v>
      </c>
      <c r="AB49">
        <v>149</v>
      </c>
      <c r="AC49">
        <v>443.73154362420001</v>
      </c>
      <c r="AD49">
        <v>77</v>
      </c>
      <c r="AE49">
        <v>660.49350649350004</v>
      </c>
      <c r="AF49">
        <v>20</v>
      </c>
      <c r="AG49">
        <v>218.35</v>
      </c>
      <c r="AH49">
        <v>5</v>
      </c>
      <c r="AI49">
        <v>509.4</v>
      </c>
      <c r="AL49" t="s">
        <v>422</v>
      </c>
      <c r="AM49">
        <v>7</v>
      </c>
      <c r="AN49">
        <v>7</v>
      </c>
      <c r="AO49">
        <v>217.8571428571</v>
      </c>
      <c r="AP49">
        <v>5</v>
      </c>
      <c r="AQ49">
        <v>383.8</v>
      </c>
    </row>
    <row r="50" spans="6:51" x14ac:dyDescent="0.2">
      <c r="F50" t="s">
        <v>212</v>
      </c>
      <c r="G50">
        <v>982</v>
      </c>
      <c r="H50">
        <v>691</v>
      </c>
      <c r="I50">
        <v>175.9710564399</v>
      </c>
      <c r="J50">
        <v>492</v>
      </c>
      <c r="K50">
        <v>244.9898373984</v>
      </c>
      <c r="L50">
        <v>247</v>
      </c>
      <c r="M50">
        <v>154.45748987850001</v>
      </c>
      <c r="N50">
        <v>44</v>
      </c>
      <c r="O50">
        <v>228.20454545449999</v>
      </c>
      <c r="V50" t="s">
        <v>375</v>
      </c>
      <c r="W50">
        <v>5706</v>
      </c>
      <c r="X50">
        <v>4645</v>
      </c>
      <c r="Y50">
        <v>547.58170075349994</v>
      </c>
      <c r="Z50">
        <v>388</v>
      </c>
      <c r="AA50">
        <v>889.14690721650004</v>
      </c>
      <c r="AB50">
        <v>593</v>
      </c>
      <c r="AC50">
        <v>661.01686340640003</v>
      </c>
      <c r="AD50">
        <v>319</v>
      </c>
      <c r="AE50">
        <v>637.04075235109997</v>
      </c>
      <c r="AF50">
        <v>137</v>
      </c>
      <c r="AG50">
        <v>136.71532846720001</v>
      </c>
      <c r="AH50">
        <v>12</v>
      </c>
      <c r="AI50">
        <v>616.75</v>
      </c>
      <c r="AL50" t="s">
        <v>375</v>
      </c>
      <c r="AM50">
        <v>50</v>
      </c>
      <c r="AN50">
        <v>39</v>
      </c>
      <c r="AO50">
        <v>165.92307692310001</v>
      </c>
      <c r="AP50">
        <v>17</v>
      </c>
      <c r="AQ50">
        <v>354</v>
      </c>
      <c r="AR50">
        <v>6</v>
      </c>
      <c r="AS50">
        <v>120.3333333333</v>
      </c>
      <c r="AT50">
        <v>5</v>
      </c>
      <c r="AU50">
        <v>337.2</v>
      </c>
    </row>
    <row r="51" spans="6:51" x14ac:dyDescent="0.2">
      <c r="F51" t="s">
        <v>209</v>
      </c>
      <c r="G51">
        <v>2297</v>
      </c>
      <c r="H51">
        <v>1620</v>
      </c>
      <c r="I51">
        <v>355.35370370369998</v>
      </c>
      <c r="J51">
        <v>229</v>
      </c>
      <c r="K51">
        <v>619.48034934500004</v>
      </c>
      <c r="L51">
        <v>625</v>
      </c>
      <c r="M51">
        <v>335.57119999999998</v>
      </c>
      <c r="N51">
        <v>52</v>
      </c>
      <c r="O51">
        <v>358.09615384620002</v>
      </c>
      <c r="V51" t="s">
        <v>60</v>
      </c>
      <c r="W51">
        <v>5476</v>
      </c>
      <c r="X51">
        <v>3790</v>
      </c>
      <c r="Y51">
        <v>258.04670184700001</v>
      </c>
      <c r="Z51">
        <v>445</v>
      </c>
      <c r="AA51">
        <v>381.19775280900001</v>
      </c>
      <c r="AB51">
        <v>893</v>
      </c>
      <c r="AC51">
        <v>305.57558790590002</v>
      </c>
      <c r="AD51">
        <v>508</v>
      </c>
      <c r="AE51">
        <v>604.99802761340004</v>
      </c>
      <c r="AF51">
        <v>271</v>
      </c>
      <c r="AG51">
        <v>194.7896678967</v>
      </c>
      <c r="AH51">
        <v>14</v>
      </c>
      <c r="AI51">
        <v>712.85714285710003</v>
      </c>
      <c r="AL51" t="s">
        <v>60</v>
      </c>
      <c r="AM51">
        <v>143</v>
      </c>
      <c r="AN51">
        <v>103</v>
      </c>
      <c r="AO51">
        <v>183.89320388350001</v>
      </c>
      <c r="AP51">
        <v>42</v>
      </c>
      <c r="AQ51">
        <v>339.97619047619997</v>
      </c>
      <c r="AR51">
        <v>31</v>
      </c>
      <c r="AS51">
        <v>153.4193548387</v>
      </c>
      <c r="AT51">
        <v>9</v>
      </c>
      <c r="AU51">
        <v>308.44444444440001</v>
      </c>
    </row>
    <row r="52" spans="6:51" x14ac:dyDescent="0.2">
      <c r="F52" t="s">
        <v>210</v>
      </c>
      <c r="G52">
        <v>1693</v>
      </c>
      <c r="H52">
        <v>1185</v>
      </c>
      <c r="I52">
        <v>195.78987341769999</v>
      </c>
      <c r="J52">
        <v>588</v>
      </c>
      <c r="K52">
        <v>367.93537414970001</v>
      </c>
      <c r="L52">
        <v>405</v>
      </c>
      <c r="M52">
        <v>152.8172839506</v>
      </c>
      <c r="N52">
        <v>102</v>
      </c>
      <c r="O52">
        <v>332.9803921569</v>
      </c>
      <c r="R52">
        <v>1</v>
      </c>
      <c r="S52">
        <v>355</v>
      </c>
      <c r="V52" t="s">
        <v>377</v>
      </c>
      <c r="W52">
        <v>15241</v>
      </c>
      <c r="X52">
        <v>10911</v>
      </c>
      <c r="Y52">
        <v>389.7497021355</v>
      </c>
      <c r="Z52">
        <v>636</v>
      </c>
      <c r="AA52">
        <v>756.39622641510005</v>
      </c>
      <c r="AB52">
        <v>3303</v>
      </c>
      <c r="AC52">
        <v>701.50772025430001</v>
      </c>
      <c r="AD52">
        <v>621</v>
      </c>
      <c r="AE52">
        <v>479.01288244770001</v>
      </c>
      <c r="AF52">
        <v>405</v>
      </c>
      <c r="AG52">
        <v>146.4</v>
      </c>
      <c r="AH52">
        <v>1</v>
      </c>
      <c r="AI52">
        <v>491</v>
      </c>
      <c r="AL52" t="s">
        <v>377</v>
      </c>
      <c r="AM52">
        <v>88</v>
      </c>
      <c r="AN52">
        <v>66</v>
      </c>
      <c r="AO52">
        <v>188.53030303029999</v>
      </c>
      <c r="AP52">
        <v>47</v>
      </c>
      <c r="AQ52">
        <v>365.29787234039998</v>
      </c>
      <c r="AR52">
        <v>16</v>
      </c>
      <c r="AS52">
        <v>107.1875</v>
      </c>
      <c r="AT52">
        <v>6</v>
      </c>
      <c r="AU52">
        <v>256.5</v>
      </c>
    </row>
    <row r="53" spans="6:51" x14ac:dyDescent="0.2">
      <c r="F53" t="s">
        <v>461</v>
      </c>
      <c r="G53">
        <v>4972</v>
      </c>
      <c r="H53">
        <v>3496</v>
      </c>
      <c r="I53">
        <v>265.81235697940002</v>
      </c>
      <c r="J53">
        <v>1309</v>
      </c>
      <c r="K53">
        <v>365.73109243699997</v>
      </c>
      <c r="L53">
        <v>1277</v>
      </c>
      <c r="M53">
        <v>242.57948316369999</v>
      </c>
      <c r="N53">
        <v>198</v>
      </c>
      <c r="O53">
        <v>316.2929292929</v>
      </c>
      <c r="R53">
        <v>1</v>
      </c>
      <c r="S53">
        <v>355</v>
      </c>
      <c r="V53" t="s">
        <v>373</v>
      </c>
      <c r="W53">
        <v>3827</v>
      </c>
      <c r="X53">
        <v>2503</v>
      </c>
      <c r="Y53">
        <v>342.42708749500002</v>
      </c>
      <c r="Z53">
        <v>396</v>
      </c>
      <c r="AA53">
        <v>405.89393939389998</v>
      </c>
      <c r="AB53">
        <v>587</v>
      </c>
      <c r="AC53">
        <v>249.83645655879999</v>
      </c>
      <c r="AD53">
        <v>568</v>
      </c>
      <c r="AE53">
        <v>574.67077464789998</v>
      </c>
      <c r="AF53">
        <v>147</v>
      </c>
      <c r="AG53">
        <v>208.6054421769</v>
      </c>
      <c r="AH53">
        <v>22</v>
      </c>
      <c r="AI53">
        <v>565.22727272730003</v>
      </c>
      <c r="AL53" t="s">
        <v>373</v>
      </c>
      <c r="AM53">
        <v>122</v>
      </c>
      <c r="AN53">
        <v>85</v>
      </c>
      <c r="AO53">
        <v>180.7764705882</v>
      </c>
      <c r="AP53">
        <v>42</v>
      </c>
      <c r="AQ53">
        <v>323.21428571429999</v>
      </c>
      <c r="AR53">
        <v>27</v>
      </c>
      <c r="AS53">
        <v>170.4814814815</v>
      </c>
      <c r="AT53">
        <v>9</v>
      </c>
      <c r="AU53">
        <v>270.44444444440001</v>
      </c>
      <c r="AX53">
        <v>1</v>
      </c>
      <c r="AY53">
        <v>355</v>
      </c>
    </row>
    <row r="54" spans="6:51" x14ac:dyDescent="0.2">
      <c r="F54" t="s">
        <v>78</v>
      </c>
      <c r="G54">
        <v>984</v>
      </c>
      <c r="H54">
        <v>803</v>
      </c>
      <c r="I54">
        <v>445.22166874219999</v>
      </c>
      <c r="J54">
        <v>78</v>
      </c>
      <c r="K54">
        <v>773.84615384619997</v>
      </c>
      <c r="L54">
        <v>25</v>
      </c>
      <c r="M54">
        <v>332.88</v>
      </c>
      <c r="N54">
        <v>149</v>
      </c>
      <c r="O54">
        <v>452.94630872480002</v>
      </c>
      <c r="R54">
        <v>7</v>
      </c>
      <c r="S54">
        <v>305.71428571429999</v>
      </c>
      <c r="V54" t="s">
        <v>372</v>
      </c>
      <c r="W54">
        <v>1369</v>
      </c>
      <c r="X54">
        <v>896</v>
      </c>
      <c r="Y54">
        <v>222.04799107139999</v>
      </c>
      <c r="Z54">
        <v>124</v>
      </c>
      <c r="AA54">
        <v>308.65322580650002</v>
      </c>
      <c r="AB54">
        <v>251</v>
      </c>
      <c r="AC54">
        <v>235.21912350599999</v>
      </c>
      <c r="AD54">
        <v>144</v>
      </c>
      <c r="AE54">
        <v>303.7013888889</v>
      </c>
      <c r="AF54">
        <v>75</v>
      </c>
      <c r="AG54">
        <v>156.6666666667</v>
      </c>
      <c r="AH54">
        <v>3</v>
      </c>
      <c r="AI54">
        <v>238.6666666667</v>
      </c>
      <c r="AL54" t="s">
        <v>372</v>
      </c>
      <c r="AM54">
        <v>32</v>
      </c>
      <c r="AN54">
        <v>20</v>
      </c>
      <c r="AO54">
        <v>190.95</v>
      </c>
      <c r="AP54">
        <v>7</v>
      </c>
      <c r="AQ54">
        <v>232.42857142860001</v>
      </c>
      <c r="AR54">
        <v>11</v>
      </c>
      <c r="AS54">
        <v>142.2727272727</v>
      </c>
      <c r="AT54">
        <v>1</v>
      </c>
      <c r="AU54">
        <v>256</v>
      </c>
    </row>
    <row r="55" spans="6:51" x14ac:dyDescent="0.2">
      <c r="F55" t="s">
        <v>35</v>
      </c>
      <c r="G55">
        <v>3151</v>
      </c>
      <c r="H55">
        <v>1939</v>
      </c>
      <c r="I55">
        <v>462.431372549</v>
      </c>
      <c r="J55">
        <v>225</v>
      </c>
      <c r="K55">
        <v>439.7955555556</v>
      </c>
      <c r="L55">
        <v>906</v>
      </c>
      <c r="M55">
        <v>479.3233995585</v>
      </c>
      <c r="N55">
        <v>296</v>
      </c>
      <c r="O55">
        <v>591.4087837838</v>
      </c>
      <c r="R55">
        <v>10</v>
      </c>
      <c r="S55">
        <v>411.4</v>
      </c>
      <c r="V55" t="s">
        <v>374</v>
      </c>
      <c r="W55">
        <v>7229</v>
      </c>
      <c r="X55">
        <v>5064</v>
      </c>
      <c r="Y55">
        <v>398.15225118479998</v>
      </c>
      <c r="Z55">
        <v>637</v>
      </c>
      <c r="AA55">
        <v>564.26216640500002</v>
      </c>
      <c r="AB55">
        <v>938</v>
      </c>
      <c r="AC55">
        <v>401.81023454159998</v>
      </c>
      <c r="AD55">
        <v>909</v>
      </c>
      <c r="AE55">
        <v>707.8129812981</v>
      </c>
      <c r="AF55">
        <v>285</v>
      </c>
      <c r="AG55">
        <v>186.92631578949999</v>
      </c>
      <c r="AH55">
        <v>33</v>
      </c>
      <c r="AI55">
        <v>480.72727272729998</v>
      </c>
      <c r="AL55" t="s">
        <v>374</v>
      </c>
      <c r="AM55">
        <v>157</v>
      </c>
      <c r="AN55">
        <v>109</v>
      </c>
      <c r="AO55">
        <v>192.58715596330001</v>
      </c>
      <c r="AP55">
        <v>54</v>
      </c>
      <c r="AQ55">
        <v>396.8333333333</v>
      </c>
      <c r="AR55">
        <v>33</v>
      </c>
      <c r="AS55">
        <v>155.24242424240001</v>
      </c>
      <c r="AT55">
        <v>14</v>
      </c>
      <c r="AU55">
        <v>425</v>
      </c>
      <c r="AV55">
        <v>1</v>
      </c>
      <c r="AW55">
        <v>5434</v>
      </c>
    </row>
    <row r="56" spans="6:51" x14ac:dyDescent="0.2">
      <c r="F56" t="s">
        <v>61</v>
      </c>
      <c r="G56">
        <v>2448</v>
      </c>
      <c r="H56">
        <v>1775</v>
      </c>
      <c r="I56">
        <v>374.51042253520001</v>
      </c>
      <c r="J56">
        <v>341</v>
      </c>
      <c r="K56">
        <v>419.05571847509998</v>
      </c>
      <c r="L56">
        <v>260</v>
      </c>
      <c r="M56">
        <v>78.25</v>
      </c>
      <c r="N56">
        <v>399</v>
      </c>
      <c r="O56">
        <v>524.14285714289997</v>
      </c>
      <c r="R56">
        <v>14</v>
      </c>
      <c r="S56">
        <v>508.57142857140002</v>
      </c>
      <c r="V56" t="s">
        <v>371</v>
      </c>
      <c r="W56">
        <v>298</v>
      </c>
      <c r="X56">
        <v>150</v>
      </c>
      <c r="Y56">
        <v>167.57333333330001</v>
      </c>
      <c r="Z56">
        <v>87</v>
      </c>
      <c r="AA56">
        <v>200.74712643679999</v>
      </c>
      <c r="AB56">
        <v>76</v>
      </c>
      <c r="AC56">
        <v>143.43421052630001</v>
      </c>
      <c r="AD56">
        <v>31</v>
      </c>
      <c r="AE56">
        <v>197.87096774189999</v>
      </c>
      <c r="AF56">
        <v>40</v>
      </c>
      <c r="AG56">
        <v>201.72499999999999</v>
      </c>
      <c r="AH56">
        <v>1</v>
      </c>
      <c r="AI56">
        <v>278</v>
      </c>
      <c r="AL56" t="s">
        <v>371</v>
      </c>
      <c r="AM56">
        <v>19</v>
      </c>
      <c r="AN56">
        <v>13</v>
      </c>
      <c r="AO56">
        <v>139.69230769230001</v>
      </c>
      <c r="AP56">
        <v>1</v>
      </c>
      <c r="AQ56">
        <v>431</v>
      </c>
      <c r="AR56">
        <v>5</v>
      </c>
      <c r="AS56">
        <v>182.2</v>
      </c>
      <c r="AT56">
        <v>1</v>
      </c>
      <c r="AU56">
        <v>242</v>
      </c>
    </row>
    <row r="57" spans="6:51" x14ac:dyDescent="0.2">
      <c r="F57" t="s">
        <v>24</v>
      </c>
      <c r="G57">
        <v>2105</v>
      </c>
      <c r="H57">
        <v>1282</v>
      </c>
      <c r="I57">
        <v>262.1950078003</v>
      </c>
      <c r="J57">
        <v>337</v>
      </c>
      <c r="K57">
        <v>309.07121661719998</v>
      </c>
      <c r="L57">
        <v>596</v>
      </c>
      <c r="M57">
        <v>332.44798657720003</v>
      </c>
      <c r="N57">
        <v>212</v>
      </c>
      <c r="O57">
        <v>565.858490566</v>
      </c>
      <c r="R57">
        <v>15</v>
      </c>
      <c r="S57">
        <v>751.66666666670005</v>
      </c>
      <c r="V57" t="s">
        <v>370</v>
      </c>
      <c r="W57">
        <v>3342</v>
      </c>
      <c r="X57">
        <v>1930</v>
      </c>
      <c r="Y57">
        <v>431.22239502330001</v>
      </c>
      <c r="Z57">
        <v>310</v>
      </c>
      <c r="AA57">
        <v>422.964516129</v>
      </c>
      <c r="AB57">
        <v>941</v>
      </c>
      <c r="AC57">
        <v>452.51540913920002</v>
      </c>
      <c r="AD57">
        <v>306</v>
      </c>
      <c r="AE57">
        <v>561.51633986930005</v>
      </c>
      <c r="AF57">
        <v>155</v>
      </c>
      <c r="AG57">
        <v>180.4838709677</v>
      </c>
      <c r="AH57">
        <v>10</v>
      </c>
      <c r="AI57">
        <v>411.4</v>
      </c>
      <c r="AL57" t="s">
        <v>370</v>
      </c>
      <c r="AM57">
        <v>78</v>
      </c>
      <c r="AN57">
        <v>60</v>
      </c>
      <c r="AO57">
        <v>171.21666666670001</v>
      </c>
      <c r="AP57">
        <v>20</v>
      </c>
      <c r="AQ57">
        <v>363.45</v>
      </c>
      <c r="AR57">
        <v>17</v>
      </c>
      <c r="AS57">
        <v>176.1764705882</v>
      </c>
      <c r="AT57">
        <v>1</v>
      </c>
      <c r="AU57">
        <v>570</v>
      </c>
    </row>
    <row r="58" spans="6:51" x14ac:dyDescent="0.2">
      <c r="F58" t="s">
        <v>69</v>
      </c>
      <c r="G58">
        <v>14792</v>
      </c>
      <c r="H58">
        <v>11006</v>
      </c>
      <c r="I58">
        <v>375.3946938034</v>
      </c>
      <c r="J58">
        <v>597</v>
      </c>
      <c r="K58">
        <v>748.86432160799995</v>
      </c>
      <c r="L58">
        <v>3255</v>
      </c>
      <c r="M58">
        <v>654.85714285710003</v>
      </c>
      <c r="N58">
        <v>530</v>
      </c>
      <c r="O58">
        <v>409.1</v>
      </c>
      <c r="R58">
        <v>1</v>
      </c>
      <c r="S58">
        <v>491</v>
      </c>
      <c r="V58" t="s">
        <v>414</v>
      </c>
      <c r="W58">
        <v>599</v>
      </c>
      <c r="X58">
        <v>489</v>
      </c>
      <c r="Y58">
        <v>241.51942740289999</v>
      </c>
      <c r="Z58">
        <v>51</v>
      </c>
      <c r="AA58">
        <v>407.0588235294</v>
      </c>
      <c r="AB58">
        <v>40</v>
      </c>
      <c r="AC58">
        <v>250.3</v>
      </c>
      <c r="AD58">
        <v>35</v>
      </c>
      <c r="AE58">
        <v>247.77142857140001</v>
      </c>
      <c r="AF58">
        <v>34</v>
      </c>
      <c r="AG58">
        <v>172.5</v>
      </c>
      <c r="AH58">
        <v>1</v>
      </c>
      <c r="AI58">
        <v>558</v>
      </c>
      <c r="AL58" t="s">
        <v>414</v>
      </c>
      <c r="AM58">
        <v>6</v>
      </c>
      <c r="AN58">
        <v>5</v>
      </c>
      <c r="AO58">
        <v>165.6</v>
      </c>
      <c r="AP58">
        <v>1</v>
      </c>
      <c r="AQ58">
        <v>124</v>
      </c>
      <c r="AR58">
        <v>1</v>
      </c>
      <c r="AS58">
        <v>96</v>
      </c>
    </row>
    <row r="59" spans="6:51" x14ac:dyDescent="0.2">
      <c r="F59" t="s">
        <v>44</v>
      </c>
      <c r="G59">
        <v>1384</v>
      </c>
      <c r="H59">
        <v>956</v>
      </c>
      <c r="I59">
        <v>265.5062761506</v>
      </c>
      <c r="J59">
        <v>142</v>
      </c>
      <c r="K59">
        <v>423.17605633800002</v>
      </c>
      <c r="L59">
        <v>288</v>
      </c>
      <c r="M59">
        <v>238.24305555559999</v>
      </c>
      <c r="N59">
        <v>137</v>
      </c>
      <c r="O59">
        <v>297.20437956199999</v>
      </c>
      <c r="R59">
        <v>3</v>
      </c>
      <c r="S59">
        <v>238.6666666667</v>
      </c>
      <c r="V59" t="s">
        <v>378</v>
      </c>
      <c r="W59">
        <v>2444</v>
      </c>
      <c r="X59">
        <v>1663</v>
      </c>
      <c r="Y59">
        <v>349.33974744440002</v>
      </c>
      <c r="Z59">
        <v>248</v>
      </c>
      <c r="AA59">
        <v>389.84274193549999</v>
      </c>
      <c r="AB59">
        <v>154</v>
      </c>
      <c r="AC59">
        <v>241.61038961040001</v>
      </c>
      <c r="AD59">
        <v>507</v>
      </c>
      <c r="AE59">
        <v>554.82806324110004</v>
      </c>
      <c r="AF59">
        <v>113</v>
      </c>
      <c r="AG59">
        <v>198.4513274336</v>
      </c>
      <c r="AH59">
        <v>7</v>
      </c>
      <c r="AI59">
        <v>453</v>
      </c>
      <c r="AL59" t="s">
        <v>378</v>
      </c>
      <c r="AM59">
        <v>37</v>
      </c>
      <c r="AN59">
        <v>30</v>
      </c>
      <c r="AO59">
        <v>274.7</v>
      </c>
      <c r="AP59">
        <v>14</v>
      </c>
      <c r="AQ59">
        <v>248.28571428570001</v>
      </c>
      <c r="AR59">
        <v>6</v>
      </c>
      <c r="AS59">
        <v>138.5</v>
      </c>
      <c r="AV59">
        <v>1</v>
      </c>
      <c r="AW59">
        <v>327</v>
      </c>
    </row>
    <row r="60" spans="6:51" x14ac:dyDescent="0.2">
      <c r="F60" t="s">
        <v>60</v>
      </c>
      <c r="G60">
        <v>3333</v>
      </c>
      <c r="H60">
        <v>2681</v>
      </c>
      <c r="I60">
        <v>271.18351361430001</v>
      </c>
      <c r="J60">
        <v>254</v>
      </c>
      <c r="K60">
        <v>638.33070866139997</v>
      </c>
      <c r="L60">
        <v>339</v>
      </c>
      <c r="M60">
        <v>181.37168141590001</v>
      </c>
      <c r="N60">
        <v>312</v>
      </c>
      <c r="O60">
        <v>635.92948717950003</v>
      </c>
      <c r="R60">
        <v>1</v>
      </c>
      <c r="S60">
        <v>110</v>
      </c>
      <c r="V60" t="s">
        <v>381</v>
      </c>
      <c r="W60">
        <v>9415</v>
      </c>
      <c r="X60">
        <v>6785</v>
      </c>
      <c r="Y60">
        <v>259.52306558589999</v>
      </c>
      <c r="Z60">
        <v>971</v>
      </c>
      <c r="AA60">
        <v>424.18434603499998</v>
      </c>
      <c r="AB60">
        <v>1234</v>
      </c>
      <c r="AC60">
        <v>203.5251215559</v>
      </c>
      <c r="AD60">
        <v>825</v>
      </c>
      <c r="AE60">
        <v>349.19151515150003</v>
      </c>
      <c r="AF60">
        <v>550</v>
      </c>
      <c r="AG60">
        <v>183.40727272730001</v>
      </c>
      <c r="AH60">
        <v>21</v>
      </c>
      <c r="AI60">
        <v>277.38095238099999</v>
      </c>
      <c r="AL60" t="s">
        <v>381</v>
      </c>
      <c r="AM60">
        <v>141</v>
      </c>
      <c r="AN60">
        <v>99</v>
      </c>
      <c r="AO60">
        <v>195.87878787880001</v>
      </c>
      <c r="AP60">
        <v>58</v>
      </c>
      <c r="AQ60">
        <v>367.36206896549999</v>
      </c>
      <c r="AR60">
        <v>33</v>
      </c>
      <c r="AS60">
        <v>146.96969696970001</v>
      </c>
      <c r="AT60">
        <v>9</v>
      </c>
      <c r="AU60">
        <v>297.44444444440001</v>
      </c>
    </row>
    <row r="61" spans="6:51" x14ac:dyDescent="0.2">
      <c r="F61" t="s">
        <v>33</v>
      </c>
      <c r="G61">
        <v>4839</v>
      </c>
      <c r="H61">
        <v>4095</v>
      </c>
      <c r="I61">
        <v>560.67863247859998</v>
      </c>
      <c r="J61">
        <v>303</v>
      </c>
      <c r="K61">
        <v>916.70297029699998</v>
      </c>
      <c r="L61">
        <v>392</v>
      </c>
      <c r="M61">
        <v>666.47704081630002</v>
      </c>
      <c r="N61">
        <v>339</v>
      </c>
      <c r="O61">
        <v>652.91124260360004</v>
      </c>
      <c r="R61">
        <v>13</v>
      </c>
      <c r="S61">
        <v>625.92307692309998</v>
      </c>
      <c r="V61" t="s">
        <v>413</v>
      </c>
      <c r="W61">
        <v>603</v>
      </c>
      <c r="X61">
        <v>409</v>
      </c>
      <c r="Y61">
        <v>432.48410757950001</v>
      </c>
      <c r="Z61">
        <v>30</v>
      </c>
      <c r="AA61">
        <v>726.9</v>
      </c>
      <c r="AB61">
        <v>131</v>
      </c>
      <c r="AC61">
        <v>691.60305343510004</v>
      </c>
      <c r="AD61">
        <v>36</v>
      </c>
      <c r="AE61">
        <v>530.11111111109994</v>
      </c>
      <c r="AF61">
        <v>27</v>
      </c>
      <c r="AG61">
        <v>122.5925925926</v>
      </c>
      <c r="AL61" t="s">
        <v>413</v>
      </c>
      <c r="AM61">
        <v>7</v>
      </c>
      <c r="AN61">
        <v>4</v>
      </c>
      <c r="AO61">
        <v>185</v>
      </c>
      <c r="AP61">
        <v>6</v>
      </c>
      <c r="AQ61">
        <v>369.8333333333</v>
      </c>
      <c r="AR61">
        <v>2</v>
      </c>
      <c r="AS61">
        <v>196.5</v>
      </c>
      <c r="AT61">
        <v>1</v>
      </c>
      <c r="AU61">
        <v>235</v>
      </c>
    </row>
    <row r="62" spans="6:51" x14ac:dyDescent="0.2">
      <c r="F62" t="s">
        <v>47</v>
      </c>
      <c r="G62">
        <v>2580</v>
      </c>
      <c r="H62">
        <v>1787</v>
      </c>
      <c r="I62">
        <v>365.17067711250002</v>
      </c>
      <c r="J62">
        <v>266</v>
      </c>
      <c r="K62">
        <v>385.96992481199999</v>
      </c>
      <c r="L62">
        <v>280</v>
      </c>
      <c r="M62">
        <v>517.43571428569999</v>
      </c>
      <c r="N62">
        <v>505</v>
      </c>
      <c r="O62">
        <v>550.33531746029996</v>
      </c>
      <c r="R62">
        <v>8</v>
      </c>
      <c r="S62">
        <v>412.75</v>
      </c>
      <c r="V62" t="s">
        <v>368</v>
      </c>
      <c r="W62">
        <v>56799</v>
      </c>
      <c r="X62">
        <v>40085</v>
      </c>
      <c r="Y62">
        <v>363.92710308350001</v>
      </c>
      <c r="Z62">
        <v>4433</v>
      </c>
      <c r="AA62">
        <v>520.12609970669996</v>
      </c>
      <c r="AB62">
        <v>9328</v>
      </c>
      <c r="AC62">
        <v>479.58297598630003</v>
      </c>
      <c r="AD62">
        <v>4969</v>
      </c>
      <c r="AE62">
        <v>538.07006241190004</v>
      </c>
      <c r="AF62">
        <v>2277</v>
      </c>
      <c r="AG62">
        <v>177.25603864729999</v>
      </c>
      <c r="AH62">
        <v>140</v>
      </c>
      <c r="AI62">
        <v>473.7785714286</v>
      </c>
      <c r="AL62" t="s">
        <v>368</v>
      </c>
      <c r="AM62">
        <v>919</v>
      </c>
      <c r="AN62">
        <v>663</v>
      </c>
      <c r="AO62">
        <v>188.21116138759999</v>
      </c>
      <c r="AP62">
        <v>322</v>
      </c>
      <c r="AQ62">
        <v>350.17080745340002</v>
      </c>
      <c r="AR62">
        <v>196</v>
      </c>
      <c r="AS62">
        <v>148.8010204082</v>
      </c>
      <c r="AT62">
        <v>57</v>
      </c>
      <c r="AU62">
        <v>336.10526315790003</v>
      </c>
      <c r="AV62">
        <v>2</v>
      </c>
      <c r="AW62">
        <v>2880.5</v>
      </c>
      <c r="AX62">
        <v>1</v>
      </c>
      <c r="AY62">
        <v>355</v>
      </c>
    </row>
    <row r="63" spans="6:51" x14ac:dyDescent="0.2">
      <c r="F63" t="s">
        <v>54</v>
      </c>
      <c r="G63">
        <v>572</v>
      </c>
      <c r="H63">
        <v>495</v>
      </c>
      <c r="I63">
        <v>241.85252525249999</v>
      </c>
      <c r="J63">
        <v>67</v>
      </c>
      <c r="K63">
        <v>455.97014925370001</v>
      </c>
      <c r="L63">
        <v>36</v>
      </c>
      <c r="M63">
        <v>64.444444444400006</v>
      </c>
      <c r="N63">
        <v>40</v>
      </c>
      <c r="O63">
        <v>209.3</v>
      </c>
      <c r="R63">
        <v>1</v>
      </c>
      <c r="S63">
        <v>558</v>
      </c>
      <c r="V63" t="s">
        <v>697</v>
      </c>
      <c r="W63">
        <v>311792</v>
      </c>
      <c r="X63">
        <v>227554</v>
      </c>
      <c r="Y63">
        <v>412.04619704940001</v>
      </c>
      <c r="Z63">
        <v>25139</v>
      </c>
      <c r="AA63">
        <v>545.01328612910004</v>
      </c>
      <c r="AB63">
        <v>50134</v>
      </c>
      <c r="AC63">
        <v>534.80508237920003</v>
      </c>
      <c r="AD63">
        <v>22128</v>
      </c>
      <c r="AE63">
        <v>508.3344333439</v>
      </c>
      <c r="AF63">
        <v>11384</v>
      </c>
      <c r="AG63">
        <v>181.2640780111</v>
      </c>
      <c r="AH63">
        <v>592</v>
      </c>
      <c r="AI63">
        <v>455.5287162162</v>
      </c>
      <c r="AL63" t="s">
        <v>697</v>
      </c>
      <c r="AM63">
        <v>4977</v>
      </c>
      <c r="AN63">
        <v>3496</v>
      </c>
      <c r="AO63">
        <v>265.81235697940002</v>
      </c>
      <c r="AP63">
        <v>1309</v>
      </c>
      <c r="AQ63">
        <v>365.73109243699997</v>
      </c>
      <c r="AR63">
        <v>1277</v>
      </c>
      <c r="AS63">
        <v>242.57948316369999</v>
      </c>
      <c r="AT63">
        <v>198</v>
      </c>
      <c r="AU63">
        <v>316.2929292929</v>
      </c>
      <c r="AV63">
        <v>5</v>
      </c>
      <c r="AW63">
        <v>2049.4</v>
      </c>
      <c r="AX63">
        <v>1</v>
      </c>
      <c r="AY63">
        <v>355</v>
      </c>
    </row>
    <row r="64" spans="6:51" x14ac:dyDescent="0.2">
      <c r="F64" t="s">
        <v>65</v>
      </c>
      <c r="G64">
        <v>4927</v>
      </c>
      <c r="H64">
        <v>4033</v>
      </c>
      <c r="I64">
        <v>548.49342920900006</v>
      </c>
      <c r="J64">
        <v>208</v>
      </c>
      <c r="K64">
        <v>1108.4086538462</v>
      </c>
      <c r="L64">
        <v>118</v>
      </c>
      <c r="M64">
        <v>719.17796610170001</v>
      </c>
      <c r="N64">
        <v>764</v>
      </c>
      <c r="O64">
        <v>909.43979057590002</v>
      </c>
      <c r="R64">
        <v>12</v>
      </c>
      <c r="S64">
        <v>638.16666666670005</v>
      </c>
    </row>
    <row r="65" spans="6:19" x14ac:dyDescent="0.2">
      <c r="F65" t="s">
        <v>67</v>
      </c>
      <c r="G65">
        <v>1119</v>
      </c>
      <c r="H65">
        <v>626</v>
      </c>
      <c r="I65">
        <v>482.4888178914</v>
      </c>
      <c r="J65">
        <v>257</v>
      </c>
      <c r="K65">
        <v>481.47859922179998</v>
      </c>
      <c r="L65">
        <v>350</v>
      </c>
      <c r="M65">
        <v>1020.3914285714</v>
      </c>
      <c r="N65">
        <v>142</v>
      </c>
      <c r="O65">
        <v>674.53521126759995</v>
      </c>
      <c r="R65">
        <v>1</v>
      </c>
      <c r="S65">
        <v>278</v>
      </c>
    </row>
    <row r="66" spans="6:19" x14ac:dyDescent="0.2">
      <c r="F66" t="s">
        <v>82</v>
      </c>
      <c r="G66">
        <v>153</v>
      </c>
      <c r="H66">
        <v>33</v>
      </c>
      <c r="I66">
        <v>1030.0909090908999</v>
      </c>
      <c r="J66">
        <v>10</v>
      </c>
      <c r="K66">
        <v>1247.2</v>
      </c>
      <c r="L66">
        <v>54</v>
      </c>
      <c r="M66">
        <v>786.98148148150005</v>
      </c>
      <c r="N66">
        <v>63</v>
      </c>
      <c r="O66">
        <v>636.44444444440001</v>
      </c>
      <c r="R66">
        <v>3</v>
      </c>
      <c r="S66">
        <v>538.33333333329995</v>
      </c>
    </row>
    <row r="67" spans="6:19" x14ac:dyDescent="0.2">
      <c r="F67" t="s">
        <v>63</v>
      </c>
      <c r="G67">
        <v>5874</v>
      </c>
      <c r="H67">
        <v>3903</v>
      </c>
      <c r="I67">
        <v>300.83551114530002</v>
      </c>
      <c r="J67">
        <v>595</v>
      </c>
      <c r="K67">
        <v>381.65378151260001</v>
      </c>
      <c r="L67">
        <v>1280</v>
      </c>
      <c r="M67">
        <v>361.14687500000002</v>
      </c>
      <c r="N67">
        <v>659</v>
      </c>
      <c r="O67">
        <v>621.0485584219</v>
      </c>
      <c r="R67">
        <v>32</v>
      </c>
      <c r="S67">
        <v>460.09375</v>
      </c>
    </row>
    <row r="68" spans="6:19" x14ac:dyDescent="0.2">
      <c r="F68" t="s">
        <v>429</v>
      </c>
      <c r="G68">
        <v>36</v>
      </c>
      <c r="H68">
        <v>14</v>
      </c>
      <c r="I68">
        <v>519.92857142859998</v>
      </c>
      <c r="J68">
        <v>2</v>
      </c>
      <c r="K68">
        <v>653.5</v>
      </c>
      <c r="L68">
        <v>6</v>
      </c>
      <c r="M68">
        <v>987.66666666670005</v>
      </c>
      <c r="N68">
        <v>13</v>
      </c>
      <c r="O68">
        <v>385.07692307690002</v>
      </c>
      <c r="R68">
        <v>3</v>
      </c>
      <c r="S68">
        <v>436</v>
      </c>
    </row>
    <row r="69" spans="6:19" x14ac:dyDescent="0.2">
      <c r="F69" t="s">
        <v>83</v>
      </c>
      <c r="G69">
        <v>8558</v>
      </c>
      <c r="H69">
        <v>6593</v>
      </c>
      <c r="I69">
        <v>242.72698316399999</v>
      </c>
      <c r="J69">
        <v>939</v>
      </c>
      <c r="K69">
        <v>412.40042598510001</v>
      </c>
      <c r="L69">
        <v>1134</v>
      </c>
      <c r="M69">
        <v>146.48412698409999</v>
      </c>
      <c r="N69">
        <v>812</v>
      </c>
      <c r="O69">
        <v>337.40640394090002</v>
      </c>
      <c r="R69">
        <v>19</v>
      </c>
      <c r="S69">
        <v>280.47368421049998</v>
      </c>
    </row>
    <row r="70" spans="6:19" x14ac:dyDescent="0.2">
      <c r="F70" t="s">
        <v>135</v>
      </c>
      <c r="G70">
        <v>212</v>
      </c>
      <c r="H70">
        <v>159</v>
      </c>
      <c r="I70">
        <v>422.59748427670002</v>
      </c>
      <c r="J70">
        <v>75</v>
      </c>
      <c r="K70">
        <v>618.6533333333</v>
      </c>
      <c r="L70">
        <v>28</v>
      </c>
      <c r="M70">
        <v>404.89285714290003</v>
      </c>
      <c r="N70">
        <v>22</v>
      </c>
      <c r="O70">
        <v>411.3181818182</v>
      </c>
      <c r="R70">
        <v>3</v>
      </c>
      <c r="S70">
        <v>269.6666666667</v>
      </c>
    </row>
    <row r="71" spans="6:19" x14ac:dyDescent="0.2">
      <c r="F71" t="s">
        <v>368</v>
      </c>
      <c r="G71">
        <v>57067</v>
      </c>
      <c r="H71">
        <v>42180</v>
      </c>
      <c r="I71">
        <v>375.36093790749999</v>
      </c>
      <c r="J71">
        <v>4696</v>
      </c>
      <c r="K71">
        <v>535.6563032368</v>
      </c>
      <c r="L71">
        <v>9347</v>
      </c>
      <c r="M71">
        <v>477.30116614960002</v>
      </c>
      <c r="N71">
        <v>5394</v>
      </c>
      <c r="O71">
        <v>567.87982195849997</v>
      </c>
      <c r="R71">
        <v>146</v>
      </c>
      <c r="S71">
        <v>477.28082191779998</v>
      </c>
    </row>
    <row r="72" spans="6:19" x14ac:dyDescent="0.2">
      <c r="F72" t="s">
        <v>697</v>
      </c>
      <c r="G72">
        <v>316769</v>
      </c>
      <c r="H72">
        <v>231050</v>
      </c>
      <c r="I72">
        <v>409.8334768853</v>
      </c>
      <c r="J72">
        <v>26448</v>
      </c>
      <c r="K72">
        <v>536.14001058680003</v>
      </c>
      <c r="L72">
        <v>51411</v>
      </c>
      <c r="M72">
        <v>527.54647838009998</v>
      </c>
      <c r="N72">
        <v>22326</v>
      </c>
      <c r="O72">
        <v>506.630763027</v>
      </c>
      <c r="P72">
        <v>11389</v>
      </c>
      <c r="Q72">
        <v>182.08429926240001</v>
      </c>
      <c r="R72">
        <v>593</v>
      </c>
      <c r="S72">
        <v>455.35919055649998</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493</v>
      </c>
      <c r="B1" t="s">
        <v>365</v>
      </c>
      <c r="C1" t="s">
        <v>492</v>
      </c>
      <c r="D1" t="s">
        <v>494</v>
      </c>
      <c r="E1" t="s">
        <v>495</v>
      </c>
      <c r="F1" t="s">
        <v>496</v>
      </c>
      <c r="G1" t="s">
        <v>497</v>
      </c>
      <c r="H1" t="s">
        <v>498</v>
      </c>
      <c r="I1" t="s">
        <v>499</v>
      </c>
      <c r="J1" t="s">
        <v>500</v>
      </c>
      <c r="K1" t="s">
        <v>501</v>
      </c>
      <c r="L1" t="s">
        <v>366</v>
      </c>
      <c r="M1" t="s">
        <v>502</v>
      </c>
      <c r="N1" t="s">
        <v>503</v>
      </c>
      <c r="O1" t="s">
        <v>504</v>
      </c>
      <c r="P1" t="s">
        <v>505</v>
      </c>
      <c r="Q1" t="s">
        <v>506</v>
      </c>
      <c r="R1" t="s">
        <v>677</v>
      </c>
    </row>
    <row r="2" spans="1:18" x14ac:dyDescent="0.2">
      <c r="A2">
        <v>1</v>
      </c>
      <c r="B2">
        <v>-99</v>
      </c>
      <c r="C2" t="s">
        <v>436</v>
      </c>
      <c r="D2" t="s">
        <v>697</v>
      </c>
      <c r="E2" t="s">
        <v>436</v>
      </c>
      <c r="F2" t="s">
        <v>697</v>
      </c>
      <c r="G2" t="s">
        <v>436</v>
      </c>
      <c r="H2" t="s">
        <v>6</v>
      </c>
      <c r="I2">
        <v>-99</v>
      </c>
      <c r="J2">
        <v>1</v>
      </c>
      <c r="K2" t="s">
        <v>6</v>
      </c>
      <c r="L2">
        <v>-99</v>
      </c>
      <c r="M2" t="s">
        <v>653</v>
      </c>
      <c r="N2" t="s">
        <v>653</v>
      </c>
      <c r="O2">
        <v>-99</v>
      </c>
      <c r="P2">
        <v>-99</v>
      </c>
      <c r="Q2">
        <v>1</v>
      </c>
      <c r="R2" t="s">
        <v>653</v>
      </c>
    </row>
    <row r="3" spans="1:18" x14ac:dyDescent="0.2">
      <c r="A3">
        <v>2</v>
      </c>
      <c r="B3">
        <v>-99</v>
      </c>
      <c r="C3" t="s">
        <v>437</v>
      </c>
      <c r="D3" t="s">
        <v>6</v>
      </c>
      <c r="E3" t="s">
        <v>437</v>
      </c>
      <c r="F3" t="s">
        <v>1034</v>
      </c>
      <c r="G3" t="s">
        <v>436</v>
      </c>
      <c r="H3" t="s">
        <v>6</v>
      </c>
      <c r="I3">
        <v>-99</v>
      </c>
      <c r="J3">
        <v>1</v>
      </c>
      <c r="K3" t="s">
        <v>6</v>
      </c>
      <c r="L3">
        <v>-99</v>
      </c>
      <c r="M3" t="s">
        <v>653</v>
      </c>
      <c r="N3" t="s">
        <v>653</v>
      </c>
      <c r="O3">
        <v>-99</v>
      </c>
      <c r="P3">
        <v>-99</v>
      </c>
      <c r="Q3">
        <v>1</v>
      </c>
      <c r="R3" t="s">
        <v>653</v>
      </c>
    </row>
    <row r="4" spans="1:18" x14ac:dyDescent="0.2">
      <c r="A4">
        <v>3</v>
      </c>
      <c r="B4">
        <v>-99</v>
      </c>
      <c r="C4" t="s">
        <v>654</v>
      </c>
      <c r="D4" t="s">
        <v>6</v>
      </c>
      <c r="E4" t="s">
        <v>654</v>
      </c>
      <c r="F4" t="s">
        <v>1036</v>
      </c>
      <c r="G4" t="s">
        <v>436</v>
      </c>
      <c r="H4" t="s">
        <v>6</v>
      </c>
      <c r="I4">
        <v>-99</v>
      </c>
      <c r="J4">
        <v>1</v>
      </c>
      <c r="K4" t="s">
        <v>6</v>
      </c>
      <c r="L4">
        <v>-99</v>
      </c>
      <c r="M4" t="s">
        <v>653</v>
      </c>
      <c r="N4" t="s">
        <v>653</v>
      </c>
      <c r="O4">
        <v>-99</v>
      </c>
      <c r="P4">
        <v>-99</v>
      </c>
      <c r="Q4">
        <v>1</v>
      </c>
      <c r="R4" t="s">
        <v>208</v>
      </c>
    </row>
    <row r="5" spans="1:18" x14ac:dyDescent="0.2">
      <c r="A5">
        <v>4</v>
      </c>
      <c r="B5">
        <v>-99</v>
      </c>
      <c r="C5" t="s">
        <v>438</v>
      </c>
      <c r="D5" t="s">
        <v>6</v>
      </c>
      <c r="E5" t="s">
        <v>438</v>
      </c>
      <c r="F5" t="s">
        <v>1042</v>
      </c>
      <c r="G5" t="s">
        <v>436</v>
      </c>
      <c r="H5" t="s">
        <v>6</v>
      </c>
      <c r="I5">
        <v>-99</v>
      </c>
      <c r="J5">
        <v>1</v>
      </c>
      <c r="K5" t="s">
        <v>6</v>
      </c>
      <c r="L5">
        <v>-99</v>
      </c>
      <c r="M5" t="s">
        <v>653</v>
      </c>
      <c r="N5" t="s">
        <v>653</v>
      </c>
      <c r="O5">
        <v>-99</v>
      </c>
      <c r="P5">
        <v>-99</v>
      </c>
      <c r="Q5">
        <v>1</v>
      </c>
      <c r="R5" t="s">
        <v>682</v>
      </c>
    </row>
    <row r="6" spans="1:18" x14ac:dyDescent="0.2">
      <c r="A6">
        <v>5</v>
      </c>
      <c r="B6">
        <v>-99</v>
      </c>
      <c r="C6" t="s">
        <v>439</v>
      </c>
      <c r="D6" t="s">
        <v>6</v>
      </c>
      <c r="E6" t="s">
        <v>439</v>
      </c>
      <c r="F6" t="s">
        <v>694</v>
      </c>
      <c r="G6" t="s">
        <v>436</v>
      </c>
      <c r="H6" t="s">
        <v>6</v>
      </c>
      <c r="I6">
        <v>-99</v>
      </c>
      <c r="J6">
        <v>1</v>
      </c>
      <c r="K6" t="s">
        <v>6</v>
      </c>
      <c r="L6">
        <v>-99</v>
      </c>
      <c r="M6" t="s">
        <v>653</v>
      </c>
      <c r="N6" t="s">
        <v>653</v>
      </c>
      <c r="O6">
        <v>-99</v>
      </c>
      <c r="P6">
        <v>-99</v>
      </c>
      <c r="Q6">
        <v>1</v>
      </c>
      <c r="R6" t="s">
        <v>678</v>
      </c>
    </row>
    <row r="7" spans="1:18" x14ac:dyDescent="0.2">
      <c r="A7">
        <v>6</v>
      </c>
      <c r="B7">
        <v>-99</v>
      </c>
      <c r="C7" t="s">
        <v>440</v>
      </c>
      <c r="D7" t="s">
        <v>6</v>
      </c>
      <c r="E7" t="s">
        <v>440</v>
      </c>
      <c r="F7" t="s">
        <v>1037</v>
      </c>
      <c r="G7" t="s">
        <v>436</v>
      </c>
      <c r="H7" t="s">
        <v>6</v>
      </c>
      <c r="I7">
        <v>-99</v>
      </c>
      <c r="J7">
        <v>1</v>
      </c>
      <c r="K7" t="s">
        <v>6</v>
      </c>
      <c r="L7">
        <v>-99</v>
      </c>
      <c r="M7" t="s">
        <v>653</v>
      </c>
      <c r="N7" t="s">
        <v>653</v>
      </c>
      <c r="O7">
        <v>-99</v>
      </c>
      <c r="P7">
        <v>-99</v>
      </c>
      <c r="Q7">
        <v>1</v>
      </c>
      <c r="R7" t="s">
        <v>679</v>
      </c>
    </row>
    <row r="8" spans="1:18" x14ac:dyDescent="0.2">
      <c r="A8">
        <v>7</v>
      </c>
      <c r="B8">
        <v>-99</v>
      </c>
      <c r="C8" t="s">
        <v>441</v>
      </c>
      <c r="D8" t="s">
        <v>6</v>
      </c>
      <c r="E8" t="s">
        <v>441</v>
      </c>
      <c r="F8" t="s">
        <v>1043</v>
      </c>
      <c r="G8" t="s">
        <v>436</v>
      </c>
      <c r="H8" t="s">
        <v>6</v>
      </c>
      <c r="I8">
        <v>-99</v>
      </c>
      <c r="J8">
        <v>1</v>
      </c>
      <c r="K8" t="s">
        <v>6</v>
      </c>
      <c r="L8">
        <v>-99</v>
      </c>
      <c r="M8" t="s">
        <v>653</v>
      </c>
      <c r="N8" t="s">
        <v>653</v>
      </c>
      <c r="O8">
        <v>-99</v>
      </c>
      <c r="P8">
        <v>-99</v>
      </c>
      <c r="Q8">
        <v>1</v>
      </c>
      <c r="R8" t="s">
        <v>680</v>
      </c>
    </row>
    <row r="9" spans="1:18" x14ac:dyDescent="0.2">
      <c r="A9">
        <v>8</v>
      </c>
      <c r="B9">
        <v>-99</v>
      </c>
      <c r="C9" t="s">
        <v>442</v>
      </c>
      <c r="D9" t="s">
        <v>6</v>
      </c>
      <c r="E9" t="s">
        <v>442</v>
      </c>
      <c r="F9" t="s">
        <v>1044</v>
      </c>
      <c r="G9" t="s">
        <v>436</v>
      </c>
      <c r="H9" t="s">
        <v>6</v>
      </c>
      <c r="I9">
        <v>-99</v>
      </c>
      <c r="J9">
        <v>1</v>
      </c>
      <c r="K9" t="s">
        <v>6</v>
      </c>
      <c r="L9">
        <v>-99</v>
      </c>
      <c r="M9" t="s">
        <v>653</v>
      </c>
      <c r="N9" t="s">
        <v>653</v>
      </c>
      <c r="O9">
        <v>-99</v>
      </c>
      <c r="P9">
        <v>-99</v>
      </c>
      <c r="Q9">
        <v>1</v>
      </c>
      <c r="R9" t="s">
        <v>397</v>
      </c>
    </row>
    <row r="10" spans="1:18" x14ac:dyDescent="0.2">
      <c r="A10">
        <v>9</v>
      </c>
      <c r="B10">
        <v>-99</v>
      </c>
      <c r="C10" t="s">
        <v>443</v>
      </c>
      <c r="D10" t="s">
        <v>6</v>
      </c>
      <c r="E10" t="s">
        <v>443</v>
      </c>
      <c r="F10" t="s">
        <v>1045</v>
      </c>
      <c r="G10" t="s">
        <v>436</v>
      </c>
      <c r="H10" t="s">
        <v>6</v>
      </c>
      <c r="I10">
        <v>-99</v>
      </c>
      <c r="J10">
        <v>1</v>
      </c>
      <c r="K10" t="s">
        <v>6</v>
      </c>
      <c r="L10">
        <v>-99</v>
      </c>
      <c r="M10" t="s">
        <v>653</v>
      </c>
      <c r="N10" t="s">
        <v>653</v>
      </c>
      <c r="O10">
        <v>-99</v>
      </c>
      <c r="P10">
        <v>-99</v>
      </c>
      <c r="Q10">
        <v>1</v>
      </c>
      <c r="R10" t="s">
        <v>683</v>
      </c>
    </row>
    <row r="11" spans="1:18" x14ac:dyDescent="0.2">
      <c r="A11">
        <v>10</v>
      </c>
      <c r="B11">
        <v>-99</v>
      </c>
      <c r="C11" t="s">
        <v>444</v>
      </c>
      <c r="D11" t="s">
        <v>6</v>
      </c>
      <c r="E11" t="s">
        <v>444</v>
      </c>
      <c r="F11" t="s">
        <v>1046</v>
      </c>
      <c r="G11" t="s">
        <v>436</v>
      </c>
      <c r="H11" t="s">
        <v>6</v>
      </c>
      <c r="I11">
        <v>-99</v>
      </c>
      <c r="J11">
        <v>1</v>
      </c>
      <c r="K11" t="s">
        <v>6</v>
      </c>
      <c r="L11">
        <v>-99</v>
      </c>
      <c r="M11" t="s">
        <v>653</v>
      </c>
      <c r="N11" t="s">
        <v>653</v>
      </c>
      <c r="O11">
        <v>-99</v>
      </c>
      <c r="P11">
        <v>-99</v>
      </c>
      <c r="Q11">
        <v>1</v>
      </c>
      <c r="R11" t="s">
        <v>653</v>
      </c>
    </row>
    <row r="12" spans="1:18" x14ac:dyDescent="0.2">
      <c r="A12">
        <v>11</v>
      </c>
      <c r="B12">
        <v>-99</v>
      </c>
      <c r="C12" t="s">
        <v>446</v>
      </c>
      <c r="D12" t="s">
        <v>507</v>
      </c>
      <c r="E12" t="s">
        <v>655</v>
      </c>
      <c r="F12" t="s">
        <v>129</v>
      </c>
      <c r="G12" t="s">
        <v>655</v>
      </c>
      <c r="H12" t="s">
        <v>369</v>
      </c>
      <c r="I12">
        <v>-99</v>
      </c>
      <c r="J12">
        <v>-99</v>
      </c>
      <c r="K12" t="s">
        <v>653</v>
      </c>
      <c r="L12">
        <v>-99</v>
      </c>
      <c r="M12" t="s">
        <v>653</v>
      </c>
      <c r="N12" t="s">
        <v>653</v>
      </c>
      <c r="O12">
        <v>-99</v>
      </c>
      <c r="P12">
        <v>-99</v>
      </c>
      <c r="Q12">
        <v>2</v>
      </c>
      <c r="R12" t="s">
        <v>653</v>
      </c>
    </row>
    <row r="13" spans="1:18" x14ac:dyDescent="0.2">
      <c r="A13">
        <v>12</v>
      </c>
      <c r="B13">
        <v>-99</v>
      </c>
      <c r="C13" t="s">
        <v>448</v>
      </c>
      <c r="D13" t="s">
        <v>507</v>
      </c>
      <c r="E13" t="s">
        <v>656</v>
      </c>
      <c r="F13" t="s">
        <v>130</v>
      </c>
      <c r="G13" t="s">
        <v>656</v>
      </c>
      <c r="H13" t="s">
        <v>376</v>
      </c>
      <c r="I13">
        <v>-99</v>
      </c>
      <c r="J13">
        <v>-99</v>
      </c>
      <c r="K13" t="s">
        <v>653</v>
      </c>
      <c r="L13">
        <v>-99</v>
      </c>
      <c r="M13" t="s">
        <v>653</v>
      </c>
      <c r="N13" t="s">
        <v>653</v>
      </c>
      <c r="O13">
        <v>-99</v>
      </c>
      <c r="P13">
        <v>-99</v>
      </c>
      <c r="Q13">
        <v>2</v>
      </c>
      <c r="R13" t="s">
        <v>653</v>
      </c>
    </row>
    <row r="14" spans="1:18" x14ac:dyDescent="0.2">
      <c r="A14">
        <v>13</v>
      </c>
      <c r="B14">
        <v>-99</v>
      </c>
      <c r="C14" t="s">
        <v>451</v>
      </c>
      <c r="D14" t="s">
        <v>507</v>
      </c>
      <c r="E14" t="s">
        <v>657</v>
      </c>
      <c r="F14" t="s">
        <v>131</v>
      </c>
      <c r="G14" t="s">
        <v>657</v>
      </c>
      <c r="H14" t="s">
        <v>385</v>
      </c>
      <c r="I14">
        <v>-99</v>
      </c>
      <c r="J14">
        <v>-99</v>
      </c>
      <c r="K14" t="s">
        <v>653</v>
      </c>
      <c r="L14">
        <v>-99</v>
      </c>
      <c r="M14" t="s">
        <v>653</v>
      </c>
      <c r="N14" t="s">
        <v>653</v>
      </c>
      <c r="O14">
        <v>-99</v>
      </c>
      <c r="P14">
        <v>-99</v>
      </c>
      <c r="Q14">
        <v>2</v>
      </c>
      <c r="R14" t="s">
        <v>653</v>
      </c>
    </row>
    <row r="15" spans="1:18" x14ac:dyDescent="0.2">
      <c r="A15">
        <v>14</v>
      </c>
      <c r="B15">
        <v>-99</v>
      </c>
      <c r="C15" t="s">
        <v>658</v>
      </c>
      <c r="D15" t="s">
        <v>507</v>
      </c>
      <c r="E15" t="s">
        <v>659</v>
      </c>
      <c r="F15" t="s">
        <v>132</v>
      </c>
      <c r="G15" t="s">
        <v>659</v>
      </c>
      <c r="H15" t="s">
        <v>401</v>
      </c>
      <c r="I15">
        <v>-99</v>
      </c>
      <c r="J15">
        <v>-99</v>
      </c>
      <c r="K15" t="s">
        <v>653</v>
      </c>
      <c r="L15">
        <v>-99</v>
      </c>
      <c r="M15" t="s">
        <v>653</v>
      </c>
      <c r="N15" t="s">
        <v>653</v>
      </c>
      <c r="O15">
        <v>-99</v>
      </c>
      <c r="P15">
        <v>-99</v>
      </c>
      <c r="Q15">
        <v>2</v>
      </c>
      <c r="R15" t="s">
        <v>653</v>
      </c>
    </row>
    <row r="16" spans="1:18" x14ac:dyDescent="0.2">
      <c r="A16">
        <v>15</v>
      </c>
      <c r="B16">
        <v>-99</v>
      </c>
      <c r="C16" t="s">
        <v>661</v>
      </c>
      <c r="D16" t="s">
        <v>428</v>
      </c>
      <c r="E16" t="s">
        <v>661</v>
      </c>
      <c r="F16" t="s">
        <v>428</v>
      </c>
      <c r="G16" t="s">
        <v>653</v>
      </c>
      <c r="H16" t="s">
        <v>653</v>
      </c>
      <c r="I16">
        <v>-99</v>
      </c>
      <c r="J16">
        <v>30</v>
      </c>
      <c r="K16" t="s">
        <v>368</v>
      </c>
      <c r="L16">
        <v>-99</v>
      </c>
      <c r="M16" t="s">
        <v>653</v>
      </c>
      <c r="N16" t="s">
        <v>653</v>
      </c>
      <c r="O16">
        <v>-99</v>
      </c>
      <c r="P16">
        <v>-99</v>
      </c>
      <c r="Q16">
        <v>3</v>
      </c>
      <c r="R16" t="s">
        <v>653</v>
      </c>
    </row>
    <row r="17" spans="1:18" x14ac:dyDescent="0.2">
      <c r="A17">
        <v>16</v>
      </c>
      <c r="B17">
        <v>-99</v>
      </c>
      <c r="C17" t="s">
        <v>660</v>
      </c>
      <c r="D17" t="s">
        <v>434</v>
      </c>
      <c r="E17" t="s">
        <v>660</v>
      </c>
      <c r="F17" t="s">
        <v>434</v>
      </c>
      <c r="G17" t="s">
        <v>653</v>
      </c>
      <c r="H17" t="s">
        <v>653</v>
      </c>
      <c r="I17">
        <v>-99</v>
      </c>
      <c r="J17">
        <v>31</v>
      </c>
      <c r="K17" t="s">
        <v>379</v>
      </c>
      <c r="L17">
        <v>-99</v>
      </c>
      <c r="M17" t="s">
        <v>653</v>
      </c>
      <c r="N17" t="s">
        <v>653</v>
      </c>
      <c r="O17">
        <v>-99</v>
      </c>
      <c r="P17">
        <v>-99</v>
      </c>
      <c r="Q17">
        <v>3</v>
      </c>
      <c r="R17" t="s">
        <v>653</v>
      </c>
    </row>
    <row r="18" spans="1:18" x14ac:dyDescent="0.2">
      <c r="A18">
        <v>17</v>
      </c>
      <c r="B18">
        <v>-99</v>
      </c>
      <c r="C18" t="s">
        <v>662</v>
      </c>
      <c r="D18" t="s">
        <v>432</v>
      </c>
      <c r="E18" t="s">
        <v>662</v>
      </c>
      <c r="F18" t="s">
        <v>432</v>
      </c>
      <c r="G18" t="s">
        <v>653</v>
      </c>
      <c r="H18" t="s">
        <v>653</v>
      </c>
      <c r="I18">
        <v>-99</v>
      </c>
      <c r="J18">
        <v>32</v>
      </c>
      <c r="K18" t="s">
        <v>389</v>
      </c>
      <c r="L18">
        <v>-99</v>
      </c>
      <c r="M18" t="s">
        <v>653</v>
      </c>
      <c r="N18" t="s">
        <v>653</v>
      </c>
      <c r="O18">
        <v>-99</v>
      </c>
      <c r="P18">
        <v>-99</v>
      </c>
      <c r="Q18">
        <v>3</v>
      </c>
      <c r="R18" t="s">
        <v>653</v>
      </c>
    </row>
    <row r="19" spans="1:18" x14ac:dyDescent="0.2">
      <c r="A19">
        <v>18</v>
      </c>
      <c r="B19">
        <v>-99</v>
      </c>
      <c r="C19" t="s">
        <v>663</v>
      </c>
      <c r="D19" t="s">
        <v>431</v>
      </c>
      <c r="E19" t="s">
        <v>663</v>
      </c>
      <c r="F19" t="s">
        <v>431</v>
      </c>
      <c r="G19" t="s">
        <v>653</v>
      </c>
      <c r="H19" t="s">
        <v>653</v>
      </c>
      <c r="I19">
        <v>-99</v>
      </c>
      <c r="J19">
        <v>33</v>
      </c>
      <c r="K19" t="s">
        <v>384</v>
      </c>
      <c r="L19">
        <v>-99</v>
      </c>
      <c r="M19" t="s">
        <v>653</v>
      </c>
      <c r="N19" t="s">
        <v>653</v>
      </c>
      <c r="O19">
        <v>-99</v>
      </c>
      <c r="P19">
        <v>-99</v>
      </c>
      <c r="Q19">
        <v>3</v>
      </c>
      <c r="R19" t="s">
        <v>653</v>
      </c>
    </row>
    <row r="20" spans="1:18" x14ac:dyDescent="0.2">
      <c r="A20">
        <v>19</v>
      </c>
      <c r="B20">
        <v>-99</v>
      </c>
      <c r="C20" t="s">
        <v>664</v>
      </c>
      <c r="D20" t="s">
        <v>433</v>
      </c>
      <c r="E20" t="s">
        <v>664</v>
      </c>
      <c r="F20" t="s">
        <v>433</v>
      </c>
      <c r="G20" t="s">
        <v>653</v>
      </c>
      <c r="H20" t="s">
        <v>653</v>
      </c>
      <c r="I20">
        <v>-99</v>
      </c>
      <c r="J20">
        <v>34</v>
      </c>
      <c r="K20" t="s">
        <v>403</v>
      </c>
      <c r="L20">
        <v>-99</v>
      </c>
      <c r="M20" t="s">
        <v>653</v>
      </c>
      <c r="N20" t="s">
        <v>653</v>
      </c>
      <c r="O20">
        <v>-99</v>
      </c>
      <c r="P20">
        <v>-99</v>
      </c>
      <c r="Q20">
        <v>3</v>
      </c>
      <c r="R20" t="s">
        <v>653</v>
      </c>
    </row>
    <row r="21" spans="1:18" x14ac:dyDescent="0.2">
      <c r="A21">
        <v>20</v>
      </c>
      <c r="B21">
        <v>1</v>
      </c>
      <c r="C21" t="s">
        <v>666</v>
      </c>
      <c r="D21" t="s">
        <v>367</v>
      </c>
      <c r="E21" t="s">
        <v>666</v>
      </c>
      <c r="F21" t="s">
        <v>508</v>
      </c>
      <c r="G21" t="s">
        <v>667</v>
      </c>
      <c r="H21" t="s">
        <v>8</v>
      </c>
      <c r="I21">
        <v>-99</v>
      </c>
      <c r="J21">
        <v>35</v>
      </c>
      <c r="K21" t="s">
        <v>8</v>
      </c>
      <c r="L21">
        <v>8240</v>
      </c>
      <c r="M21" t="s">
        <v>509</v>
      </c>
      <c r="N21" t="s">
        <v>653</v>
      </c>
      <c r="O21">
        <v>1</v>
      </c>
      <c r="P21">
        <v>2</v>
      </c>
      <c r="Q21">
        <v>-99</v>
      </c>
      <c r="R21" t="s">
        <v>653</v>
      </c>
    </row>
    <row r="22" spans="1:18" x14ac:dyDescent="0.2">
      <c r="A22">
        <v>21</v>
      </c>
      <c r="B22">
        <v>8</v>
      </c>
      <c r="C22" t="s">
        <v>136</v>
      </c>
      <c r="D22" t="s">
        <v>35</v>
      </c>
      <c r="E22" t="s">
        <v>510</v>
      </c>
      <c r="F22" t="s">
        <v>511</v>
      </c>
      <c r="G22" t="s">
        <v>655</v>
      </c>
      <c r="H22" t="s">
        <v>369</v>
      </c>
      <c r="I22">
        <v>380</v>
      </c>
      <c r="J22">
        <v>30</v>
      </c>
      <c r="K22" t="s">
        <v>368</v>
      </c>
      <c r="L22">
        <v>8233</v>
      </c>
      <c r="M22" t="s">
        <v>324</v>
      </c>
      <c r="N22" t="s">
        <v>370</v>
      </c>
      <c r="O22">
        <v>1</v>
      </c>
      <c r="P22">
        <v>2</v>
      </c>
      <c r="Q22">
        <v>-99</v>
      </c>
      <c r="R22" t="s">
        <v>681</v>
      </c>
    </row>
    <row r="23" spans="1:18" x14ac:dyDescent="0.2">
      <c r="A23">
        <v>22</v>
      </c>
      <c r="B23">
        <v>9</v>
      </c>
      <c r="C23" t="s">
        <v>137</v>
      </c>
      <c r="D23" t="s">
        <v>67</v>
      </c>
      <c r="E23" t="s">
        <v>512</v>
      </c>
      <c r="F23" t="s">
        <v>513</v>
      </c>
      <c r="G23" t="s">
        <v>655</v>
      </c>
      <c r="H23" t="s">
        <v>369</v>
      </c>
      <c r="I23">
        <v>380</v>
      </c>
      <c r="J23">
        <v>30</v>
      </c>
      <c r="K23" t="s">
        <v>368</v>
      </c>
      <c r="L23">
        <v>8235</v>
      </c>
      <c r="M23" t="s">
        <v>359</v>
      </c>
      <c r="N23" t="s">
        <v>371</v>
      </c>
      <c r="O23">
        <v>1</v>
      </c>
      <c r="P23">
        <v>1</v>
      </c>
      <c r="Q23">
        <v>-99</v>
      </c>
      <c r="R23" t="s">
        <v>681</v>
      </c>
    </row>
    <row r="24" spans="1:18" x14ac:dyDescent="0.2">
      <c r="A24">
        <v>23</v>
      </c>
      <c r="B24">
        <v>-99</v>
      </c>
      <c r="C24" t="s">
        <v>137</v>
      </c>
      <c r="D24" t="s">
        <v>67</v>
      </c>
      <c r="E24" t="s">
        <v>514</v>
      </c>
      <c r="F24" t="s">
        <v>515</v>
      </c>
      <c r="G24" t="s">
        <v>655</v>
      </c>
      <c r="H24" t="s">
        <v>369</v>
      </c>
      <c r="I24">
        <v>380</v>
      </c>
      <c r="J24">
        <v>30</v>
      </c>
      <c r="K24" t="s">
        <v>368</v>
      </c>
      <c r="L24">
        <v>8235</v>
      </c>
      <c r="M24" t="s">
        <v>359</v>
      </c>
      <c r="N24" t="s">
        <v>371</v>
      </c>
      <c r="O24">
        <v>-99</v>
      </c>
      <c r="P24">
        <v>1</v>
      </c>
      <c r="Q24">
        <v>-99</v>
      </c>
      <c r="R24" t="s">
        <v>397</v>
      </c>
    </row>
    <row r="25" spans="1:18" x14ac:dyDescent="0.2">
      <c r="A25">
        <v>24</v>
      </c>
      <c r="B25">
        <v>10</v>
      </c>
      <c r="C25" t="s">
        <v>138</v>
      </c>
      <c r="D25" t="s">
        <v>60</v>
      </c>
      <c r="E25" t="s">
        <v>516</v>
      </c>
      <c r="F25" t="s">
        <v>517</v>
      </c>
      <c r="G25" t="s">
        <v>655</v>
      </c>
      <c r="H25" t="s">
        <v>369</v>
      </c>
      <c r="I25">
        <v>380</v>
      </c>
      <c r="J25">
        <v>30</v>
      </c>
      <c r="K25" t="s">
        <v>368</v>
      </c>
      <c r="L25">
        <v>8237</v>
      </c>
      <c r="M25" t="s">
        <v>334</v>
      </c>
      <c r="N25" t="s">
        <v>60</v>
      </c>
      <c r="O25">
        <v>1</v>
      </c>
      <c r="P25">
        <v>2</v>
      </c>
      <c r="Q25">
        <v>-99</v>
      </c>
      <c r="R25" t="s">
        <v>681</v>
      </c>
    </row>
    <row r="26" spans="1:18" x14ac:dyDescent="0.2">
      <c r="A26">
        <v>25</v>
      </c>
      <c r="B26">
        <v>11</v>
      </c>
      <c r="C26" t="s">
        <v>139</v>
      </c>
      <c r="D26" t="s">
        <v>24</v>
      </c>
      <c r="E26" t="s">
        <v>518</v>
      </c>
      <c r="F26" t="s">
        <v>519</v>
      </c>
      <c r="G26" t="s">
        <v>655</v>
      </c>
      <c r="H26" t="s">
        <v>369</v>
      </c>
      <c r="I26">
        <v>380</v>
      </c>
      <c r="J26">
        <v>30</v>
      </c>
      <c r="K26" t="s">
        <v>368</v>
      </c>
      <c r="L26">
        <v>8238</v>
      </c>
      <c r="M26" t="s">
        <v>334</v>
      </c>
      <c r="N26" t="s">
        <v>60</v>
      </c>
      <c r="O26">
        <v>1</v>
      </c>
      <c r="P26">
        <v>2</v>
      </c>
      <c r="Q26">
        <v>-99</v>
      </c>
      <c r="R26" t="s">
        <v>681</v>
      </c>
    </row>
    <row r="27" spans="1:18" x14ac:dyDescent="0.2">
      <c r="A27">
        <v>26</v>
      </c>
      <c r="B27">
        <v>12</v>
      </c>
      <c r="C27" t="s">
        <v>140</v>
      </c>
      <c r="D27" t="s">
        <v>44</v>
      </c>
      <c r="E27" t="s">
        <v>520</v>
      </c>
      <c r="F27" t="s">
        <v>521</v>
      </c>
      <c r="G27" t="s">
        <v>655</v>
      </c>
      <c r="H27" t="s">
        <v>369</v>
      </c>
      <c r="I27">
        <v>380</v>
      </c>
      <c r="J27">
        <v>30</v>
      </c>
      <c r="K27" t="s">
        <v>368</v>
      </c>
      <c r="L27">
        <v>8239</v>
      </c>
      <c r="M27" t="s">
        <v>352</v>
      </c>
      <c r="N27" t="s">
        <v>372</v>
      </c>
      <c r="O27">
        <v>1</v>
      </c>
      <c r="P27">
        <v>2</v>
      </c>
      <c r="Q27">
        <v>-99</v>
      </c>
      <c r="R27" t="s">
        <v>681</v>
      </c>
    </row>
    <row r="28" spans="1:18" x14ac:dyDescent="0.2">
      <c r="A28">
        <v>27</v>
      </c>
      <c r="B28">
        <v>13</v>
      </c>
      <c r="C28" t="s">
        <v>141</v>
      </c>
      <c r="D28" t="s">
        <v>61</v>
      </c>
      <c r="E28" t="s">
        <v>522</v>
      </c>
      <c r="F28" t="s">
        <v>523</v>
      </c>
      <c r="G28" t="s">
        <v>655</v>
      </c>
      <c r="H28" t="s">
        <v>369</v>
      </c>
      <c r="I28">
        <v>380</v>
      </c>
      <c r="J28">
        <v>30</v>
      </c>
      <c r="K28" t="s">
        <v>368</v>
      </c>
      <c r="L28">
        <v>8241</v>
      </c>
      <c r="M28" t="s">
        <v>356</v>
      </c>
      <c r="N28" t="s">
        <v>373</v>
      </c>
      <c r="O28">
        <v>1</v>
      </c>
      <c r="P28">
        <v>2</v>
      </c>
      <c r="Q28">
        <v>-99</v>
      </c>
      <c r="R28" t="s">
        <v>681</v>
      </c>
    </row>
    <row r="29" spans="1:18" x14ac:dyDescent="0.2">
      <c r="A29">
        <v>28</v>
      </c>
      <c r="B29">
        <v>14</v>
      </c>
      <c r="C29" t="s">
        <v>99</v>
      </c>
      <c r="D29" t="s">
        <v>63</v>
      </c>
      <c r="E29" t="s">
        <v>524</v>
      </c>
      <c r="F29" t="s">
        <v>525</v>
      </c>
      <c r="G29" t="s">
        <v>655</v>
      </c>
      <c r="H29" t="s">
        <v>369</v>
      </c>
      <c r="I29">
        <v>380</v>
      </c>
      <c r="J29">
        <v>30</v>
      </c>
      <c r="K29" t="s">
        <v>368</v>
      </c>
      <c r="L29">
        <v>8242</v>
      </c>
      <c r="M29" t="s">
        <v>346</v>
      </c>
      <c r="N29" t="s">
        <v>374</v>
      </c>
      <c r="O29">
        <v>1</v>
      </c>
      <c r="P29">
        <v>1</v>
      </c>
      <c r="Q29">
        <v>-99</v>
      </c>
      <c r="R29" t="s">
        <v>681</v>
      </c>
    </row>
    <row r="30" spans="1:18" x14ac:dyDescent="0.2">
      <c r="A30">
        <v>29</v>
      </c>
      <c r="B30">
        <v>-99</v>
      </c>
      <c r="C30" t="s">
        <v>99</v>
      </c>
      <c r="D30" t="s">
        <v>63</v>
      </c>
      <c r="E30" t="s">
        <v>526</v>
      </c>
      <c r="F30" t="s">
        <v>210</v>
      </c>
      <c r="G30" t="s">
        <v>655</v>
      </c>
      <c r="H30" t="s">
        <v>369</v>
      </c>
      <c r="I30">
        <v>380</v>
      </c>
      <c r="J30">
        <v>30</v>
      </c>
      <c r="K30" t="s">
        <v>368</v>
      </c>
      <c r="L30">
        <v>8242</v>
      </c>
      <c r="M30" t="s">
        <v>346</v>
      </c>
      <c r="N30" t="s">
        <v>374</v>
      </c>
      <c r="O30">
        <v>-99</v>
      </c>
      <c r="P30">
        <v>1</v>
      </c>
      <c r="Q30">
        <v>-99</v>
      </c>
      <c r="R30" t="s">
        <v>208</v>
      </c>
    </row>
    <row r="31" spans="1:18" x14ac:dyDescent="0.2">
      <c r="A31">
        <v>30</v>
      </c>
      <c r="B31">
        <v>15</v>
      </c>
      <c r="C31" t="s">
        <v>142</v>
      </c>
      <c r="D31" t="s">
        <v>65</v>
      </c>
      <c r="E31" t="s">
        <v>527</v>
      </c>
      <c r="F31" t="s">
        <v>528</v>
      </c>
      <c r="G31" t="s">
        <v>655</v>
      </c>
      <c r="H31" t="s">
        <v>369</v>
      </c>
      <c r="I31">
        <v>380</v>
      </c>
      <c r="J31">
        <v>30</v>
      </c>
      <c r="K31" t="s">
        <v>368</v>
      </c>
      <c r="L31">
        <v>8243</v>
      </c>
      <c r="M31" t="s">
        <v>346</v>
      </c>
      <c r="N31" t="s">
        <v>374</v>
      </c>
      <c r="O31">
        <v>1</v>
      </c>
      <c r="P31">
        <v>1</v>
      </c>
      <c r="Q31">
        <v>-99</v>
      </c>
      <c r="R31" t="s">
        <v>681</v>
      </c>
    </row>
    <row r="32" spans="1:18" x14ac:dyDescent="0.2">
      <c r="A32">
        <v>31</v>
      </c>
      <c r="B32">
        <v>-99</v>
      </c>
      <c r="C32" t="s">
        <v>142</v>
      </c>
      <c r="D32" t="s">
        <v>65</v>
      </c>
      <c r="E32" t="s">
        <v>529</v>
      </c>
      <c r="F32" t="s">
        <v>530</v>
      </c>
      <c r="G32" t="s">
        <v>655</v>
      </c>
      <c r="H32" t="s">
        <v>369</v>
      </c>
      <c r="I32">
        <v>380</v>
      </c>
      <c r="J32">
        <v>30</v>
      </c>
      <c r="K32" t="s">
        <v>368</v>
      </c>
      <c r="L32">
        <v>8243</v>
      </c>
      <c r="M32" t="s">
        <v>346</v>
      </c>
      <c r="N32" t="s">
        <v>374</v>
      </c>
      <c r="O32">
        <v>-99</v>
      </c>
      <c r="P32">
        <v>1</v>
      </c>
      <c r="Q32">
        <v>-99</v>
      </c>
      <c r="R32" t="s">
        <v>680</v>
      </c>
    </row>
    <row r="33" spans="1:18" x14ac:dyDescent="0.2">
      <c r="A33">
        <v>32</v>
      </c>
      <c r="B33">
        <v>16</v>
      </c>
      <c r="C33" t="s">
        <v>143</v>
      </c>
      <c r="D33" t="s">
        <v>33</v>
      </c>
      <c r="E33" t="s">
        <v>531</v>
      </c>
      <c r="F33" t="s">
        <v>532</v>
      </c>
      <c r="G33" t="s">
        <v>655</v>
      </c>
      <c r="H33" t="s">
        <v>369</v>
      </c>
      <c r="I33">
        <v>380</v>
      </c>
      <c r="J33">
        <v>30</v>
      </c>
      <c r="K33" t="s">
        <v>368</v>
      </c>
      <c r="L33">
        <v>8244</v>
      </c>
      <c r="M33" t="s">
        <v>341</v>
      </c>
      <c r="N33" t="s">
        <v>375</v>
      </c>
      <c r="O33">
        <v>1</v>
      </c>
      <c r="P33">
        <v>2</v>
      </c>
      <c r="Q33">
        <v>-99</v>
      </c>
      <c r="R33" t="s">
        <v>681</v>
      </c>
    </row>
    <row r="34" spans="1:18" x14ac:dyDescent="0.2">
      <c r="A34">
        <v>33</v>
      </c>
      <c r="B34">
        <v>23</v>
      </c>
      <c r="C34" t="s">
        <v>103</v>
      </c>
      <c r="D34" t="s">
        <v>69</v>
      </c>
      <c r="E34" t="s">
        <v>533</v>
      </c>
      <c r="F34" t="s">
        <v>534</v>
      </c>
      <c r="G34" t="s">
        <v>656</v>
      </c>
      <c r="H34" t="s">
        <v>376</v>
      </c>
      <c r="I34">
        <v>381</v>
      </c>
      <c r="J34">
        <v>30</v>
      </c>
      <c r="K34" t="s">
        <v>368</v>
      </c>
      <c r="L34">
        <v>8245</v>
      </c>
      <c r="M34" t="s">
        <v>320</v>
      </c>
      <c r="N34" t="s">
        <v>377</v>
      </c>
      <c r="O34">
        <v>1</v>
      </c>
      <c r="P34">
        <v>2</v>
      </c>
      <c r="Q34">
        <v>-99</v>
      </c>
      <c r="R34" t="s">
        <v>681</v>
      </c>
    </row>
    <row r="35" spans="1:18" x14ac:dyDescent="0.2">
      <c r="A35">
        <v>34</v>
      </c>
      <c r="B35">
        <v>24</v>
      </c>
      <c r="C35" t="s">
        <v>144</v>
      </c>
      <c r="D35" t="s">
        <v>47</v>
      </c>
      <c r="E35" t="s">
        <v>535</v>
      </c>
      <c r="F35" t="s">
        <v>536</v>
      </c>
      <c r="G35" t="s">
        <v>656</v>
      </c>
      <c r="H35" t="s">
        <v>376</v>
      </c>
      <c r="I35">
        <v>381</v>
      </c>
      <c r="J35">
        <v>30</v>
      </c>
      <c r="K35" t="s">
        <v>368</v>
      </c>
      <c r="L35">
        <v>8246</v>
      </c>
      <c r="M35" t="s">
        <v>336</v>
      </c>
      <c r="N35" t="s">
        <v>378</v>
      </c>
      <c r="O35">
        <v>1</v>
      </c>
      <c r="P35">
        <v>2</v>
      </c>
      <c r="Q35">
        <v>-99</v>
      </c>
      <c r="R35" t="s">
        <v>681</v>
      </c>
    </row>
    <row r="36" spans="1:18" x14ac:dyDescent="0.2">
      <c r="A36">
        <v>35</v>
      </c>
      <c r="B36">
        <v>30</v>
      </c>
      <c r="C36" t="s">
        <v>145</v>
      </c>
      <c r="D36" t="s">
        <v>25</v>
      </c>
      <c r="E36" t="s">
        <v>537</v>
      </c>
      <c r="F36" t="s">
        <v>538</v>
      </c>
      <c r="G36" t="s">
        <v>656</v>
      </c>
      <c r="H36" t="s">
        <v>376</v>
      </c>
      <c r="I36">
        <v>381</v>
      </c>
      <c r="J36">
        <v>31</v>
      </c>
      <c r="K36" t="s">
        <v>379</v>
      </c>
      <c r="L36">
        <v>8247</v>
      </c>
      <c r="M36" t="s">
        <v>361</v>
      </c>
      <c r="N36" t="s">
        <v>380</v>
      </c>
      <c r="O36">
        <v>1</v>
      </c>
      <c r="P36">
        <v>2</v>
      </c>
      <c r="Q36">
        <v>-99</v>
      </c>
      <c r="R36" t="s">
        <v>681</v>
      </c>
    </row>
    <row r="37" spans="1:18" x14ac:dyDescent="0.2">
      <c r="A37">
        <v>36</v>
      </c>
      <c r="B37">
        <v>194</v>
      </c>
      <c r="C37" t="s">
        <v>146</v>
      </c>
      <c r="D37" t="s">
        <v>77</v>
      </c>
      <c r="E37" t="s">
        <v>539</v>
      </c>
      <c r="F37" t="s">
        <v>540</v>
      </c>
      <c r="G37" t="s">
        <v>656</v>
      </c>
      <c r="H37" t="s">
        <v>376</v>
      </c>
      <c r="I37">
        <v>381</v>
      </c>
      <c r="J37">
        <v>31</v>
      </c>
      <c r="K37" t="s">
        <v>379</v>
      </c>
      <c r="L37">
        <v>8248</v>
      </c>
      <c r="M37" t="s">
        <v>316</v>
      </c>
      <c r="N37" t="s">
        <v>424</v>
      </c>
      <c r="O37">
        <v>1</v>
      </c>
      <c r="P37">
        <v>2</v>
      </c>
      <c r="Q37">
        <v>-99</v>
      </c>
      <c r="R37" t="s">
        <v>681</v>
      </c>
    </row>
    <row r="38" spans="1:18" x14ac:dyDescent="0.2">
      <c r="A38">
        <v>37</v>
      </c>
      <c r="B38">
        <v>34</v>
      </c>
      <c r="C38" t="s">
        <v>147</v>
      </c>
      <c r="D38" t="s">
        <v>83</v>
      </c>
      <c r="E38" t="s">
        <v>541</v>
      </c>
      <c r="F38" t="s">
        <v>542</v>
      </c>
      <c r="G38" t="s">
        <v>656</v>
      </c>
      <c r="H38" t="s">
        <v>376</v>
      </c>
      <c r="I38">
        <v>381</v>
      </c>
      <c r="J38">
        <v>30</v>
      </c>
      <c r="K38" t="s">
        <v>368</v>
      </c>
      <c r="L38">
        <v>8249</v>
      </c>
      <c r="M38" t="s">
        <v>347</v>
      </c>
      <c r="N38" t="s">
        <v>381</v>
      </c>
      <c r="O38">
        <v>1</v>
      </c>
      <c r="P38">
        <v>1</v>
      </c>
      <c r="Q38">
        <v>-99</v>
      </c>
      <c r="R38" t="s">
        <v>681</v>
      </c>
    </row>
    <row r="39" spans="1:18" x14ac:dyDescent="0.2">
      <c r="A39">
        <v>38</v>
      </c>
      <c r="B39">
        <v>-99</v>
      </c>
      <c r="C39" t="s">
        <v>147</v>
      </c>
      <c r="D39" t="s">
        <v>83</v>
      </c>
      <c r="E39" t="s">
        <v>543</v>
      </c>
      <c r="F39" t="s">
        <v>213</v>
      </c>
      <c r="G39" t="s">
        <v>656</v>
      </c>
      <c r="H39" t="s">
        <v>376</v>
      </c>
      <c r="I39">
        <v>381</v>
      </c>
      <c r="J39">
        <v>30</v>
      </c>
      <c r="K39" t="s">
        <v>368</v>
      </c>
      <c r="L39">
        <v>8249</v>
      </c>
      <c r="M39" t="s">
        <v>347</v>
      </c>
      <c r="N39" t="s">
        <v>381</v>
      </c>
      <c r="O39">
        <v>-99</v>
      </c>
      <c r="P39">
        <v>1</v>
      </c>
      <c r="Q39">
        <v>-99</v>
      </c>
      <c r="R39" t="s">
        <v>678</v>
      </c>
    </row>
    <row r="40" spans="1:18" x14ac:dyDescent="0.2">
      <c r="A40">
        <v>39</v>
      </c>
      <c r="B40">
        <v>-99</v>
      </c>
      <c r="C40" t="s">
        <v>147</v>
      </c>
      <c r="D40" t="s">
        <v>83</v>
      </c>
      <c r="E40" t="s">
        <v>544</v>
      </c>
      <c r="F40" t="s">
        <v>956</v>
      </c>
      <c r="G40" t="s">
        <v>656</v>
      </c>
      <c r="H40" t="s">
        <v>376</v>
      </c>
      <c r="I40">
        <v>381</v>
      </c>
      <c r="J40">
        <v>30</v>
      </c>
      <c r="K40" t="s">
        <v>368</v>
      </c>
      <c r="L40">
        <v>8249</v>
      </c>
      <c r="M40" t="s">
        <v>347</v>
      </c>
      <c r="N40" t="s">
        <v>381</v>
      </c>
      <c r="O40">
        <v>-99</v>
      </c>
      <c r="P40">
        <v>1</v>
      </c>
      <c r="Q40">
        <v>-99</v>
      </c>
      <c r="R40" t="s">
        <v>679</v>
      </c>
    </row>
    <row r="41" spans="1:18" x14ac:dyDescent="0.2">
      <c r="A41">
        <v>40</v>
      </c>
      <c r="B41">
        <v>35</v>
      </c>
      <c r="C41" t="s">
        <v>148</v>
      </c>
      <c r="D41" t="s">
        <v>39</v>
      </c>
      <c r="E41" t="s">
        <v>545</v>
      </c>
      <c r="F41" t="s">
        <v>546</v>
      </c>
      <c r="G41" t="s">
        <v>656</v>
      </c>
      <c r="H41" t="s">
        <v>376</v>
      </c>
      <c r="I41">
        <v>381</v>
      </c>
      <c r="J41">
        <v>31</v>
      </c>
      <c r="K41" t="s">
        <v>379</v>
      </c>
      <c r="L41">
        <v>8250</v>
      </c>
      <c r="M41" t="s">
        <v>339</v>
      </c>
      <c r="N41" t="s">
        <v>382</v>
      </c>
      <c r="O41">
        <v>1</v>
      </c>
      <c r="P41">
        <v>2</v>
      </c>
      <c r="Q41">
        <v>-99</v>
      </c>
      <c r="R41" t="s">
        <v>681</v>
      </c>
    </row>
    <row r="42" spans="1:18" x14ac:dyDescent="0.2">
      <c r="A42">
        <v>41</v>
      </c>
      <c r="B42">
        <v>36</v>
      </c>
      <c r="C42" t="s">
        <v>91</v>
      </c>
      <c r="D42" t="s">
        <v>58</v>
      </c>
      <c r="E42" t="s">
        <v>547</v>
      </c>
      <c r="F42" t="s">
        <v>548</v>
      </c>
      <c r="G42" t="s">
        <v>656</v>
      </c>
      <c r="H42" t="s">
        <v>376</v>
      </c>
      <c r="I42">
        <v>381</v>
      </c>
      <c r="J42">
        <v>31</v>
      </c>
      <c r="K42" t="s">
        <v>379</v>
      </c>
      <c r="L42">
        <v>8251</v>
      </c>
      <c r="M42" t="s">
        <v>342</v>
      </c>
      <c r="N42" t="s">
        <v>383</v>
      </c>
      <c r="O42">
        <v>1</v>
      </c>
      <c r="P42">
        <v>2</v>
      </c>
      <c r="Q42">
        <v>-99</v>
      </c>
      <c r="R42" t="s">
        <v>681</v>
      </c>
    </row>
    <row r="43" spans="1:18" x14ac:dyDescent="0.2">
      <c r="A43">
        <v>42</v>
      </c>
      <c r="B43">
        <v>37</v>
      </c>
      <c r="C43" t="s">
        <v>149</v>
      </c>
      <c r="D43" t="s">
        <v>59</v>
      </c>
      <c r="E43" t="s">
        <v>549</v>
      </c>
      <c r="F43" t="s">
        <v>550</v>
      </c>
      <c r="G43" t="s">
        <v>657</v>
      </c>
      <c r="H43" t="s">
        <v>385</v>
      </c>
      <c r="I43">
        <v>382</v>
      </c>
      <c r="J43">
        <v>33</v>
      </c>
      <c r="K43" t="s">
        <v>384</v>
      </c>
      <c r="L43">
        <v>8252</v>
      </c>
      <c r="M43" t="s">
        <v>319</v>
      </c>
      <c r="N43" t="s">
        <v>386</v>
      </c>
      <c r="O43">
        <v>1</v>
      </c>
      <c r="P43">
        <v>2</v>
      </c>
      <c r="Q43">
        <v>-99</v>
      </c>
      <c r="R43" t="s">
        <v>681</v>
      </c>
    </row>
    <row r="44" spans="1:18" x14ac:dyDescent="0.2">
      <c r="A44">
        <v>43</v>
      </c>
      <c r="B44">
        <v>38</v>
      </c>
      <c r="C44" t="s">
        <v>150</v>
      </c>
      <c r="D44" t="s">
        <v>57</v>
      </c>
      <c r="E44" t="s">
        <v>551</v>
      </c>
      <c r="F44" t="s">
        <v>552</v>
      </c>
      <c r="G44" t="s">
        <v>656</v>
      </c>
      <c r="H44" t="s">
        <v>376</v>
      </c>
      <c r="I44">
        <v>381</v>
      </c>
      <c r="J44">
        <v>31</v>
      </c>
      <c r="K44" t="s">
        <v>379</v>
      </c>
      <c r="L44">
        <v>8253</v>
      </c>
      <c r="M44" t="s">
        <v>353</v>
      </c>
      <c r="N44" t="s">
        <v>387</v>
      </c>
      <c r="O44">
        <v>1</v>
      </c>
      <c r="P44">
        <v>2</v>
      </c>
      <c r="Q44">
        <v>-99</v>
      </c>
      <c r="R44" t="s">
        <v>681</v>
      </c>
    </row>
    <row r="45" spans="1:18" x14ac:dyDescent="0.2">
      <c r="A45">
        <v>44</v>
      </c>
      <c r="B45">
        <v>39</v>
      </c>
      <c r="C45" t="s">
        <v>151</v>
      </c>
      <c r="D45" t="s">
        <v>49</v>
      </c>
      <c r="E45" t="s">
        <v>553</v>
      </c>
      <c r="F45" t="s">
        <v>554</v>
      </c>
      <c r="G45" t="s">
        <v>656</v>
      </c>
      <c r="H45" t="s">
        <v>376</v>
      </c>
      <c r="I45">
        <v>381</v>
      </c>
      <c r="J45">
        <v>33</v>
      </c>
      <c r="K45" t="s">
        <v>384</v>
      </c>
      <c r="L45">
        <v>8254</v>
      </c>
      <c r="M45" t="s">
        <v>354</v>
      </c>
      <c r="N45" t="s">
        <v>388</v>
      </c>
      <c r="O45">
        <v>1</v>
      </c>
      <c r="P45">
        <v>1</v>
      </c>
      <c r="Q45">
        <v>-99</v>
      </c>
      <c r="R45" t="s">
        <v>681</v>
      </c>
    </row>
    <row r="46" spans="1:18" x14ac:dyDescent="0.2">
      <c r="A46">
        <v>45</v>
      </c>
      <c r="B46">
        <v>-99</v>
      </c>
      <c r="C46" t="s">
        <v>151</v>
      </c>
      <c r="D46" t="s">
        <v>49</v>
      </c>
      <c r="E46" t="s">
        <v>555</v>
      </c>
      <c r="F46" t="s">
        <v>556</v>
      </c>
      <c r="G46" t="s">
        <v>656</v>
      </c>
      <c r="H46" t="s">
        <v>376</v>
      </c>
      <c r="I46">
        <v>381</v>
      </c>
      <c r="J46">
        <v>33</v>
      </c>
      <c r="K46" t="s">
        <v>384</v>
      </c>
      <c r="L46">
        <v>8254</v>
      </c>
      <c r="M46" t="s">
        <v>354</v>
      </c>
      <c r="N46" t="s">
        <v>388</v>
      </c>
      <c r="O46">
        <v>-99</v>
      </c>
      <c r="P46">
        <v>1</v>
      </c>
      <c r="Q46">
        <v>-99</v>
      </c>
      <c r="R46" t="s">
        <v>682</v>
      </c>
    </row>
    <row r="47" spans="1:18" x14ac:dyDescent="0.2">
      <c r="A47">
        <v>46</v>
      </c>
      <c r="B47">
        <v>52</v>
      </c>
      <c r="C47" t="s">
        <v>152</v>
      </c>
      <c r="D47" t="s">
        <v>38</v>
      </c>
      <c r="E47" t="s">
        <v>557</v>
      </c>
      <c r="F47" t="s">
        <v>558</v>
      </c>
      <c r="G47" t="s">
        <v>655</v>
      </c>
      <c r="H47" t="s">
        <v>369</v>
      </c>
      <c r="I47">
        <v>380</v>
      </c>
      <c r="J47">
        <v>32</v>
      </c>
      <c r="K47" t="s">
        <v>389</v>
      </c>
      <c r="L47">
        <v>8255</v>
      </c>
      <c r="M47" t="s">
        <v>355</v>
      </c>
      <c r="N47" t="s">
        <v>390</v>
      </c>
      <c r="O47">
        <v>1</v>
      </c>
      <c r="P47">
        <v>2</v>
      </c>
      <c r="Q47">
        <v>-99</v>
      </c>
      <c r="R47" t="s">
        <v>681</v>
      </c>
    </row>
    <row r="48" spans="1:18" x14ac:dyDescent="0.2">
      <c r="A48">
        <v>47</v>
      </c>
      <c r="B48">
        <v>53</v>
      </c>
      <c r="C48" t="s">
        <v>153</v>
      </c>
      <c r="D48" t="s">
        <v>48</v>
      </c>
      <c r="E48" t="s">
        <v>559</v>
      </c>
      <c r="F48" t="s">
        <v>560</v>
      </c>
      <c r="G48" t="s">
        <v>655</v>
      </c>
      <c r="H48" t="s">
        <v>369</v>
      </c>
      <c r="I48">
        <v>380</v>
      </c>
      <c r="J48">
        <v>32</v>
      </c>
      <c r="K48" t="s">
        <v>389</v>
      </c>
      <c r="L48">
        <v>8256</v>
      </c>
      <c r="M48" t="s">
        <v>329</v>
      </c>
      <c r="N48" t="s">
        <v>391</v>
      </c>
      <c r="O48">
        <v>1</v>
      </c>
      <c r="P48">
        <v>2</v>
      </c>
      <c r="Q48">
        <v>-99</v>
      </c>
      <c r="R48" t="s">
        <v>681</v>
      </c>
    </row>
    <row r="49" spans="1:18" x14ac:dyDescent="0.2">
      <c r="A49">
        <v>48</v>
      </c>
      <c r="B49">
        <v>54</v>
      </c>
      <c r="C49" t="s">
        <v>154</v>
      </c>
      <c r="D49" t="s">
        <v>53</v>
      </c>
      <c r="E49" t="s">
        <v>561</v>
      </c>
      <c r="F49" t="s">
        <v>562</v>
      </c>
      <c r="G49" t="s">
        <v>656</v>
      </c>
      <c r="H49" t="s">
        <v>376</v>
      </c>
      <c r="I49">
        <v>381</v>
      </c>
      <c r="J49">
        <v>31</v>
      </c>
      <c r="K49" t="s">
        <v>379</v>
      </c>
      <c r="L49">
        <v>8257</v>
      </c>
      <c r="M49" t="s">
        <v>335</v>
      </c>
      <c r="N49" t="s">
        <v>392</v>
      </c>
      <c r="O49">
        <v>1</v>
      </c>
      <c r="P49">
        <v>1</v>
      </c>
      <c r="Q49">
        <v>-99</v>
      </c>
      <c r="R49" t="s">
        <v>681</v>
      </c>
    </row>
    <row r="50" spans="1:18" x14ac:dyDescent="0.2">
      <c r="A50">
        <v>49</v>
      </c>
      <c r="B50">
        <v>-99</v>
      </c>
      <c r="C50" t="s">
        <v>154</v>
      </c>
      <c r="D50" t="s">
        <v>53</v>
      </c>
      <c r="E50" t="s">
        <v>563</v>
      </c>
      <c r="F50" t="s">
        <v>564</v>
      </c>
      <c r="G50" t="s">
        <v>656</v>
      </c>
      <c r="H50" t="s">
        <v>376</v>
      </c>
      <c r="I50">
        <v>381</v>
      </c>
      <c r="J50">
        <v>31</v>
      </c>
      <c r="K50" t="s">
        <v>379</v>
      </c>
      <c r="L50">
        <v>8257</v>
      </c>
      <c r="M50" t="s">
        <v>335</v>
      </c>
      <c r="N50" t="s">
        <v>392</v>
      </c>
      <c r="O50">
        <v>-99</v>
      </c>
      <c r="P50">
        <v>1</v>
      </c>
      <c r="Q50">
        <v>-99</v>
      </c>
      <c r="R50" t="s">
        <v>683</v>
      </c>
    </row>
    <row r="51" spans="1:18" x14ac:dyDescent="0.2">
      <c r="A51">
        <v>50</v>
      </c>
      <c r="B51">
        <v>55</v>
      </c>
      <c r="C51" t="s">
        <v>155</v>
      </c>
      <c r="D51" t="s">
        <v>37</v>
      </c>
      <c r="E51" t="s">
        <v>565</v>
      </c>
      <c r="F51" t="s">
        <v>566</v>
      </c>
      <c r="G51" t="s">
        <v>657</v>
      </c>
      <c r="H51" t="s">
        <v>385</v>
      </c>
      <c r="I51">
        <v>382</v>
      </c>
      <c r="J51">
        <v>32</v>
      </c>
      <c r="K51" t="s">
        <v>389</v>
      </c>
      <c r="L51">
        <v>8258</v>
      </c>
      <c r="M51" t="s">
        <v>348</v>
      </c>
      <c r="N51" t="s">
        <v>393</v>
      </c>
      <c r="O51">
        <v>1</v>
      </c>
      <c r="P51">
        <v>2</v>
      </c>
      <c r="Q51">
        <v>-99</v>
      </c>
      <c r="R51" t="s">
        <v>681</v>
      </c>
    </row>
    <row r="52" spans="1:18" x14ac:dyDescent="0.2">
      <c r="A52">
        <v>51</v>
      </c>
      <c r="B52">
        <v>56</v>
      </c>
      <c r="C52" t="s">
        <v>156</v>
      </c>
      <c r="D52" t="s">
        <v>42</v>
      </c>
      <c r="E52" t="s">
        <v>567</v>
      </c>
      <c r="F52" t="s">
        <v>568</v>
      </c>
      <c r="G52" t="s">
        <v>655</v>
      </c>
      <c r="H52" t="s">
        <v>369</v>
      </c>
      <c r="I52">
        <v>380</v>
      </c>
      <c r="J52">
        <v>32</v>
      </c>
      <c r="K52" t="s">
        <v>389</v>
      </c>
      <c r="L52">
        <v>8259</v>
      </c>
      <c r="M52" t="s">
        <v>325</v>
      </c>
      <c r="N52" t="s">
        <v>394</v>
      </c>
      <c r="O52">
        <v>1</v>
      </c>
      <c r="P52">
        <v>2</v>
      </c>
      <c r="Q52">
        <v>-99</v>
      </c>
      <c r="R52" t="s">
        <v>681</v>
      </c>
    </row>
    <row r="53" spans="1:18" x14ac:dyDescent="0.2">
      <c r="A53">
        <v>52</v>
      </c>
      <c r="B53">
        <v>57</v>
      </c>
      <c r="C53" t="s">
        <v>157</v>
      </c>
      <c r="D53" t="s">
        <v>56</v>
      </c>
      <c r="E53" t="s">
        <v>569</v>
      </c>
      <c r="F53" t="s">
        <v>570</v>
      </c>
      <c r="G53" t="s">
        <v>657</v>
      </c>
      <c r="H53" t="s">
        <v>385</v>
      </c>
      <c r="I53">
        <v>382</v>
      </c>
      <c r="J53">
        <v>32</v>
      </c>
      <c r="K53" t="s">
        <v>389</v>
      </c>
      <c r="L53">
        <v>8260</v>
      </c>
      <c r="M53" t="s">
        <v>315</v>
      </c>
      <c r="N53" t="s">
        <v>395</v>
      </c>
      <c r="O53">
        <v>1</v>
      </c>
      <c r="P53">
        <v>1</v>
      </c>
      <c r="Q53">
        <v>-99</v>
      </c>
      <c r="R53" t="s">
        <v>681</v>
      </c>
    </row>
    <row r="54" spans="1:18" x14ac:dyDescent="0.2">
      <c r="A54">
        <v>53</v>
      </c>
      <c r="B54">
        <v>-99</v>
      </c>
      <c r="C54" t="s">
        <v>157</v>
      </c>
      <c r="D54" t="s">
        <v>56</v>
      </c>
      <c r="E54" t="s">
        <v>571</v>
      </c>
      <c r="F54" t="s">
        <v>209</v>
      </c>
      <c r="G54" t="s">
        <v>657</v>
      </c>
      <c r="H54" t="s">
        <v>385</v>
      </c>
      <c r="I54">
        <v>382</v>
      </c>
      <c r="J54">
        <v>32</v>
      </c>
      <c r="K54" t="s">
        <v>389</v>
      </c>
      <c r="L54">
        <v>8260</v>
      </c>
      <c r="M54" t="s">
        <v>315</v>
      </c>
      <c r="N54" t="s">
        <v>395</v>
      </c>
      <c r="O54">
        <v>-99</v>
      </c>
      <c r="P54">
        <v>1</v>
      </c>
      <c r="Q54">
        <v>-99</v>
      </c>
      <c r="R54" t="s">
        <v>208</v>
      </c>
    </row>
    <row r="55" spans="1:18" x14ac:dyDescent="0.2">
      <c r="A55">
        <v>54</v>
      </c>
      <c r="B55">
        <v>58</v>
      </c>
      <c r="C55" t="s">
        <v>158</v>
      </c>
      <c r="D55" t="s">
        <v>75</v>
      </c>
      <c r="E55" t="s">
        <v>572</v>
      </c>
      <c r="F55" t="s">
        <v>573</v>
      </c>
      <c r="G55" t="s">
        <v>657</v>
      </c>
      <c r="H55" t="s">
        <v>385</v>
      </c>
      <c r="I55">
        <v>382</v>
      </c>
      <c r="J55">
        <v>32</v>
      </c>
      <c r="K55" t="s">
        <v>389</v>
      </c>
      <c r="L55">
        <v>8261</v>
      </c>
      <c r="M55" t="s">
        <v>338</v>
      </c>
      <c r="N55" t="s">
        <v>396</v>
      </c>
      <c r="O55">
        <v>1</v>
      </c>
      <c r="P55">
        <v>2</v>
      </c>
      <c r="Q55">
        <v>-99</v>
      </c>
      <c r="R55" t="s">
        <v>681</v>
      </c>
    </row>
    <row r="56" spans="1:18" x14ac:dyDescent="0.2">
      <c r="A56">
        <v>55</v>
      </c>
      <c r="B56">
        <v>59</v>
      </c>
      <c r="C56" t="s">
        <v>159</v>
      </c>
      <c r="D56" t="s">
        <v>41</v>
      </c>
      <c r="E56" t="s">
        <v>574</v>
      </c>
      <c r="F56" t="s">
        <v>575</v>
      </c>
      <c r="G56" t="s">
        <v>657</v>
      </c>
      <c r="H56" t="s">
        <v>385</v>
      </c>
      <c r="I56">
        <v>382</v>
      </c>
      <c r="J56">
        <v>32</v>
      </c>
      <c r="K56" t="s">
        <v>389</v>
      </c>
      <c r="L56">
        <v>8262</v>
      </c>
      <c r="M56" t="s">
        <v>362</v>
      </c>
      <c r="N56" t="s">
        <v>398</v>
      </c>
      <c r="O56">
        <v>1</v>
      </c>
      <c r="P56">
        <v>2</v>
      </c>
      <c r="Q56">
        <v>-99</v>
      </c>
      <c r="R56" t="s">
        <v>681</v>
      </c>
    </row>
    <row r="57" spans="1:18" x14ac:dyDescent="0.2">
      <c r="A57">
        <v>56</v>
      </c>
      <c r="B57">
        <v>60</v>
      </c>
      <c r="C57" t="s">
        <v>160</v>
      </c>
      <c r="D57" t="s">
        <v>50</v>
      </c>
      <c r="E57" t="s">
        <v>576</v>
      </c>
      <c r="F57" t="s">
        <v>577</v>
      </c>
      <c r="G57" t="s">
        <v>657</v>
      </c>
      <c r="H57" t="s">
        <v>385</v>
      </c>
      <c r="I57">
        <v>382</v>
      </c>
      <c r="J57">
        <v>32</v>
      </c>
      <c r="K57" t="s">
        <v>389</v>
      </c>
      <c r="L57">
        <v>8263</v>
      </c>
      <c r="M57" t="s">
        <v>321</v>
      </c>
      <c r="N57" t="s">
        <v>399</v>
      </c>
      <c r="O57">
        <v>1</v>
      </c>
      <c r="P57">
        <v>2</v>
      </c>
      <c r="Q57">
        <v>-99</v>
      </c>
      <c r="R57" t="s">
        <v>681</v>
      </c>
    </row>
    <row r="58" spans="1:18" x14ac:dyDescent="0.2">
      <c r="A58">
        <v>57</v>
      </c>
      <c r="B58">
        <v>84</v>
      </c>
      <c r="C58" t="s">
        <v>161</v>
      </c>
      <c r="D58" t="s">
        <v>76</v>
      </c>
      <c r="E58" t="s">
        <v>578</v>
      </c>
      <c r="F58" t="s">
        <v>579</v>
      </c>
      <c r="G58" t="s">
        <v>657</v>
      </c>
      <c r="H58" t="s">
        <v>385</v>
      </c>
      <c r="I58">
        <v>382</v>
      </c>
      <c r="J58">
        <v>32</v>
      </c>
      <c r="K58" t="s">
        <v>389</v>
      </c>
      <c r="L58">
        <v>8264</v>
      </c>
      <c r="M58" t="s">
        <v>332</v>
      </c>
      <c r="N58" t="s">
        <v>400</v>
      </c>
      <c r="O58">
        <v>1</v>
      </c>
      <c r="P58">
        <v>1</v>
      </c>
      <c r="Q58">
        <v>-99</v>
      </c>
      <c r="R58" t="s">
        <v>681</v>
      </c>
    </row>
    <row r="59" spans="1:18" x14ac:dyDescent="0.2">
      <c r="A59">
        <v>58</v>
      </c>
      <c r="B59">
        <v>-99</v>
      </c>
      <c r="C59" t="s">
        <v>161</v>
      </c>
      <c r="D59" t="s">
        <v>76</v>
      </c>
      <c r="E59" t="s">
        <v>580</v>
      </c>
      <c r="F59" t="s">
        <v>490</v>
      </c>
      <c r="G59" t="s">
        <v>657</v>
      </c>
      <c r="H59" t="s">
        <v>385</v>
      </c>
      <c r="I59">
        <v>382</v>
      </c>
      <c r="J59">
        <v>32</v>
      </c>
      <c r="K59" t="s">
        <v>389</v>
      </c>
      <c r="L59">
        <v>8264</v>
      </c>
      <c r="M59" t="s">
        <v>332</v>
      </c>
      <c r="N59" t="s">
        <v>400</v>
      </c>
      <c r="O59">
        <v>-99</v>
      </c>
      <c r="P59">
        <v>1</v>
      </c>
      <c r="Q59">
        <v>-99</v>
      </c>
      <c r="R59" t="s">
        <v>653</v>
      </c>
    </row>
    <row r="60" spans="1:18" x14ac:dyDescent="0.2">
      <c r="A60">
        <v>59</v>
      </c>
      <c r="B60">
        <v>-99</v>
      </c>
      <c r="C60" t="s">
        <v>161</v>
      </c>
      <c r="D60" t="s">
        <v>76</v>
      </c>
      <c r="E60" t="s">
        <v>581</v>
      </c>
      <c r="F60" t="s">
        <v>212</v>
      </c>
      <c r="G60" t="s">
        <v>657</v>
      </c>
      <c r="H60" t="s">
        <v>385</v>
      </c>
      <c r="I60">
        <v>382</v>
      </c>
      <c r="J60">
        <v>32</v>
      </c>
      <c r="K60" t="s">
        <v>389</v>
      </c>
      <c r="L60">
        <v>8264</v>
      </c>
      <c r="M60" t="s">
        <v>332</v>
      </c>
      <c r="N60" t="s">
        <v>400</v>
      </c>
      <c r="O60">
        <v>-99</v>
      </c>
      <c r="P60">
        <v>1</v>
      </c>
      <c r="Q60">
        <v>-99</v>
      </c>
      <c r="R60" t="s">
        <v>208</v>
      </c>
    </row>
    <row r="61" spans="1:18" x14ac:dyDescent="0.2">
      <c r="A61">
        <v>60</v>
      </c>
      <c r="B61">
        <v>100</v>
      </c>
      <c r="C61" t="s">
        <v>162</v>
      </c>
      <c r="D61" t="s">
        <v>40</v>
      </c>
      <c r="E61" t="s">
        <v>582</v>
      </c>
      <c r="F61" t="s">
        <v>583</v>
      </c>
      <c r="G61" t="s">
        <v>659</v>
      </c>
      <c r="H61" t="s">
        <v>401</v>
      </c>
      <c r="I61">
        <v>383</v>
      </c>
      <c r="J61">
        <v>33</v>
      </c>
      <c r="K61" t="s">
        <v>384</v>
      </c>
      <c r="L61">
        <v>8268</v>
      </c>
      <c r="M61" t="s">
        <v>349</v>
      </c>
      <c r="N61" t="s">
        <v>402</v>
      </c>
      <c r="O61">
        <v>1</v>
      </c>
      <c r="P61">
        <v>2</v>
      </c>
      <c r="Q61">
        <v>-99</v>
      </c>
      <c r="R61" t="s">
        <v>681</v>
      </c>
    </row>
    <row r="62" spans="1:18" x14ac:dyDescent="0.2">
      <c r="A62">
        <v>61</v>
      </c>
      <c r="B62">
        <v>101</v>
      </c>
      <c r="C62" t="s">
        <v>163</v>
      </c>
      <c r="D62" t="s">
        <v>31</v>
      </c>
      <c r="E62" t="s">
        <v>584</v>
      </c>
      <c r="F62" t="s">
        <v>585</v>
      </c>
      <c r="G62" t="s">
        <v>659</v>
      </c>
      <c r="H62" t="s">
        <v>401</v>
      </c>
      <c r="I62">
        <v>383</v>
      </c>
      <c r="J62">
        <v>34</v>
      </c>
      <c r="K62" t="s">
        <v>403</v>
      </c>
      <c r="L62">
        <v>8269</v>
      </c>
      <c r="M62" t="s">
        <v>317</v>
      </c>
      <c r="N62" t="s">
        <v>404</v>
      </c>
      <c r="O62">
        <v>1</v>
      </c>
      <c r="P62">
        <v>2</v>
      </c>
      <c r="Q62">
        <v>-99</v>
      </c>
      <c r="R62" t="s">
        <v>681</v>
      </c>
    </row>
    <row r="63" spans="1:18" x14ac:dyDescent="0.2">
      <c r="A63">
        <v>62</v>
      </c>
      <c r="B63">
        <v>102</v>
      </c>
      <c r="C63" t="s">
        <v>164</v>
      </c>
      <c r="D63" t="s">
        <v>70</v>
      </c>
      <c r="E63" t="s">
        <v>586</v>
      </c>
      <c r="F63" t="s">
        <v>587</v>
      </c>
      <c r="G63" t="s">
        <v>659</v>
      </c>
      <c r="H63" t="s">
        <v>401</v>
      </c>
      <c r="I63">
        <v>383</v>
      </c>
      <c r="J63">
        <v>33</v>
      </c>
      <c r="K63" t="s">
        <v>384</v>
      </c>
      <c r="L63">
        <v>8270</v>
      </c>
      <c r="M63" t="s">
        <v>343</v>
      </c>
      <c r="N63" t="s">
        <v>405</v>
      </c>
      <c r="O63">
        <v>1</v>
      </c>
      <c r="P63">
        <v>1</v>
      </c>
      <c r="Q63">
        <v>-99</v>
      </c>
      <c r="R63" t="s">
        <v>681</v>
      </c>
    </row>
    <row r="64" spans="1:18" x14ac:dyDescent="0.2">
      <c r="A64">
        <v>63</v>
      </c>
      <c r="B64">
        <v>-99</v>
      </c>
      <c r="C64" t="s">
        <v>164</v>
      </c>
      <c r="D64" t="s">
        <v>70</v>
      </c>
      <c r="E64" t="s">
        <v>588</v>
      </c>
      <c r="F64" t="s">
        <v>211</v>
      </c>
      <c r="G64" t="s">
        <v>659</v>
      </c>
      <c r="H64" t="s">
        <v>401</v>
      </c>
      <c r="I64">
        <v>383</v>
      </c>
      <c r="J64">
        <v>33</v>
      </c>
      <c r="K64" t="s">
        <v>384</v>
      </c>
      <c r="L64">
        <v>8270</v>
      </c>
      <c r="M64" t="s">
        <v>343</v>
      </c>
      <c r="N64" t="s">
        <v>405</v>
      </c>
      <c r="O64">
        <v>-99</v>
      </c>
      <c r="P64">
        <v>1</v>
      </c>
      <c r="Q64">
        <v>-99</v>
      </c>
      <c r="R64" t="s">
        <v>678</v>
      </c>
    </row>
    <row r="65" spans="1:18" x14ac:dyDescent="0.2">
      <c r="A65">
        <v>64</v>
      </c>
      <c r="B65">
        <v>103</v>
      </c>
      <c r="C65" t="s">
        <v>165</v>
      </c>
      <c r="D65" t="s">
        <v>62</v>
      </c>
      <c r="E65" t="s">
        <v>589</v>
      </c>
      <c r="F65" t="s">
        <v>590</v>
      </c>
      <c r="G65" t="s">
        <v>659</v>
      </c>
      <c r="H65" t="s">
        <v>401</v>
      </c>
      <c r="I65">
        <v>383</v>
      </c>
      <c r="J65">
        <v>34</v>
      </c>
      <c r="K65" t="s">
        <v>403</v>
      </c>
      <c r="L65">
        <v>8272</v>
      </c>
      <c r="M65" t="s">
        <v>331</v>
      </c>
      <c r="N65" t="s">
        <v>406</v>
      </c>
      <c r="O65">
        <v>1</v>
      </c>
      <c r="P65">
        <v>2</v>
      </c>
      <c r="Q65">
        <v>-99</v>
      </c>
      <c r="R65" t="s">
        <v>681</v>
      </c>
    </row>
    <row r="66" spans="1:18" x14ac:dyDescent="0.2">
      <c r="A66">
        <v>65</v>
      </c>
      <c r="B66">
        <v>104</v>
      </c>
      <c r="C66" t="s">
        <v>166</v>
      </c>
      <c r="D66" t="s">
        <v>52</v>
      </c>
      <c r="E66" t="s">
        <v>591</v>
      </c>
      <c r="F66" t="s">
        <v>592</v>
      </c>
      <c r="G66" t="s">
        <v>659</v>
      </c>
      <c r="H66" t="s">
        <v>401</v>
      </c>
      <c r="I66">
        <v>383</v>
      </c>
      <c r="J66">
        <v>34</v>
      </c>
      <c r="K66" t="s">
        <v>403</v>
      </c>
      <c r="L66">
        <v>8221</v>
      </c>
      <c r="M66" t="s">
        <v>331</v>
      </c>
      <c r="N66" t="s">
        <v>406</v>
      </c>
      <c r="O66">
        <v>1</v>
      </c>
      <c r="P66">
        <v>2</v>
      </c>
      <c r="Q66">
        <v>-99</v>
      </c>
      <c r="R66" t="s">
        <v>681</v>
      </c>
    </row>
    <row r="67" spans="1:18" x14ac:dyDescent="0.2">
      <c r="A67">
        <v>66</v>
      </c>
      <c r="B67">
        <v>196</v>
      </c>
      <c r="C67" t="s">
        <v>167</v>
      </c>
      <c r="D67" t="s">
        <v>64</v>
      </c>
      <c r="E67" t="s">
        <v>593</v>
      </c>
      <c r="F67" t="s">
        <v>594</v>
      </c>
      <c r="G67" t="s">
        <v>659</v>
      </c>
      <c r="H67" t="s">
        <v>401</v>
      </c>
      <c r="I67">
        <v>383</v>
      </c>
      <c r="J67">
        <v>34</v>
      </c>
      <c r="K67" t="s">
        <v>403</v>
      </c>
      <c r="L67">
        <v>8202</v>
      </c>
      <c r="M67" t="s">
        <v>344</v>
      </c>
      <c r="N67" t="s">
        <v>425</v>
      </c>
      <c r="O67">
        <v>1</v>
      </c>
      <c r="P67">
        <v>2</v>
      </c>
      <c r="Q67">
        <v>-99</v>
      </c>
      <c r="R67" t="s">
        <v>681</v>
      </c>
    </row>
    <row r="68" spans="1:18" x14ac:dyDescent="0.2">
      <c r="A68">
        <v>67</v>
      </c>
      <c r="B68">
        <v>110</v>
      </c>
      <c r="C68" t="s">
        <v>168</v>
      </c>
      <c r="D68" t="s">
        <v>73</v>
      </c>
      <c r="E68" t="s">
        <v>595</v>
      </c>
      <c r="F68" t="s">
        <v>596</v>
      </c>
      <c r="G68" t="s">
        <v>659</v>
      </c>
      <c r="H68" t="s">
        <v>401</v>
      </c>
      <c r="I68">
        <v>383</v>
      </c>
      <c r="J68">
        <v>34</v>
      </c>
      <c r="K68" t="s">
        <v>403</v>
      </c>
      <c r="L68">
        <v>8203</v>
      </c>
      <c r="M68" t="s">
        <v>328</v>
      </c>
      <c r="N68" t="s">
        <v>80</v>
      </c>
      <c r="O68">
        <v>1</v>
      </c>
      <c r="P68">
        <v>1</v>
      </c>
      <c r="Q68">
        <v>-99</v>
      </c>
      <c r="R68" t="s">
        <v>681</v>
      </c>
    </row>
    <row r="69" spans="1:18" x14ac:dyDescent="0.2">
      <c r="A69">
        <v>68</v>
      </c>
      <c r="B69">
        <v>-99</v>
      </c>
      <c r="C69" t="s">
        <v>168</v>
      </c>
      <c r="D69" t="s">
        <v>73</v>
      </c>
      <c r="E69" t="s">
        <v>597</v>
      </c>
      <c r="F69" t="s">
        <v>598</v>
      </c>
      <c r="G69" t="s">
        <v>659</v>
      </c>
      <c r="H69" t="s">
        <v>401</v>
      </c>
      <c r="I69">
        <v>383</v>
      </c>
      <c r="J69">
        <v>34</v>
      </c>
      <c r="K69" t="s">
        <v>403</v>
      </c>
      <c r="L69">
        <v>8203</v>
      </c>
      <c r="M69" t="s">
        <v>328</v>
      </c>
      <c r="N69" t="s">
        <v>80</v>
      </c>
      <c r="O69">
        <v>-99</v>
      </c>
      <c r="P69">
        <v>1</v>
      </c>
      <c r="Q69">
        <v>-99</v>
      </c>
      <c r="R69" t="s">
        <v>397</v>
      </c>
    </row>
    <row r="70" spans="1:18" x14ac:dyDescent="0.2">
      <c r="A70">
        <v>69</v>
      </c>
      <c r="B70">
        <v>111</v>
      </c>
      <c r="C70" t="s">
        <v>169</v>
      </c>
      <c r="D70" t="s">
        <v>34</v>
      </c>
      <c r="E70" t="s">
        <v>599</v>
      </c>
      <c r="F70" t="s">
        <v>600</v>
      </c>
      <c r="G70" t="s">
        <v>659</v>
      </c>
      <c r="H70" t="s">
        <v>401</v>
      </c>
      <c r="I70">
        <v>383</v>
      </c>
      <c r="J70">
        <v>34</v>
      </c>
      <c r="K70" t="s">
        <v>403</v>
      </c>
      <c r="L70">
        <v>8204</v>
      </c>
      <c r="M70" t="s">
        <v>333</v>
      </c>
      <c r="N70" t="s">
        <v>407</v>
      </c>
      <c r="O70">
        <v>1</v>
      </c>
      <c r="P70">
        <v>2</v>
      </c>
      <c r="Q70">
        <v>-99</v>
      </c>
      <c r="R70" t="s">
        <v>681</v>
      </c>
    </row>
    <row r="71" spans="1:18" x14ac:dyDescent="0.2">
      <c r="A71">
        <v>70</v>
      </c>
      <c r="B71">
        <v>112</v>
      </c>
      <c r="C71" t="s">
        <v>170</v>
      </c>
      <c r="D71" t="s">
        <v>66</v>
      </c>
      <c r="E71" t="s">
        <v>601</v>
      </c>
      <c r="F71" t="s">
        <v>602</v>
      </c>
      <c r="G71" t="s">
        <v>659</v>
      </c>
      <c r="H71" t="s">
        <v>401</v>
      </c>
      <c r="I71">
        <v>383</v>
      </c>
      <c r="J71">
        <v>34</v>
      </c>
      <c r="K71" t="s">
        <v>403</v>
      </c>
      <c r="L71">
        <v>8205</v>
      </c>
      <c r="M71" t="s">
        <v>350</v>
      </c>
      <c r="N71" t="s">
        <v>408</v>
      </c>
      <c r="O71">
        <v>1</v>
      </c>
      <c r="P71">
        <v>2</v>
      </c>
      <c r="Q71">
        <v>-99</v>
      </c>
      <c r="R71" t="s">
        <v>681</v>
      </c>
    </row>
    <row r="72" spans="1:18" x14ac:dyDescent="0.2">
      <c r="A72">
        <v>71</v>
      </c>
      <c r="B72">
        <v>113</v>
      </c>
      <c r="C72" t="s">
        <v>171</v>
      </c>
      <c r="D72" t="s">
        <v>79</v>
      </c>
      <c r="E72" t="s">
        <v>603</v>
      </c>
      <c r="F72" t="s">
        <v>604</v>
      </c>
      <c r="G72" t="s">
        <v>657</v>
      </c>
      <c r="H72" t="s">
        <v>385</v>
      </c>
      <c r="I72">
        <v>382</v>
      </c>
      <c r="J72">
        <v>33</v>
      </c>
      <c r="K72" t="s">
        <v>384</v>
      </c>
      <c r="L72">
        <v>8206</v>
      </c>
      <c r="M72" t="s">
        <v>326</v>
      </c>
      <c r="N72" t="s">
        <v>409</v>
      </c>
      <c r="O72">
        <v>1</v>
      </c>
      <c r="P72">
        <v>2</v>
      </c>
      <c r="Q72">
        <v>-99</v>
      </c>
      <c r="R72" t="s">
        <v>681</v>
      </c>
    </row>
    <row r="73" spans="1:18" x14ac:dyDescent="0.2">
      <c r="A73">
        <v>72</v>
      </c>
      <c r="B73">
        <v>114</v>
      </c>
      <c r="C73" t="s">
        <v>172</v>
      </c>
      <c r="D73" t="s">
        <v>51</v>
      </c>
      <c r="E73" t="s">
        <v>605</v>
      </c>
      <c r="F73" t="s">
        <v>606</v>
      </c>
      <c r="G73" t="s">
        <v>657</v>
      </c>
      <c r="H73" t="s">
        <v>385</v>
      </c>
      <c r="I73">
        <v>382</v>
      </c>
      <c r="J73">
        <v>33</v>
      </c>
      <c r="K73" t="s">
        <v>384</v>
      </c>
      <c r="L73">
        <v>8207</v>
      </c>
      <c r="M73" t="s">
        <v>314</v>
      </c>
      <c r="N73" t="s">
        <v>410</v>
      </c>
      <c r="O73">
        <v>1</v>
      </c>
      <c r="P73">
        <v>2</v>
      </c>
      <c r="Q73">
        <v>-99</v>
      </c>
      <c r="R73" t="s">
        <v>681</v>
      </c>
    </row>
    <row r="74" spans="1:18" x14ac:dyDescent="0.2">
      <c r="A74">
        <v>73</v>
      </c>
      <c r="B74">
        <v>115</v>
      </c>
      <c r="C74" t="s">
        <v>173</v>
      </c>
      <c r="D74" t="s">
        <v>27</v>
      </c>
      <c r="E74" t="s">
        <v>607</v>
      </c>
      <c r="F74" t="s">
        <v>608</v>
      </c>
      <c r="G74" t="s">
        <v>657</v>
      </c>
      <c r="H74" t="s">
        <v>385</v>
      </c>
      <c r="I74">
        <v>382</v>
      </c>
      <c r="J74">
        <v>33</v>
      </c>
      <c r="K74" t="s">
        <v>384</v>
      </c>
      <c r="L74">
        <v>8208</v>
      </c>
      <c r="M74" t="s">
        <v>337</v>
      </c>
      <c r="N74" t="s">
        <v>411</v>
      </c>
      <c r="O74">
        <v>1</v>
      </c>
      <c r="P74">
        <v>2</v>
      </c>
      <c r="Q74">
        <v>-99</v>
      </c>
      <c r="R74" t="s">
        <v>681</v>
      </c>
    </row>
    <row r="75" spans="1:18" x14ac:dyDescent="0.2">
      <c r="A75">
        <v>74</v>
      </c>
      <c r="B75">
        <v>116</v>
      </c>
      <c r="C75" t="s">
        <v>174</v>
      </c>
      <c r="D75" t="s">
        <v>68</v>
      </c>
      <c r="E75" t="s">
        <v>609</v>
      </c>
      <c r="F75" t="s">
        <v>610</v>
      </c>
      <c r="G75" t="s">
        <v>659</v>
      </c>
      <c r="H75" t="s">
        <v>401</v>
      </c>
      <c r="I75">
        <v>383</v>
      </c>
      <c r="J75">
        <v>34</v>
      </c>
      <c r="K75" t="s">
        <v>403</v>
      </c>
      <c r="L75">
        <v>8210</v>
      </c>
      <c r="M75" t="s">
        <v>327</v>
      </c>
      <c r="N75" t="s">
        <v>412</v>
      </c>
      <c r="O75">
        <v>1</v>
      </c>
      <c r="P75">
        <v>2</v>
      </c>
      <c r="Q75">
        <v>-99</v>
      </c>
      <c r="R75" t="s">
        <v>681</v>
      </c>
    </row>
    <row r="76" spans="1:18" x14ac:dyDescent="0.2">
      <c r="A76">
        <v>75</v>
      </c>
      <c r="B76">
        <v>197</v>
      </c>
      <c r="C76" t="s">
        <v>175</v>
      </c>
      <c r="D76" t="s">
        <v>72</v>
      </c>
      <c r="E76" t="s">
        <v>611</v>
      </c>
      <c r="F76" t="s">
        <v>612</v>
      </c>
      <c r="G76" t="s">
        <v>656</v>
      </c>
      <c r="H76" t="s">
        <v>376</v>
      </c>
      <c r="I76">
        <v>381</v>
      </c>
      <c r="J76">
        <v>31</v>
      </c>
      <c r="K76" t="s">
        <v>379</v>
      </c>
      <c r="L76">
        <v>8211</v>
      </c>
      <c r="M76" t="s">
        <v>330</v>
      </c>
      <c r="N76" t="s">
        <v>426</v>
      </c>
      <c r="O76">
        <v>1</v>
      </c>
      <c r="P76">
        <v>2</v>
      </c>
      <c r="Q76">
        <v>-99</v>
      </c>
      <c r="R76" t="s">
        <v>681</v>
      </c>
    </row>
    <row r="77" spans="1:18" x14ac:dyDescent="0.2">
      <c r="A77">
        <v>76</v>
      </c>
      <c r="B77">
        <v>119</v>
      </c>
      <c r="C77" t="s">
        <v>176</v>
      </c>
      <c r="D77" t="s">
        <v>55</v>
      </c>
      <c r="E77" t="s">
        <v>613</v>
      </c>
      <c r="F77" t="s">
        <v>614</v>
      </c>
      <c r="G77" t="s">
        <v>659</v>
      </c>
      <c r="H77" t="s">
        <v>401</v>
      </c>
      <c r="I77">
        <v>383</v>
      </c>
      <c r="J77">
        <v>34</v>
      </c>
      <c r="K77" t="s">
        <v>403</v>
      </c>
      <c r="L77">
        <v>8223</v>
      </c>
      <c r="M77" t="s">
        <v>615</v>
      </c>
      <c r="N77" t="s">
        <v>616</v>
      </c>
      <c r="O77">
        <v>1</v>
      </c>
      <c r="P77">
        <v>2</v>
      </c>
      <c r="Q77">
        <v>-99</v>
      </c>
      <c r="R77" t="s">
        <v>681</v>
      </c>
    </row>
    <row r="78" spans="1:18" x14ac:dyDescent="0.2">
      <c r="A78">
        <v>77</v>
      </c>
      <c r="B78">
        <v>131</v>
      </c>
      <c r="C78" t="s">
        <v>177</v>
      </c>
      <c r="D78" t="s">
        <v>46</v>
      </c>
      <c r="E78" t="s">
        <v>617</v>
      </c>
      <c r="F78" t="s">
        <v>618</v>
      </c>
      <c r="G78" t="s">
        <v>657</v>
      </c>
      <c r="H78" t="s">
        <v>385</v>
      </c>
      <c r="I78">
        <v>382</v>
      </c>
      <c r="J78">
        <v>33</v>
      </c>
      <c r="K78" t="s">
        <v>384</v>
      </c>
      <c r="L78">
        <v>8226</v>
      </c>
      <c r="M78" t="s">
        <v>326</v>
      </c>
      <c r="N78" t="s">
        <v>409</v>
      </c>
      <c r="O78">
        <v>1</v>
      </c>
      <c r="P78">
        <v>2</v>
      </c>
      <c r="Q78">
        <v>-99</v>
      </c>
      <c r="R78" t="s">
        <v>681</v>
      </c>
    </row>
    <row r="79" spans="1:18" x14ac:dyDescent="0.2">
      <c r="A79">
        <v>78</v>
      </c>
      <c r="B79">
        <v>132</v>
      </c>
      <c r="C79" t="s">
        <v>668</v>
      </c>
      <c r="D79" t="s">
        <v>429</v>
      </c>
      <c r="E79" t="s">
        <v>619</v>
      </c>
      <c r="F79" t="s">
        <v>669</v>
      </c>
      <c r="G79" t="s">
        <v>656</v>
      </c>
      <c r="H79" t="s">
        <v>376</v>
      </c>
      <c r="I79">
        <v>381</v>
      </c>
      <c r="J79">
        <v>30</v>
      </c>
      <c r="K79" t="s">
        <v>368</v>
      </c>
      <c r="L79">
        <v>8229</v>
      </c>
      <c r="M79" t="s">
        <v>345</v>
      </c>
      <c r="N79" t="s">
        <v>413</v>
      </c>
      <c r="O79">
        <v>1</v>
      </c>
      <c r="P79">
        <v>2</v>
      </c>
      <c r="Q79">
        <v>-99</v>
      </c>
      <c r="R79" t="s">
        <v>681</v>
      </c>
    </row>
    <row r="80" spans="1:18" x14ac:dyDescent="0.2">
      <c r="A80">
        <v>79</v>
      </c>
      <c r="B80">
        <v>143</v>
      </c>
      <c r="C80" t="s">
        <v>178</v>
      </c>
      <c r="D80" t="s">
        <v>54</v>
      </c>
      <c r="E80" t="s">
        <v>620</v>
      </c>
      <c r="F80" t="s">
        <v>621</v>
      </c>
      <c r="G80" t="s">
        <v>655</v>
      </c>
      <c r="H80" t="s">
        <v>369</v>
      </c>
      <c r="I80">
        <v>380</v>
      </c>
      <c r="J80">
        <v>30</v>
      </c>
      <c r="K80" t="s">
        <v>368</v>
      </c>
      <c r="L80">
        <v>8230</v>
      </c>
      <c r="M80" t="s">
        <v>358</v>
      </c>
      <c r="N80" t="s">
        <v>414</v>
      </c>
      <c r="O80">
        <v>1</v>
      </c>
      <c r="P80">
        <v>2</v>
      </c>
      <c r="Q80">
        <v>-99</v>
      </c>
      <c r="R80" t="s">
        <v>681</v>
      </c>
    </row>
    <row r="81" spans="1:18" x14ac:dyDescent="0.2">
      <c r="A81">
        <v>80</v>
      </c>
      <c r="B81">
        <v>144</v>
      </c>
      <c r="C81" t="s">
        <v>670</v>
      </c>
      <c r="D81" t="s">
        <v>488</v>
      </c>
      <c r="E81" t="s">
        <v>670</v>
      </c>
      <c r="F81" t="s">
        <v>488</v>
      </c>
      <c r="G81" t="s">
        <v>667</v>
      </c>
      <c r="H81" t="s">
        <v>8</v>
      </c>
      <c r="I81">
        <v>-99</v>
      </c>
      <c r="J81">
        <v>35</v>
      </c>
      <c r="K81" t="s">
        <v>8</v>
      </c>
      <c r="L81">
        <v>8215</v>
      </c>
      <c r="M81" t="s">
        <v>338</v>
      </c>
      <c r="N81" t="s">
        <v>396</v>
      </c>
      <c r="O81">
        <v>1</v>
      </c>
      <c r="P81">
        <v>2</v>
      </c>
      <c r="Q81">
        <v>-99</v>
      </c>
      <c r="R81" t="s">
        <v>653</v>
      </c>
    </row>
    <row r="82" spans="1:18" x14ac:dyDescent="0.2">
      <c r="A82">
        <v>81</v>
      </c>
      <c r="B82">
        <v>145</v>
      </c>
      <c r="C82" t="s">
        <v>179</v>
      </c>
      <c r="D82" t="s">
        <v>71</v>
      </c>
      <c r="E82" t="s">
        <v>622</v>
      </c>
      <c r="F82" t="s">
        <v>623</v>
      </c>
      <c r="G82" t="s">
        <v>659</v>
      </c>
      <c r="H82" t="s">
        <v>401</v>
      </c>
      <c r="I82">
        <v>383</v>
      </c>
      <c r="J82">
        <v>34</v>
      </c>
      <c r="K82" t="s">
        <v>403</v>
      </c>
      <c r="L82">
        <v>8231</v>
      </c>
      <c r="M82" t="s">
        <v>331</v>
      </c>
      <c r="N82" t="s">
        <v>406</v>
      </c>
      <c r="O82">
        <v>1</v>
      </c>
      <c r="P82">
        <v>1</v>
      </c>
      <c r="Q82">
        <v>-99</v>
      </c>
      <c r="R82" t="s">
        <v>681</v>
      </c>
    </row>
    <row r="83" spans="1:18" x14ac:dyDescent="0.2">
      <c r="A83">
        <v>82</v>
      </c>
      <c r="B83">
        <v>-99</v>
      </c>
      <c r="C83" t="s">
        <v>179</v>
      </c>
      <c r="D83" t="s">
        <v>71</v>
      </c>
      <c r="E83" t="s">
        <v>624</v>
      </c>
      <c r="F83" t="s">
        <v>955</v>
      </c>
      <c r="G83" t="s">
        <v>659</v>
      </c>
      <c r="H83" t="s">
        <v>401</v>
      </c>
      <c r="I83">
        <v>383</v>
      </c>
      <c r="J83">
        <v>34</v>
      </c>
      <c r="K83" t="s">
        <v>403</v>
      </c>
      <c r="L83">
        <v>8231</v>
      </c>
      <c r="M83" t="s">
        <v>331</v>
      </c>
      <c r="N83" t="s">
        <v>406</v>
      </c>
      <c r="O83">
        <v>-99</v>
      </c>
      <c r="P83">
        <v>1</v>
      </c>
      <c r="Q83">
        <v>-99</v>
      </c>
      <c r="R83" t="s">
        <v>679</v>
      </c>
    </row>
    <row r="84" spans="1:18" x14ac:dyDescent="0.2">
      <c r="A84">
        <v>83</v>
      </c>
      <c r="B84">
        <v>151</v>
      </c>
      <c r="C84" t="s">
        <v>671</v>
      </c>
      <c r="D84" t="s">
        <v>1055</v>
      </c>
      <c r="E84" t="s">
        <v>671</v>
      </c>
      <c r="F84" t="s">
        <v>489</v>
      </c>
      <c r="G84" t="s">
        <v>667</v>
      </c>
      <c r="H84" t="s">
        <v>8</v>
      </c>
      <c r="I84">
        <v>380</v>
      </c>
      <c r="J84">
        <v>35</v>
      </c>
      <c r="K84" t="s">
        <v>8</v>
      </c>
      <c r="L84">
        <v>3180155</v>
      </c>
      <c r="M84" t="s">
        <v>345</v>
      </c>
      <c r="N84" t="s">
        <v>413</v>
      </c>
      <c r="O84">
        <v>1</v>
      </c>
      <c r="P84">
        <v>2</v>
      </c>
      <c r="Q84">
        <v>-99</v>
      </c>
      <c r="R84" t="s">
        <v>653</v>
      </c>
    </row>
    <row r="85" spans="1:18" x14ac:dyDescent="0.2">
      <c r="A85">
        <v>84</v>
      </c>
      <c r="B85">
        <v>152</v>
      </c>
      <c r="C85" t="s">
        <v>180</v>
      </c>
      <c r="D85" t="s">
        <v>78</v>
      </c>
      <c r="E85" t="s">
        <v>625</v>
      </c>
      <c r="F85" t="s">
        <v>626</v>
      </c>
      <c r="G85" t="s">
        <v>655</v>
      </c>
      <c r="H85" t="s">
        <v>369</v>
      </c>
      <c r="I85">
        <v>380</v>
      </c>
      <c r="J85">
        <v>30</v>
      </c>
      <c r="K85" t="s">
        <v>368</v>
      </c>
      <c r="L85">
        <v>8234</v>
      </c>
      <c r="M85" t="s">
        <v>351</v>
      </c>
      <c r="N85" t="s">
        <v>415</v>
      </c>
      <c r="O85">
        <v>1</v>
      </c>
      <c r="P85">
        <v>2</v>
      </c>
      <c r="Q85">
        <v>-99</v>
      </c>
      <c r="R85" t="s">
        <v>681</v>
      </c>
    </row>
    <row r="86" spans="1:18" x14ac:dyDescent="0.2">
      <c r="A86">
        <v>85</v>
      </c>
      <c r="B86">
        <v>153</v>
      </c>
      <c r="C86" t="s">
        <v>89</v>
      </c>
      <c r="D86" t="s">
        <v>135</v>
      </c>
      <c r="E86" t="s">
        <v>627</v>
      </c>
      <c r="F86" t="s">
        <v>628</v>
      </c>
      <c r="G86" t="s">
        <v>655</v>
      </c>
      <c r="H86" t="s">
        <v>369</v>
      </c>
      <c r="I86">
        <v>380</v>
      </c>
      <c r="J86">
        <v>30</v>
      </c>
      <c r="K86" t="s">
        <v>368</v>
      </c>
      <c r="L86">
        <v>8236</v>
      </c>
      <c r="M86" t="s">
        <v>364</v>
      </c>
      <c r="N86" t="s">
        <v>416</v>
      </c>
      <c r="O86">
        <v>1</v>
      </c>
      <c r="P86">
        <v>2</v>
      </c>
      <c r="Q86">
        <v>-99</v>
      </c>
      <c r="R86" t="s">
        <v>681</v>
      </c>
    </row>
    <row r="87" spans="1:18" x14ac:dyDescent="0.2">
      <c r="A87">
        <v>86</v>
      </c>
      <c r="B87">
        <v>154</v>
      </c>
      <c r="C87" t="s">
        <v>182</v>
      </c>
      <c r="D87" t="s">
        <v>181</v>
      </c>
      <c r="E87" t="s">
        <v>629</v>
      </c>
      <c r="F87" t="s">
        <v>630</v>
      </c>
      <c r="G87" t="s">
        <v>659</v>
      </c>
      <c r="H87" t="s">
        <v>401</v>
      </c>
      <c r="I87">
        <v>383</v>
      </c>
      <c r="J87">
        <v>33</v>
      </c>
      <c r="K87" t="s">
        <v>384</v>
      </c>
      <c r="L87">
        <v>8265</v>
      </c>
      <c r="M87" t="s">
        <v>357</v>
      </c>
      <c r="N87" t="s">
        <v>417</v>
      </c>
      <c r="O87">
        <v>1</v>
      </c>
      <c r="P87">
        <v>2</v>
      </c>
      <c r="Q87">
        <v>-99</v>
      </c>
      <c r="R87" t="s">
        <v>681</v>
      </c>
    </row>
    <row r="88" spans="1:18" x14ac:dyDescent="0.2">
      <c r="A88">
        <v>87</v>
      </c>
      <c r="B88">
        <v>155</v>
      </c>
      <c r="C88" t="s">
        <v>183</v>
      </c>
      <c r="D88" t="s">
        <v>43</v>
      </c>
      <c r="E88" t="s">
        <v>631</v>
      </c>
      <c r="F88" t="s">
        <v>632</v>
      </c>
      <c r="G88" t="s">
        <v>657</v>
      </c>
      <c r="H88" t="s">
        <v>385</v>
      </c>
      <c r="I88">
        <v>382</v>
      </c>
      <c r="J88">
        <v>32</v>
      </c>
      <c r="K88" t="s">
        <v>389</v>
      </c>
      <c r="L88">
        <v>8266</v>
      </c>
      <c r="M88" t="s">
        <v>322</v>
      </c>
      <c r="N88" t="s">
        <v>418</v>
      </c>
      <c r="O88">
        <v>1</v>
      </c>
      <c r="P88">
        <v>2</v>
      </c>
      <c r="Q88">
        <v>-99</v>
      </c>
      <c r="R88" t="s">
        <v>681</v>
      </c>
    </row>
    <row r="89" spans="1:18" x14ac:dyDescent="0.2">
      <c r="A89">
        <v>88</v>
      </c>
      <c r="B89">
        <v>156</v>
      </c>
      <c r="C89" t="s">
        <v>184</v>
      </c>
      <c r="D89" t="s">
        <v>74</v>
      </c>
      <c r="E89" t="s">
        <v>633</v>
      </c>
      <c r="F89" t="s">
        <v>634</v>
      </c>
      <c r="G89" t="s">
        <v>657</v>
      </c>
      <c r="H89" t="s">
        <v>385</v>
      </c>
      <c r="I89">
        <v>382</v>
      </c>
      <c r="J89">
        <v>32</v>
      </c>
      <c r="K89" t="s">
        <v>389</v>
      </c>
      <c r="L89">
        <v>8267</v>
      </c>
      <c r="M89" t="s">
        <v>340</v>
      </c>
      <c r="N89" t="s">
        <v>419</v>
      </c>
      <c r="O89">
        <v>1</v>
      </c>
      <c r="P89">
        <v>2</v>
      </c>
      <c r="Q89">
        <v>-99</v>
      </c>
      <c r="R89" t="s">
        <v>681</v>
      </c>
    </row>
    <row r="90" spans="1:18" x14ac:dyDescent="0.2">
      <c r="A90">
        <v>89</v>
      </c>
      <c r="B90">
        <v>157</v>
      </c>
      <c r="C90" t="s">
        <v>672</v>
      </c>
      <c r="D90" t="s">
        <v>36</v>
      </c>
      <c r="E90" t="s">
        <v>635</v>
      </c>
      <c r="F90" t="s">
        <v>636</v>
      </c>
      <c r="G90" t="s">
        <v>659</v>
      </c>
      <c r="H90" t="s">
        <v>401</v>
      </c>
      <c r="I90">
        <v>383</v>
      </c>
      <c r="J90">
        <v>33</v>
      </c>
      <c r="K90" t="s">
        <v>384</v>
      </c>
      <c r="L90">
        <v>8271</v>
      </c>
      <c r="M90" t="s">
        <v>318</v>
      </c>
      <c r="N90" t="s">
        <v>420</v>
      </c>
      <c r="O90">
        <v>1</v>
      </c>
      <c r="P90">
        <v>2</v>
      </c>
      <c r="Q90">
        <v>-99</v>
      </c>
      <c r="R90" t="s">
        <v>681</v>
      </c>
    </row>
    <row r="91" spans="1:18" x14ac:dyDescent="0.2">
      <c r="A91">
        <v>90</v>
      </c>
      <c r="B91">
        <v>158</v>
      </c>
      <c r="C91" t="s">
        <v>185</v>
      </c>
      <c r="D91" t="s">
        <v>81</v>
      </c>
      <c r="E91" t="s">
        <v>637</v>
      </c>
      <c r="F91" t="s">
        <v>638</v>
      </c>
      <c r="G91" t="s">
        <v>657</v>
      </c>
      <c r="H91" t="s">
        <v>385</v>
      </c>
      <c r="I91">
        <v>382</v>
      </c>
      <c r="J91">
        <v>32</v>
      </c>
      <c r="K91" t="s">
        <v>389</v>
      </c>
      <c r="L91">
        <v>8209</v>
      </c>
      <c r="M91" t="s">
        <v>363</v>
      </c>
      <c r="N91" t="s">
        <v>421</v>
      </c>
      <c r="O91">
        <v>1</v>
      </c>
      <c r="P91">
        <v>2</v>
      </c>
      <c r="Q91">
        <v>-99</v>
      </c>
      <c r="R91" t="s">
        <v>681</v>
      </c>
    </row>
    <row r="92" spans="1:18" x14ac:dyDescent="0.2">
      <c r="A92">
        <v>91</v>
      </c>
      <c r="B92">
        <v>198</v>
      </c>
      <c r="C92" t="s">
        <v>186</v>
      </c>
      <c r="D92" t="s">
        <v>45</v>
      </c>
      <c r="E92" t="s">
        <v>639</v>
      </c>
      <c r="F92" t="s">
        <v>640</v>
      </c>
      <c r="G92" t="s">
        <v>659</v>
      </c>
      <c r="H92" t="s">
        <v>401</v>
      </c>
      <c r="I92">
        <v>383</v>
      </c>
      <c r="J92">
        <v>34</v>
      </c>
      <c r="K92" t="s">
        <v>403</v>
      </c>
      <c r="L92">
        <v>8224</v>
      </c>
      <c r="M92" t="s">
        <v>360</v>
      </c>
      <c r="N92" t="s">
        <v>427</v>
      </c>
      <c r="O92">
        <v>1</v>
      </c>
      <c r="P92">
        <v>2</v>
      </c>
      <c r="Q92">
        <v>-99</v>
      </c>
      <c r="R92" t="s">
        <v>681</v>
      </c>
    </row>
    <row r="93" spans="1:18" x14ac:dyDescent="0.2">
      <c r="A93">
        <v>92</v>
      </c>
      <c r="B93">
        <v>161</v>
      </c>
      <c r="C93" t="s">
        <v>187</v>
      </c>
      <c r="D93" t="s">
        <v>82</v>
      </c>
      <c r="E93" t="s">
        <v>641</v>
      </c>
      <c r="F93" t="s">
        <v>642</v>
      </c>
      <c r="G93" t="s">
        <v>655</v>
      </c>
      <c r="H93" t="s">
        <v>369</v>
      </c>
      <c r="I93">
        <v>380</v>
      </c>
      <c r="J93">
        <v>30</v>
      </c>
      <c r="K93" t="s">
        <v>368</v>
      </c>
      <c r="L93">
        <v>8225</v>
      </c>
      <c r="M93" t="s">
        <v>323</v>
      </c>
      <c r="N93" t="s">
        <v>422</v>
      </c>
      <c r="O93">
        <v>1</v>
      </c>
      <c r="P93">
        <v>2</v>
      </c>
      <c r="Q93">
        <v>-99</v>
      </c>
      <c r="R93" t="s">
        <v>681</v>
      </c>
    </row>
    <row r="94" spans="1:18" x14ac:dyDescent="0.2">
      <c r="A94">
        <v>93</v>
      </c>
      <c r="B94">
        <v>162</v>
      </c>
      <c r="C94" t="s">
        <v>188</v>
      </c>
      <c r="D94" t="s">
        <v>32</v>
      </c>
      <c r="E94" t="s">
        <v>643</v>
      </c>
      <c r="F94" t="s">
        <v>644</v>
      </c>
      <c r="G94" t="s">
        <v>659</v>
      </c>
      <c r="H94" t="s">
        <v>401</v>
      </c>
      <c r="I94">
        <v>383</v>
      </c>
      <c r="J94">
        <v>34</v>
      </c>
      <c r="K94" t="s">
        <v>403</v>
      </c>
      <c r="L94">
        <v>8227</v>
      </c>
      <c r="M94" t="s">
        <v>476</v>
      </c>
      <c r="N94" t="s">
        <v>423</v>
      </c>
      <c r="O94">
        <v>1</v>
      </c>
      <c r="P94">
        <v>2</v>
      </c>
      <c r="Q94">
        <v>-99</v>
      </c>
      <c r="R94" t="s">
        <v>681</v>
      </c>
    </row>
    <row r="95" spans="1:18" x14ac:dyDescent="0.2">
      <c r="A95">
        <v>94</v>
      </c>
      <c r="B95">
        <v>-99</v>
      </c>
      <c r="C95" t="s">
        <v>673</v>
      </c>
      <c r="D95" t="s">
        <v>8</v>
      </c>
      <c r="E95" t="s">
        <v>674</v>
      </c>
      <c r="F95" t="s">
        <v>224</v>
      </c>
      <c r="G95" t="s">
        <v>653</v>
      </c>
      <c r="H95" t="s">
        <v>8</v>
      </c>
      <c r="I95">
        <v>-99</v>
      </c>
      <c r="J95">
        <v>-99</v>
      </c>
      <c r="K95" t="s">
        <v>8</v>
      </c>
      <c r="L95">
        <v>-99</v>
      </c>
      <c r="M95" t="s">
        <v>653</v>
      </c>
      <c r="N95" t="s">
        <v>653</v>
      </c>
      <c r="O95">
        <v>-99</v>
      </c>
      <c r="P95">
        <v>-99</v>
      </c>
      <c r="Q95">
        <v>-99</v>
      </c>
      <c r="R95" t="s">
        <v>208</v>
      </c>
    </row>
    <row r="96" spans="1:18" x14ac:dyDescent="0.2">
      <c r="A96">
        <v>95</v>
      </c>
      <c r="B96">
        <v>-99</v>
      </c>
      <c r="C96" t="s">
        <v>673</v>
      </c>
      <c r="D96" t="s">
        <v>8</v>
      </c>
      <c r="E96" t="s">
        <v>675</v>
      </c>
      <c r="F96" t="s">
        <v>308</v>
      </c>
      <c r="G96" t="s">
        <v>653</v>
      </c>
      <c r="H96" t="s">
        <v>8</v>
      </c>
      <c r="I96">
        <v>-99</v>
      </c>
      <c r="J96">
        <v>-99</v>
      </c>
      <c r="K96" t="s">
        <v>8</v>
      </c>
      <c r="L96">
        <v>-99</v>
      </c>
      <c r="M96" t="s">
        <v>653</v>
      </c>
      <c r="N96" t="s">
        <v>653</v>
      </c>
      <c r="O96">
        <v>-99</v>
      </c>
      <c r="P96">
        <v>-99</v>
      </c>
      <c r="Q96">
        <v>-99</v>
      </c>
      <c r="R96" t="s">
        <v>678</v>
      </c>
    </row>
    <row r="97" spans="1:18" x14ac:dyDescent="0.2">
      <c r="A97">
        <v>96</v>
      </c>
      <c r="B97">
        <v>-99</v>
      </c>
      <c r="C97" t="s">
        <v>673</v>
      </c>
      <c r="D97" t="s">
        <v>8</v>
      </c>
      <c r="E97" t="s">
        <v>676</v>
      </c>
      <c r="F97" t="s">
        <v>307</v>
      </c>
      <c r="G97" t="s">
        <v>653</v>
      </c>
      <c r="H97" t="s">
        <v>8</v>
      </c>
      <c r="I97">
        <v>-99</v>
      </c>
      <c r="J97">
        <v>-99</v>
      </c>
      <c r="K97" t="s">
        <v>8</v>
      </c>
      <c r="L97">
        <v>-99</v>
      </c>
      <c r="M97" t="s">
        <v>653</v>
      </c>
      <c r="N97" t="s">
        <v>653</v>
      </c>
      <c r="O97">
        <v>-99</v>
      </c>
      <c r="P97">
        <v>-99</v>
      </c>
      <c r="Q97">
        <v>-99</v>
      </c>
      <c r="R97" t="s">
        <v>679</v>
      </c>
    </row>
    <row r="98" spans="1:18" x14ac:dyDescent="0.2">
      <c r="A98">
        <v>97</v>
      </c>
      <c r="B98">
        <v>-99</v>
      </c>
      <c r="C98" t="s">
        <v>665</v>
      </c>
      <c r="D98" t="s">
        <v>1054</v>
      </c>
      <c r="E98" t="s">
        <v>665</v>
      </c>
      <c r="F98" t="s">
        <v>1054</v>
      </c>
      <c r="G98" t="s">
        <v>653</v>
      </c>
      <c r="H98" t="s">
        <v>653</v>
      </c>
      <c r="I98">
        <v>-99</v>
      </c>
      <c r="J98">
        <v>35</v>
      </c>
      <c r="K98" t="s">
        <v>8</v>
      </c>
      <c r="L98">
        <v>-99</v>
      </c>
      <c r="M98" t="s">
        <v>653</v>
      </c>
      <c r="N98" t="s">
        <v>653</v>
      </c>
      <c r="O98">
        <v>-99</v>
      </c>
      <c r="P98">
        <v>-99</v>
      </c>
      <c r="Q98">
        <v>3</v>
      </c>
      <c r="R98" t="s">
        <v>653</v>
      </c>
    </row>
    <row r="99" spans="1:18" x14ac:dyDescent="0.2">
      <c r="A99">
        <v>98</v>
      </c>
      <c r="B99">
        <v>-99</v>
      </c>
      <c r="C99" t="s">
        <v>673</v>
      </c>
      <c r="D99" t="s">
        <v>8</v>
      </c>
      <c r="E99" t="s">
        <v>684</v>
      </c>
      <c r="F99" t="s">
        <v>685</v>
      </c>
      <c r="G99" t="s">
        <v>653</v>
      </c>
      <c r="H99" t="s">
        <v>8</v>
      </c>
      <c r="I99">
        <v>-99</v>
      </c>
      <c r="J99">
        <v>-99</v>
      </c>
      <c r="K99" t="s">
        <v>8</v>
      </c>
      <c r="L99">
        <v>-99</v>
      </c>
      <c r="M99" t="s">
        <v>653</v>
      </c>
      <c r="N99" t="s">
        <v>653</v>
      </c>
      <c r="O99">
        <v>-99</v>
      </c>
      <c r="P99">
        <v>-99</v>
      </c>
      <c r="Q99">
        <v>-99</v>
      </c>
      <c r="R99" t="s">
        <v>681</v>
      </c>
    </row>
    <row r="100" spans="1:18" x14ac:dyDescent="0.2">
      <c r="A100">
        <v>99</v>
      </c>
      <c r="B100">
        <v>250</v>
      </c>
      <c r="C100" t="s">
        <v>653</v>
      </c>
      <c r="D100" t="s">
        <v>32</v>
      </c>
      <c r="E100" t="s">
        <v>720</v>
      </c>
      <c r="F100" t="s">
        <v>686</v>
      </c>
      <c r="G100" t="s">
        <v>653</v>
      </c>
      <c r="H100" t="s">
        <v>401</v>
      </c>
      <c r="I100">
        <v>-99</v>
      </c>
      <c r="J100">
        <v>-99</v>
      </c>
      <c r="K100" t="s">
        <v>403</v>
      </c>
      <c r="L100">
        <v>-99</v>
      </c>
      <c r="M100" t="s">
        <v>653</v>
      </c>
      <c r="N100" t="s">
        <v>653</v>
      </c>
      <c r="O100">
        <v>-99</v>
      </c>
      <c r="P100">
        <v>-99</v>
      </c>
      <c r="Q100">
        <v>-99</v>
      </c>
      <c r="R100" t="s">
        <v>687</v>
      </c>
    </row>
    <row r="101" spans="1:18" x14ac:dyDescent="0.2">
      <c r="A101">
        <v>100</v>
      </c>
      <c r="B101">
        <v>256</v>
      </c>
      <c r="C101" t="s">
        <v>653</v>
      </c>
      <c r="D101" t="s">
        <v>212</v>
      </c>
      <c r="E101" t="s">
        <v>721</v>
      </c>
      <c r="F101" t="s">
        <v>688</v>
      </c>
      <c r="G101" t="s">
        <v>653</v>
      </c>
      <c r="H101" t="s">
        <v>385</v>
      </c>
      <c r="I101">
        <v>-99</v>
      </c>
      <c r="J101">
        <v>-99</v>
      </c>
      <c r="K101" t="s">
        <v>389</v>
      </c>
      <c r="L101">
        <v>-99</v>
      </c>
      <c r="M101" t="s">
        <v>653</v>
      </c>
      <c r="N101" t="s">
        <v>653</v>
      </c>
      <c r="O101">
        <v>-99</v>
      </c>
      <c r="P101">
        <v>-99</v>
      </c>
      <c r="Q101">
        <v>-99</v>
      </c>
      <c r="R101" t="s">
        <v>687</v>
      </c>
    </row>
    <row r="102" spans="1:18" x14ac:dyDescent="0.2">
      <c r="A102">
        <v>101</v>
      </c>
      <c r="B102">
        <v>257</v>
      </c>
      <c r="C102" t="s">
        <v>653</v>
      </c>
      <c r="D102" t="s">
        <v>209</v>
      </c>
      <c r="E102" t="s">
        <v>722</v>
      </c>
      <c r="F102" t="s">
        <v>689</v>
      </c>
      <c r="G102" t="s">
        <v>653</v>
      </c>
      <c r="H102" t="s">
        <v>385</v>
      </c>
      <c r="I102">
        <v>-99</v>
      </c>
      <c r="J102">
        <v>-99</v>
      </c>
      <c r="K102" t="s">
        <v>389</v>
      </c>
      <c r="L102">
        <v>-99</v>
      </c>
      <c r="M102" t="s">
        <v>653</v>
      </c>
      <c r="N102" t="s">
        <v>653</v>
      </c>
      <c r="O102">
        <v>-99</v>
      </c>
      <c r="P102">
        <v>-99</v>
      </c>
      <c r="Q102">
        <v>-99</v>
      </c>
      <c r="R102" t="s">
        <v>687</v>
      </c>
    </row>
    <row r="103" spans="1:18" x14ac:dyDescent="0.2">
      <c r="A103">
        <v>102</v>
      </c>
      <c r="B103">
        <v>258</v>
      </c>
      <c r="C103" t="s">
        <v>653</v>
      </c>
      <c r="D103" t="s">
        <v>210</v>
      </c>
      <c r="E103" t="s">
        <v>723</v>
      </c>
      <c r="F103" t="s">
        <v>690</v>
      </c>
      <c r="G103" t="s">
        <v>653</v>
      </c>
      <c r="H103" t="s">
        <v>369</v>
      </c>
      <c r="I103">
        <v>-99</v>
      </c>
      <c r="J103">
        <v>-99</v>
      </c>
      <c r="K103" t="s">
        <v>368</v>
      </c>
      <c r="L103">
        <v>-99</v>
      </c>
      <c r="M103" t="s">
        <v>653</v>
      </c>
      <c r="N103" t="s">
        <v>653</v>
      </c>
      <c r="O103">
        <v>-99</v>
      </c>
      <c r="P103">
        <v>-99</v>
      </c>
      <c r="Q103">
        <v>-99</v>
      </c>
      <c r="R103" t="s">
        <v>687</v>
      </c>
    </row>
    <row r="104" spans="1:18" x14ac:dyDescent="0.2">
      <c r="A104">
        <v>103</v>
      </c>
      <c r="B104">
        <v>259</v>
      </c>
      <c r="C104" t="s">
        <v>653</v>
      </c>
      <c r="D104" t="s">
        <v>135</v>
      </c>
      <c r="E104" t="s">
        <v>724</v>
      </c>
      <c r="F104" t="s">
        <v>691</v>
      </c>
      <c r="G104" t="s">
        <v>653</v>
      </c>
      <c r="H104" t="s">
        <v>369</v>
      </c>
      <c r="I104">
        <v>-99</v>
      </c>
      <c r="J104">
        <v>-99</v>
      </c>
      <c r="K104" t="s">
        <v>368</v>
      </c>
      <c r="L104">
        <v>-99</v>
      </c>
      <c r="M104" t="s">
        <v>653</v>
      </c>
      <c r="N104" t="s">
        <v>653</v>
      </c>
      <c r="O104">
        <v>-99</v>
      </c>
      <c r="P104">
        <v>-99</v>
      </c>
      <c r="Q104">
        <v>-99</v>
      </c>
      <c r="R104" t="s">
        <v>687</v>
      </c>
    </row>
    <row r="105" spans="1:18" x14ac:dyDescent="0.2">
      <c r="A105">
        <v>104</v>
      </c>
      <c r="B105">
        <v>260</v>
      </c>
      <c r="C105" t="s">
        <v>653</v>
      </c>
      <c r="D105" t="s">
        <v>46</v>
      </c>
      <c r="E105" t="s">
        <v>725</v>
      </c>
      <c r="F105" t="s">
        <v>692</v>
      </c>
      <c r="G105" t="s">
        <v>653</v>
      </c>
      <c r="H105" t="s">
        <v>385</v>
      </c>
      <c r="I105">
        <v>-99</v>
      </c>
      <c r="J105">
        <v>-99</v>
      </c>
      <c r="K105" t="s">
        <v>384</v>
      </c>
      <c r="L105">
        <v>-99</v>
      </c>
      <c r="M105" t="s">
        <v>653</v>
      </c>
      <c r="N105" t="s">
        <v>653</v>
      </c>
      <c r="O105">
        <v>-99</v>
      </c>
      <c r="P105">
        <v>-99</v>
      </c>
      <c r="Q105">
        <v>-99</v>
      </c>
      <c r="R105" t="s">
        <v>687</v>
      </c>
    </row>
    <row r="106" spans="1:18" x14ac:dyDescent="0.2">
      <c r="A106">
        <v>105</v>
      </c>
      <c r="B106">
        <v>261</v>
      </c>
      <c r="C106" t="s">
        <v>653</v>
      </c>
      <c r="D106" t="s">
        <v>65</v>
      </c>
      <c r="E106" t="s">
        <v>726</v>
      </c>
      <c r="F106" t="s">
        <v>693</v>
      </c>
      <c r="G106" t="s">
        <v>653</v>
      </c>
      <c r="H106" t="s">
        <v>369</v>
      </c>
      <c r="I106">
        <v>-99</v>
      </c>
      <c r="J106">
        <v>-99</v>
      </c>
      <c r="K106" t="s">
        <v>368</v>
      </c>
      <c r="L106">
        <v>-99</v>
      </c>
      <c r="M106" t="s">
        <v>653</v>
      </c>
      <c r="N106" t="s">
        <v>653</v>
      </c>
      <c r="O106">
        <v>-99</v>
      </c>
      <c r="P106">
        <v>-99</v>
      </c>
      <c r="Q106">
        <v>-99</v>
      </c>
      <c r="R106" t="s">
        <v>687</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462</v>
      </c>
      <c r="B1" t="s">
        <v>456</v>
      </c>
      <c r="C1" t="s">
        <v>463</v>
      </c>
      <c r="D1" t="s">
        <v>464</v>
      </c>
      <c r="E1" t="s">
        <v>491</v>
      </c>
    </row>
    <row r="2" spans="1:5" x14ac:dyDescent="0.2">
      <c r="A2" t="s">
        <v>324</v>
      </c>
      <c r="B2" t="s">
        <v>370</v>
      </c>
      <c r="C2" t="s">
        <v>370</v>
      </c>
      <c r="D2" t="s">
        <v>465</v>
      </c>
      <c r="E2" t="s">
        <v>368</v>
      </c>
    </row>
    <row r="3" spans="1:5" x14ac:dyDescent="0.2">
      <c r="A3" t="s">
        <v>356</v>
      </c>
      <c r="B3" t="s">
        <v>373</v>
      </c>
      <c r="C3" t="s">
        <v>373</v>
      </c>
      <c r="D3" t="s">
        <v>465</v>
      </c>
      <c r="E3" t="s">
        <v>368</v>
      </c>
    </row>
    <row r="4" spans="1:5" x14ac:dyDescent="0.2">
      <c r="A4" t="s">
        <v>351</v>
      </c>
      <c r="B4" t="s">
        <v>415</v>
      </c>
      <c r="C4" t="s">
        <v>415</v>
      </c>
      <c r="D4" t="s">
        <v>465</v>
      </c>
      <c r="E4" t="s">
        <v>368</v>
      </c>
    </row>
    <row r="5" spans="1:5" x14ac:dyDescent="0.2">
      <c r="A5" t="s">
        <v>330</v>
      </c>
      <c r="B5" t="s">
        <v>426</v>
      </c>
      <c r="C5" t="s">
        <v>426</v>
      </c>
      <c r="D5" t="s">
        <v>466</v>
      </c>
      <c r="E5" t="s">
        <v>379</v>
      </c>
    </row>
    <row r="6" spans="1:5" x14ac:dyDescent="0.2">
      <c r="A6" t="s">
        <v>354</v>
      </c>
      <c r="B6" t="s">
        <v>388</v>
      </c>
      <c r="C6" t="s">
        <v>388</v>
      </c>
      <c r="D6" t="s">
        <v>466</v>
      </c>
      <c r="E6" t="s">
        <v>384</v>
      </c>
    </row>
    <row r="7" spans="1:5" x14ac:dyDescent="0.2">
      <c r="A7" t="s">
        <v>357</v>
      </c>
      <c r="B7" t="s">
        <v>417</v>
      </c>
      <c r="C7" t="s">
        <v>417</v>
      </c>
      <c r="D7" t="s">
        <v>468</v>
      </c>
      <c r="E7" t="s">
        <v>384</v>
      </c>
    </row>
    <row r="8" spans="1:5" x14ac:dyDescent="0.2">
      <c r="A8" t="s">
        <v>332</v>
      </c>
      <c r="B8" t="s">
        <v>400</v>
      </c>
      <c r="C8" t="s">
        <v>400</v>
      </c>
      <c r="D8" t="s">
        <v>469</v>
      </c>
      <c r="E8" t="s">
        <v>389</v>
      </c>
    </row>
    <row r="9" spans="1:5" x14ac:dyDescent="0.2">
      <c r="A9" t="s">
        <v>349</v>
      </c>
      <c r="B9" t="s">
        <v>402</v>
      </c>
      <c r="C9" t="s">
        <v>402</v>
      </c>
      <c r="D9" t="s">
        <v>468</v>
      </c>
      <c r="E9" t="s">
        <v>384</v>
      </c>
    </row>
    <row r="10" spans="1:5" x14ac:dyDescent="0.2">
      <c r="A10" t="s">
        <v>477</v>
      </c>
      <c r="B10" t="s">
        <v>478</v>
      </c>
      <c r="C10" t="s">
        <v>309</v>
      </c>
      <c r="D10" t="s">
        <v>453</v>
      </c>
      <c r="E10" t="s">
        <v>8</v>
      </c>
    </row>
    <row r="11" spans="1:5" x14ac:dyDescent="0.2">
      <c r="A11" t="s">
        <v>358</v>
      </c>
      <c r="B11" t="s">
        <v>414</v>
      </c>
      <c r="C11" t="s">
        <v>414</v>
      </c>
      <c r="D11" t="s">
        <v>465</v>
      </c>
      <c r="E11" t="s">
        <v>368</v>
      </c>
    </row>
    <row r="12" spans="1:5" x14ac:dyDescent="0.2">
      <c r="A12" t="s">
        <v>336</v>
      </c>
      <c r="B12" t="s">
        <v>378</v>
      </c>
      <c r="C12" t="s">
        <v>378</v>
      </c>
      <c r="D12" t="s">
        <v>466</v>
      </c>
      <c r="E12" t="s">
        <v>368</v>
      </c>
    </row>
    <row r="13" spans="1:5" x14ac:dyDescent="0.2">
      <c r="A13" t="s">
        <v>341</v>
      </c>
      <c r="B13" t="s">
        <v>375</v>
      </c>
      <c r="C13" t="s">
        <v>375</v>
      </c>
      <c r="D13" t="s">
        <v>465</v>
      </c>
      <c r="E13" t="s">
        <v>368</v>
      </c>
    </row>
    <row r="14" spans="1:5" x14ac:dyDescent="0.2">
      <c r="A14" t="s">
        <v>339</v>
      </c>
      <c r="B14" t="s">
        <v>382</v>
      </c>
      <c r="C14" t="s">
        <v>382</v>
      </c>
      <c r="D14" t="s">
        <v>466</v>
      </c>
      <c r="E14" t="s">
        <v>379</v>
      </c>
    </row>
    <row r="15" spans="1:5" x14ac:dyDescent="0.2">
      <c r="A15" t="s">
        <v>329</v>
      </c>
      <c r="B15" t="s">
        <v>391</v>
      </c>
      <c r="C15" t="s">
        <v>391</v>
      </c>
      <c r="D15" t="s">
        <v>465</v>
      </c>
      <c r="E15" t="s">
        <v>389</v>
      </c>
    </row>
    <row r="16" spans="1:5" x14ac:dyDescent="0.2">
      <c r="A16" t="s">
        <v>343</v>
      </c>
      <c r="B16" t="s">
        <v>405</v>
      </c>
      <c r="C16" t="s">
        <v>405</v>
      </c>
      <c r="D16" t="s">
        <v>468</v>
      </c>
      <c r="E16" t="s">
        <v>384</v>
      </c>
    </row>
    <row r="17" spans="1:5" x14ac:dyDescent="0.2">
      <c r="A17" t="s">
        <v>479</v>
      </c>
      <c r="B17" t="s">
        <v>480</v>
      </c>
      <c r="C17" t="s">
        <v>309</v>
      </c>
      <c r="D17" t="s">
        <v>453</v>
      </c>
      <c r="E17" t="s">
        <v>8</v>
      </c>
    </row>
    <row r="18" spans="1:5" x14ac:dyDescent="0.2">
      <c r="A18" t="s">
        <v>355</v>
      </c>
      <c r="B18" t="s">
        <v>390</v>
      </c>
      <c r="C18" t="s">
        <v>390</v>
      </c>
      <c r="D18" t="s">
        <v>465</v>
      </c>
      <c r="E18" t="s">
        <v>389</v>
      </c>
    </row>
    <row r="19" spans="1:5" x14ac:dyDescent="0.2">
      <c r="A19" t="s">
        <v>348</v>
      </c>
      <c r="B19" t="s">
        <v>393</v>
      </c>
      <c r="C19" t="s">
        <v>393</v>
      </c>
      <c r="D19" t="s">
        <v>469</v>
      </c>
      <c r="E19" t="s">
        <v>389</v>
      </c>
    </row>
    <row r="20" spans="1:5" x14ac:dyDescent="0.2">
      <c r="A20" t="s">
        <v>338</v>
      </c>
      <c r="B20" t="s">
        <v>396</v>
      </c>
      <c r="C20" t="s">
        <v>396</v>
      </c>
      <c r="D20" t="s">
        <v>469</v>
      </c>
      <c r="E20" t="s">
        <v>389</v>
      </c>
    </row>
    <row r="21" spans="1:5" x14ac:dyDescent="0.2">
      <c r="A21" t="s">
        <v>363</v>
      </c>
      <c r="B21" t="s">
        <v>421</v>
      </c>
      <c r="C21" t="s">
        <v>421</v>
      </c>
      <c r="D21" t="s">
        <v>469</v>
      </c>
      <c r="E21" t="s">
        <v>389</v>
      </c>
    </row>
    <row r="22" spans="1:5" x14ac:dyDescent="0.2">
      <c r="A22" t="s">
        <v>334</v>
      </c>
      <c r="B22" t="s">
        <v>60</v>
      </c>
      <c r="C22" t="s">
        <v>60</v>
      </c>
      <c r="D22" t="s">
        <v>465</v>
      </c>
      <c r="E22" t="s">
        <v>368</v>
      </c>
    </row>
    <row r="23" spans="1:5" x14ac:dyDescent="0.2">
      <c r="A23" t="s">
        <v>347</v>
      </c>
      <c r="B23" t="s">
        <v>381</v>
      </c>
      <c r="C23" t="s">
        <v>381</v>
      </c>
      <c r="D23" t="s">
        <v>309</v>
      </c>
      <c r="E23" t="s">
        <v>368</v>
      </c>
    </row>
    <row r="24" spans="1:5" x14ac:dyDescent="0.2">
      <c r="A24" t="s">
        <v>342</v>
      </c>
      <c r="B24" t="s">
        <v>383</v>
      </c>
      <c r="C24" t="s">
        <v>383</v>
      </c>
      <c r="D24" t="s">
        <v>466</v>
      </c>
      <c r="E24" t="s">
        <v>379</v>
      </c>
    </row>
    <row r="25" spans="1:5" x14ac:dyDescent="0.2">
      <c r="A25" t="s">
        <v>340</v>
      </c>
      <c r="B25" t="s">
        <v>419</v>
      </c>
      <c r="C25" t="s">
        <v>419</v>
      </c>
      <c r="D25" t="s">
        <v>469</v>
      </c>
      <c r="E25" t="s">
        <v>389</v>
      </c>
    </row>
    <row r="26" spans="1:5" x14ac:dyDescent="0.2">
      <c r="A26" t="s">
        <v>317</v>
      </c>
      <c r="B26" t="s">
        <v>404</v>
      </c>
      <c r="C26" t="s">
        <v>404</v>
      </c>
      <c r="D26" t="s">
        <v>468</v>
      </c>
      <c r="E26" t="s">
        <v>403</v>
      </c>
    </row>
    <row r="27" spans="1:5" x14ac:dyDescent="0.2">
      <c r="A27" t="s">
        <v>318</v>
      </c>
      <c r="B27" t="s">
        <v>420</v>
      </c>
      <c r="C27" t="s">
        <v>420</v>
      </c>
      <c r="D27" t="s">
        <v>468</v>
      </c>
      <c r="E27" t="s">
        <v>384</v>
      </c>
    </row>
    <row r="28" spans="1:5" x14ac:dyDescent="0.2">
      <c r="A28" t="s">
        <v>352</v>
      </c>
      <c r="B28" t="s">
        <v>372</v>
      </c>
      <c r="C28" t="s">
        <v>372</v>
      </c>
      <c r="D28" t="s">
        <v>465</v>
      </c>
      <c r="E28" t="s">
        <v>368</v>
      </c>
    </row>
    <row r="29" spans="1:5" x14ac:dyDescent="0.2">
      <c r="A29" t="s">
        <v>467</v>
      </c>
      <c r="B29" t="s">
        <v>453</v>
      </c>
      <c r="C29" t="s">
        <v>309</v>
      </c>
      <c r="D29" t="s">
        <v>453</v>
      </c>
      <c r="E29" t="s">
        <v>8</v>
      </c>
    </row>
    <row r="30" spans="1:5" x14ac:dyDescent="0.2">
      <c r="A30" t="s">
        <v>364</v>
      </c>
      <c r="B30" t="s">
        <v>416</v>
      </c>
      <c r="C30" t="s">
        <v>416</v>
      </c>
      <c r="D30" t="s">
        <v>465</v>
      </c>
      <c r="E30" t="s">
        <v>368</v>
      </c>
    </row>
    <row r="31" spans="1:5" x14ac:dyDescent="0.2">
      <c r="A31" t="s">
        <v>345</v>
      </c>
      <c r="B31" t="s">
        <v>413</v>
      </c>
      <c r="C31" t="s">
        <v>413</v>
      </c>
      <c r="D31" t="s">
        <v>309</v>
      </c>
      <c r="E31" t="s">
        <v>368</v>
      </c>
    </row>
    <row r="32" spans="1:5" x14ac:dyDescent="0.2">
      <c r="A32" t="s">
        <v>325</v>
      </c>
      <c r="B32" t="s">
        <v>394</v>
      </c>
      <c r="C32" t="s">
        <v>394</v>
      </c>
      <c r="D32" t="s">
        <v>465</v>
      </c>
      <c r="E32" t="s">
        <v>389</v>
      </c>
    </row>
    <row r="33" spans="1:5" x14ac:dyDescent="0.2">
      <c r="A33" t="s">
        <v>322</v>
      </c>
      <c r="B33" t="s">
        <v>418</v>
      </c>
      <c r="C33" t="s">
        <v>418</v>
      </c>
      <c r="D33" t="s">
        <v>469</v>
      </c>
      <c r="E33" t="s">
        <v>389</v>
      </c>
    </row>
    <row r="34" spans="1:5" x14ac:dyDescent="0.2">
      <c r="A34" t="s">
        <v>344</v>
      </c>
      <c r="B34" t="s">
        <v>425</v>
      </c>
      <c r="C34" t="s">
        <v>425</v>
      </c>
      <c r="D34" t="s">
        <v>468</v>
      </c>
      <c r="E34" t="s">
        <v>403</v>
      </c>
    </row>
    <row r="35" spans="1:5" x14ac:dyDescent="0.2">
      <c r="A35" t="s">
        <v>333</v>
      </c>
      <c r="B35" t="s">
        <v>407</v>
      </c>
      <c r="C35" t="s">
        <v>407</v>
      </c>
      <c r="D35" t="s">
        <v>468</v>
      </c>
      <c r="E35" t="s">
        <v>403</v>
      </c>
    </row>
    <row r="36" spans="1:5" x14ac:dyDescent="0.2">
      <c r="A36" t="s">
        <v>360</v>
      </c>
      <c r="B36" t="s">
        <v>427</v>
      </c>
      <c r="C36" t="s">
        <v>427</v>
      </c>
      <c r="D36" t="s">
        <v>468</v>
      </c>
      <c r="E36" t="s">
        <v>403</v>
      </c>
    </row>
    <row r="37" spans="1:5" x14ac:dyDescent="0.2">
      <c r="A37" t="s">
        <v>476</v>
      </c>
      <c r="B37" t="s">
        <v>423</v>
      </c>
      <c r="C37" t="s">
        <v>423</v>
      </c>
      <c r="D37" t="s">
        <v>468</v>
      </c>
      <c r="E37" t="s">
        <v>403</v>
      </c>
    </row>
    <row r="38" spans="1:5" x14ac:dyDescent="0.2">
      <c r="A38" t="s">
        <v>474</v>
      </c>
      <c r="B38" t="s">
        <v>475</v>
      </c>
      <c r="C38" t="s">
        <v>309</v>
      </c>
      <c r="D38" t="s">
        <v>453</v>
      </c>
      <c r="E38" t="s">
        <v>8</v>
      </c>
    </row>
    <row r="39" spans="1:5" x14ac:dyDescent="0.2">
      <c r="A39" t="s">
        <v>350</v>
      </c>
      <c r="B39" t="s">
        <v>408</v>
      </c>
      <c r="C39" t="s">
        <v>408</v>
      </c>
      <c r="D39" t="s">
        <v>468</v>
      </c>
      <c r="E39" t="s">
        <v>403</v>
      </c>
    </row>
    <row r="40" spans="1:5" x14ac:dyDescent="0.2">
      <c r="A40" t="s">
        <v>483</v>
      </c>
      <c r="B40" t="s">
        <v>484</v>
      </c>
      <c r="C40" t="s">
        <v>309</v>
      </c>
      <c r="D40" t="s">
        <v>453</v>
      </c>
      <c r="E40" t="s">
        <v>8</v>
      </c>
    </row>
    <row r="41" spans="1:5" x14ac:dyDescent="0.2">
      <c r="A41" t="s">
        <v>470</v>
      </c>
      <c r="B41" t="s">
        <v>471</v>
      </c>
      <c r="C41" t="s">
        <v>309</v>
      </c>
      <c r="D41" t="s">
        <v>453</v>
      </c>
      <c r="E41" t="s">
        <v>8</v>
      </c>
    </row>
    <row r="42" spans="1:5" x14ac:dyDescent="0.2">
      <c r="A42" t="s">
        <v>359</v>
      </c>
      <c r="B42" t="s">
        <v>371</v>
      </c>
      <c r="C42" t="s">
        <v>371</v>
      </c>
      <c r="D42" t="s">
        <v>465</v>
      </c>
      <c r="E42" t="s">
        <v>368</v>
      </c>
    </row>
    <row r="43" spans="1:5" x14ac:dyDescent="0.2">
      <c r="A43" t="s">
        <v>320</v>
      </c>
      <c r="B43" t="s">
        <v>377</v>
      </c>
      <c r="C43" t="s">
        <v>377</v>
      </c>
      <c r="D43" t="s">
        <v>466</v>
      </c>
      <c r="E43" t="s">
        <v>368</v>
      </c>
    </row>
    <row r="44" spans="1:5" x14ac:dyDescent="0.2">
      <c r="A44" t="s">
        <v>323</v>
      </c>
      <c r="B44" t="s">
        <v>422</v>
      </c>
      <c r="C44" t="s">
        <v>422</v>
      </c>
      <c r="D44" t="s">
        <v>465</v>
      </c>
      <c r="E44" t="s">
        <v>368</v>
      </c>
    </row>
    <row r="45" spans="1:5" x14ac:dyDescent="0.2">
      <c r="A45" t="s">
        <v>353</v>
      </c>
      <c r="B45" t="s">
        <v>387</v>
      </c>
      <c r="C45" t="s">
        <v>387</v>
      </c>
      <c r="D45" t="s">
        <v>466</v>
      </c>
      <c r="E45" t="s">
        <v>379</v>
      </c>
    </row>
    <row r="46" spans="1:5" x14ac:dyDescent="0.2">
      <c r="A46" t="s">
        <v>335</v>
      </c>
      <c r="B46" t="s">
        <v>392</v>
      </c>
      <c r="C46" t="s">
        <v>392</v>
      </c>
      <c r="D46" t="s">
        <v>466</v>
      </c>
      <c r="E46" t="s">
        <v>379</v>
      </c>
    </row>
    <row r="47" spans="1:5" x14ac:dyDescent="0.2">
      <c r="A47" t="s">
        <v>362</v>
      </c>
      <c r="B47" t="s">
        <v>398</v>
      </c>
      <c r="C47" t="s">
        <v>398</v>
      </c>
      <c r="D47" t="s">
        <v>469</v>
      </c>
      <c r="E47" t="s">
        <v>389</v>
      </c>
    </row>
    <row r="48" spans="1:5" x14ac:dyDescent="0.2">
      <c r="A48" t="s">
        <v>337</v>
      </c>
      <c r="B48" t="s">
        <v>411</v>
      </c>
      <c r="C48" t="s">
        <v>411</v>
      </c>
      <c r="D48" t="s">
        <v>469</v>
      </c>
      <c r="E48" t="s">
        <v>384</v>
      </c>
    </row>
    <row r="49" spans="1:5" x14ac:dyDescent="0.2">
      <c r="A49" t="s">
        <v>326</v>
      </c>
      <c r="B49" t="s">
        <v>409</v>
      </c>
      <c r="C49" t="s">
        <v>409</v>
      </c>
      <c r="D49" t="s">
        <v>469</v>
      </c>
      <c r="E49" t="s">
        <v>384</v>
      </c>
    </row>
    <row r="50" spans="1:5" x14ac:dyDescent="0.2">
      <c r="A50" t="s">
        <v>331</v>
      </c>
      <c r="B50" t="s">
        <v>406</v>
      </c>
      <c r="C50" t="s">
        <v>406</v>
      </c>
      <c r="D50" t="s">
        <v>468</v>
      </c>
      <c r="E50" t="s">
        <v>403</v>
      </c>
    </row>
    <row r="51" spans="1:5" x14ac:dyDescent="0.2">
      <c r="A51" t="s">
        <v>319</v>
      </c>
      <c r="B51" t="s">
        <v>386</v>
      </c>
      <c r="C51" t="s">
        <v>386</v>
      </c>
      <c r="D51" t="s">
        <v>469</v>
      </c>
      <c r="E51" t="s">
        <v>384</v>
      </c>
    </row>
    <row r="52" spans="1:5" x14ac:dyDescent="0.2">
      <c r="A52" t="s">
        <v>472</v>
      </c>
      <c r="B52" t="s">
        <v>473</v>
      </c>
      <c r="C52" t="s">
        <v>309</v>
      </c>
      <c r="D52" t="s">
        <v>453</v>
      </c>
      <c r="E52" t="s">
        <v>8</v>
      </c>
    </row>
    <row r="53" spans="1:5" x14ac:dyDescent="0.2">
      <c r="A53" t="s">
        <v>481</v>
      </c>
      <c r="B53" t="s">
        <v>482</v>
      </c>
      <c r="C53" t="s">
        <v>309</v>
      </c>
      <c r="D53" t="s">
        <v>453</v>
      </c>
      <c r="E53" t="s">
        <v>8</v>
      </c>
    </row>
    <row r="54" spans="1:5" x14ac:dyDescent="0.2">
      <c r="A54" t="s">
        <v>346</v>
      </c>
      <c r="B54" t="s">
        <v>374</v>
      </c>
      <c r="C54" t="s">
        <v>374</v>
      </c>
      <c r="D54" t="s">
        <v>465</v>
      </c>
      <c r="E54" t="s">
        <v>368</v>
      </c>
    </row>
    <row r="55" spans="1:5" x14ac:dyDescent="0.2">
      <c r="A55" t="s">
        <v>361</v>
      </c>
      <c r="B55" t="s">
        <v>380</v>
      </c>
      <c r="C55" t="s">
        <v>380</v>
      </c>
      <c r="D55" t="s">
        <v>466</v>
      </c>
      <c r="E55" t="s">
        <v>379</v>
      </c>
    </row>
    <row r="56" spans="1:5" x14ac:dyDescent="0.2">
      <c r="A56" t="s">
        <v>316</v>
      </c>
      <c r="B56" t="s">
        <v>424</v>
      </c>
      <c r="C56" t="s">
        <v>424</v>
      </c>
      <c r="D56" t="s">
        <v>466</v>
      </c>
      <c r="E56" t="s">
        <v>379</v>
      </c>
    </row>
    <row r="57" spans="1:5" x14ac:dyDescent="0.2">
      <c r="A57" t="s">
        <v>315</v>
      </c>
      <c r="B57" t="s">
        <v>395</v>
      </c>
      <c r="C57" t="s">
        <v>395</v>
      </c>
      <c r="D57" t="s">
        <v>469</v>
      </c>
      <c r="E57" t="s">
        <v>389</v>
      </c>
    </row>
    <row r="58" spans="1:5" x14ac:dyDescent="0.2">
      <c r="A58" t="s">
        <v>321</v>
      </c>
      <c r="B58" t="s">
        <v>399</v>
      </c>
      <c r="C58" t="s">
        <v>399</v>
      </c>
      <c r="D58" t="s">
        <v>469</v>
      </c>
      <c r="E58" t="s">
        <v>389</v>
      </c>
    </row>
    <row r="59" spans="1:5" x14ac:dyDescent="0.2">
      <c r="A59" t="s">
        <v>327</v>
      </c>
      <c r="B59" t="s">
        <v>412</v>
      </c>
      <c r="C59" t="s">
        <v>412</v>
      </c>
      <c r="D59" t="s">
        <v>468</v>
      </c>
      <c r="E59" t="s">
        <v>403</v>
      </c>
    </row>
    <row r="60" spans="1:5" x14ac:dyDescent="0.2">
      <c r="A60" t="s">
        <v>314</v>
      </c>
      <c r="B60" t="s">
        <v>410</v>
      </c>
      <c r="C60" t="s">
        <v>410</v>
      </c>
      <c r="D60" t="s">
        <v>469</v>
      </c>
      <c r="E60" t="s">
        <v>384</v>
      </c>
    </row>
    <row r="61" spans="1:5" x14ac:dyDescent="0.2">
      <c r="A61" t="s">
        <v>328</v>
      </c>
      <c r="B61" t="s">
        <v>80</v>
      </c>
      <c r="C61" t="s">
        <v>80</v>
      </c>
      <c r="D61" t="s">
        <v>468</v>
      </c>
      <c r="E61" t="s">
        <v>403</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1033</v>
      </c>
      <c r="C2" t="s">
        <v>436</v>
      </c>
      <c r="D2" t="s">
        <v>437</v>
      </c>
      <c r="E2" t="s">
        <v>438</v>
      </c>
      <c r="F2" t="s">
        <v>439</v>
      </c>
      <c r="G2" t="s">
        <v>440</v>
      </c>
      <c r="H2" t="s">
        <v>441</v>
      </c>
      <c r="I2" t="s">
        <v>442</v>
      </c>
      <c r="J2" t="s">
        <v>443</v>
      </c>
      <c r="K2" t="s">
        <v>444</v>
      </c>
      <c r="L2" t="s">
        <v>445</v>
      </c>
      <c r="M2" t="s">
        <v>446</v>
      </c>
      <c r="N2" t="s">
        <v>447</v>
      </c>
      <c r="O2" t="s">
        <v>448</v>
      </c>
      <c r="P2" t="s">
        <v>449</v>
      </c>
      <c r="Q2" t="s">
        <v>451</v>
      </c>
    </row>
    <row r="3" spans="2:33" x14ac:dyDescent="0.2">
      <c r="B3" t="s">
        <v>384</v>
      </c>
      <c r="C3" t="s">
        <v>410</v>
      </c>
      <c r="D3" t="s">
        <v>402</v>
      </c>
      <c r="E3" t="s">
        <v>386</v>
      </c>
      <c r="F3" t="s">
        <v>388</v>
      </c>
      <c r="G3" t="s">
        <v>417</v>
      </c>
      <c r="H3" t="s">
        <v>411</v>
      </c>
      <c r="I3" t="s">
        <v>409</v>
      </c>
      <c r="J3" t="s">
        <v>405</v>
      </c>
      <c r="K3" t="s">
        <v>420</v>
      </c>
      <c r="L3" t="s">
        <v>450</v>
      </c>
      <c r="M3" t="s">
        <v>450</v>
      </c>
      <c r="N3" t="s">
        <v>450</v>
      </c>
      <c r="O3" t="s">
        <v>450</v>
      </c>
      <c r="P3" t="s">
        <v>450</v>
      </c>
      <c r="Q3" t="s">
        <v>450</v>
      </c>
      <c r="S3" s="14" t="s">
        <v>410</v>
      </c>
      <c r="T3" s="14" t="s">
        <v>402</v>
      </c>
      <c r="U3" s="14" t="s">
        <v>386</v>
      </c>
      <c r="V3" s="14" t="s">
        <v>388</v>
      </c>
      <c r="W3" s="14" t="s">
        <v>417</v>
      </c>
      <c r="X3" s="14" t="s">
        <v>411</v>
      </c>
      <c r="Y3" s="14" t="s">
        <v>409</v>
      </c>
      <c r="Z3" s="14" t="s">
        <v>405</v>
      </c>
      <c r="AA3" s="14" t="s">
        <v>420</v>
      </c>
      <c r="AB3" s="14"/>
      <c r="AC3" s="14"/>
      <c r="AD3" s="14"/>
      <c r="AE3" s="14"/>
      <c r="AF3" s="15"/>
      <c r="AG3" s="15"/>
    </row>
    <row r="4" spans="2:33" x14ac:dyDescent="0.2">
      <c r="B4" t="s">
        <v>389</v>
      </c>
      <c r="C4" t="s">
        <v>393</v>
      </c>
      <c r="D4" t="s">
        <v>391</v>
      </c>
      <c r="E4" t="s">
        <v>398</v>
      </c>
      <c r="F4" t="s">
        <v>421</v>
      </c>
      <c r="G4" t="s">
        <v>394</v>
      </c>
      <c r="H4" t="s">
        <v>400</v>
      </c>
      <c r="I4" t="s">
        <v>396</v>
      </c>
      <c r="J4" t="s">
        <v>399</v>
      </c>
      <c r="K4" t="s">
        <v>418</v>
      </c>
      <c r="L4" t="s">
        <v>390</v>
      </c>
      <c r="M4" t="s">
        <v>419</v>
      </c>
      <c r="N4" t="s">
        <v>395</v>
      </c>
      <c r="O4" t="s">
        <v>450</v>
      </c>
      <c r="P4" t="s">
        <v>450</v>
      </c>
      <c r="Q4" t="s">
        <v>450</v>
      </c>
      <c r="S4" s="14" t="s">
        <v>393</v>
      </c>
      <c r="T4" s="14" t="s">
        <v>391</v>
      </c>
      <c r="U4" s="14" t="s">
        <v>398</v>
      </c>
      <c r="V4" s="14" t="s">
        <v>421</v>
      </c>
      <c r="W4" s="14" t="s">
        <v>394</v>
      </c>
      <c r="X4" s="14" t="s">
        <v>400</v>
      </c>
      <c r="Y4" s="14" t="s">
        <v>396</v>
      </c>
      <c r="Z4" s="14" t="s">
        <v>399</v>
      </c>
      <c r="AA4" s="14" t="s">
        <v>418</v>
      </c>
      <c r="AB4" s="14" t="s">
        <v>390</v>
      </c>
      <c r="AC4" s="14" t="s">
        <v>419</v>
      </c>
      <c r="AD4" s="14" t="s">
        <v>395</v>
      </c>
      <c r="AE4" s="14"/>
      <c r="AF4" s="15"/>
      <c r="AG4" s="15"/>
    </row>
    <row r="5" spans="2:33" x14ac:dyDescent="0.2">
      <c r="B5" t="s">
        <v>368</v>
      </c>
      <c r="C5" t="s">
        <v>372</v>
      </c>
      <c r="D5" t="s">
        <v>422</v>
      </c>
      <c r="E5" t="s">
        <v>413</v>
      </c>
      <c r="F5" t="s">
        <v>415</v>
      </c>
      <c r="G5" t="s">
        <v>375</v>
      </c>
      <c r="H5" t="s">
        <v>370</v>
      </c>
      <c r="I5" t="s">
        <v>414</v>
      </c>
      <c r="J5" t="s">
        <v>373</v>
      </c>
      <c r="K5" t="s">
        <v>60</v>
      </c>
      <c r="L5" t="s">
        <v>381</v>
      </c>
      <c r="M5" t="s">
        <v>374</v>
      </c>
      <c r="N5" t="s">
        <v>371</v>
      </c>
      <c r="O5" t="s">
        <v>416</v>
      </c>
      <c r="P5" t="s">
        <v>377</v>
      </c>
      <c r="Q5" t="s">
        <v>378</v>
      </c>
      <c r="S5" s="14" t="s">
        <v>372</v>
      </c>
      <c r="T5" s="14" t="s">
        <v>422</v>
      </c>
      <c r="U5" s="14" t="s">
        <v>413</v>
      </c>
      <c r="V5" s="14" t="s">
        <v>415</v>
      </c>
      <c r="W5" s="14" t="s">
        <v>375</v>
      </c>
      <c r="X5" s="14" t="s">
        <v>370</v>
      </c>
      <c r="Y5" s="14" t="s">
        <v>414</v>
      </c>
      <c r="Z5" s="14" t="s">
        <v>373</v>
      </c>
      <c r="AA5" s="14" t="s">
        <v>60</v>
      </c>
      <c r="AB5" s="14" t="s">
        <v>381</v>
      </c>
      <c r="AC5" s="14" t="s">
        <v>374</v>
      </c>
      <c r="AD5" s="14" t="s">
        <v>371</v>
      </c>
      <c r="AE5" s="14" t="s">
        <v>416</v>
      </c>
      <c r="AF5" s="15" t="s">
        <v>377</v>
      </c>
      <c r="AG5" s="15" t="s">
        <v>378</v>
      </c>
    </row>
    <row r="6" spans="2:33" x14ac:dyDescent="0.2">
      <c r="B6" t="s">
        <v>403</v>
      </c>
      <c r="C6" t="s">
        <v>423</v>
      </c>
      <c r="D6" t="s">
        <v>425</v>
      </c>
      <c r="E6" t="s">
        <v>406</v>
      </c>
      <c r="F6" t="s">
        <v>427</v>
      </c>
      <c r="G6" t="s">
        <v>407</v>
      </c>
      <c r="H6" t="s">
        <v>412</v>
      </c>
      <c r="I6" t="s">
        <v>404</v>
      </c>
      <c r="J6" t="s">
        <v>408</v>
      </c>
      <c r="K6" t="s">
        <v>80</v>
      </c>
      <c r="L6" t="s">
        <v>450</v>
      </c>
      <c r="M6" t="s">
        <v>450</v>
      </c>
      <c r="N6" t="s">
        <v>450</v>
      </c>
      <c r="O6" t="s">
        <v>450</v>
      </c>
      <c r="P6" t="s">
        <v>450</v>
      </c>
      <c r="Q6" t="s">
        <v>450</v>
      </c>
      <c r="S6" s="14" t="s">
        <v>423</v>
      </c>
      <c r="T6" s="14" t="s">
        <v>425</v>
      </c>
      <c r="U6" s="14" t="s">
        <v>406</v>
      </c>
      <c r="V6" s="14" t="s">
        <v>427</v>
      </c>
      <c r="W6" s="14" t="s">
        <v>407</v>
      </c>
      <c r="X6" s="14" t="s">
        <v>412</v>
      </c>
      <c r="Y6" s="14" t="s">
        <v>404</v>
      </c>
      <c r="Z6" s="14" t="s">
        <v>408</v>
      </c>
      <c r="AA6" s="14" t="s">
        <v>80</v>
      </c>
      <c r="AB6" s="14"/>
      <c r="AC6" s="14"/>
      <c r="AD6" s="14"/>
      <c r="AE6" s="14"/>
      <c r="AF6" s="15"/>
      <c r="AG6" s="15"/>
    </row>
    <row r="7" spans="2:33" x14ac:dyDescent="0.2">
      <c r="B7" t="s">
        <v>379</v>
      </c>
      <c r="C7" t="s">
        <v>387</v>
      </c>
      <c r="D7" t="s">
        <v>424</v>
      </c>
      <c r="E7" t="s">
        <v>380</v>
      </c>
      <c r="F7" t="s">
        <v>392</v>
      </c>
      <c r="G7" t="s">
        <v>426</v>
      </c>
      <c r="H7" t="s">
        <v>382</v>
      </c>
      <c r="I7" t="s">
        <v>383</v>
      </c>
      <c r="J7" t="s">
        <v>450</v>
      </c>
      <c r="K7" t="s">
        <v>450</v>
      </c>
      <c r="L7" t="s">
        <v>450</v>
      </c>
      <c r="M7" t="s">
        <v>450</v>
      </c>
      <c r="N7" t="s">
        <v>450</v>
      </c>
      <c r="O7" t="s">
        <v>450</v>
      </c>
      <c r="P7" t="s">
        <v>450</v>
      </c>
      <c r="Q7" t="s">
        <v>450</v>
      </c>
      <c r="S7" s="14" t="s">
        <v>387</v>
      </c>
      <c r="T7" s="14" t="s">
        <v>424</v>
      </c>
      <c r="U7" s="14" t="s">
        <v>380</v>
      </c>
      <c r="V7" s="14" t="s">
        <v>392</v>
      </c>
      <c r="W7" s="14" t="s">
        <v>426</v>
      </c>
      <c r="X7" s="14" t="s">
        <v>382</v>
      </c>
      <c r="Y7" s="14" t="s">
        <v>383</v>
      </c>
      <c r="Z7" s="14"/>
      <c r="AA7" s="14"/>
      <c r="AB7" s="14"/>
      <c r="AC7" s="14"/>
      <c r="AD7" s="14"/>
      <c r="AE7" s="14"/>
      <c r="AF7" s="15"/>
      <c r="AG7" s="15"/>
    </row>
    <row r="8" spans="2:33" x14ac:dyDescent="0.2">
      <c r="B8" t="s">
        <v>8</v>
      </c>
      <c r="C8" t="s">
        <v>8</v>
      </c>
      <c r="D8" t="s">
        <v>450</v>
      </c>
      <c r="E8" t="s">
        <v>450</v>
      </c>
      <c r="F8" t="s">
        <v>450</v>
      </c>
      <c r="G8" t="s">
        <v>450</v>
      </c>
      <c r="H8" t="s">
        <v>450</v>
      </c>
      <c r="I8" t="s">
        <v>450</v>
      </c>
      <c r="J8" t="s">
        <v>450</v>
      </c>
      <c r="K8" t="s">
        <v>450</v>
      </c>
      <c r="L8" t="s">
        <v>450</v>
      </c>
      <c r="M8" t="s">
        <v>450</v>
      </c>
      <c r="N8" t="s">
        <v>450</v>
      </c>
      <c r="O8" t="s">
        <v>450</v>
      </c>
      <c r="P8" t="s">
        <v>450</v>
      </c>
      <c r="Q8" t="s">
        <v>450</v>
      </c>
      <c r="S8" s="16" t="s">
        <v>8</v>
      </c>
      <c r="T8" s="16"/>
      <c r="U8" s="16"/>
      <c r="V8" s="16"/>
      <c r="W8" s="16"/>
      <c r="X8" s="16"/>
      <c r="Y8" s="16"/>
      <c r="Z8" s="16"/>
      <c r="AA8" s="16"/>
      <c r="AB8" s="16"/>
      <c r="AC8" s="16"/>
      <c r="AD8" s="16"/>
      <c r="AE8" s="16"/>
      <c r="AF8" s="17"/>
      <c r="AG8" s="17"/>
    </row>
    <row r="10" spans="2:33" x14ac:dyDescent="0.2">
      <c r="B10" t="s">
        <v>435</v>
      </c>
      <c r="C10" t="s">
        <v>436</v>
      </c>
      <c r="D10" t="s">
        <v>437</v>
      </c>
      <c r="E10" t="s">
        <v>438</v>
      </c>
      <c r="F10" t="s">
        <v>439</v>
      </c>
      <c r="G10" t="s">
        <v>440</v>
      </c>
      <c r="H10" t="s">
        <v>441</v>
      </c>
      <c r="I10" t="s">
        <v>442</v>
      </c>
      <c r="J10" t="s">
        <v>443</v>
      </c>
      <c r="K10" t="s">
        <v>444</v>
      </c>
      <c r="L10" t="s">
        <v>445</v>
      </c>
      <c r="M10" t="s">
        <v>446</v>
      </c>
      <c r="N10" t="s">
        <v>447</v>
      </c>
      <c r="O10" t="s">
        <v>448</v>
      </c>
      <c r="P10" t="s">
        <v>449</v>
      </c>
      <c r="Q10" t="s">
        <v>451</v>
      </c>
      <c r="R10" t="s">
        <v>452</v>
      </c>
    </row>
    <row r="11" spans="2:33" x14ac:dyDescent="0.2">
      <c r="B11" t="s">
        <v>384</v>
      </c>
      <c r="C11" t="s">
        <v>636</v>
      </c>
      <c r="D11" t="s">
        <v>583</v>
      </c>
      <c r="E11" t="s">
        <v>630</v>
      </c>
      <c r="F11" t="s">
        <v>618</v>
      </c>
      <c r="G11" t="s">
        <v>554</v>
      </c>
      <c r="H11" t="s">
        <v>606</v>
      </c>
      <c r="I11" t="s">
        <v>608</v>
      </c>
      <c r="J11" t="s">
        <v>550</v>
      </c>
      <c r="K11" t="s">
        <v>587</v>
      </c>
      <c r="L11" t="s">
        <v>604</v>
      </c>
      <c r="M11" t="s">
        <v>450</v>
      </c>
      <c r="N11" t="s">
        <v>450</v>
      </c>
      <c r="O11" t="s">
        <v>450</v>
      </c>
      <c r="P11" t="s">
        <v>450</v>
      </c>
      <c r="Q11" t="s">
        <v>450</v>
      </c>
      <c r="R11" t="s">
        <v>450</v>
      </c>
    </row>
    <row r="12" spans="2:33" x14ac:dyDescent="0.2">
      <c r="B12" t="s">
        <v>389</v>
      </c>
      <c r="C12" t="s">
        <v>566</v>
      </c>
      <c r="D12" t="s">
        <v>558</v>
      </c>
      <c r="E12" t="s">
        <v>575</v>
      </c>
      <c r="F12" t="s">
        <v>568</v>
      </c>
      <c r="G12" t="s">
        <v>632</v>
      </c>
      <c r="H12" t="s">
        <v>560</v>
      </c>
      <c r="I12" t="s">
        <v>577</v>
      </c>
      <c r="J12" t="s">
        <v>570</v>
      </c>
      <c r="K12" t="s">
        <v>634</v>
      </c>
      <c r="L12" t="s">
        <v>573</v>
      </c>
      <c r="M12" t="s">
        <v>579</v>
      </c>
      <c r="N12" t="s">
        <v>638</v>
      </c>
      <c r="O12" t="s">
        <v>450</v>
      </c>
      <c r="P12" t="s">
        <v>450</v>
      </c>
      <c r="Q12" t="s">
        <v>450</v>
      </c>
      <c r="R12" t="s">
        <v>450</v>
      </c>
    </row>
    <row r="13" spans="2:33" x14ac:dyDescent="0.2">
      <c r="B13" t="s">
        <v>368</v>
      </c>
      <c r="C13" t="s">
        <v>532</v>
      </c>
      <c r="D13" t="s">
        <v>511</v>
      </c>
      <c r="E13" t="s">
        <v>519</v>
      </c>
      <c r="F13" t="s">
        <v>521</v>
      </c>
      <c r="G13" t="s">
        <v>536</v>
      </c>
      <c r="H13" t="s">
        <v>621</v>
      </c>
      <c r="I13" t="s">
        <v>517</v>
      </c>
      <c r="J13" t="s">
        <v>523</v>
      </c>
      <c r="K13" t="s">
        <v>525</v>
      </c>
      <c r="L13" t="s">
        <v>528</v>
      </c>
      <c r="M13" t="s">
        <v>513</v>
      </c>
      <c r="N13" t="s">
        <v>534</v>
      </c>
      <c r="O13" t="s">
        <v>626</v>
      </c>
      <c r="P13" t="s">
        <v>628</v>
      </c>
      <c r="Q13" t="s">
        <v>642</v>
      </c>
      <c r="R13" t="s">
        <v>542</v>
      </c>
    </row>
    <row r="14" spans="2:33" x14ac:dyDescent="0.2">
      <c r="B14" t="s">
        <v>403</v>
      </c>
      <c r="C14" t="s">
        <v>585</v>
      </c>
      <c r="D14" t="s">
        <v>644</v>
      </c>
      <c r="E14" t="s">
        <v>600</v>
      </c>
      <c r="F14" t="s">
        <v>640</v>
      </c>
      <c r="G14" t="s">
        <v>592</v>
      </c>
      <c r="H14" t="s">
        <v>614</v>
      </c>
      <c r="I14" t="s">
        <v>590</v>
      </c>
      <c r="J14" t="s">
        <v>594</v>
      </c>
      <c r="K14" t="s">
        <v>602</v>
      </c>
      <c r="L14" t="s">
        <v>610</v>
      </c>
      <c r="M14" t="s">
        <v>623</v>
      </c>
      <c r="N14" t="s">
        <v>596</v>
      </c>
      <c r="O14" t="s">
        <v>450</v>
      </c>
      <c r="P14" t="s">
        <v>450</v>
      </c>
      <c r="Q14" t="s">
        <v>450</v>
      </c>
      <c r="R14" t="s">
        <v>450</v>
      </c>
    </row>
    <row r="15" spans="2:33" x14ac:dyDescent="0.2">
      <c r="B15" t="s">
        <v>379</v>
      </c>
      <c r="C15" t="s">
        <v>538</v>
      </c>
      <c r="D15" t="s">
        <v>546</v>
      </c>
      <c r="E15" t="s">
        <v>562</v>
      </c>
      <c r="F15" t="s">
        <v>552</v>
      </c>
      <c r="G15" t="s">
        <v>548</v>
      </c>
      <c r="H15" t="s">
        <v>612</v>
      </c>
      <c r="I15" t="s">
        <v>540</v>
      </c>
      <c r="J15" t="s">
        <v>450</v>
      </c>
      <c r="K15" t="s">
        <v>450</v>
      </c>
      <c r="L15" t="s">
        <v>450</v>
      </c>
      <c r="M15" t="s">
        <v>450</v>
      </c>
      <c r="N15" t="s">
        <v>450</v>
      </c>
      <c r="O15" t="s">
        <v>450</v>
      </c>
      <c r="P15" t="s">
        <v>450</v>
      </c>
      <c r="Q15" t="s">
        <v>450</v>
      </c>
      <c r="R15" t="s">
        <v>450</v>
      </c>
    </row>
    <row r="16" spans="2:33" x14ac:dyDescent="0.2">
      <c r="B16" t="s">
        <v>8</v>
      </c>
      <c r="C16" t="s">
        <v>450</v>
      </c>
      <c r="D16" t="s">
        <v>450</v>
      </c>
      <c r="E16" t="s">
        <v>450</v>
      </c>
      <c r="F16" t="s">
        <v>450</v>
      </c>
      <c r="G16" t="s">
        <v>450</v>
      </c>
      <c r="H16" t="s">
        <v>450</v>
      </c>
      <c r="I16" t="s">
        <v>450</v>
      </c>
      <c r="J16" t="s">
        <v>450</v>
      </c>
      <c r="K16" t="s">
        <v>450</v>
      </c>
      <c r="L16" t="s">
        <v>450</v>
      </c>
      <c r="M16" t="s">
        <v>450</v>
      </c>
      <c r="N16" t="s">
        <v>450</v>
      </c>
      <c r="O16" t="s">
        <v>450</v>
      </c>
      <c r="P16" t="s">
        <v>450</v>
      </c>
      <c r="Q16" t="s">
        <v>450</v>
      </c>
      <c r="R16" t="s">
        <v>450</v>
      </c>
    </row>
    <row r="19" spans="2:4" x14ac:dyDescent="0.2">
      <c r="B19" t="s">
        <v>972</v>
      </c>
      <c r="C19" t="s">
        <v>973</v>
      </c>
      <c r="D19" t="s">
        <v>974</v>
      </c>
    </row>
    <row r="20" spans="2:4" x14ac:dyDescent="0.2">
      <c r="B20" s="151">
        <v>42588</v>
      </c>
      <c r="C20">
        <v>24325</v>
      </c>
      <c r="D20">
        <v>8</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90" zoomScaleNormal="9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1" t="s">
        <v>977</v>
      </c>
      <c r="C2" s="312"/>
      <c r="D2" s="312"/>
      <c r="E2" s="312"/>
      <c r="F2" s="312"/>
      <c r="G2" s="313"/>
      <c r="H2" s="135" t="s">
        <v>5</v>
      </c>
      <c r="I2" s="136" t="s">
        <v>2</v>
      </c>
      <c r="J2" s="136" t="s">
        <v>228</v>
      </c>
      <c r="K2" s="134"/>
    </row>
    <row r="3" spans="1:11" ht="59.25" customHeight="1" x14ac:dyDescent="0.2">
      <c r="A3" s="130"/>
      <c r="B3" s="314"/>
      <c r="C3" s="315"/>
      <c r="D3" s="315"/>
      <c r="E3" s="315"/>
      <c r="F3" s="315"/>
      <c r="G3" s="315"/>
      <c r="H3" s="307">
        <f>SUM(H5,H10)</f>
        <v>380286</v>
      </c>
      <c r="I3" s="307">
        <f>SUM(I5,I10)</f>
        <v>77963</v>
      </c>
      <c r="J3" s="309">
        <f>ROUND(I3/H3,5)</f>
        <v>0.20501</v>
      </c>
      <c r="K3" s="134"/>
    </row>
    <row r="4" spans="1:11" ht="33" customHeight="1" thickBot="1" x14ac:dyDescent="0.25">
      <c r="A4" s="130"/>
      <c r="B4" s="318" t="str">
        <f>"As of: "&amp;TEXT(INDEX(MMWR_DATES[],1,1),"MMMM DD, YYYY")</f>
        <v>As of: August 06, 2016</v>
      </c>
      <c r="C4" s="319"/>
      <c r="D4" s="319"/>
      <c r="E4" s="319"/>
      <c r="F4" s="319"/>
      <c r="G4" s="320"/>
      <c r="H4" s="308"/>
      <c r="I4" s="308"/>
      <c r="J4" s="310"/>
      <c r="K4" s="137"/>
    </row>
    <row r="5" spans="1:11" ht="16.5" customHeight="1" thickBot="1" x14ac:dyDescent="0.25">
      <c r="A5" s="130"/>
      <c r="B5" s="316" t="s">
        <v>233</v>
      </c>
      <c r="C5" s="317"/>
      <c r="D5" s="317"/>
      <c r="E5" s="317"/>
      <c r="F5" s="317"/>
      <c r="G5" s="138" t="s">
        <v>244</v>
      </c>
      <c r="H5" s="158">
        <f>SUM(H6:H9)</f>
        <v>137056</v>
      </c>
      <c r="I5" s="158">
        <f>SUM(I6:I9)</f>
        <v>32069</v>
      </c>
      <c r="J5" s="159">
        <f t="shared" ref="J5:J15" si="0">IF(H5=0, 0,I5/H5)</f>
        <v>0.23398464861078683</v>
      </c>
      <c r="K5" s="134"/>
    </row>
    <row r="6" spans="1:11" ht="16.5" customHeight="1" x14ac:dyDescent="0.2">
      <c r="A6" s="130"/>
      <c r="B6" s="321" t="s">
        <v>16</v>
      </c>
      <c r="C6" s="322"/>
      <c r="D6" s="322"/>
      <c r="E6" s="322"/>
      <c r="F6" s="322"/>
      <c r="G6" s="139" t="s">
        <v>190</v>
      </c>
      <c r="H6" s="160">
        <f>IFERROR(VLOOKUP(MID($G6,4,3),MMWR_TRAD_AGG_NATIONAL[],2,0),0)</f>
        <v>36618</v>
      </c>
      <c r="I6" s="160">
        <f>IFERROR(VLOOKUP(MID($G6,4,3),MMWR_TRAD_AGG_NATIONAL[],3,0),0)</f>
        <v>9840</v>
      </c>
      <c r="J6" s="161">
        <f t="shared" si="0"/>
        <v>0.26872030149106996</v>
      </c>
      <c r="K6" s="134"/>
    </row>
    <row r="7" spans="1:11" ht="16.5" customHeight="1" x14ac:dyDescent="0.2">
      <c r="A7" s="130"/>
      <c r="B7" s="323" t="s">
        <v>0</v>
      </c>
      <c r="C7" s="324"/>
      <c r="D7" s="324"/>
      <c r="E7" s="324"/>
      <c r="F7" s="324"/>
      <c r="G7" s="140" t="s">
        <v>191</v>
      </c>
      <c r="H7" s="160">
        <f>IFERROR(VLOOKUP(MID($G7,4,3),MMWR_TRAD_AGG_NATIONAL[],2,0),0)</f>
        <v>83419</v>
      </c>
      <c r="I7" s="160">
        <f>IFERROR(VLOOKUP(MID($G7,4,3),MMWR_TRAD_AGG_NATIONAL[],3,0),0)</f>
        <v>19793</v>
      </c>
      <c r="J7" s="161">
        <f t="shared" si="0"/>
        <v>0.23727208429734234</v>
      </c>
      <c r="K7" s="134"/>
    </row>
    <row r="8" spans="1:11" ht="16.5" customHeight="1" x14ac:dyDescent="0.2">
      <c r="A8" s="130"/>
      <c r="B8" s="325" t="s">
        <v>234</v>
      </c>
      <c r="C8" s="326"/>
      <c r="D8" s="326"/>
      <c r="E8" s="326"/>
      <c r="F8" s="326"/>
      <c r="G8" s="141" t="s">
        <v>193</v>
      </c>
      <c r="H8" s="160">
        <f>IFERROR(VLOOKUP(MID($G8,4,3),MMWR_TRAD_AGG_NATIONAL[],2,0),0)</f>
        <v>6920</v>
      </c>
      <c r="I8" s="160">
        <f>IFERROR(VLOOKUP(MID($G8,4,3),MMWR_TRAD_AGG_NATIONAL[],3,0),0)</f>
        <v>513</v>
      </c>
      <c r="J8" s="161">
        <f t="shared" si="0"/>
        <v>7.413294797687861E-2</v>
      </c>
      <c r="K8" s="134"/>
    </row>
    <row r="9" spans="1:11" ht="16.5" customHeight="1" thickBot="1" x14ac:dyDescent="0.25">
      <c r="A9" s="130"/>
      <c r="B9" s="327" t="s">
        <v>17</v>
      </c>
      <c r="C9" s="328"/>
      <c r="D9" s="328"/>
      <c r="E9" s="328"/>
      <c r="F9" s="328"/>
      <c r="G9" s="140" t="s">
        <v>195</v>
      </c>
      <c r="H9" s="160">
        <f>IFERROR(VLOOKUP(MID($G9,4,3),MMWR_TRAD_AGG_NATIONAL[],2,0),0)</f>
        <v>10099</v>
      </c>
      <c r="I9" s="160">
        <f>IFERROR(VLOOKUP(MID($G9,4,3),MMWR_TRAD_AGG_NATIONAL[],3,0),0)</f>
        <v>1923</v>
      </c>
      <c r="J9" s="161">
        <f t="shared" si="0"/>
        <v>0.19041489256362015</v>
      </c>
      <c r="K9" s="134"/>
    </row>
    <row r="10" spans="1:11" ht="17.25" thickBot="1" x14ac:dyDescent="0.25">
      <c r="A10" s="130"/>
      <c r="B10" s="316" t="s">
        <v>1</v>
      </c>
      <c r="C10" s="317"/>
      <c r="D10" s="317"/>
      <c r="E10" s="317"/>
      <c r="F10" s="317"/>
      <c r="G10" s="138" t="s">
        <v>244</v>
      </c>
      <c r="H10" s="158">
        <f>SUM(H11:H18)</f>
        <v>243230</v>
      </c>
      <c r="I10" s="158">
        <f>SUM(I11:I18)</f>
        <v>45894</v>
      </c>
      <c r="J10" s="159">
        <f t="shared" si="0"/>
        <v>0.18868560621633845</v>
      </c>
      <c r="K10" s="134"/>
    </row>
    <row r="11" spans="1:11" ht="16.5" customHeight="1" x14ac:dyDescent="0.2">
      <c r="A11" s="130"/>
      <c r="B11" s="321" t="s">
        <v>199</v>
      </c>
      <c r="C11" s="322"/>
      <c r="D11" s="322"/>
      <c r="E11" s="322"/>
      <c r="F11" s="322"/>
      <c r="G11" s="142" t="s">
        <v>194</v>
      </c>
      <c r="H11" s="162">
        <f>IFERROR(VLOOKUP(MID($G11,4,3),MMWR_TRAD_AGG_NATIONAL[],2,0),0)</f>
        <v>7580</v>
      </c>
      <c r="I11" s="160">
        <f>IFERROR(VLOOKUP(MID($G11,4,3),MMWR_TRAD_AGG_NATIONAL[],3,0),0)</f>
        <v>466</v>
      </c>
      <c r="J11" s="161">
        <f t="shared" si="0"/>
        <v>6.1477572559366755E-2</v>
      </c>
      <c r="K11" s="134"/>
    </row>
    <row r="12" spans="1:11" ht="16.5" customHeight="1" x14ac:dyDescent="0.2">
      <c r="A12" s="130"/>
      <c r="B12" s="323" t="s">
        <v>18</v>
      </c>
      <c r="C12" s="324"/>
      <c r="D12" s="324"/>
      <c r="E12" s="324"/>
      <c r="F12" s="324"/>
      <c r="G12" s="143" t="s">
        <v>192</v>
      </c>
      <c r="H12" s="163">
        <f>IFERROR(VLOOKUP(MID($G12,4,3),MMWR_TRAD_AGG_NATIONAL[],2,0),0)</f>
        <v>211851</v>
      </c>
      <c r="I12" s="160">
        <f>IFERROR(VLOOKUP(MID($G12,4,3),MMWR_TRAD_AGG_NATIONAL[],3,0),0)</f>
        <v>40933</v>
      </c>
      <c r="J12" s="161">
        <f t="shared" si="0"/>
        <v>0.19321598670763887</v>
      </c>
      <c r="K12" s="134"/>
    </row>
    <row r="13" spans="1:11" ht="16.5" customHeight="1" x14ac:dyDescent="0.2">
      <c r="A13" s="130"/>
      <c r="B13" s="323" t="s">
        <v>14</v>
      </c>
      <c r="C13" s="324"/>
      <c r="D13" s="324"/>
      <c r="E13" s="324"/>
      <c r="F13" s="324"/>
      <c r="G13" s="143" t="s">
        <v>196</v>
      </c>
      <c r="H13" s="163">
        <f>IFERROR(VLOOKUP(MID($G13,4,3),MMWR_TRAD_AGG_NATIONAL[],2,0),0)</f>
        <v>23046</v>
      </c>
      <c r="I13" s="160">
        <f>IFERROR(VLOOKUP(MID($G13,4,3),MMWR_TRAD_AGG_NATIONAL[],3,0),0)</f>
        <v>4361</v>
      </c>
      <c r="J13" s="161">
        <f t="shared" si="0"/>
        <v>0.18923023518181029</v>
      </c>
      <c r="K13" s="134"/>
    </row>
    <row r="14" spans="1:11" ht="16.5" customHeight="1" x14ac:dyDescent="0.2">
      <c r="A14" s="130"/>
      <c r="B14" s="325" t="s">
        <v>19</v>
      </c>
      <c r="C14" s="326"/>
      <c r="D14" s="326"/>
      <c r="E14" s="326"/>
      <c r="F14" s="326"/>
      <c r="G14" s="142" t="s">
        <v>197</v>
      </c>
      <c r="H14" s="163">
        <f>IFERROR(VLOOKUP(MID($G14,4,3),MMWR_TRAD_AGG_NATIONAL[],2,0),0)</f>
        <v>451</v>
      </c>
      <c r="I14" s="160">
        <f>IFERROR(VLOOKUP(MID($G14,4,3),MMWR_TRAD_AGG_NATIONAL[],3,0),0)</f>
        <v>25</v>
      </c>
      <c r="J14" s="161">
        <f t="shared" si="0"/>
        <v>5.543237250554324E-2</v>
      </c>
      <c r="K14" s="134"/>
    </row>
    <row r="15" spans="1:11" ht="16.5" customHeight="1" x14ac:dyDescent="0.2">
      <c r="A15" s="130"/>
      <c r="B15" s="325" t="s">
        <v>84</v>
      </c>
      <c r="C15" s="326"/>
      <c r="D15" s="326"/>
      <c r="E15" s="326"/>
      <c r="F15" s="326"/>
      <c r="G15" s="142" t="s">
        <v>200</v>
      </c>
      <c r="H15" s="163">
        <f>IFERROR(VLOOKUP(MID($G15,4,3),MMWR_TRAD_AGG_NATIONAL[],2,0),0)</f>
        <v>4</v>
      </c>
      <c r="I15" s="160">
        <f>IFERROR(VLOOKUP(MID($G15,4,3),MMWR_TRAD_AGG_NATIONAL[],3,0),0)</f>
        <v>1</v>
      </c>
      <c r="J15" s="161">
        <f t="shared" si="0"/>
        <v>0.25</v>
      </c>
      <c r="K15" s="134"/>
    </row>
    <row r="16" spans="1:11" ht="15" x14ac:dyDescent="0.2">
      <c r="A16" s="130"/>
      <c r="B16" s="325" t="s">
        <v>85</v>
      </c>
      <c r="C16" s="326"/>
      <c r="D16" s="326"/>
      <c r="E16" s="326"/>
      <c r="F16" s="326"/>
      <c r="G16" s="142" t="s">
        <v>201</v>
      </c>
      <c r="H16" s="163">
        <f>IFERROR(VLOOKUP(MID($G16,4,3),MMWR_TRAD_AGG_NATIONAL[],2,0),0)</f>
        <v>1</v>
      </c>
      <c r="I16" s="160">
        <f>IFERROR(VLOOKUP(MID($G16,4,3),MMWR_TRAD_AGG_NATIONAL[],3,0),0)</f>
        <v>0</v>
      </c>
      <c r="J16" s="161">
        <f>IF(H16=0, 0,I16/H16)</f>
        <v>0</v>
      </c>
      <c r="K16" s="134"/>
    </row>
    <row r="17" spans="1:11" ht="16.5" customHeight="1" x14ac:dyDescent="0.2">
      <c r="A17" s="130"/>
      <c r="B17" s="325" t="s">
        <v>87</v>
      </c>
      <c r="C17" s="326"/>
      <c r="D17" s="326"/>
      <c r="E17" s="326"/>
      <c r="F17" s="326"/>
      <c r="G17" s="142" t="s">
        <v>202</v>
      </c>
      <c r="H17" s="163">
        <f>IFERROR(VLOOKUP(MID($G17,4,3),MMWR_TRAD_AGG_NATIONAL[],2,0),0)</f>
        <v>6</v>
      </c>
      <c r="I17" s="160">
        <f>IFERROR(VLOOKUP(MID($G17,4,3),MMWR_TRAD_AGG_NATIONAL[],3,0),0)</f>
        <v>5</v>
      </c>
      <c r="J17" s="161">
        <f>IF(H17=0, 0,I17/H17)</f>
        <v>0.83333333333333337</v>
      </c>
      <c r="K17" s="134"/>
    </row>
    <row r="18" spans="1:11" ht="16.5" customHeight="1" thickBot="1" x14ac:dyDescent="0.25">
      <c r="A18" s="130"/>
      <c r="B18" s="327" t="s">
        <v>86</v>
      </c>
      <c r="C18" s="328"/>
      <c r="D18" s="328"/>
      <c r="E18" s="328"/>
      <c r="F18" s="328"/>
      <c r="G18" s="142" t="s">
        <v>203</v>
      </c>
      <c r="H18" s="164">
        <f>IFERROR(VLOOKUP(MID($G18,4,3),MMWR_TRAD_AGG_NATIONAL[],2,0),0)</f>
        <v>291</v>
      </c>
      <c r="I18" s="160">
        <f>IFERROR(VLOOKUP(MID($G18,4,3),MMWR_TRAD_AGG_NATIONAL[],3,0),0)</f>
        <v>103</v>
      </c>
      <c r="J18" s="165">
        <f>IF(H18=0, 0,I18/H18)</f>
        <v>0.35395189003436428</v>
      </c>
      <c r="K18" s="134"/>
    </row>
    <row r="19" spans="1:11" ht="16.5" customHeight="1" x14ac:dyDescent="0.2">
      <c r="A19" s="130"/>
      <c r="B19" s="332" t="s">
        <v>968</v>
      </c>
      <c r="C19" s="333"/>
      <c r="D19" s="333"/>
      <c r="E19" s="333"/>
      <c r="F19" s="333"/>
      <c r="G19" s="333"/>
      <c r="H19" s="333"/>
      <c r="I19" s="333"/>
      <c r="J19" s="334"/>
      <c r="K19" s="134"/>
    </row>
    <row r="20" spans="1:11" ht="36" customHeight="1" thickBot="1" x14ac:dyDescent="0.25">
      <c r="A20" s="130"/>
      <c r="B20" s="335"/>
      <c r="C20" s="336"/>
      <c r="D20" s="336"/>
      <c r="E20" s="336"/>
      <c r="F20" s="336"/>
      <c r="G20" s="336"/>
      <c r="H20" s="336"/>
      <c r="I20" s="336"/>
      <c r="J20" s="337"/>
      <c r="K20" s="134"/>
    </row>
    <row r="21" spans="1:11" ht="36" customHeight="1" x14ac:dyDescent="0.2">
      <c r="A21" s="130"/>
      <c r="B21" s="284" t="s">
        <v>959</v>
      </c>
      <c r="C21" s="285"/>
      <c r="D21" s="286"/>
      <c r="E21" s="284" t="s">
        <v>960</v>
      </c>
      <c r="F21" s="285"/>
      <c r="G21" s="286"/>
      <c r="H21" s="284" t="s">
        <v>961</v>
      </c>
      <c r="I21" s="285"/>
      <c r="J21" s="286"/>
      <c r="K21" s="134"/>
    </row>
    <row r="22" spans="1:11" ht="29.25" customHeight="1" thickBot="1" x14ac:dyDescent="0.25">
      <c r="A22" s="130"/>
      <c r="B22" s="287"/>
      <c r="C22" s="288"/>
      <c r="D22" s="289"/>
      <c r="E22" s="287"/>
      <c r="F22" s="288"/>
      <c r="G22" s="289"/>
      <c r="H22" s="287"/>
      <c r="I22" s="288"/>
      <c r="J22" s="289"/>
      <c r="K22" s="134"/>
    </row>
    <row r="23" spans="1:11" ht="36" customHeight="1" x14ac:dyDescent="0.35">
      <c r="A23" s="130"/>
      <c r="B23" s="284" t="s">
        <v>953</v>
      </c>
      <c r="C23" s="285"/>
      <c r="D23" s="286"/>
      <c r="E23" s="284" t="s">
        <v>954</v>
      </c>
      <c r="F23" s="285"/>
      <c r="G23" s="286"/>
      <c r="H23" s="144"/>
      <c r="I23" s="144"/>
      <c r="J23" s="144"/>
      <c r="K23" s="134"/>
    </row>
    <row r="24" spans="1:11" ht="29.25" customHeight="1" thickBot="1" x14ac:dyDescent="0.4">
      <c r="A24" s="130"/>
      <c r="B24" s="287"/>
      <c r="C24" s="288"/>
      <c r="D24" s="289"/>
      <c r="E24" s="287"/>
      <c r="F24" s="288"/>
      <c r="G24" s="289"/>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05"/>
      <c r="D26" s="305"/>
      <c r="E26" s="305"/>
      <c r="F26" s="306"/>
      <c r="G26" s="263" t="s">
        <v>1062</v>
      </c>
      <c r="H26" s="263" t="s">
        <v>1063</v>
      </c>
      <c r="I26" s="263" t="s">
        <v>1059</v>
      </c>
      <c r="J26" s="264" t="s">
        <v>28</v>
      </c>
      <c r="K26" s="134"/>
    </row>
    <row r="27" spans="1:11" ht="16.5" customHeight="1" x14ac:dyDescent="0.2">
      <c r="A27" s="130"/>
      <c r="B27" s="302" t="s">
        <v>962</v>
      </c>
      <c r="C27" s="303"/>
      <c r="D27" s="303"/>
      <c r="E27" s="303"/>
      <c r="F27" s="304"/>
      <c r="G27" s="256">
        <v>11407</v>
      </c>
      <c r="H27" s="256">
        <v>10792</v>
      </c>
      <c r="I27" s="256">
        <v>615</v>
      </c>
      <c r="J27" s="260">
        <v>5.7000000000000002E-2</v>
      </c>
      <c r="K27" s="134"/>
    </row>
    <row r="28" spans="1:11" ht="15.75" customHeight="1" x14ac:dyDescent="0.2">
      <c r="A28" s="130"/>
      <c r="B28" s="290" t="s">
        <v>24</v>
      </c>
      <c r="C28" s="291"/>
      <c r="D28" s="291"/>
      <c r="E28" s="291"/>
      <c r="F28" s="292"/>
      <c r="G28" s="257">
        <v>2828</v>
      </c>
      <c r="H28" s="257">
        <v>2766</v>
      </c>
      <c r="I28" s="257">
        <v>62</v>
      </c>
      <c r="J28" s="253">
        <v>2.1999999999999999E-2</v>
      </c>
      <c r="K28" s="134"/>
    </row>
    <row r="29" spans="1:11" ht="15.75" customHeight="1" x14ac:dyDescent="0.2">
      <c r="A29" s="130"/>
      <c r="B29" s="293" t="s">
        <v>25</v>
      </c>
      <c r="C29" s="294"/>
      <c r="D29" s="294"/>
      <c r="E29" s="294"/>
      <c r="F29" s="295"/>
      <c r="G29" s="258">
        <v>1608</v>
      </c>
      <c r="H29" s="258">
        <v>1460</v>
      </c>
      <c r="I29" s="258">
        <v>148</v>
      </c>
      <c r="J29" s="254">
        <v>0.10100000000000001</v>
      </c>
      <c r="K29" s="134"/>
    </row>
    <row r="30" spans="1:11" ht="15" x14ac:dyDescent="0.2">
      <c r="A30" s="130"/>
      <c r="B30" s="296" t="s">
        <v>26</v>
      </c>
      <c r="C30" s="297"/>
      <c r="D30" s="297"/>
      <c r="E30" s="297"/>
      <c r="F30" s="298"/>
      <c r="G30" s="258">
        <v>2484</v>
      </c>
      <c r="H30" s="258">
        <v>2606</v>
      </c>
      <c r="I30" s="258">
        <v>-122</v>
      </c>
      <c r="J30" s="254">
        <v>-4.7E-2</v>
      </c>
      <c r="K30" s="134"/>
    </row>
    <row r="31" spans="1:11" ht="15" x14ac:dyDescent="0.2">
      <c r="A31" s="130"/>
      <c r="B31" s="299" t="s">
        <v>27</v>
      </c>
      <c r="C31" s="300"/>
      <c r="D31" s="300"/>
      <c r="E31" s="300"/>
      <c r="F31" s="301"/>
      <c r="G31" s="259">
        <v>4487</v>
      </c>
      <c r="H31" s="259">
        <v>3960</v>
      </c>
      <c r="I31" s="259">
        <v>527</v>
      </c>
      <c r="J31" s="255">
        <v>0.13300000000000001</v>
      </c>
      <c r="K31" s="134"/>
    </row>
    <row r="32" spans="1:11" ht="16.5" customHeight="1" x14ac:dyDescent="0.2">
      <c r="A32" s="130"/>
      <c r="B32" s="302" t="s">
        <v>235</v>
      </c>
      <c r="C32" s="303"/>
      <c r="D32" s="303"/>
      <c r="E32" s="303"/>
      <c r="F32" s="304"/>
      <c r="G32" s="256">
        <v>74548</v>
      </c>
      <c r="H32" s="256">
        <v>64578</v>
      </c>
      <c r="I32" s="256">
        <v>9970</v>
      </c>
      <c r="J32" s="260">
        <v>0.154</v>
      </c>
      <c r="K32" s="134"/>
    </row>
    <row r="33" spans="1:11" ht="15" x14ac:dyDescent="0.2">
      <c r="A33" s="130"/>
      <c r="B33" s="290" t="s">
        <v>24</v>
      </c>
      <c r="C33" s="291"/>
      <c r="D33" s="291"/>
      <c r="E33" s="291"/>
      <c r="F33" s="292"/>
      <c r="G33" s="265">
        <v>12955</v>
      </c>
      <c r="H33" s="265">
        <v>12986</v>
      </c>
      <c r="I33" s="258">
        <v>-31</v>
      </c>
      <c r="J33" s="253">
        <v>-2E-3</v>
      </c>
      <c r="K33" s="134"/>
    </row>
    <row r="34" spans="1:11" ht="15" x14ac:dyDescent="0.2">
      <c r="A34" s="130"/>
      <c r="B34" s="293" t="s">
        <v>25</v>
      </c>
      <c r="C34" s="294"/>
      <c r="D34" s="294"/>
      <c r="E34" s="294"/>
      <c r="F34" s="295"/>
      <c r="G34" s="265">
        <v>11380</v>
      </c>
      <c r="H34" s="265">
        <v>9964</v>
      </c>
      <c r="I34" s="258">
        <v>1416</v>
      </c>
      <c r="J34" s="254">
        <v>0.14199999999999999</v>
      </c>
      <c r="K34" s="134"/>
    </row>
    <row r="35" spans="1:11" ht="15" x14ac:dyDescent="0.2">
      <c r="A35" s="130"/>
      <c r="B35" s="296" t="s">
        <v>26</v>
      </c>
      <c r="C35" s="297"/>
      <c r="D35" s="297"/>
      <c r="E35" s="297"/>
      <c r="F35" s="298"/>
      <c r="G35" s="265">
        <v>24340</v>
      </c>
      <c r="H35" s="265">
        <v>20971</v>
      </c>
      <c r="I35" s="258">
        <v>3369</v>
      </c>
      <c r="J35" s="254">
        <v>0.161</v>
      </c>
      <c r="K35" s="134"/>
    </row>
    <row r="36" spans="1:11" ht="15.75" thickBot="1" x14ac:dyDescent="0.25">
      <c r="A36" s="130"/>
      <c r="B36" s="338" t="s">
        <v>27</v>
      </c>
      <c r="C36" s="339"/>
      <c r="D36" s="339"/>
      <c r="E36" s="339"/>
      <c r="F36" s="340"/>
      <c r="G36" s="265">
        <v>25873</v>
      </c>
      <c r="H36" s="265">
        <v>20657</v>
      </c>
      <c r="I36" s="258">
        <v>5216</v>
      </c>
      <c r="J36" s="254">
        <v>0.253</v>
      </c>
      <c r="K36" s="134"/>
    </row>
    <row r="37" spans="1:11" ht="15.75" customHeight="1" thickBot="1" x14ac:dyDescent="0.25">
      <c r="A37" s="130"/>
      <c r="B37" s="329" t="s">
        <v>967</v>
      </c>
      <c r="C37" s="330"/>
      <c r="D37" s="330"/>
      <c r="E37" s="330"/>
      <c r="F37" s="330"/>
      <c r="G37" s="330"/>
      <c r="H37" s="330"/>
      <c r="I37" s="330"/>
      <c r="J37" s="331"/>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6" t="s">
        <v>295</v>
      </c>
      <c r="D2" s="357"/>
      <c r="E2" s="357"/>
      <c r="F2" s="357"/>
      <c r="G2" s="357"/>
      <c r="H2" s="357"/>
      <c r="I2" s="357"/>
      <c r="J2" s="357"/>
      <c r="K2" s="358"/>
      <c r="L2" s="356" t="s">
        <v>300</v>
      </c>
      <c r="M2" s="357"/>
      <c r="N2" s="357"/>
      <c r="O2" s="358"/>
      <c r="P2" s="28"/>
    </row>
    <row r="3" spans="1:16" ht="24" customHeight="1" thickBot="1" x14ac:dyDescent="0.4">
      <c r="A3" s="25"/>
      <c r="B3" s="29"/>
      <c r="C3" s="359"/>
      <c r="D3" s="360"/>
      <c r="E3" s="360"/>
      <c r="F3" s="360"/>
      <c r="G3" s="360"/>
      <c r="H3" s="360"/>
      <c r="I3" s="360"/>
      <c r="J3" s="360"/>
      <c r="K3" s="361"/>
      <c r="L3" s="359" t="str">
        <f>Transformation!B4</f>
        <v>As of: August 06, 2016</v>
      </c>
      <c r="M3" s="360"/>
      <c r="N3" s="360"/>
      <c r="O3" s="361"/>
      <c r="P3" s="28"/>
    </row>
    <row r="4" spans="1:16" ht="51.75" customHeight="1" thickBot="1" x14ac:dyDescent="0.35">
      <c r="A4" s="30"/>
      <c r="B4" s="246" t="s">
        <v>454</v>
      </c>
      <c r="C4" s="362" t="s">
        <v>304</v>
      </c>
      <c r="D4" s="363"/>
      <c r="E4" s="363"/>
      <c r="F4" s="363"/>
      <c r="G4" s="363"/>
      <c r="H4" s="363"/>
      <c r="I4" s="363"/>
      <c r="J4" s="363"/>
      <c r="K4" s="363"/>
      <c r="L4" s="363"/>
      <c r="M4" s="363"/>
      <c r="N4" s="363"/>
      <c r="O4" s="364"/>
      <c r="P4" s="28"/>
    </row>
    <row r="5" spans="1:16" ht="27" customHeight="1" thickBot="1" x14ac:dyDescent="0.25">
      <c r="A5" s="30"/>
      <c r="B5" s="26"/>
      <c r="C5" s="365" t="s">
        <v>1040</v>
      </c>
      <c r="D5" s="366"/>
      <c r="E5" s="366"/>
      <c r="F5" s="366"/>
      <c r="G5" s="366"/>
      <c r="H5" s="366"/>
      <c r="I5" s="366"/>
      <c r="J5" s="366"/>
      <c r="K5" s="366"/>
      <c r="L5" s="366"/>
      <c r="M5" s="366"/>
      <c r="N5" s="366"/>
      <c r="O5" s="367"/>
      <c r="P5" s="28"/>
    </row>
    <row r="6" spans="1:16" ht="55.5" customHeight="1" x14ac:dyDescent="0.2">
      <c r="A6" s="30"/>
      <c r="B6" s="31"/>
      <c r="C6" s="32" t="s">
        <v>190</v>
      </c>
      <c r="D6" s="368" t="s">
        <v>16</v>
      </c>
      <c r="E6" s="369"/>
      <c r="F6" s="33" t="s">
        <v>193</v>
      </c>
      <c r="G6" s="368" t="s">
        <v>198</v>
      </c>
      <c r="H6" s="370"/>
      <c r="I6" s="33" t="s">
        <v>196</v>
      </c>
      <c r="J6" s="374" t="s">
        <v>14</v>
      </c>
      <c r="K6" s="375"/>
      <c r="L6" s="33" t="s">
        <v>201</v>
      </c>
      <c r="M6" s="371" t="s">
        <v>85</v>
      </c>
      <c r="N6" s="372"/>
      <c r="O6" s="373"/>
      <c r="P6" s="28"/>
    </row>
    <row r="7" spans="1:16" ht="51.75" customHeight="1" x14ac:dyDescent="0.2">
      <c r="A7" s="30"/>
      <c r="B7" s="34"/>
      <c r="C7" s="35" t="s">
        <v>191</v>
      </c>
      <c r="D7" s="344" t="s">
        <v>0</v>
      </c>
      <c r="E7" s="345"/>
      <c r="F7" s="36" t="s">
        <v>194</v>
      </c>
      <c r="G7" s="346" t="s">
        <v>199</v>
      </c>
      <c r="H7" s="346"/>
      <c r="I7" s="36" t="s">
        <v>197</v>
      </c>
      <c r="J7" s="376" t="s">
        <v>19</v>
      </c>
      <c r="K7" s="377"/>
      <c r="L7" s="36" t="s">
        <v>202</v>
      </c>
      <c r="M7" s="380" t="s">
        <v>87</v>
      </c>
      <c r="N7" s="381"/>
      <c r="O7" s="382"/>
      <c r="P7" s="28"/>
    </row>
    <row r="8" spans="1:16" ht="51.75" customHeight="1" thickBot="1" x14ac:dyDescent="0.25">
      <c r="A8" s="25"/>
      <c r="B8" s="28"/>
      <c r="C8" s="37" t="s">
        <v>192</v>
      </c>
      <c r="D8" s="347" t="s">
        <v>18</v>
      </c>
      <c r="E8" s="348"/>
      <c r="F8" s="38" t="s">
        <v>195</v>
      </c>
      <c r="G8" s="349" t="s">
        <v>17</v>
      </c>
      <c r="H8" s="349"/>
      <c r="I8" s="38" t="s">
        <v>200</v>
      </c>
      <c r="J8" s="378" t="s">
        <v>84</v>
      </c>
      <c r="K8" s="379"/>
      <c r="L8" s="38" t="s">
        <v>203</v>
      </c>
      <c r="M8" s="353" t="s">
        <v>86</v>
      </c>
      <c r="N8" s="354"/>
      <c r="O8" s="355"/>
      <c r="P8" s="28"/>
    </row>
    <row r="9" spans="1:16" x14ac:dyDescent="0.2">
      <c r="A9" s="28"/>
      <c r="B9" s="28"/>
      <c r="C9" s="39" t="s">
        <v>703</v>
      </c>
      <c r="D9" s="39" t="s">
        <v>705</v>
      </c>
      <c r="E9" s="39" t="s">
        <v>704</v>
      </c>
      <c r="F9" s="39" t="s">
        <v>707</v>
      </c>
      <c r="G9" s="39" t="s">
        <v>706</v>
      </c>
      <c r="H9" s="39" t="s">
        <v>709</v>
      </c>
      <c r="I9" s="39" t="s">
        <v>708</v>
      </c>
      <c r="J9" s="39" t="s">
        <v>919</v>
      </c>
      <c r="K9" s="39" t="s">
        <v>920</v>
      </c>
      <c r="L9" s="39" t="s">
        <v>922</v>
      </c>
      <c r="M9" s="39" t="s">
        <v>1041</v>
      </c>
      <c r="N9" s="39" t="s">
        <v>923</v>
      </c>
      <c r="O9" s="39" t="s">
        <v>924</v>
      </c>
      <c r="P9" s="28"/>
    </row>
    <row r="10" spans="1:16" ht="15.75" customHeight="1" x14ac:dyDescent="0.2">
      <c r="A10" s="25"/>
      <c r="B10" s="26"/>
      <c r="C10" s="350" t="s">
        <v>293</v>
      </c>
      <c r="D10" s="350"/>
      <c r="E10" s="350"/>
      <c r="F10" s="350"/>
      <c r="G10" s="350"/>
      <c r="H10" s="350"/>
      <c r="I10" s="350"/>
      <c r="J10" s="350"/>
      <c r="K10" s="350"/>
      <c r="L10" s="350"/>
      <c r="M10" s="350"/>
      <c r="N10" s="350"/>
      <c r="O10" s="350"/>
      <c r="P10" s="28"/>
    </row>
    <row r="11" spans="1:16" ht="32.25" customHeight="1" x14ac:dyDescent="0.2">
      <c r="A11" s="25"/>
      <c r="B11" s="26"/>
      <c r="C11" s="351" t="s">
        <v>226</v>
      </c>
      <c r="D11" s="351" t="s">
        <v>134</v>
      </c>
      <c r="E11" s="351" t="s">
        <v>227</v>
      </c>
      <c r="F11" s="351" t="s">
        <v>189</v>
      </c>
      <c r="G11" s="351" t="s">
        <v>204</v>
      </c>
      <c r="H11" s="351" t="s">
        <v>206</v>
      </c>
      <c r="I11" s="351" t="s">
        <v>207</v>
      </c>
      <c r="J11" s="385" t="s">
        <v>1052</v>
      </c>
      <c r="K11" s="385" t="s">
        <v>1053</v>
      </c>
      <c r="L11" s="383" t="s">
        <v>1050</v>
      </c>
      <c r="M11" s="384"/>
      <c r="N11" s="383" t="s">
        <v>1051</v>
      </c>
      <c r="O11" s="384"/>
      <c r="P11" s="28"/>
    </row>
    <row r="12" spans="1:16" ht="32.25" customHeight="1" x14ac:dyDescent="0.2">
      <c r="A12" s="25"/>
      <c r="B12" s="26"/>
      <c r="C12" s="352"/>
      <c r="D12" s="352"/>
      <c r="E12" s="352"/>
      <c r="F12" s="352"/>
      <c r="G12" s="352"/>
      <c r="H12" s="352"/>
      <c r="I12" s="352"/>
      <c r="J12" s="386"/>
      <c r="K12" s="386"/>
      <c r="L12" s="40" t="s">
        <v>925</v>
      </c>
      <c r="M12" s="40" t="s">
        <v>930</v>
      </c>
      <c r="N12" s="40" t="s">
        <v>925</v>
      </c>
      <c r="O12" s="40" t="s">
        <v>930</v>
      </c>
      <c r="P12" s="28"/>
    </row>
    <row r="13" spans="1:16" x14ac:dyDescent="0.2">
      <c r="A13" s="25"/>
      <c r="B13" s="41" t="s">
        <v>1048</v>
      </c>
      <c r="C13" s="154">
        <f>IF($B13=" ","",IFERROR(INDEX(MMWR_RATING_RO_ROLLUP[],MATCH($B13,MMWR_RATING_RO_ROLLUP[MMWR_RATING_RO_ROLLUP],0),MATCH(C$9,MMWR_RATING_RO_ROLLUP[#Headers],0)),"ERROR"))</f>
        <v>380286</v>
      </c>
      <c r="D13" s="155">
        <f>IF($B13=" ","",IFERROR(INDEX(MMWR_RATING_RO_ROLLUP[],MATCH($B13,MMWR_RATING_RO_ROLLUP[MMWR_RATING_RO_ROLLUP],0),MATCH(D$9,MMWR_RATING_RO_ROLLUP[#Headers],0)),"ERROR"))</f>
        <v>87.801959577800005</v>
      </c>
      <c r="E13" s="156">
        <f>IF($B13=" ","",IFERROR(INDEX(MMWR_RATING_RO_ROLLUP[],MATCH($B13,MMWR_RATING_RO_ROLLUP[MMWR_RATING_RO_ROLLUP],0),MATCH(E$9,MMWR_RATING_RO_ROLLUP[#Headers],0))/$C13,"ERROR"))</f>
        <v>0.20501149135124616</v>
      </c>
      <c r="F13" s="154">
        <f>IF($B13=" ","",IFERROR(INDEX(MMWR_RATING_RO_ROLLUP[],MATCH($B13,MMWR_RATING_RO_ROLLUP[MMWR_RATING_RO_ROLLUP],0),MATCH(F$9,MMWR_RATING_RO_ROLLUP[#Headers],0)),"ERROR"))</f>
        <v>26021</v>
      </c>
      <c r="G13" s="154">
        <f>IF($B13=" ","",IFERROR(INDEX(MMWR_RATING_RO_ROLLUP[],MATCH($B13,MMWR_RATING_RO_ROLLUP[MMWR_RATING_RO_ROLLUP],0),MATCH(G$9,MMWR_RATING_RO_ROLLUP[#Headers],0)),"ERROR"))</f>
        <v>1071637</v>
      </c>
      <c r="H13" s="155">
        <f>IF($B13=" ","",IFERROR(INDEX(MMWR_RATING_RO_ROLLUP[],MATCH($B13,MMWR_RATING_RO_ROLLUP[MMWR_RATING_RO_ROLLUP],0),MATCH(H$9,MMWR_RATING_RO_ROLLUP[#Headers],0)),"ERROR"))</f>
        <v>121.4122055263</v>
      </c>
      <c r="I13" s="155">
        <f>IF($B13=" ","",IFERROR(INDEX(MMWR_RATING_RO_ROLLUP[],MATCH($B13,MMWR_RATING_RO_ROLLUP[MMWR_RATING_RO_ROLLUP],0),MATCH(I$9,MMWR_RATING_RO_ROLLUP[#Headers],0)),"ERROR"))</f>
        <v>123.1194266342</v>
      </c>
      <c r="J13" s="42"/>
      <c r="K13" s="42"/>
      <c r="L13" s="42"/>
      <c r="M13" s="42"/>
      <c r="N13" s="42"/>
      <c r="O13" s="42"/>
      <c r="P13" s="28"/>
    </row>
    <row r="14" spans="1:16" x14ac:dyDescent="0.2">
      <c r="A14" s="25"/>
      <c r="B14" s="342" t="s">
        <v>731</v>
      </c>
      <c r="C14" s="343"/>
      <c r="D14" s="343"/>
      <c r="E14" s="343"/>
      <c r="F14" s="343"/>
      <c r="G14" s="343"/>
      <c r="H14" s="343"/>
      <c r="I14" s="343"/>
      <c r="J14" s="343"/>
      <c r="K14" s="343"/>
      <c r="L14" s="343"/>
      <c r="M14" s="343"/>
      <c r="N14" s="343"/>
      <c r="O14" s="343"/>
      <c r="P14" s="28"/>
    </row>
    <row r="15" spans="1:16" x14ac:dyDescent="0.2">
      <c r="A15" s="25"/>
      <c r="B15" s="41" t="s">
        <v>727</v>
      </c>
      <c r="C15" s="154">
        <f>IF($B15=" ","",IFERROR(INDEX(MMWR_RATING_RO_ROLLUP[],MATCH($B15,MMWR_RATING_RO_ROLLUP[MMWR_RATING_RO_ROLLUP],0),MATCH(C$9,MMWR_RATING_RO_ROLLUP[#Headers],0)),"ERROR"))</f>
        <v>336517</v>
      </c>
      <c r="D15" s="155">
        <f>IF($B15=" ","",IFERROR(INDEX(MMWR_RATING_RO_ROLLUP[],MATCH($B15,MMWR_RATING_RO_ROLLUP[MMWR_RATING_RO_ROLLUP],0),MATCH(D$9,MMWR_RATING_RO_ROLLUP[#Headers],0)),"ERROR"))</f>
        <v>90.727086595900005</v>
      </c>
      <c r="E15" s="156">
        <f>IF($B15=" ","",IFERROR(INDEX(MMWR_RATING_RO_ROLLUP[],MATCH($B15,MMWR_RATING_RO_ROLLUP[MMWR_RATING_RO_ROLLUP],0),MATCH(E$9,MMWR_RATING_RO_ROLLUP[#Headers],0))/$C15,"ERROR"))</f>
        <v>0.21626544869947134</v>
      </c>
      <c r="F15" s="154">
        <f>IF($B15=" ","",IFERROR(INDEX(MMWR_RATING_RO_ROLLUP[],MATCH($B15,MMWR_RATING_RO_ROLLUP[MMWR_RATING_RO_ROLLUP],0),MATCH(F$9,MMWR_RATING_RO_ROLLUP[#Headers],0)),"ERROR"))</f>
        <v>21558</v>
      </c>
      <c r="G15" s="154">
        <f>IF($B15=" ","",IFERROR(INDEX(MMWR_RATING_RO_ROLLUP[],MATCH($B15,MMWR_RATING_RO_ROLLUP[MMWR_RATING_RO_ROLLUP],0),MATCH(G$9,MMWR_RATING_RO_ROLLUP[#Headers],0)),"ERROR"))</f>
        <v>899260</v>
      </c>
      <c r="H15" s="155">
        <f>IF($B15=" ","",IFERROR(INDEX(MMWR_RATING_RO_ROLLUP[],MATCH($B15,MMWR_RATING_RO_ROLLUP[MMWR_RATING_RO_ROLLUP],0),MATCH(H$9,MMWR_RATING_RO_ROLLUP[#Headers],0)),"ERROR"))</f>
        <v>128.03182113369999</v>
      </c>
      <c r="I15" s="155">
        <f>IF($B15=" ","",IFERROR(INDEX(MMWR_RATING_RO_ROLLUP[],MATCH($B15,MMWR_RATING_RO_ROLLUP[MMWR_RATING_RO_ROLLUP],0),MATCH(I$9,MMWR_RATING_RO_ROLLUP[#Headers],0)),"ERROR"))</f>
        <v>128.70438694040001</v>
      </c>
      <c r="J15" s="157">
        <f>VLOOKUP($B$13,MMWR_ACCURACY_RO[],MATCH(J$9,MMWR_ACCURACY_RO[#Headers],0),0)</f>
        <v>0.95094960200766199</v>
      </c>
      <c r="K15" s="157">
        <f>VLOOKUP($B$13,MMWR_ACCURACY_RO[],MATCH(K$9,MMWR_ACCURACY_RO[#Headers],0),0)</f>
        <v>0.85807148250309495</v>
      </c>
      <c r="L15" s="157">
        <f>VLOOKUP($B$13,MMWR_ACCURACY_RO[],MATCH(L$9,MMWR_ACCURACY_RO[#Headers],0),0)</f>
        <v>0.88238313577417604</v>
      </c>
      <c r="M15" s="157">
        <f>VLOOKUP($B$13,MMWR_ACCURACY_RO[],MATCH(M$9,MMWR_ACCURACY_RO[#Headers],0),0)</f>
        <v>7.8748943047496304E-3</v>
      </c>
      <c r="N15" s="157">
        <f>VLOOKUP($B$13,MMWR_ACCURACY_RO[],MATCH(N$9,MMWR_ACCURACY_RO[#Headers],0),0)</f>
        <v>0.897546515808477</v>
      </c>
      <c r="O15" s="157">
        <f>VLOOKUP($B$13,MMWR_ACCURACY_RO[],MATCH(O$9,MMWR_ACCURACY_RO[#Headers],0),0)</f>
        <v>1.18264562793959E-2</v>
      </c>
      <c r="P15" s="28"/>
    </row>
    <row r="16" spans="1:16" x14ac:dyDescent="0.2">
      <c r="A16" s="25"/>
      <c r="B16" s="247" t="s">
        <v>384</v>
      </c>
      <c r="C16" s="154">
        <f>IF($B16=" ","",IFERROR(INDEX(MMWR_RATING_RO_ROLLUP[],MATCH($B16,MMWR_RATING_RO_ROLLUP[MMWR_RATING_RO_ROLLUP],0),MATCH(C$9,MMWR_RATING_RO_ROLLUP[#Headers],0)),"ERROR"))</f>
        <v>22497</v>
      </c>
      <c r="D16" s="155">
        <f>IF($B16=" ","",IFERROR(INDEX(MMWR_RATING_RO_ROLLUP[],MATCH($B16,MMWR_RATING_RO_ROLLUP[MMWR_RATING_RO_ROLLUP],0),MATCH(D$9,MMWR_RATING_RO_ROLLUP[#Headers],0)),"ERROR"))</f>
        <v>99.437880606299998</v>
      </c>
      <c r="E16" s="156">
        <f>IF($B16=" ","",IFERROR(INDEX(MMWR_RATING_RO_ROLLUP[],MATCH($B16,MMWR_RATING_RO_ROLLUP[MMWR_RATING_RO_ROLLUP],0),MATCH(E$9,MMWR_RATING_RO_ROLLUP[#Headers],0))/$C16,"ERROR"))</f>
        <v>0.2515446503978308</v>
      </c>
      <c r="F16" s="154">
        <f>IF($B16=" ","",IFERROR(INDEX(MMWR_RATING_RO_ROLLUP[],MATCH($B16,MMWR_RATING_RO_ROLLUP[MMWR_RATING_RO_ROLLUP],0),MATCH(F$9,MMWR_RATING_RO_ROLLUP[#Headers],0)),"ERROR"))</f>
        <v>4590</v>
      </c>
      <c r="G16" s="154">
        <f>IF($B16=" ","",IFERROR(INDEX(MMWR_RATING_RO_ROLLUP[],MATCH($B16,MMWR_RATING_RO_ROLLUP[MMWR_RATING_RO_ROLLUP],0),MATCH(G$9,MMWR_RATING_RO_ROLLUP[#Headers],0)),"ERROR"))</f>
        <v>176498</v>
      </c>
      <c r="H16" s="155">
        <f>IF($B16=" ","",IFERROR(INDEX(MMWR_RATING_RO_ROLLUP[],MATCH($B16,MMWR_RATING_RO_ROLLUP[MMWR_RATING_RO_ROLLUP],0),MATCH(H$9,MMWR_RATING_RO_ROLLUP[#Headers],0)),"ERROR"))</f>
        <v>127.9381263617</v>
      </c>
      <c r="I16" s="155">
        <f>IF($B16=" ","",IFERROR(INDEX(MMWR_RATING_RO_ROLLUP[],MATCH($B16,MMWR_RATING_RO_ROLLUP[MMWR_RATING_RO_ROLLUP],0),MATCH(I$9,MMWR_RATING_RO_ROLLUP[#Headers],0)),"ERROR"))</f>
        <v>132.90172693170001</v>
      </c>
      <c r="J16" s="157">
        <f>IF($B16=" ","",IFERROR(VLOOKUP($B16,MMWR_ACCURACY_RO[],MATCH(J$9,MMWR_ACCURACY_RO[#Headers],0),0),"ERROR"))</f>
        <v>0.94908787881316803</v>
      </c>
      <c r="K16" s="157">
        <f>IF($B16=" ","",IFERROR(VLOOKUP($B16,MMWR_ACCURACY_RO[],MATCH(K$9,MMWR_ACCURACY_RO[#Headers],0),0),"ERROR"))</f>
        <v>0.85700483185618204</v>
      </c>
      <c r="L16" s="157">
        <f>IF($B16=" ","",IFERROR(VLOOKUP($B16,MMWR_ACCURACY_RO[],MATCH(L$9,MMWR_ACCURACY_RO[#Headers],0),0),"ERROR"))</f>
        <v>0.88002085650197104</v>
      </c>
      <c r="M16" s="157">
        <f>IF($B16=" ","",IFERROR(VLOOKUP($B16,MMWR_ACCURACY_RO[],MATCH(M$9,MMWR_ACCURACY_RO[#Headers],0),0),"ERROR"))</f>
        <v>1.8388590423976101E-2</v>
      </c>
      <c r="N16" s="157">
        <f>IF($B16=" ","",IFERROR(VLOOKUP($B16,MMWR_ACCURACY_RO[],MATCH(N$9,MMWR_ACCURACY_RO[#Headers],0),0),"ERROR"))</f>
        <v>0.91500867232178495</v>
      </c>
      <c r="O16" s="157">
        <f>IF($B16=" ","",IFERROR(VLOOKUP($B16,MMWR_ACCURACY_RO[],MATCH(O$9,MMWR_ACCURACY_RO[#Headers],0),0),"ERROR"))</f>
        <v>1.8579355910150398E-2</v>
      </c>
      <c r="P16" s="28"/>
    </row>
    <row r="17" spans="1:16" x14ac:dyDescent="0.2">
      <c r="A17" s="25"/>
      <c r="B17" s="8" t="str">
        <f>VLOOKUP($B$16,DISTRICT_RO[],2,0)</f>
        <v>Cheyenne VSC</v>
      </c>
      <c r="C17" s="154">
        <f>IF($B17=" ","",IFERROR(INDEX(MMWR_RATING_RO_ROLLUP[],MATCH($B17,MMWR_RATING_RO_ROLLUP[MMWR_RATING_RO_ROLLUP],0),MATCH(C$9,MMWR_RATING_RO_ROLLUP[#Headers],0)),"ERROR"))</f>
        <v>374</v>
      </c>
      <c r="D17" s="155">
        <f>IF($B17=" ","",IFERROR(INDEX(MMWR_RATING_RO_ROLLUP[],MATCH($B17,MMWR_RATING_RO_ROLLUP[MMWR_RATING_RO_ROLLUP],0),MATCH(D$9,MMWR_RATING_RO_ROLLUP[#Headers],0)),"ERROR"))</f>
        <v>106.8823529412</v>
      </c>
      <c r="E17" s="156">
        <f>IF($B17=" ","",IFERROR(INDEX(MMWR_RATING_RO_ROLLUP[],MATCH($B17,MMWR_RATING_RO_ROLLUP[MMWR_RATING_RO_ROLLUP],0),MATCH(E$9,MMWR_RATING_RO_ROLLUP[#Headers],0))/$C17,"ERROR"))</f>
        <v>0.36631016042780751</v>
      </c>
      <c r="F17" s="154">
        <f>IF($B17=" ","",IFERROR(INDEX(MMWR_RATING_RO_ROLLUP[],MATCH($B17,MMWR_RATING_RO_ROLLUP[MMWR_RATING_RO_ROLLUP],0),MATCH(F$9,MMWR_RATING_RO_ROLLUP[#Headers],0)),"ERROR"))</f>
        <v>74</v>
      </c>
      <c r="G17" s="154">
        <f>IF($B17=" ","",IFERROR(INDEX(MMWR_RATING_RO_ROLLUP[],MATCH($B17,MMWR_RATING_RO_ROLLUP[MMWR_RATING_RO_ROLLUP],0),MATCH(G$9,MMWR_RATING_RO_ROLLUP[#Headers],0)),"ERROR"))</f>
        <v>3005</v>
      </c>
      <c r="H17" s="155">
        <f>IF($B17=" ","",IFERROR(INDEX(MMWR_RATING_RO_ROLLUP[],MATCH($B17,MMWR_RATING_RO_ROLLUP[MMWR_RATING_RO_ROLLUP],0),MATCH(H$9,MMWR_RATING_RO_ROLLUP[#Headers],0)),"ERROR"))</f>
        <v>183.7432432432</v>
      </c>
      <c r="I17" s="155">
        <f>IF($B17=" ","",IFERROR(INDEX(MMWR_RATING_RO_ROLLUP[],MATCH($B17,MMWR_RATING_RO_ROLLUP[MMWR_RATING_RO_ROLLUP],0),MATCH(I$9,MMWR_RATING_RO_ROLLUP[#Headers],0)),"ERROR"))</f>
        <v>127.01098169719999</v>
      </c>
      <c r="J17" s="157">
        <f>IF($B17=" ","",IFERROR(VLOOKUP($B17,MMWR_ACCURACY_RO[],MATCH(J$9,MMWR_ACCURACY_RO[#Headers],0),0),"ERROR"))</f>
        <v>0.959598654798824</v>
      </c>
      <c r="K17" s="157">
        <f>IF($B17=" ","",IFERROR(VLOOKUP($B17,MMWR_ACCURACY_RO[],MATCH(K$9,MMWR_ACCURACY_RO[#Headers],0),0),"ERROR"))</f>
        <v>0.926084474885845</v>
      </c>
      <c r="L17" s="157">
        <f>IF($B17=" ","",IFERROR(VLOOKUP($B17,MMWR_ACCURACY_RO[],MATCH(L$9,MMWR_ACCURACY_RO[#Headers],0),0),"ERROR"))</f>
        <v>0.89925339664951798</v>
      </c>
      <c r="M17" s="157">
        <f>IF($B17=" ","",IFERROR(VLOOKUP($B17,MMWR_ACCURACY_RO[],MATCH(M$9,MMWR_ACCURACY_RO[#Headers],0),0),"ERROR"))</f>
        <v>4.4302588745122398E-2</v>
      </c>
      <c r="N17" s="157">
        <f>IF($B17=" ","",IFERROR(VLOOKUP($B17,MMWR_ACCURACY_RO[],MATCH(N$9,MMWR_ACCURACY_RO[#Headers],0),0),"ERROR"))</f>
        <v>0.83938744818779798</v>
      </c>
      <c r="O17" s="157">
        <f>IF($B17=" ","",IFERROR(VLOOKUP($B17,MMWR_ACCURACY_RO[],MATCH(O$9,MMWR_ACCURACY_RO[#Headers],0),0),"ERROR"))</f>
        <v>6.7911065257578396E-2</v>
      </c>
      <c r="P17" s="28"/>
    </row>
    <row r="18" spans="1:16" x14ac:dyDescent="0.2">
      <c r="A18" s="25"/>
      <c r="B18" s="8" t="str">
        <f>VLOOKUP($B$16,DISTRICT_RO[],3,0)</f>
        <v>Denver VSC</v>
      </c>
      <c r="C18" s="154">
        <f>IF($B18=" ","",IFERROR(INDEX(MMWR_RATING_RO_ROLLUP[],MATCH($B18,MMWR_RATING_RO_ROLLUP[MMWR_RATING_RO_ROLLUP],0),MATCH(C$9,MMWR_RATING_RO_ROLLUP[#Headers],0)),"ERROR"))</f>
        <v>1999</v>
      </c>
      <c r="D18" s="155">
        <f>IF($B18=" ","",IFERROR(INDEX(MMWR_RATING_RO_ROLLUP[],MATCH($B18,MMWR_RATING_RO_ROLLUP[MMWR_RATING_RO_ROLLUP],0),MATCH(D$9,MMWR_RATING_RO_ROLLUP[#Headers],0)),"ERROR"))</f>
        <v>100.7893946973</v>
      </c>
      <c r="E18" s="156">
        <f>IF($B18=" ","",IFERROR(INDEX(MMWR_RATING_RO_ROLLUP[],MATCH($B18,MMWR_RATING_RO_ROLLUP[MMWR_RATING_RO_ROLLUP],0),MATCH(E$9,MMWR_RATING_RO_ROLLUP[#Headers],0))/$C18,"ERROR"))</f>
        <v>0.28214107053526766</v>
      </c>
      <c r="F18" s="154">
        <f>IF($B18=" ","",IFERROR(INDEX(MMWR_RATING_RO_ROLLUP[],MATCH($B18,MMWR_RATING_RO_ROLLUP[MMWR_RATING_RO_ROLLUP],0),MATCH(F$9,MMWR_RATING_RO_ROLLUP[#Headers],0)),"ERROR"))</f>
        <v>420</v>
      </c>
      <c r="G18" s="154">
        <f>IF($B18=" ","",IFERROR(INDEX(MMWR_RATING_RO_ROLLUP[],MATCH($B18,MMWR_RATING_RO_ROLLUP[MMWR_RATING_RO_ROLLUP],0),MATCH(G$9,MMWR_RATING_RO_ROLLUP[#Headers],0)),"ERROR"))</f>
        <v>16649</v>
      </c>
      <c r="H18" s="155">
        <f>IF($B18=" ","",IFERROR(INDEX(MMWR_RATING_RO_ROLLUP[],MATCH($B18,MMWR_RATING_RO_ROLLUP[MMWR_RATING_RO_ROLLUP],0),MATCH(H$9,MMWR_RATING_RO_ROLLUP[#Headers],0)),"ERROR"))</f>
        <v>131.54523809520001</v>
      </c>
      <c r="I18" s="155">
        <f>IF($B18=" ","",IFERROR(INDEX(MMWR_RATING_RO_ROLLUP[],MATCH($B18,MMWR_RATING_RO_ROLLUP[MMWR_RATING_RO_ROLLUP],0),MATCH(I$9,MMWR_RATING_RO_ROLLUP[#Headers],0)),"ERROR"))</f>
        <v>142.83446453240001</v>
      </c>
      <c r="J18" s="157">
        <f>IF($B18=" ","",IFERROR(VLOOKUP($B18,MMWR_ACCURACY_RO[],MATCH(J$9,MMWR_ACCURACY_RO[#Headers],0),0),"ERROR"))</f>
        <v>0.95493910788684</v>
      </c>
      <c r="K18" s="157">
        <f>IF($B18=" ","",IFERROR(VLOOKUP($B18,MMWR_ACCURACY_RO[],MATCH(K$9,MMWR_ACCURACY_RO[#Headers],0),0),"ERROR"))</f>
        <v>0.85304685961803495</v>
      </c>
      <c r="L18" s="157">
        <f>IF($B18=" ","",IFERROR(VLOOKUP($B18,MMWR_ACCURACY_RO[],MATCH(L$9,MMWR_ACCURACY_RO[#Headers],0),0),"ERROR"))</f>
        <v>0.91328622578622598</v>
      </c>
      <c r="M18" s="157">
        <f>IF($B18=" ","",IFERROR(VLOOKUP($B18,MMWR_ACCURACY_RO[],MATCH(M$9,MMWR_ACCURACY_RO[#Headers],0),0),"ERROR"))</f>
        <v>4.2831944804956099E-2</v>
      </c>
      <c r="N18" s="157">
        <f>IF($B18=" ","",IFERROR(VLOOKUP($B18,MMWR_ACCURACY_RO[],MATCH(N$9,MMWR_ACCURACY_RO[#Headers],0),0),"ERROR"))</f>
        <v>0.91137319848718601</v>
      </c>
      <c r="O18" s="157">
        <f>IF($B18=" ","",IFERROR(VLOOKUP($B18,MMWR_ACCURACY_RO[],MATCH(O$9,MMWR_ACCURACY_RO[#Headers],0),0),"ERROR"))</f>
        <v>4.1108169480772998E-2</v>
      </c>
      <c r="P18" s="28"/>
    </row>
    <row r="19" spans="1:16" x14ac:dyDescent="0.2">
      <c r="A19" s="25"/>
      <c r="B19" s="8" t="str">
        <f>VLOOKUP($B$16,DISTRICT_RO[],4,0)</f>
        <v>Ft. Harrison VSC</v>
      </c>
      <c r="C19" s="154">
        <f>IF($B19=" ","",IFERROR(INDEX(MMWR_RATING_RO_ROLLUP[],MATCH($B19,MMWR_RATING_RO_ROLLUP[MMWR_RATING_RO_ROLLUP],0),MATCH(C$9,MMWR_RATING_RO_ROLLUP[#Headers],0)),"ERROR"))</f>
        <v>624</v>
      </c>
      <c r="D19" s="155">
        <f>IF($B19=" ","",IFERROR(INDEX(MMWR_RATING_RO_ROLLUP[],MATCH($B19,MMWR_RATING_RO_ROLLUP[MMWR_RATING_RO_ROLLUP],0),MATCH(D$9,MMWR_RATING_RO_ROLLUP[#Headers],0)),"ERROR"))</f>
        <v>78.416666666699996</v>
      </c>
      <c r="E19" s="156">
        <f>IF($B19=" ","",IFERROR(INDEX(MMWR_RATING_RO_ROLLUP[],MATCH($B19,MMWR_RATING_RO_ROLLUP[MMWR_RATING_RO_ROLLUP],0),MATCH(E$9,MMWR_RATING_RO_ROLLUP[#Headers],0))/$C19,"ERROR"))</f>
        <v>0.17307692307692307</v>
      </c>
      <c r="F19" s="154">
        <f>IF($B19=" ","",IFERROR(INDEX(MMWR_RATING_RO_ROLLUP[],MATCH($B19,MMWR_RATING_RO_ROLLUP[MMWR_RATING_RO_ROLLUP],0),MATCH(F$9,MMWR_RATING_RO_ROLLUP[#Headers],0)),"ERROR"))</f>
        <v>245</v>
      </c>
      <c r="G19" s="154">
        <f>IF($B19=" ","",IFERROR(INDEX(MMWR_RATING_RO_ROLLUP[],MATCH($B19,MMWR_RATING_RO_ROLLUP[MMWR_RATING_RO_ROLLUP],0),MATCH(G$9,MMWR_RATING_RO_ROLLUP[#Headers],0)),"ERROR"))</f>
        <v>5994</v>
      </c>
      <c r="H19" s="155">
        <f>IF($B19=" ","",IFERROR(INDEX(MMWR_RATING_RO_ROLLUP[],MATCH($B19,MMWR_RATING_RO_ROLLUP[MMWR_RATING_RO_ROLLUP],0),MATCH(H$9,MMWR_RATING_RO_ROLLUP[#Headers],0)),"ERROR"))</f>
        <v>105.78775510200001</v>
      </c>
      <c r="I19" s="155">
        <f>IF($B19=" ","",IFERROR(INDEX(MMWR_RATING_RO_ROLLUP[],MATCH($B19,MMWR_RATING_RO_ROLLUP[MMWR_RATING_RO_ROLLUP],0),MATCH(I$9,MMWR_RATING_RO_ROLLUP[#Headers],0)),"ERROR"))</f>
        <v>108.1596596597</v>
      </c>
      <c r="J19" s="157">
        <f>IF($B19=" ","",IFERROR(VLOOKUP($B19,MMWR_ACCURACY_RO[],MATCH(J$9,MMWR_ACCURACY_RO[#Headers],0),0),"ERROR"))</f>
        <v>0.97433287282774705</v>
      </c>
      <c r="K19" s="157">
        <f>IF($B19=" ","",IFERROR(VLOOKUP($B19,MMWR_ACCURACY_RO[],MATCH(K$9,MMWR_ACCURACY_RO[#Headers],0),0),"ERROR"))</f>
        <v>0.91539440203562406</v>
      </c>
      <c r="L19" s="157">
        <f>IF($B19=" ","",IFERROR(VLOOKUP($B19,MMWR_ACCURACY_RO[],MATCH(L$9,MMWR_ACCURACY_RO[#Headers],0),0),"ERROR"))</f>
        <v>0.929725062485799</v>
      </c>
      <c r="M19" s="157">
        <f>IF($B19=" ","",IFERROR(VLOOKUP($B19,MMWR_ACCURACY_RO[],MATCH(M$9,MMWR_ACCURACY_RO[#Headers],0),0),"ERROR"))</f>
        <v>4.4932874438705001E-2</v>
      </c>
      <c r="N19" s="157">
        <f>IF($B19=" ","",IFERROR(VLOOKUP($B19,MMWR_ACCURACY_RO[],MATCH(N$9,MMWR_ACCURACY_RO[#Headers],0),0),"ERROR"))</f>
        <v>0.92559295748950898</v>
      </c>
      <c r="O19" s="157">
        <f>IF($B19=" ","",IFERROR(VLOOKUP($B19,MMWR_ACCURACY_RO[],MATCH(O$9,MMWR_ACCURACY_RO[#Headers],0),0),"ERROR"))</f>
        <v>6.5679739284348906E-2</v>
      </c>
      <c r="P19" s="28"/>
    </row>
    <row r="20" spans="1:16" x14ac:dyDescent="0.2">
      <c r="A20" s="25"/>
      <c r="B20" s="8" t="str">
        <f>VLOOKUP($B$16,DISTRICT_RO[],5,0)</f>
        <v>Houston VSC</v>
      </c>
      <c r="C20" s="154">
        <f>IF($B20=" ","",IFERROR(INDEX(MMWR_RATING_RO_ROLLUP[],MATCH($B20,MMWR_RATING_RO_ROLLUP[MMWR_RATING_RO_ROLLUP],0),MATCH(C$9,MMWR_RATING_RO_ROLLUP[#Headers],0)),"ERROR"))</f>
        <v>4518</v>
      </c>
      <c r="D20" s="155">
        <f>IF($B20=" ","",IFERROR(INDEX(MMWR_RATING_RO_ROLLUP[],MATCH($B20,MMWR_RATING_RO_ROLLUP[MMWR_RATING_RO_ROLLUP],0),MATCH(D$9,MMWR_RATING_RO_ROLLUP[#Headers],0)),"ERROR"))</f>
        <v>119.11288180610001</v>
      </c>
      <c r="E20" s="156">
        <f>IF($B20=" ","",IFERROR(INDEX(MMWR_RATING_RO_ROLLUP[],MATCH($B20,MMWR_RATING_RO_ROLLUP[MMWR_RATING_RO_ROLLUP],0),MATCH(E$9,MMWR_RATING_RO_ROLLUP[#Headers],0))/$C20,"ERROR"))</f>
        <v>0.37671536077910578</v>
      </c>
      <c r="F20" s="154">
        <f>IF($B20=" ","",IFERROR(INDEX(MMWR_RATING_RO_ROLLUP[],MATCH($B20,MMWR_RATING_RO_ROLLUP[MMWR_RATING_RO_ROLLUP],0),MATCH(F$9,MMWR_RATING_RO_ROLLUP[#Headers],0)),"ERROR"))</f>
        <v>750</v>
      </c>
      <c r="G20" s="154">
        <f>IF($B20=" ","",IFERROR(INDEX(MMWR_RATING_RO_ROLLUP[],MATCH($B20,MMWR_RATING_RO_ROLLUP[MMWR_RATING_RO_ROLLUP],0),MATCH(G$9,MMWR_RATING_RO_ROLLUP[#Headers],0)),"ERROR"))</f>
        <v>30485</v>
      </c>
      <c r="H20" s="155">
        <f>IF($B20=" ","",IFERROR(INDEX(MMWR_RATING_RO_ROLLUP[],MATCH($B20,MMWR_RATING_RO_ROLLUP[MMWR_RATING_RO_ROLLUP],0),MATCH(H$9,MMWR_RATING_RO_ROLLUP[#Headers],0)),"ERROR"))</f>
        <v>152.596</v>
      </c>
      <c r="I20" s="155">
        <f>IF($B20=" ","",IFERROR(INDEX(MMWR_RATING_RO_ROLLUP[],MATCH($B20,MMWR_RATING_RO_ROLLUP[MMWR_RATING_RO_ROLLUP],0),MATCH(I$9,MMWR_RATING_RO_ROLLUP[#Headers],0)),"ERROR"))</f>
        <v>140.1598163031</v>
      </c>
      <c r="J20" s="157">
        <f>IF($B20=" ","",IFERROR(VLOOKUP($B20,MMWR_ACCURACY_RO[],MATCH(J$9,MMWR_ACCURACY_RO[#Headers],0),0),"ERROR"))</f>
        <v>0.94045071133250202</v>
      </c>
      <c r="K20" s="157">
        <f>IF($B20=" ","",IFERROR(VLOOKUP($B20,MMWR_ACCURACY_RO[],MATCH(K$9,MMWR_ACCURACY_RO[#Headers],0),0),"ERROR"))</f>
        <v>0.83392417114695305</v>
      </c>
      <c r="L20" s="157">
        <f>IF($B20=" ","",IFERROR(VLOOKUP($B20,MMWR_ACCURACY_RO[],MATCH(L$9,MMWR_ACCURACY_RO[#Headers],0),0),"ERROR"))</f>
        <v>0.83102929683950399</v>
      </c>
      <c r="M20" s="157">
        <f>IF($B20=" ","",IFERROR(VLOOKUP($B20,MMWR_ACCURACY_RO[],MATCH(M$9,MMWR_ACCURACY_RO[#Headers],0),0),"ERROR"))</f>
        <v>5.1483422741362E-2</v>
      </c>
      <c r="N20" s="157">
        <f>IF($B20=" ","",IFERROR(VLOOKUP($B20,MMWR_ACCURACY_RO[],MATCH(N$9,MMWR_ACCURACY_RO[#Headers],0),0),"ERROR"))</f>
        <v>0.86582899300460303</v>
      </c>
      <c r="O20" s="157">
        <f>IF($B20=" ","",IFERROR(VLOOKUP($B20,MMWR_ACCURACY_RO[],MATCH(O$9,MMWR_ACCURACY_RO[#Headers],0),0),"ERROR"))</f>
        <v>7.6253318054137598E-2</v>
      </c>
      <c r="P20" s="28"/>
    </row>
    <row r="21" spans="1:16" x14ac:dyDescent="0.2">
      <c r="A21" s="25"/>
      <c r="B21" s="8" t="str">
        <f>VLOOKUP($B$16,DISTRICT_RO[],6,0)</f>
        <v>Jackson VSC</v>
      </c>
      <c r="C21" s="154">
        <f>IF($B21=" ","",IFERROR(INDEX(MMWR_RATING_RO_ROLLUP[],MATCH($B21,MMWR_RATING_RO_ROLLUP[MMWR_RATING_RO_ROLLUP],0),MATCH(C$9,MMWR_RATING_RO_ROLLUP[#Headers],0)),"ERROR"))</f>
        <v>1629</v>
      </c>
      <c r="D21" s="155">
        <f>IF($B21=" ","",IFERROR(INDEX(MMWR_RATING_RO_ROLLUP[],MATCH($B21,MMWR_RATING_RO_ROLLUP[MMWR_RATING_RO_ROLLUP],0),MATCH(D$9,MMWR_RATING_RO_ROLLUP[#Headers],0)),"ERROR"))</f>
        <v>137.1553100061</v>
      </c>
      <c r="E21" s="156">
        <f>IF($B21=" ","",IFERROR(INDEX(MMWR_RATING_RO_ROLLUP[],MATCH($B21,MMWR_RATING_RO_ROLLUP[MMWR_RATING_RO_ROLLUP],0),MATCH(E$9,MMWR_RATING_RO_ROLLUP[#Headers],0))/$C21,"ERROR"))</f>
        <v>0.39103744628606507</v>
      </c>
      <c r="F21" s="154">
        <f>IF($B21=" ","",IFERROR(INDEX(MMWR_RATING_RO_ROLLUP[],MATCH($B21,MMWR_RATING_RO_ROLLUP[MMWR_RATING_RO_ROLLUP],0),MATCH(F$9,MMWR_RATING_RO_ROLLUP[#Headers],0)),"ERROR"))</f>
        <v>410</v>
      </c>
      <c r="G21" s="154">
        <f>IF($B21=" ","",IFERROR(INDEX(MMWR_RATING_RO_ROLLUP[],MATCH($B21,MMWR_RATING_RO_ROLLUP[MMWR_RATING_RO_ROLLUP],0),MATCH(G$9,MMWR_RATING_RO_ROLLUP[#Headers],0)),"ERROR"))</f>
        <v>12822</v>
      </c>
      <c r="H21" s="155">
        <f>IF($B21=" ","",IFERROR(INDEX(MMWR_RATING_RO_ROLLUP[],MATCH($B21,MMWR_RATING_RO_ROLLUP[MMWR_RATING_RO_ROLLUP],0),MATCH(H$9,MMWR_RATING_RO_ROLLUP[#Headers],0)),"ERROR"))</f>
        <v>142.47317073170001</v>
      </c>
      <c r="I21" s="155">
        <f>IF($B21=" ","",IFERROR(INDEX(MMWR_RATING_RO_ROLLUP[],MATCH($B21,MMWR_RATING_RO_ROLLUP[MMWR_RATING_RO_ROLLUP],0),MATCH(I$9,MMWR_RATING_RO_ROLLUP[#Headers],0)),"ERROR"))</f>
        <v>157.0305724536</v>
      </c>
      <c r="J21" s="157">
        <f>IF($B21=" ","",IFERROR(VLOOKUP($B21,MMWR_ACCURACY_RO[],MATCH(J$9,MMWR_ACCURACY_RO[#Headers],0),0),"ERROR"))</f>
        <v>0.91602754142563303</v>
      </c>
      <c r="K21" s="157">
        <f>IF($B21=" ","",IFERROR(VLOOKUP($B21,MMWR_ACCURACY_RO[],MATCH(K$9,MMWR_ACCURACY_RO[#Headers],0),0),"ERROR"))</f>
        <v>0.81039785050662005</v>
      </c>
      <c r="L21" s="157">
        <f>IF($B21=" ","",IFERROR(VLOOKUP($B21,MMWR_ACCURACY_RO[],MATCH(L$9,MMWR_ACCURACY_RO[#Headers],0),0),"ERROR"))</f>
        <v>0.87540206368346196</v>
      </c>
      <c r="M21" s="157">
        <f>IF($B21=" ","",IFERROR(VLOOKUP($B21,MMWR_ACCURACY_RO[],MATCH(M$9,MMWR_ACCURACY_RO[#Headers],0),0),"ERROR"))</f>
        <v>5.1005147322944602E-2</v>
      </c>
      <c r="N21" s="157">
        <f>IF($B21=" ","",IFERROR(VLOOKUP($B21,MMWR_ACCURACY_RO[],MATCH(N$9,MMWR_ACCURACY_RO[#Headers],0),0),"ERROR"))</f>
        <v>0.85769892122748104</v>
      </c>
      <c r="O21" s="157">
        <f>IF($B21=" ","",IFERROR(VLOOKUP($B21,MMWR_ACCURACY_RO[],MATCH(O$9,MMWR_ACCURACY_RO[#Headers],0),0),"ERROR"))</f>
        <v>6.3392193977086897E-2</v>
      </c>
      <c r="P21" s="28"/>
    </row>
    <row r="22" spans="1:16" x14ac:dyDescent="0.2">
      <c r="A22" s="25"/>
      <c r="B22" s="8" t="str">
        <f>VLOOKUP($B$16,DISTRICT_RO[],7,0)</f>
        <v>Little Rock VSC</v>
      </c>
      <c r="C22" s="154">
        <f>IF($B22=" ","",IFERROR(INDEX(MMWR_RATING_RO_ROLLUP[],MATCH($B22,MMWR_RATING_RO_ROLLUP[MMWR_RATING_RO_ROLLUP],0),MATCH(C$9,MMWR_RATING_RO_ROLLUP[#Headers],0)),"ERROR"))</f>
        <v>1480</v>
      </c>
      <c r="D22" s="155">
        <f>IF($B22=" ","",IFERROR(INDEX(MMWR_RATING_RO_ROLLUP[],MATCH($B22,MMWR_RATING_RO_ROLLUP[MMWR_RATING_RO_ROLLUP],0),MATCH(D$9,MMWR_RATING_RO_ROLLUP[#Headers],0)),"ERROR"))</f>
        <v>84.146621621600005</v>
      </c>
      <c r="E22" s="156">
        <f>IF($B22=" ","",IFERROR(INDEX(MMWR_RATING_RO_ROLLUP[],MATCH($B22,MMWR_RATING_RO_ROLLUP[MMWR_RATING_RO_ROLLUP],0),MATCH(E$9,MMWR_RATING_RO_ROLLUP[#Headers],0))/$C22,"ERROR"))</f>
        <v>0.13243243243243244</v>
      </c>
      <c r="F22" s="154">
        <f>IF($B22=" ","",IFERROR(INDEX(MMWR_RATING_RO_ROLLUP[],MATCH($B22,MMWR_RATING_RO_ROLLUP[MMWR_RATING_RO_ROLLUP],0),MATCH(F$9,MMWR_RATING_RO_ROLLUP[#Headers],0)),"ERROR"))</f>
        <v>339</v>
      </c>
      <c r="G22" s="154">
        <f>IF($B22=" ","",IFERROR(INDEX(MMWR_RATING_RO_ROLLUP[],MATCH($B22,MMWR_RATING_RO_ROLLUP[MMWR_RATING_RO_ROLLUP],0),MATCH(G$9,MMWR_RATING_RO_ROLLUP[#Headers],0)),"ERROR"))</f>
        <v>12819</v>
      </c>
      <c r="H22" s="155">
        <f>IF($B22=" ","",IFERROR(INDEX(MMWR_RATING_RO_ROLLUP[],MATCH($B22,MMWR_RATING_RO_ROLLUP[MMWR_RATING_RO_ROLLUP],0),MATCH(H$9,MMWR_RATING_RO_ROLLUP[#Headers],0)),"ERROR"))</f>
        <v>111.6017699115</v>
      </c>
      <c r="I22" s="155">
        <f>IF($B22=" ","",IFERROR(INDEX(MMWR_RATING_RO_ROLLUP[],MATCH($B22,MMWR_RATING_RO_ROLLUP[MMWR_RATING_RO_ROLLUP],0),MATCH(I$9,MMWR_RATING_RO_ROLLUP[#Headers],0)),"ERROR"))</f>
        <v>122.3666432639</v>
      </c>
      <c r="J22" s="157">
        <f>IF($B22=" ","",IFERROR(VLOOKUP($B22,MMWR_ACCURACY_RO[],MATCH(J$9,MMWR_ACCURACY_RO[#Headers],0),0),"ERROR"))</f>
        <v>0.91862568807844702</v>
      </c>
      <c r="K22" s="157">
        <f>IF($B22=" ","",IFERROR(VLOOKUP($B22,MMWR_ACCURACY_RO[],MATCH(K$9,MMWR_ACCURACY_RO[#Headers],0),0),"ERROR"))</f>
        <v>0.78700520144582597</v>
      </c>
      <c r="L22" s="157">
        <f>IF($B22=" ","",IFERROR(VLOOKUP($B22,MMWR_ACCURACY_RO[],MATCH(L$9,MMWR_ACCURACY_RO[#Headers],0),0),"ERROR"))</f>
        <v>0.86321011836748796</v>
      </c>
      <c r="M22" s="157">
        <f>IF($B22=" ","",IFERROR(VLOOKUP($B22,MMWR_ACCURACY_RO[],MATCH(M$9,MMWR_ACCURACY_RO[#Headers],0),0),"ERROR"))</f>
        <v>5.1342859378608101E-2</v>
      </c>
      <c r="N22" s="157">
        <f>IF($B22=" ","",IFERROR(VLOOKUP($B22,MMWR_ACCURACY_RO[],MATCH(N$9,MMWR_ACCURACY_RO[#Headers],0),0),"ERROR"))</f>
        <v>0.93633106093119001</v>
      </c>
      <c r="O22" s="157">
        <f>IF($B22=" ","",IFERROR(VLOOKUP($B22,MMWR_ACCURACY_RO[],MATCH(O$9,MMWR_ACCURACY_RO[#Headers],0),0),"ERROR"))</f>
        <v>4.33494080195942E-2</v>
      </c>
      <c r="P22" s="28"/>
    </row>
    <row r="23" spans="1:16" x14ac:dyDescent="0.2">
      <c r="A23" s="25"/>
      <c r="B23" s="8" t="str">
        <f>VLOOKUP($B$16,DISTRICT_RO[],8,0)</f>
        <v>Muskogee VSC</v>
      </c>
      <c r="C23" s="154">
        <f>IF($B23=" ","",IFERROR(INDEX(MMWR_RATING_RO_ROLLUP[],MATCH($B23,MMWR_RATING_RO_ROLLUP[MMWR_RATING_RO_ROLLUP],0),MATCH(C$9,MMWR_RATING_RO_ROLLUP[#Headers],0)),"ERROR"))</f>
        <v>2391</v>
      </c>
      <c r="D23" s="155">
        <f>IF($B23=" ","",IFERROR(INDEX(MMWR_RATING_RO_ROLLUP[],MATCH($B23,MMWR_RATING_RO_ROLLUP[MMWR_RATING_RO_ROLLUP],0),MATCH(D$9,MMWR_RATING_RO_ROLLUP[#Headers],0)),"ERROR"))</f>
        <v>80.3889585947</v>
      </c>
      <c r="E23" s="156">
        <f>IF($B23=" ","",IFERROR(INDEX(MMWR_RATING_RO_ROLLUP[],MATCH($B23,MMWR_RATING_RO_ROLLUP[MMWR_RATING_RO_ROLLUP],0),MATCH(E$9,MMWR_RATING_RO_ROLLUP[#Headers],0))/$C23,"ERROR"))</f>
        <v>0.14261815140108741</v>
      </c>
      <c r="F23" s="154">
        <f>IF($B23=" ","",IFERROR(INDEX(MMWR_RATING_RO_ROLLUP[],MATCH($B23,MMWR_RATING_RO_ROLLUP[MMWR_RATING_RO_ROLLUP],0),MATCH(F$9,MMWR_RATING_RO_ROLLUP[#Headers],0)),"ERROR"))</f>
        <v>659</v>
      </c>
      <c r="G23" s="154">
        <f>IF($B23=" ","",IFERROR(INDEX(MMWR_RATING_RO_ROLLUP[],MATCH($B23,MMWR_RATING_RO_ROLLUP[MMWR_RATING_RO_ROLLUP],0),MATCH(G$9,MMWR_RATING_RO_ROLLUP[#Headers],0)),"ERROR"))</f>
        <v>29490</v>
      </c>
      <c r="H23" s="155">
        <f>IF($B23=" ","",IFERROR(INDEX(MMWR_RATING_RO_ROLLUP[],MATCH($B23,MMWR_RATING_RO_ROLLUP[MMWR_RATING_RO_ROLLUP],0),MATCH(H$9,MMWR_RATING_RO_ROLLUP[#Headers],0)),"ERROR"))</f>
        <v>95.995447647999995</v>
      </c>
      <c r="I23" s="155">
        <f>IF($B23=" ","",IFERROR(INDEX(MMWR_RATING_RO_ROLLUP[],MATCH($B23,MMWR_RATING_RO_ROLLUP[MMWR_RATING_RO_ROLLUP],0),MATCH(I$9,MMWR_RATING_RO_ROLLUP[#Headers],0)),"ERROR"))</f>
        <v>114.7965072906</v>
      </c>
      <c r="J23" s="157">
        <f>IF($B23=" ","",IFERROR(VLOOKUP($B23,MMWR_ACCURACY_RO[],MATCH(J$9,MMWR_ACCURACY_RO[#Headers],0),0),"ERROR"))</f>
        <v>0.95989480022669305</v>
      </c>
      <c r="K23" s="157">
        <f>IF($B23=" ","",IFERROR(VLOOKUP($B23,MMWR_ACCURACY_RO[],MATCH(K$9,MMWR_ACCURACY_RO[#Headers],0),0),"ERROR"))</f>
        <v>0.90650371884403602</v>
      </c>
      <c r="L23" s="157">
        <f>IF($B23=" ","",IFERROR(VLOOKUP($B23,MMWR_ACCURACY_RO[],MATCH(L$9,MMWR_ACCURACY_RO[#Headers],0),0),"ERROR"))</f>
        <v>0.88099082872699397</v>
      </c>
      <c r="M23" s="157">
        <f>IF($B23=" ","",IFERROR(VLOOKUP($B23,MMWR_ACCURACY_RO[],MATCH(M$9,MMWR_ACCURACY_RO[#Headers],0),0),"ERROR"))</f>
        <v>5.12302944870872E-2</v>
      </c>
      <c r="N23" s="157">
        <f>IF($B23=" ","",IFERROR(VLOOKUP($B23,MMWR_ACCURACY_RO[],MATCH(N$9,MMWR_ACCURACY_RO[#Headers],0),0),"ERROR"))</f>
        <v>0.92982441481005096</v>
      </c>
      <c r="O23" s="157">
        <f>IF($B23=" ","",IFERROR(VLOOKUP($B23,MMWR_ACCURACY_RO[],MATCH(O$9,MMWR_ACCURACY_RO[#Headers],0),0),"ERROR"))</f>
        <v>4.8987007159121299E-2</v>
      </c>
      <c r="P23" s="28"/>
    </row>
    <row r="24" spans="1:16" x14ac:dyDescent="0.2">
      <c r="A24" s="25"/>
      <c r="B24" s="8" t="str">
        <f>VLOOKUP($B$16,DISTRICT_RO[],9,0)</f>
        <v>New Orleans VSC</v>
      </c>
      <c r="C24" s="154">
        <f>IF($B24=" ","",IFERROR(INDEX(MMWR_RATING_RO_ROLLUP[],MATCH($B24,MMWR_RATING_RO_ROLLUP[MMWR_RATING_RO_ROLLUP],0),MATCH(C$9,MMWR_RATING_RO_ROLLUP[#Headers],0)),"ERROR"))</f>
        <v>741</v>
      </c>
      <c r="D24" s="155">
        <f>IF($B24=" ","",IFERROR(INDEX(MMWR_RATING_RO_ROLLUP[],MATCH($B24,MMWR_RATING_RO_ROLLUP[MMWR_RATING_RO_ROLLUP],0),MATCH(D$9,MMWR_RATING_RO_ROLLUP[#Headers],0)),"ERROR"))</f>
        <v>111.7408906883</v>
      </c>
      <c r="E24" s="156">
        <f>IF($B24=" ","",IFERROR(INDEX(MMWR_RATING_RO_ROLLUP[],MATCH($B24,MMWR_RATING_RO_ROLLUP[MMWR_RATING_RO_ROLLUP],0),MATCH(E$9,MMWR_RATING_RO_ROLLUP[#Headers],0))/$C24,"ERROR"))</f>
        <v>0.34143049932523617</v>
      </c>
      <c r="F24" s="154">
        <f>IF($B24=" ","",IFERROR(INDEX(MMWR_RATING_RO_ROLLUP[],MATCH($B24,MMWR_RATING_RO_ROLLUP[MMWR_RATING_RO_ROLLUP],0),MATCH(F$9,MMWR_RATING_RO_ROLLUP[#Headers],0)),"ERROR"))</f>
        <v>378</v>
      </c>
      <c r="G24" s="154">
        <f>IF($B24=" ","",IFERROR(INDEX(MMWR_RATING_RO_ROLLUP[],MATCH($B24,MMWR_RATING_RO_ROLLUP[MMWR_RATING_RO_ROLLUP],0),MATCH(G$9,MMWR_RATING_RO_ROLLUP[#Headers],0)),"ERROR"))</f>
        <v>12163</v>
      </c>
      <c r="H24" s="155">
        <f>IF($B24=" ","",IFERROR(INDEX(MMWR_RATING_RO_ROLLUP[],MATCH($B24,MMWR_RATING_RO_ROLLUP[MMWR_RATING_RO_ROLLUP],0),MATCH(H$9,MMWR_RATING_RO_ROLLUP[#Headers],0)),"ERROR"))</f>
        <v>126.5740740741</v>
      </c>
      <c r="I24" s="155">
        <f>IF($B24=" ","",IFERROR(INDEX(MMWR_RATING_RO_ROLLUP[],MATCH($B24,MMWR_RATING_RO_ROLLUP[MMWR_RATING_RO_ROLLUP],0),MATCH(I$9,MMWR_RATING_RO_ROLLUP[#Headers],0)),"ERROR"))</f>
        <v>139.4761160898</v>
      </c>
      <c r="J24" s="157">
        <f>IF($B24=" ","",IFERROR(VLOOKUP($B24,MMWR_ACCURACY_RO[],MATCH(J$9,MMWR_ACCURACY_RO[#Headers],0),0),"ERROR"))</f>
        <v>0.93970777468764299</v>
      </c>
      <c r="K24" s="157">
        <f>IF($B24=" ","",IFERROR(VLOOKUP($B24,MMWR_ACCURACY_RO[],MATCH(K$9,MMWR_ACCURACY_RO[#Headers],0),0),"ERROR"))</f>
        <v>0.80017301038062305</v>
      </c>
      <c r="L24" s="157">
        <f>IF($B24=" ","",IFERROR(VLOOKUP($B24,MMWR_ACCURACY_RO[],MATCH(L$9,MMWR_ACCURACY_RO[#Headers],0),0),"ERROR"))</f>
        <v>0.89524771390760105</v>
      </c>
      <c r="M24" s="157">
        <f>IF($B24=" ","",IFERROR(VLOOKUP($B24,MMWR_ACCURACY_RO[],MATCH(M$9,MMWR_ACCURACY_RO[#Headers],0),0),"ERROR"))</f>
        <v>4.5015086181634599E-2</v>
      </c>
      <c r="N24" s="157">
        <f>IF($B24=" ","",IFERROR(VLOOKUP($B24,MMWR_ACCURACY_RO[],MATCH(N$9,MMWR_ACCURACY_RO[#Headers],0),0),"ERROR"))</f>
        <v>0.88902092131449895</v>
      </c>
      <c r="O24" s="157">
        <f>IF($B24=" ","",IFERROR(VLOOKUP($B24,MMWR_ACCURACY_RO[],MATCH(O$9,MMWR_ACCURACY_RO[#Headers],0),0),"ERROR"))</f>
        <v>0.100732040057814</v>
      </c>
      <c r="P24" s="28"/>
    </row>
    <row r="25" spans="1:16" x14ac:dyDescent="0.2">
      <c r="A25" s="25"/>
      <c r="B25" s="8" t="str">
        <f>VLOOKUP($B$16,DISTRICT_RO[],10,0)</f>
        <v>Salt Lake City VSC</v>
      </c>
      <c r="C25" s="154">
        <f>IF($B25=" ","",IFERROR(INDEX(MMWR_RATING_RO_ROLLUP[],MATCH($B25,MMWR_RATING_RO_ROLLUP[MMWR_RATING_RO_ROLLUP],0),MATCH(C$9,MMWR_RATING_RO_ROLLUP[#Headers],0)),"ERROR"))</f>
        <v>1617</v>
      </c>
      <c r="D25" s="155">
        <f>IF($B25=" ","",IFERROR(INDEX(MMWR_RATING_RO_ROLLUP[],MATCH($B25,MMWR_RATING_RO_ROLLUP[MMWR_RATING_RO_ROLLUP],0),MATCH(D$9,MMWR_RATING_RO_ROLLUP[#Headers],0)),"ERROR"))</f>
        <v>96.478045763799997</v>
      </c>
      <c r="E25" s="156">
        <f>IF($B25=" ","",IFERROR(INDEX(MMWR_RATING_RO_ROLLUP[],MATCH($B25,MMWR_RATING_RO_ROLLUP[MMWR_RATING_RO_ROLLUP],0),MATCH(E$9,MMWR_RATING_RO_ROLLUP[#Headers],0))/$C25,"ERROR"))</f>
        <v>0.23809523809523808</v>
      </c>
      <c r="F25" s="154">
        <f>IF($B25=" ","",IFERROR(INDEX(MMWR_RATING_RO_ROLLUP[],MATCH($B25,MMWR_RATING_RO_ROLLUP[MMWR_RATING_RO_ROLLUP],0),MATCH(F$9,MMWR_RATING_RO_ROLLUP[#Headers],0)),"ERROR"))</f>
        <v>265</v>
      </c>
      <c r="G25" s="154">
        <f>IF($B25=" ","",IFERROR(INDEX(MMWR_RATING_RO_ROLLUP[],MATCH($B25,MMWR_RATING_RO_ROLLUP[MMWR_RATING_RO_ROLLUP],0),MATCH(G$9,MMWR_RATING_RO_ROLLUP[#Headers],0)),"ERROR"))</f>
        <v>10382</v>
      </c>
      <c r="H25" s="155">
        <f>IF($B25=" ","",IFERROR(INDEX(MMWR_RATING_RO_ROLLUP[],MATCH($B25,MMWR_RATING_RO_ROLLUP[MMWR_RATING_RO_ROLLUP],0),MATCH(H$9,MMWR_RATING_RO_ROLLUP[#Headers],0)),"ERROR"))</f>
        <v>112.22641509429999</v>
      </c>
      <c r="I25" s="155">
        <f>IF($B25=" ","",IFERROR(INDEX(MMWR_RATING_RO_ROLLUP[],MATCH($B25,MMWR_RATING_RO_ROLLUP[MMWR_RATING_RO_ROLLUP],0),MATCH(I$9,MMWR_RATING_RO_ROLLUP[#Headers],0)),"ERROR"))</f>
        <v>140.50597187439999</v>
      </c>
      <c r="J25" s="157">
        <f>IF($B25=" ","",IFERROR(VLOOKUP($B25,MMWR_ACCURACY_RO[],MATCH(J$9,MMWR_ACCURACY_RO[#Headers],0),0),"ERROR"))</f>
        <v>0.96023925657922804</v>
      </c>
      <c r="K25" s="157">
        <f>IF($B25=" ","",IFERROR(VLOOKUP($B25,MMWR_ACCURACY_RO[],MATCH(K$9,MMWR_ACCURACY_RO[#Headers],0),0),"ERROR"))</f>
        <v>0.80242292248009295</v>
      </c>
      <c r="L25" s="157">
        <f>IF($B25=" ","",IFERROR(VLOOKUP($B25,MMWR_ACCURACY_RO[],MATCH(L$9,MMWR_ACCURACY_RO[#Headers],0),0),"ERROR"))</f>
        <v>0.89663144171863896</v>
      </c>
      <c r="M25" s="157">
        <f>IF($B25=" ","",IFERROR(VLOOKUP($B25,MMWR_ACCURACY_RO[],MATCH(M$9,MMWR_ACCURACY_RO[#Headers],0),0),"ERROR"))</f>
        <v>4.8075365302181802E-2</v>
      </c>
      <c r="N25" s="157">
        <f>IF($B25=" ","",IFERROR(VLOOKUP($B25,MMWR_ACCURACY_RO[],MATCH(N$9,MMWR_ACCURACY_RO[#Headers],0),0),"ERROR"))</f>
        <v>0.96989691390806598</v>
      </c>
      <c r="O25" s="157">
        <f>IF($B25=" ","",IFERROR(VLOOKUP($B25,MMWR_ACCURACY_RO[],MATCH(O$9,MMWR_ACCURACY_RO[#Headers],0),0),"ERROR"))</f>
        <v>3.0785831251215801E-2</v>
      </c>
      <c r="P25" s="28"/>
    </row>
    <row r="26" spans="1:16" x14ac:dyDescent="0.2">
      <c r="A26" s="25"/>
      <c r="B26" s="8" t="str">
        <f>VLOOKUP($B$16,DISTRICT_RO[],11,0)</f>
        <v>Waco VSC</v>
      </c>
      <c r="C26" s="154">
        <f>IF($B26=" ","",IFERROR(INDEX(MMWR_RATING_RO_ROLLUP[],MATCH($B26,MMWR_RATING_RO_ROLLUP[MMWR_RATING_RO_ROLLUP],0),MATCH(C$9,MMWR_RATING_RO_ROLLUP[#Headers],0)),"ERROR"))</f>
        <v>7124</v>
      </c>
      <c r="D26" s="155">
        <f>IF($B26=" ","",IFERROR(INDEX(MMWR_RATING_RO_ROLLUP[],MATCH($B26,MMWR_RATING_RO_ROLLUP[MMWR_RATING_RO_ROLLUP],0),MATCH(D$9,MMWR_RATING_RO_ROLLUP[#Headers],0)),"ERROR"))</f>
        <v>88.368893879799998</v>
      </c>
      <c r="E26" s="156">
        <f>IF($B26=" ","",IFERROR(INDEX(MMWR_RATING_RO_ROLLUP[],MATCH($B26,MMWR_RATING_RO_ROLLUP[MMWR_RATING_RO_ROLLUP],0),MATCH(E$9,MMWR_RATING_RO_ROLLUP[#Headers],0))/$C26,"ERROR"))</f>
        <v>0.18753509264458171</v>
      </c>
      <c r="F26" s="154">
        <f>IF($B26=" ","",IFERROR(INDEX(MMWR_RATING_RO_ROLLUP[],MATCH($B26,MMWR_RATING_RO_ROLLUP[MMWR_RATING_RO_ROLLUP],0),MATCH(F$9,MMWR_RATING_RO_ROLLUP[#Headers],0)),"ERROR"))</f>
        <v>1050</v>
      </c>
      <c r="G26" s="154">
        <f>IF($B26=" ","",IFERROR(INDEX(MMWR_RATING_RO_ROLLUP[],MATCH($B26,MMWR_RATING_RO_ROLLUP[MMWR_RATING_RO_ROLLUP],0),MATCH(G$9,MMWR_RATING_RO_ROLLUP[#Headers],0)),"ERROR"))</f>
        <v>42689</v>
      </c>
      <c r="H26" s="155">
        <f>IF($B26=" ","",IFERROR(INDEX(MMWR_RATING_RO_ROLLUP[],MATCH($B26,MMWR_RATING_RO_ROLLUP[MMWR_RATING_RO_ROLLUP],0),MATCH(H$9,MMWR_RATING_RO_ROLLUP[#Headers],0)),"ERROR"))</f>
        <v>134.22095238099999</v>
      </c>
      <c r="I26" s="155">
        <f>IF($B26=" ","",IFERROR(INDEX(MMWR_RATING_RO_ROLLUP[],MATCH($B26,MMWR_RATING_RO_ROLLUP[MMWR_RATING_RO_ROLLUP],0),MATCH(I$9,MMWR_RATING_RO_ROLLUP[#Headers],0)),"ERROR"))</f>
        <v>132.43446789570001</v>
      </c>
      <c r="J26" s="157">
        <f>IF($B26=" ","",IFERROR(VLOOKUP($B26,MMWR_ACCURACY_RO[],MATCH(J$9,MMWR_ACCURACY_RO[#Headers],0),0),"ERROR"))</f>
        <v>0.94960591849143094</v>
      </c>
      <c r="K26" s="157">
        <f>IF($B26=" ","",IFERROR(VLOOKUP($B26,MMWR_ACCURACY_RO[],MATCH(K$9,MMWR_ACCURACY_RO[#Headers],0),0),"ERROR"))</f>
        <v>0.91043400011801501</v>
      </c>
      <c r="L26" s="157">
        <f>IF($B26=" ","",IFERROR(VLOOKUP($B26,MMWR_ACCURACY_RO[],MATCH(L$9,MMWR_ACCURACY_RO[#Headers],0),0),"ERROR"))</f>
        <v>0.88608190783869001</v>
      </c>
      <c r="M26" s="157">
        <f>IF($B26=" ","",IFERROR(VLOOKUP($B26,MMWR_ACCURACY_RO[],MATCH(M$9,MMWR_ACCURACY_RO[#Headers],0),0),"ERROR"))</f>
        <v>4.7601408293891402E-2</v>
      </c>
      <c r="N26" s="157">
        <f>IF($B26=" ","",IFERROR(VLOOKUP($B26,MMWR_ACCURACY_RO[],MATCH(N$9,MMWR_ACCURACY_RO[#Headers],0),0),"ERROR"))</f>
        <v>0.88427488932320097</v>
      </c>
      <c r="O26" s="157">
        <f>IF($B26=" ","",IFERROR(VLOOKUP($B26,MMWR_ACCURACY_RO[],MATCH(O$9,MMWR_ACCURACY_RO[#Headers],0),0),"ERROR"))</f>
        <v>4.6185417301871999E-2</v>
      </c>
      <c r="P26" s="28"/>
    </row>
    <row r="27" spans="1:16" x14ac:dyDescent="0.2">
      <c r="A27" s="25"/>
      <c r="B27" s="8" t="str">
        <f>VLOOKUP($B$16,DISTRICT_RO[],12,0)</f>
        <v xml:space="preserve"> </v>
      </c>
      <c r="C27" s="154" t="str">
        <f>IF($B27=" ","",IFERROR(INDEX(MMWR_RATING_RO_ROLLUP[],MATCH($B27,MMWR_RATING_RO_ROLLUP[MMWR_RATING_RO_ROLLUP],0),MATCH(C$9,MMWR_RATING_RO_ROLLUP[#Headers],0)),"ERROR"))</f>
        <v/>
      </c>
      <c r="D27" s="155" t="str">
        <f>IF($B27=" ","",IFERROR(INDEX(MMWR_RATING_RO_ROLLUP[],MATCH($B27,MMWR_RATING_RO_ROLLUP[MMWR_RATING_RO_ROLLUP],0),MATCH(D$9,MMWR_RATING_RO_ROLLUP[#Headers],0)),"ERROR"))</f>
        <v/>
      </c>
      <c r="E27" s="156" t="str">
        <f>IF($B27=" ","",IFERROR(INDEX(MMWR_RATING_RO_ROLLUP[],MATCH($B27,MMWR_RATING_RO_ROLLUP[MMWR_RATING_RO_ROLLUP],0),MATCH(E$9,MMWR_RATING_RO_ROLLUP[#Headers],0))/$C27,"ERROR"))</f>
        <v/>
      </c>
      <c r="F27" s="154" t="str">
        <f>IF($B27=" ","",IFERROR(INDEX(MMWR_RATING_RO_ROLLUP[],MATCH($B27,MMWR_RATING_RO_ROLLUP[MMWR_RATING_RO_ROLLUP],0),MATCH(F$9,MMWR_RATING_RO_ROLLUP[#Headers],0)),"ERROR"))</f>
        <v/>
      </c>
      <c r="G27" s="154" t="str">
        <f>IF($B27=" ","",IFERROR(INDEX(MMWR_RATING_RO_ROLLUP[],MATCH($B27,MMWR_RATING_RO_ROLLUP[MMWR_RATING_RO_ROLLUP],0),MATCH(G$9,MMWR_RATING_RO_ROLLUP[#Headers],0)),"ERROR"))</f>
        <v/>
      </c>
      <c r="H27" s="155" t="str">
        <f>IF($B27=" ","",IFERROR(INDEX(MMWR_RATING_RO_ROLLUP[],MATCH($B27,MMWR_RATING_RO_ROLLUP[MMWR_RATING_RO_ROLLUP],0),MATCH(H$9,MMWR_RATING_RO_ROLLUP[#Headers],0)),"ERROR"))</f>
        <v/>
      </c>
      <c r="I27" s="155" t="str">
        <f>IF($B27=" ","",IFERROR(INDEX(MMWR_RATING_RO_ROLLUP[],MATCH($B27,MMWR_RATING_RO_ROLLUP[MMWR_RATING_RO_ROLLUP],0),MATCH(I$9,MMWR_RATING_RO_ROLLUP[#Headers],0)),"ERROR"))</f>
        <v/>
      </c>
      <c r="J27" s="157" t="str">
        <f>IF($B27=" ","",IFERROR(VLOOKUP($B27,MMWR_ACCURACY_RO[],MATCH(J$9,MMWR_ACCURACY_RO[#Headers],0),0),"ERROR"))</f>
        <v/>
      </c>
      <c r="K27" s="157" t="str">
        <f>IF($B27=" ","",IFERROR(VLOOKUP($B27,MMWR_ACCURACY_RO[],MATCH(K$9,MMWR_ACCURACY_RO[#Headers],0),0),"ERROR"))</f>
        <v/>
      </c>
      <c r="L27" s="157" t="str">
        <f>IF($B27=" ","",IFERROR(VLOOKUP($B27,MMWR_ACCURACY_RO[],MATCH(L$9,MMWR_ACCURACY_RO[#Headers],0),0),"ERROR"))</f>
        <v/>
      </c>
      <c r="M27" s="157" t="str">
        <f>IF($B27=" ","",IFERROR(VLOOKUP($B27,MMWR_ACCURACY_RO[],MATCH(M$9,MMWR_ACCURACY_RO[#Headers],0),0),"ERROR"))</f>
        <v/>
      </c>
      <c r="N27" s="157" t="str">
        <f>IF($B27=" ","",IFERROR(VLOOKUP($B27,MMWR_ACCURACY_RO[],MATCH(N$9,MMWR_ACCURACY_RO[#Headers],0),0),"ERROR"))</f>
        <v/>
      </c>
      <c r="O27" s="157" t="str">
        <f>IF($B27=" ","",IFERROR(VLOOKUP($B27,MMWR_ACCURACY_RO[],MATCH(O$9,MMWR_ACCURACY_RO[#Headers],0),0),"ERROR"))</f>
        <v/>
      </c>
      <c r="P27" s="28"/>
    </row>
    <row r="28" spans="1:16" x14ac:dyDescent="0.2">
      <c r="A28" s="25"/>
      <c r="B28" s="8" t="str">
        <f>VLOOKUP($B$16,DISTRICT_RO[],13,0)</f>
        <v xml:space="preserve"> </v>
      </c>
      <c r="C28" s="154" t="str">
        <f>IF($B28=" ","",IFERROR(INDEX(MMWR_RATING_RO_ROLLUP[],MATCH($B28,MMWR_RATING_RO_ROLLUP[MMWR_RATING_RO_ROLLUP],0),MATCH(C$9,MMWR_RATING_RO_ROLLUP[#Headers],0)),"ERROR"))</f>
        <v/>
      </c>
      <c r="D28" s="155" t="str">
        <f>IF($B28=" ","",IFERROR(INDEX(MMWR_RATING_RO_ROLLUP[],MATCH($B28,MMWR_RATING_RO_ROLLUP[MMWR_RATING_RO_ROLLUP],0),MATCH(D$9,MMWR_RATING_RO_ROLLUP[#Headers],0)),"ERROR"))</f>
        <v/>
      </c>
      <c r="E28" s="156" t="str">
        <f>IF($B28=" ","",IFERROR(INDEX(MMWR_RATING_RO_ROLLUP[],MATCH($B28,MMWR_RATING_RO_ROLLUP[MMWR_RATING_RO_ROLLUP],0),MATCH(E$9,MMWR_RATING_RO_ROLLUP[#Headers],0))/$C28,"ERROR"))</f>
        <v/>
      </c>
      <c r="F28" s="154" t="str">
        <f>IF($B28=" ","",IFERROR(INDEX(MMWR_RATING_RO_ROLLUP[],MATCH($B28,MMWR_RATING_RO_ROLLUP[MMWR_RATING_RO_ROLLUP],0),MATCH(F$9,MMWR_RATING_RO_ROLLUP[#Headers],0)),"ERROR"))</f>
        <v/>
      </c>
      <c r="G28" s="154" t="str">
        <f>IF($B28=" ","",IFERROR(INDEX(MMWR_RATING_RO_ROLLUP[],MATCH($B28,MMWR_RATING_RO_ROLLUP[MMWR_RATING_RO_ROLLUP],0),MATCH(G$9,MMWR_RATING_RO_ROLLUP[#Headers],0)),"ERROR"))</f>
        <v/>
      </c>
      <c r="H28" s="155" t="str">
        <f>IF($B28=" ","",IFERROR(INDEX(MMWR_RATING_RO_ROLLUP[],MATCH($B28,MMWR_RATING_RO_ROLLUP[MMWR_RATING_RO_ROLLUP],0),MATCH(H$9,MMWR_RATING_RO_ROLLUP[#Headers],0)),"ERROR"))</f>
        <v/>
      </c>
      <c r="I28" s="155" t="str">
        <f>IF($B28=" ","",IFERROR(INDEX(MMWR_RATING_RO_ROLLUP[],MATCH($B28,MMWR_RATING_RO_ROLLUP[MMWR_RATING_RO_ROLLUP],0),MATCH(I$9,MMWR_RATING_RO_ROLLUP[#Headers],0)),"ERROR"))</f>
        <v/>
      </c>
      <c r="J28" s="157" t="str">
        <f>IF($B28=" ","",IFERROR(VLOOKUP($B28,MMWR_ACCURACY_RO[],MATCH(J$9,MMWR_ACCURACY_RO[#Headers],0),0),"ERROR"))</f>
        <v/>
      </c>
      <c r="K28" s="157" t="str">
        <f>IF($B28=" ","",IFERROR(VLOOKUP($B28,MMWR_ACCURACY_RO[],MATCH(K$9,MMWR_ACCURACY_RO[#Headers],0),0),"ERROR"))</f>
        <v/>
      </c>
      <c r="L28" s="157" t="str">
        <f>IF($B28=" ","",IFERROR(VLOOKUP($B28,MMWR_ACCURACY_RO[],MATCH(L$9,MMWR_ACCURACY_RO[#Headers],0),0),"ERROR"))</f>
        <v/>
      </c>
      <c r="M28" s="157" t="str">
        <f>IF($B28=" ","",IFERROR(VLOOKUP($B28,MMWR_ACCURACY_RO[],MATCH(M$9,MMWR_ACCURACY_RO[#Headers],0),0),"ERROR"))</f>
        <v/>
      </c>
      <c r="N28" s="157" t="str">
        <f>IF($B28=" ","",IFERROR(VLOOKUP($B28,MMWR_ACCURACY_RO[],MATCH(N$9,MMWR_ACCURACY_RO[#Headers],0),0),"ERROR"))</f>
        <v/>
      </c>
      <c r="O28" s="157" t="str">
        <f>IF($B28=" ","",IFERROR(VLOOKUP($B28,MMWR_ACCURACY_RO[],MATCH(O$9,MMWR_ACCURACY_RO[#Headers],0),0),"ERROR"))</f>
        <v/>
      </c>
      <c r="P28" s="28"/>
    </row>
    <row r="29" spans="1:16" x14ac:dyDescent="0.2">
      <c r="A29" s="25"/>
      <c r="B29" s="8" t="str">
        <f>VLOOKUP($B$16,DISTRICT_RO[],14,0)</f>
        <v xml:space="preserve"> </v>
      </c>
      <c r="C29" s="154" t="str">
        <f>IF($B29=" ","",IFERROR(INDEX(MMWR_RATING_RO_ROLLUP[],MATCH($B29,MMWR_RATING_RO_ROLLUP[MMWR_RATING_RO_ROLLUP],0),MATCH(C$9,MMWR_RATING_RO_ROLLUP[#Headers],0)),"ERROR"))</f>
        <v/>
      </c>
      <c r="D29" s="155" t="str">
        <f>IF($B29=" ","",IFERROR(INDEX(MMWR_RATING_RO_ROLLUP[],MATCH($B29,MMWR_RATING_RO_ROLLUP[MMWR_RATING_RO_ROLLUP],0),MATCH(D$9,MMWR_RATING_RO_ROLLUP[#Headers],0)),"ERROR"))</f>
        <v/>
      </c>
      <c r="E29" s="156" t="str">
        <f>IF($B29=" ","",IFERROR(INDEX(MMWR_RATING_RO_ROLLUP[],MATCH($B29,MMWR_RATING_RO_ROLLUP[MMWR_RATING_RO_ROLLUP],0),MATCH(E$9,MMWR_RATING_RO_ROLLUP[#Headers],0))/$C29,"ERROR"))</f>
        <v/>
      </c>
      <c r="F29" s="154" t="str">
        <f>IF($B29=" ","",IFERROR(INDEX(MMWR_RATING_RO_ROLLUP[],MATCH($B29,MMWR_RATING_RO_ROLLUP[MMWR_RATING_RO_ROLLUP],0),MATCH(F$9,MMWR_RATING_RO_ROLLUP[#Headers],0)),"ERROR"))</f>
        <v/>
      </c>
      <c r="G29" s="154" t="str">
        <f>IF($B29=" ","",IFERROR(INDEX(MMWR_RATING_RO_ROLLUP[],MATCH($B29,MMWR_RATING_RO_ROLLUP[MMWR_RATING_RO_ROLLUP],0),MATCH(G$9,MMWR_RATING_RO_ROLLUP[#Headers],0)),"ERROR"))</f>
        <v/>
      </c>
      <c r="H29" s="155" t="str">
        <f>IF($B29=" ","",IFERROR(INDEX(MMWR_RATING_RO_ROLLUP[],MATCH($B29,MMWR_RATING_RO_ROLLUP[MMWR_RATING_RO_ROLLUP],0),MATCH(H$9,MMWR_RATING_RO_ROLLUP[#Headers],0)),"ERROR"))</f>
        <v/>
      </c>
      <c r="I29" s="155" t="str">
        <f>IF($B29=" ","",IFERROR(INDEX(MMWR_RATING_RO_ROLLUP[],MATCH($B29,MMWR_RATING_RO_ROLLUP[MMWR_RATING_RO_ROLLUP],0),MATCH(I$9,MMWR_RATING_RO_ROLLUP[#Headers],0)),"ERROR"))</f>
        <v/>
      </c>
      <c r="J29" s="157" t="str">
        <f>IF($B29=" ","",IFERROR(VLOOKUP($B29,MMWR_ACCURACY_RO[],MATCH(J$9,MMWR_ACCURACY_RO[#Headers],0),0),"ERROR"))</f>
        <v/>
      </c>
      <c r="K29" s="157" t="str">
        <f>IF($B29=" ","",IFERROR(VLOOKUP($B29,MMWR_ACCURACY_RO[],MATCH(K$9,MMWR_ACCURACY_RO[#Headers],0),0),"ERROR"))</f>
        <v/>
      </c>
      <c r="L29" s="157" t="str">
        <f>IF($B29=" ","",IFERROR(VLOOKUP($B29,MMWR_ACCURACY_RO[],MATCH(L$9,MMWR_ACCURACY_RO[#Headers],0),0),"ERROR"))</f>
        <v/>
      </c>
      <c r="M29" s="157" t="str">
        <f>IF($B29=" ","",IFERROR(VLOOKUP($B29,MMWR_ACCURACY_RO[],MATCH(M$9,MMWR_ACCURACY_RO[#Headers],0),0),"ERROR"))</f>
        <v/>
      </c>
      <c r="N29" s="157" t="str">
        <f>IF($B29=" ","",IFERROR(VLOOKUP($B29,MMWR_ACCURACY_RO[],MATCH(N$9,MMWR_ACCURACY_RO[#Headers],0),0),"ERROR"))</f>
        <v/>
      </c>
      <c r="O29" s="157" t="str">
        <f>IF($B29=" ","",IFERROR(VLOOKUP($B29,MMWR_ACCURACY_RO[],MATCH(O$9,MMWR_ACCURACY_RO[#Headers],0),0),"ERROR"))</f>
        <v/>
      </c>
      <c r="P29" s="28"/>
    </row>
    <row r="30" spans="1:16" x14ac:dyDescent="0.2">
      <c r="A30" s="25"/>
      <c r="B30" s="8" t="str">
        <f>VLOOKUP($B$16,DISTRICT_RO[],15,0)</f>
        <v xml:space="preserve"> </v>
      </c>
      <c r="C30" s="154" t="str">
        <f>IF($B30=" ","",IFERROR(INDEX(MMWR_RATING_RO_ROLLUP[],MATCH($B30,MMWR_RATING_RO_ROLLUP[MMWR_RATING_RO_ROLLUP],0),MATCH(C$9,MMWR_RATING_RO_ROLLUP[#Headers],0)),"ERROR"))</f>
        <v/>
      </c>
      <c r="D30" s="155" t="str">
        <f>IF($B30=" ","",IFERROR(INDEX(MMWR_RATING_RO_ROLLUP[],MATCH($B30,MMWR_RATING_RO_ROLLUP[MMWR_RATING_RO_ROLLUP],0),MATCH(D$9,MMWR_RATING_RO_ROLLUP[#Headers],0)),"ERROR"))</f>
        <v/>
      </c>
      <c r="E30" s="156" t="str">
        <f>IF($B30=" ","",IFERROR(INDEX(MMWR_RATING_RO_ROLLUP[],MATCH($B30,MMWR_RATING_RO_ROLLUP[MMWR_RATING_RO_ROLLUP],0),MATCH(E$9,MMWR_RATING_RO_ROLLUP[#Headers],0))/$C30,"ERROR"))</f>
        <v/>
      </c>
      <c r="F30" s="154" t="str">
        <f>IF($B30=" ","",IFERROR(INDEX(MMWR_RATING_RO_ROLLUP[],MATCH($B30,MMWR_RATING_RO_ROLLUP[MMWR_RATING_RO_ROLLUP],0),MATCH(F$9,MMWR_RATING_RO_ROLLUP[#Headers],0)),"ERROR"))</f>
        <v/>
      </c>
      <c r="G30" s="154" t="str">
        <f>IF($B30=" ","",IFERROR(INDEX(MMWR_RATING_RO_ROLLUP[],MATCH($B30,MMWR_RATING_RO_ROLLUP[MMWR_RATING_RO_ROLLUP],0),MATCH(G$9,MMWR_RATING_RO_ROLLUP[#Headers],0)),"ERROR"))</f>
        <v/>
      </c>
      <c r="H30" s="155" t="str">
        <f>IF($B30=" ","",IFERROR(INDEX(MMWR_RATING_RO_ROLLUP[],MATCH($B30,MMWR_RATING_RO_ROLLUP[MMWR_RATING_RO_ROLLUP],0),MATCH(H$9,MMWR_RATING_RO_ROLLUP[#Headers],0)),"ERROR"))</f>
        <v/>
      </c>
      <c r="I30" s="155" t="str">
        <f>IF($B30=" ","",IFERROR(INDEX(MMWR_RATING_RO_ROLLUP[],MATCH($B30,MMWR_RATING_RO_ROLLUP[MMWR_RATING_RO_ROLLUP],0),MATCH(I$9,MMWR_RATING_RO_ROLLUP[#Headers],0)),"ERROR"))</f>
        <v/>
      </c>
      <c r="J30" s="157" t="str">
        <f>IF($B30=" ","",IFERROR(VLOOKUP($B30,MMWR_ACCURACY_RO[],MATCH(J$9,MMWR_ACCURACY_RO[#Headers],0),0),"ERROR"))</f>
        <v/>
      </c>
      <c r="K30" s="157" t="str">
        <f>IF($B30=" ","",IFERROR(VLOOKUP($B30,MMWR_ACCURACY_RO[],MATCH(K$9,MMWR_ACCURACY_RO[#Headers],0),0),"ERROR"))</f>
        <v/>
      </c>
      <c r="L30" s="157" t="str">
        <f>IF($B30=" ","",IFERROR(VLOOKUP($B30,MMWR_ACCURACY_RO[],MATCH(L$9,MMWR_ACCURACY_RO[#Headers],0),0),"ERROR"))</f>
        <v/>
      </c>
      <c r="M30" s="157" t="str">
        <f>IF($B30=" ","",IFERROR(VLOOKUP($B30,MMWR_ACCURACY_RO[],MATCH(M$9,MMWR_ACCURACY_RO[#Headers],0),0),"ERROR"))</f>
        <v/>
      </c>
      <c r="N30" s="157" t="str">
        <f>IF($B30=" ","",IFERROR(VLOOKUP($B30,MMWR_ACCURACY_RO[],MATCH(N$9,MMWR_ACCURACY_RO[#Headers],0),0),"ERROR"))</f>
        <v/>
      </c>
      <c r="O30" s="157" t="str">
        <f>IF($B30=" ","",IFERROR(VLOOKUP($B30,MMWR_ACCURACY_RO[],MATCH(O$9,MMWR_ACCURACY_RO[#Headers],0),0),"ERROR"))</f>
        <v/>
      </c>
      <c r="P30" s="28"/>
    </row>
    <row r="31" spans="1:16" x14ac:dyDescent="0.2">
      <c r="A31" s="25"/>
      <c r="B31" s="8" t="str">
        <f>VLOOKUP($B$16,DISTRICT_RO[],16,0)</f>
        <v xml:space="preserve"> </v>
      </c>
      <c r="C31" s="154" t="str">
        <f>IF($B31=" ","",IFERROR(INDEX(MMWR_RATING_RO_ROLLUP[],MATCH($B31,MMWR_RATING_RO_ROLLUP[MMWR_RATING_RO_ROLLUP],0),MATCH(C$9,MMWR_RATING_RO_ROLLUP[#Headers],0)),"ERROR"))</f>
        <v/>
      </c>
      <c r="D31" s="155" t="str">
        <f>IF($B31=" ","",IFERROR(INDEX(MMWR_RATING_RO_ROLLUP[],MATCH($B31,MMWR_RATING_RO_ROLLUP[MMWR_RATING_RO_ROLLUP],0),MATCH(D$9,MMWR_RATING_RO_ROLLUP[#Headers],0)),"ERROR"))</f>
        <v/>
      </c>
      <c r="E31" s="156" t="str">
        <f>IF($B31=" ","",IFERROR(INDEX(MMWR_RATING_RO_ROLLUP[],MATCH($B31,MMWR_RATING_RO_ROLLUP[MMWR_RATING_RO_ROLLUP],0),MATCH(E$9,MMWR_RATING_RO_ROLLUP[#Headers],0))/$C31,"ERROR"))</f>
        <v/>
      </c>
      <c r="F31" s="154" t="str">
        <f>IF($B31=" ","",IFERROR(INDEX(MMWR_RATING_RO_ROLLUP[],MATCH($B31,MMWR_RATING_RO_ROLLUP[MMWR_RATING_RO_ROLLUP],0),MATCH(F$9,MMWR_RATING_RO_ROLLUP[#Headers],0)),"ERROR"))</f>
        <v/>
      </c>
      <c r="G31" s="154" t="str">
        <f>IF($B31=" ","",IFERROR(INDEX(MMWR_RATING_RO_ROLLUP[],MATCH($B31,MMWR_RATING_RO_ROLLUP[MMWR_RATING_RO_ROLLUP],0),MATCH(G$9,MMWR_RATING_RO_ROLLUP[#Headers],0)),"ERROR"))</f>
        <v/>
      </c>
      <c r="H31" s="155" t="str">
        <f>IF($B31=" ","",IFERROR(INDEX(MMWR_RATING_RO_ROLLUP[],MATCH($B31,MMWR_RATING_RO_ROLLUP[MMWR_RATING_RO_ROLLUP],0),MATCH(H$9,MMWR_RATING_RO_ROLLUP[#Headers],0)),"ERROR"))</f>
        <v/>
      </c>
      <c r="I31" s="155" t="str">
        <f>IF($B31=" ","",IFERROR(INDEX(MMWR_RATING_RO_ROLLUP[],MATCH($B31,MMWR_RATING_RO_ROLLUP[MMWR_RATING_RO_ROLLUP],0),MATCH(I$9,MMWR_RATING_RO_ROLLUP[#Headers],0)),"ERROR"))</f>
        <v/>
      </c>
      <c r="J31" s="157" t="str">
        <f>IF($B31=" ","",IFERROR(VLOOKUP($B31,MMWR_ACCURACY_RO[],MATCH(J$9,MMWR_ACCURACY_RO[#Headers],0),0),"ERROR"))</f>
        <v/>
      </c>
      <c r="K31" s="157" t="str">
        <f>IF($B31=" ","",IFERROR(VLOOKUP($B31,MMWR_ACCURACY_RO[],MATCH(K$9,MMWR_ACCURACY_RO[#Headers],0),0),"ERROR"))</f>
        <v/>
      </c>
      <c r="L31" s="157" t="str">
        <f>IF($B31=" ","",IFERROR(VLOOKUP($B31,MMWR_ACCURACY_RO[],MATCH(L$9,MMWR_ACCURACY_RO[#Headers],0),0),"ERROR"))</f>
        <v/>
      </c>
      <c r="M31" s="157" t="str">
        <f>IF($B31=" ","",IFERROR(VLOOKUP($B31,MMWR_ACCURACY_RO[],MATCH(M$9,MMWR_ACCURACY_RO[#Headers],0),0),"ERROR"))</f>
        <v/>
      </c>
      <c r="N31" s="157" t="str">
        <f>IF($B31=" ","",IFERROR(VLOOKUP($B31,MMWR_ACCURACY_RO[],MATCH(N$9,MMWR_ACCURACY_RO[#Headers],0),0),"ERROR"))</f>
        <v/>
      </c>
      <c r="O31" s="157" t="str">
        <f>IF($B31=" ","",IFERROR(VLOOKUP($B31,MMWR_ACCURACY_RO[],MATCH(O$9,MMWR_ACCURACY_RO[#Headers],0),0),"ERROR"))</f>
        <v/>
      </c>
      <c r="P31" s="28"/>
    </row>
    <row r="32" spans="1:16" x14ac:dyDescent="0.2">
      <c r="A32" s="25"/>
      <c r="B32" s="8" t="str">
        <f>VLOOKUP($B$16,DISTRICT_RO[],17,0)</f>
        <v xml:space="preserve"> </v>
      </c>
      <c r="C32" s="154" t="str">
        <f>IF($B32=" ","",IFERROR(INDEX(MMWR_RATING_RO_ROLLUP[],MATCH($B32,MMWR_RATING_RO_ROLLUP[MMWR_RATING_RO_ROLLUP],0),MATCH(C$9,MMWR_RATING_RO_ROLLUP[#Headers],0)),"ERROR"))</f>
        <v/>
      </c>
      <c r="D32" s="155" t="str">
        <f>IF($B32=" ","",IFERROR(INDEX(MMWR_RATING_RO_ROLLUP[],MATCH($B32,MMWR_RATING_RO_ROLLUP[MMWR_RATING_RO_ROLLUP],0),MATCH(D$9,MMWR_RATING_RO_ROLLUP[#Headers],0)),"ERROR"))</f>
        <v/>
      </c>
      <c r="E32" s="156" t="str">
        <f>IF($B32=" ","",IFERROR(INDEX(MMWR_RATING_RO_ROLLUP[],MATCH($B32,MMWR_RATING_RO_ROLLUP[MMWR_RATING_RO_ROLLUP],0),MATCH(E$9,MMWR_RATING_RO_ROLLUP[#Headers],0))/$C32,"ERROR"))</f>
        <v/>
      </c>
      <c r="F32" s="154" t="str">
        <f>IF($B32=" ","",IFERROR(INDEX(MMWR_RATING_RO_ROLLUP[],MATCH($B32,MMWR_RATING_RO_ROLLUP[MMWR_RATING_RO_ROLLUP],0),MATCH(F$9,MMWR_RATING_RO_ROLLUP[#Headers],0)),"ERROR"))</f>
        <v/>
      </c>
      <c r="G32" s="154" t="str">
        <f>IF($B32=" ","",IFERROR(INDEX(MMWR_RATING_RO_ROLLUP[],MATCH($B32,MMWR_RATING_RO_ROLLUP[MMWR_RATING_RO_ROLLUP],0),MATCH(G$9,MMWR_RATING_RO_ROLLUP[#Headers],0)),"ERROR"))</f>
        <v/>
      </c>
      <c r="H32" s="155" t="str">
        <f>IF($B32=" ","",IFERROR(INDEX(MMWR_RATING_RO_ROLLUP[],MATCH($B32,MMWR_RATING_RO_ROLLUP[MMWR_RATING_RO_ROLLUP],0),MATCH(H$9,MMWR_RATING_RO_ROLLUP[#Headers],0)),"ERROR"))</f>
        <v/>
      </c>
      <c r="I32" s="155" t="str">
        <f>IF($B32=" ","",IFERROR(INDEX(MMWR_RATING_RO_ROLLUP[],MATCH($B32,MMWR_RATING_RO_ROLLUP[MMWR_RATING_RO_ROLLUP],0),MATCH(I$9,MMWR_RATING_RO_ROLLUP[#Headers],0)),"ERROR"))</f>
        <v/>
      </c>
      <c r="J32" s="157" t="str">
        <f>IF($B32=" ","",IFERROR(VLOOKUP($B32,MMWR_ACCURACY_RO[],MATCH(J$9,MMWR_ACCURACY_RO[#Headers],0),0),"ERROR"))</f>
        <v/>
      </c>
      <c r="K32" s="157" t="str">
        <f>IF($B32=" ","",IFERROR(VLOOKUP($B32,MMWR_ACCURACY_RO[],MATCH(K$9,MMWR_ACCURACY_RO[#Headers],0),0),"ERROR"))</f>
        <v/>
      </c>
      <c r="L32" s="157" t="str">
        <f>IF($B32=" ","",IFERROR(VLOOKUP($B32,MMWR_ACCURACY_RO[],MATCH(L$9,MMWR_ACCURACY_RO[#Headers],0),0),"ERROR"))</f>
        <v/>
      </c>
      <c r="M32" s="157" t="str">
        <f>IF($B32=" ","",IFERROR(VLOOKUP($B32,MMWR_ACCURACY_RO[],MATCH(M$9,MMWR_ACCURACY_RO[#Headers],0),0),"ERROR"))</f>
        <v/>
      </c>
      <c r="N32" s="157" t="str">
        <f>IF($B32=" ","",IFERROR(VLOOKUP($B32,MMWR_ACCURACY_RO[],MATCH(N$9,MMWR_ACCURACY_RO[#Headers],0),0),"ERROR"))</f>
        <v/>
      </c>
      <c r="O32" s="157" t="str">
        <f>IF($B32=" ","",IFERROR(VLOOKUP($B32,MMWR_ACCURACY_RO[],MATCH(O$9,MMWR_ACCURACY_RO[#Headers],0),0),"ERROR"))</f>
        <v/>
      </c>
      <c r="P32" s="28"/>
    </row>
    <row r="33" spans="1:16" x14ac:dyDescent="0.2">
      <c r="A33" s="25"/>
      <c r="B33" s="342" t="s">
        <v>732</v>
      </c>
      <c r="C33" s="343"/>
      <c r="D33" s="343"/>
      <c r="E33" s="343"/>
      <c r="F33" s="343"/>
      <c r="G33" s="343"/>
      <c r="H33" s="343"/>
      <c r="I33" s="343"/>
      <c r="J33" s="343"/>
      <c r="K33" s="343"/>
      <c r="L33" s="343"/>
      <c r="M33" s="343"/>
      <c r="N33" s="343"/>
      <c r="O33" s="343"/>
      <c r="P33" s="28"/>
    </row>
    <row r="34" spans="1:16" x14ac:dyDescent="0.2">
      <c r="A34" s="25"/>
      <c r="B34" s="11" t="s">
        <v>695</v>
      </c>
      <c r="C34" s="154">
        <f>IF($B34=" ","",IFERROR(INDEX(MMWR_RATING_RO_ROLLUP[],MATCH($B34,MMWR_RATING_RO_ROLLUP[MMWR_RATING_RO_ROLLUP],0),MATCH(C$9,MMWR_RATING_RO_ROLLUP[#Headers],0)),"ERROR"))</f>
        <v>26665</v>
      </c>
      <c r="D34" s="155">
        <f>IF($B34=" ","",IFERROR(INDEX(MMWR_RATING_RO_ROLLUP[],MATCH($B34,MMWR_RATING_RO_ROLLUP[MMWR_RATING_RO_ROLLUP],0),MATCH(D$9,MMWR_RATING_RO_ROLLUP[#Headers],0)),"ERROR"))</f>
        <v>67.833452090799994</v>
      </c>
      <c r="E34" s="156">
        <f>IF($B34=" ","",IFERROR(INDEX(MMWR_RATING_RO_ROLLUP[],MATCH($B34,MMWR_RATING_RO_ROLLUP[MMWR_RATING_RO_ROLLUP],0),MATCH(E$9,MMWR_RATING_RO_ROLLUP[#Headers],0))/$C34,"ERROR"))</f>
        <v>0.11966997937371086</v>
      </c>
      <c r="F34" s="154">
        <f>IF($B34=" ","",IFERROR(INDEX(MMWR_RATING_RO_ROLLUP[],MATCH($B34,MMWR_RATING_RO_ROLLUP[MMWR_RATING_RO_ROLLUP],0),MATCH(F$9,MMWR_RATING_RO_ROLLUP[#Headers],0)),"ERROR"))</f>
        <v>3662</v>
      </c>
      <c r="G34" s="154">
        <f>IF($B34=" ","",IFERROR(INDEX(MMWR_RATING_RO_ROLLUP[],MATCH($B34,MMWR_RATING_RO_ROLLUP[MMWR_RATING_RO_ROLLUP],0),MATCH(G$9,MMWR_RATING_RO_ROLLUP[#Headers],0)),"ERROR"))</f>
        <v>125945</v>
      </c>
      <c r="H34" s="155">
        <f>IF($B34=" ","",IFERROR(INDEX(MMWR_RATING_RO_ROLLUP[],MATCH($B34,MMWR_RATING_RO_ROLLUP[MMWR_RATING_RO_ROLLUP],0),MATCH(H$9,MMWR_RATING_RO_ROLLUP[#Headers],0)),"ERROR"))</f>
        <v>85.453031130499994</v>
      </c>
      <c r="I34" s="155">
        <f>IF($B34=" ","",IFERROR(INDEX(MMWR_RATING_RO_ROLLUP[],MATCH($B34,MMWR_RATING_RO_ROLLUP[MMWR_RATING_RO_ROLLUP],0),MATCH(I$9,MMWR_RATING_RO_ROLLUP[#Headers],0)),"ERROR"))</f>
        <v>79.289777283700005</v>
      </c>
      <c r="J34" s="42"/>
      <c r="K34" s="262">
        <f>IF($B34=" ","",IFERROR(VLOOKUP($B34,MMWR_ACCURACY_RO[],MATCH(K$50,MMWR_ACCURACY_RO[#Headers],0),0),"ERROR"))</f>
        <v>0.98861798182406402</v>
      </c>
      <c r="L34" s="262">
        <f>IF($B34=" ","",IFERROR(VLOOKUP($B34,MMWR_ACCURACY_RO[],MATCH(L$50,MMWR_ACCURACY_RO[#Headers],0),0),"ERROR"))</f>
        <v>0.96596963758717302</v>
      </c>
      <c r="M34" s="262">
        <f>IF($B34=" ","",IFERROR(VLOOKUP($B34,MMWR_ACCURACY_RO[],MATCH(M$50,MMWR_ACCURACY_RO[#Headers],0),0),"ERROR"))</f>
        <v>1.8343995693259299E-2</v>
      </c>
      <c r="N34" s="262">
        <f>IF($B34=" ","",IFERROR(VLOOKUP($B34,MMWR_ACCURACY_RO[],MATCH(N$50,MMWR_ACCURACY_RO[#Headers],0),0),"ERROR"))</f>
        <v>0.96864495028045905</v>
      </c>
      <c r="O34" s="262">
        <f>IF($B34=" ","",IFERROR(VLOOKUP($B34,MMWR_ACCURACY_RO[],MATCH(O$50,MMWR_ACCURACY_RO[#Headers],0),0),"ERROR"))</f>
        <v>1.7727389141889E-2</v>
      </c>
      <c r="P34" s="28"/>
    </row>
    <row r="35" spans="1:16" x14ac:dyDescent="0.2">
      <c r="A35" s="25"/>
      <c r="B35" s="12" t="s">
        <v>210</v>
      </c>
      <c r="C35" s="154">
        <f>IF($B35=" ","",IFERROR(INDEX(MMWR_RATING_RO_ROLLUP[],MATCH($B35,MMWR_RATING_RO_ROLLUP[MMWR_RATING_RO_ROLLUP],0),MATCH(C$9,MMWR_RATING_RO_ROLLUP[#Headers],0)),"ERROR"))</f>
        <v>11868</v>
      </c>
      <c r="D35" s="155">
        <f>IF($B35=" ","",IFERROR(INDEX(MMWR_RATING_RO_ROLLUP[],MATCH($B35,MMWR_RATING_RO_ROLLUP[MMWR_RATING_RO_ROLLUP],0),MATCH(D$9,MMWR_RATING_RO_ROLLUP[#Headers],0)),"ERROR"))</f>
        <v>64.619396696999999</v>
      </c>
      <c r="E35" s="156">
        <f>IF($B35=" ","",IFERROR(INDEX(MMWR_RATING_RO_ROLLUP[],MATCH($B35,MMWR_RATING_RO_ROLLUP[MMWR_RATING_RO_ROLLUP],0),MATCH(E$9,MMWR_RATING_RO_ROLLUP[#Headers],0))/$C35,"ERROR"))</f>
        <v>0.12251432423323222</v>
      </c>
      <c r="F35" s="154">
        <f>IF($B35=" ","",IFERROR(INDEX(MMWR_RATING_RO_ROLLUP[],MATCH($B35,MMWR_RATING_RO_ROLLUP[MMWR_RATING_RO_ROLLUP],0),MATCH(F$9,MMWR_RATING_RO_ROLLUP[#Headers],0)),"ERROR"))</f>
        <v>1412</v>
      </c>
      <c r="G35" s="154">
        <f>IF($B35=" ","",IFERROR(INDEX(MMWR_RATING_RO_ROLLUP[],MATCH($B35,MMWR_RATING_RO_ROLLUP[MMWR_RATING_RO_ROLLUP],0),MATCH(G$9,MMWR_RATING_RO_ROLLUP[#Headers],0)),"ERROR"))</f>
        <v>41989</v>
      </c>
      <c r="H35" s="155">
        <f>IF($B35=" ","",IFERROR(INDEX(MMWR_RATING_RO_ROLLUP[],MATCH($B35,MMWR_RATING_RO_ROLLUP[MMWR_RATING_RO_ROLLUP],0),MATCH(H$9,MMWR_RATING_RO_ROLLUP[#Headers],0)),"ERROR"))</f>
        <v>108.2549575071</v>
      </c>
      <c r="I35" s="155">
        <f>IF($B35=" ","",IFERROR(INDEX(MMWR_RATING_RO_ROLLUP[],MATCH($B35,MMWR_RATING_RO_ROLLUP[MMWR_RATING_RO_ROLLUP],0),MATCH(I$9,MMWR_RATING_RO_ROLLUP[#Headers],0)),"ERROR"))</f>
        <v>100.0334611446</v>
      </c>
      <c r="J35" s="42"/>
      <c r="K35" s="251">
        <f>IF($B35=" ","",IFERROR(VLOOKUP($B35,MMWR_ACCURACY_RO[],MATCH(K$50,MMWR_ACCURACY_RO[#Headers],0),0),"ERROR"))</f>
        <v>1</v>
      </c>
      <c r="L35" s="251">
        <f>IF($B35=" ","",IFERROR(VLOOKUP($B35,MMWR_ACCURACY_RO[],MATCH(L$50,MMWR_ACCURACY_RO[#Headers],0),0),"ERROR"))</f>
        <v>0.94032486922637104</v>
      </c>
      <c r="M35" s="251">
        <f>IF($B35=" ","",IFERROR(VLOOKUP($B35,MMWR_ACCURACY_RO[],MATCH(M$50,MMWR_ACCURACY_RO[#Headers],0),0),"ERROR"))</f>
        <v>4.0677243867986802E-2</v>
      </c>
      <c r="N35" s="251">
        <f>IF($B35=" ","",IFERROR(VLOOKUP($B35,MMWR_ACCURACY_RO[],MATCH(N$50,MMWR_ACCURACY_RO[#Headers],0),0),"ERROR"))</f>
        <v>0.94630224150561704</v>
      </c>
      <c r="O35" s="251">
        <f>IF($B35=" ","",IFERROR(VLOOKUP($B35,MMWR_ACCURACY_RO[],MATCH(O$50,MMWR_ACCURACY_RO[#Headers],0),0),"ERROR"))</f>
        <v>3.7678527632225102E-2</v>
      </c>
      <c r="P35" s="28"/>
    </row>
    <row r="36" spans="1:16" x14ac:dyDescent="0.2">
      <c r="A36" s="43"/>
      <c r="B36" s="12" t="s">
        <v>209</v>
      </c>
      <c r="C36" s="154">
        <f>IF($B36=" ","",IFERROR(INDEX(MMWR_RATING_RO_ROLLUP[],MATCH($B36,MMWR_RATING_RO_ROLLUP[MMWR_RATING_RO_ROLLUP],0),MATCH(C$9,MMWR_RATING_RO_ROLLUP[#Headers],0)),"ERROR"))</f>
        <v>5875</v>
      </c>
      <c r="D36" s="155">
        <f>IF($B36=" ","",IFERROR(INDEX(MMWR_RATING_RO_ROLLUP[],MATCH($B36,MMWR_RATING_RO_ROLLUP[MMWR_RATING_RO_ROLLUP],0),MATCH(D$9,MMWR_RATING_RO_ROLLUP[#Headers],0)),"ERROR"))</f>
        <v>67.508425531900002</v>
      </c>
      <c r="E36" s="156">
        <f>IF($B36=" ","",IFERROR(INDEX(MMWR_RATING_RO_ROLLUP[],MATCH($B36,MMWR_RATING_RO_ROLLUP[MMWR_RATING_RO_ROLLUP],0),MATCH(E$9,MMWR_RATING_RO_ROLLUP[#Headers],0))/$C36,"ERROR"))</f>
        <v>0.12391489361702128</v>
      </c>
      <c r="F36" s="154">
        <f>IF($B36=" ","",IFERROR(INDEX(MMWR_RATING_RO_ROLLUP[],MATCH($B36,MMWR_RATING_RO_ROLLUP[MMWR_RATING_RO_ROLLUP],0),MATCH(F$9,MMWR_RATING_RO_ROLLUP[#Headers],0)),"ERROR"))</f>
        <v>861</v>
      </c>
      <c r="G36" s="154">
        <f>IF($B36=" ","",IFERROR(INDEX(MMWR_RATING_RO_ROLLUP[],MATCH($B36,MMWR_RATING_RO_ROLLUP[MMWR_RATING_RO_ROLLUP],0),MATCH(G$9,MMWR_RATING_RO_ROLLUP[#Headers],0)),"ERROR"))</f>
        <v>35385</v>
      </c>
      <c r="H36" s="155">
        <f>IF($B36=" ","",IFERROR(INDEX(MMWR_RATING_RO_ROLLUP[],MATCH($B36,MMWR_RATING_RO_ROLLUP[MMWR_RATING_RO_ROLLUP],0),MATCH(H$9,MMWR_RATING_RO_ROLLUP[#Headers],0)),"ERROR"))</f>
        <v>69.565621370499997</v>
      </c>
      <c r="I36" s="155">
        <f>IF($B36=" ","",IFERROR(INDEX(MMWR_RATING_RO_ROLLUP[],MATCH($B36,MMWR_RATING_RO_ROLLUP[MMWR_RATING_RO_ROLLUP],0),MATCH(I$9,MMWR_RATING_RO_ROLLUP[#Headers],0)),"ERROR"))</f>
        <v>71.066977532899998</v>
      </c>
      <c r="J36" s="42"/>
      <c r="K36" s="251">
        <f>IF($B36=" ","",IFERROR(VLOOKUP($B36,MMWR_ACCURACY_RO[],MATCH(K$50,MMWR_ACCURACY_RO[#Headers],0),0),"ERROR"))</f>
        <v>0.96110552763819102</v>
      </c>
      <c r="L36" s="251">
        <f>IF($B36=" ","",IFERROR(VLOOKUP($B36,MMWR_ACCURACY_RO[],MATCH(L$50,MMWR_ACCURACY_RO[#Headers],0),0),"ERROR"))</f>
        <v>0.96239967637540502</v>
      </c>
      <c r="M36" s="251">
        <f>IF($B36=" ","",IFERROR(VLOOKUP($B36,MMWR_ACCURACY_RO[],MATCH(M$50,MMWR_ACCURACY_RO[#Headers],0),0),"ERROR"))</f>
        <v>3.7286651021739302E-2</v>
      </c>
      <c r="N36" s="251">
        <f>IF($B36=" ","",IFERROR(VLOOKUP($B36,MMWR_ACCURACY_RO[],MATCH(N$50,MMWR_ACCURACY_RO[#Headers],0),0),"ERROR"))</f>
        <v>0.98548792369622096</v>
      </c>
      <c r="O36" s="251">
        <f>IF($B36=" ","",IFERROR(VLOOKUP($B36,MMWR_ACCURACY_RO[],MATCH(O$50,MMWR_ACCURACY_RO[#Headers],0),0),"ERROR"))</f>
        <v>1.6383998244628401E-2</v>
      </c>
      <c r="P36" s="28"/>
    </row>
    <row r="37" spans="1:16" x14ac:dyDescent="0.2">
      <c r="A37" s="25"/>
      <c r="B37" s="12" t="s">
        <v>212</v>
      </c>
      <c r="C37" s="154">
        <f>IF($B37=" ","",IFERROR(INDEX(MMWR_RATING_RO_ROLLUP[],MATCH($B37,MMWR_RATING_RO_ROLLUP[MMWR_RATING_RO_ROLLUP],0),MATCH(C$9,MMWR_RATING_RO_ROLLUP[#Headers],0)),"ERROR"))</f>
        <v>8068</v>
      </c>
      <c r="D37" s="155">
        <f>IF($B37=" ","",IFERROR(INDEX(MMWR_RATING_RO_ROLLUP[],MATCH($B37,MMWR_RATING_RO_ROLLUP[MMWR_RATING_RO_ROLLUP],0),MATCH(D$9,MMWR_RATING_RO_ROLLUP[#Headers],0)),"ERROR"))</f>
        <v>58.894273673800001</v>
      </c>
      <c r="E37" s="156">
        <f>IF($B37=" ","",IFERROR(INDEX(MMWR_RATING_RO_ROLLUP[],MATCH($B37,MMWR_RATING_RO_ROLLUP[MMWR_RATING_RO_ROLLUP],0),MATCH(E$9,MMWR_RATING_RO_ROLLUP[#Headers],0))/$C37,"ERROR"))</f>
        <v>6.7178978681209714E-2</v>
      </c>
      <c r="F37" s="154">
        <f>IF($B37=" ","",IFERROR(INDEX(MMWR_RATING_RO_ROLLUP[],MATCH($B37,MMWR_RATING_RO_ROLLUP[MMWR_RATING_RO_ROLLUP],0),MATCH(F$9,MMWR_RATING_RO_ROLLUP[#Headers],0)),"ERROR"))</f>
        <v>1286</v>
      </c>
      <c r="G37" s="154">
        <f>IF($B37=" ","",IFERROR(INDEX(MMWR_RATING_RO_ROLLUP[],MATCH($B37,MMWR_RATING_RO_ROLLUP[MMWR_RATING_RO_ROLLUP],0),MATCH(G$9,MMWR_RATING_RO_ROLLUP[#Headers],0)),"ERROR"))</f>
        <v>44813</v>
      </c>
      <c r="H37" s="155">
        <f>IF($B37=" ","",IFERROR(INDEX(MMWR_RATING_RO_ROLLUP[],MATCH($B37,MMWR_RATING_RO_ROLLUP[MMWR_RATING_RO_ROLLUP],0),MATCH(H$9,MMWR_RATING_RO_ROLLUP[#Headers],0)),"ERROR"))</f>
        <v>72.524883359300006</v>
      </c>
      <c r="I37" s="155">
        <f>IF($B37=" ","",IFERROR(INDEX(MMWR_RATING_RO_ROLLUP[],MATCH($B37,MMWR_RATING_RO_ROLLUP[MMWR_RATING_RO_ROLLUP],0),MATCH(I$9,MMWR_RATING_RO_ROLLUP[#Headers],0)),"ERROR"))</f>
        <v>68.655189342400007</v>
      </c>
      <c r="J37" s="42"/>
      <c r="K37" s="251">
        <f>IF($B37=" ","",IFERROR(VLOOKUP($B37,MMWR_ACCURACY_RO[],MATCH(K$50,MMWR_ACCURACY_RO[#Headers],0),0),"ERROR"))</f>
        <v>1</v>
      </c>
      <c r="L37" s="251">
        <f>IF($B37=" ","",IFERROR(VLOOKUP($B37,MMWR_ACCURACY_RO[],MATCH(L$50,MMWR_ACCURACY_RO[#Headers],0),0),"ERROR"))</f>
        <v>0.99137898774441002</v>
      </c>
      <c r="M37" s="251">
        <f>IF($B37=" ","",IFERROR(VLOOKUP($B37,MMWR_ACCURACY_RO[],MATCH(M$50,MMWR_ACCURACY_RO[#Headers],0),0),"ERROR"))</f>
        <v>1.28793727116459E-2</v>
      </c>
      <c r="N37" s="251">
        <f>IF($B37=" ","",IFERROR(VLOOKUP($B37,MMWR_ACCURACY_RO[],MATCH(N$50,MMWR_ACCURACY_RO[#Headers],0),0),"ERROR"))</f>
        <v>0.98073203423033295</v>
      </c>
      <c r="O37" s="251">
        <f>IF($B37=" ","",IFERROR(VLOOKUP($B37,MMWR_ACCURACY_RO[],MATCH(O$50,MMWR_ACCURACY_RO[#Headers],0),0),"ERROR"))</f>
        <v>2.3364044644334801E-2</v>
      </c>
      <c r="P37" s="28"/>
    </row>
    <row r="38" spans="1:16" x14ac:dyDescent="0.2">
      <c r="A38" s="25"/>
      <c r="B38" s="13" t="s">
        <v>224</v>
      </c>
      <c r="C38" s="154">
        <f>IF($B38=" ","",IFERROR(INDEX(MMWR_RATING_RO_ROLLUP[],MATCH($B38,MMWR_RATING_RO_ROLLUP[MMWR_RATING_RO_ROLLUP],0),MATCH(C$9,MMWR_RATING_RO_ROLLUP[#Headers],0)),"ERROR"))</f>
        <v>854</v>
      </c>
      <c r="D38" s="155">
        <f>IF($B38=" ","",IFERROR(INDEX(MMWR_RATING_RO_ROLLUP[],MATCH($B38,MMWR_RATING_RO_ROLLUP[MMWR_RATING_RO_ROLLUP],0),MATCH(D$9,MMWR_RATING_RO_ROLLUP[#Headers],0)),"ERROR"))</f>
        <v>199.18618266979999</v>
      </c>
      <c r="E38" s="156">
        <f>IF($B38=" ","",IFERROR(INDEX(MMWR_RATING_RO_ROLLUP[],MATCH($B38,MMWR_RATING_RO_ROLLUP[MMWR_RATING_RO_ROLLUP],0),MATCH(E$9,MMWR_RATING_RO_ROLLUP[#Headers],0))/$C38,"ERROR"))</f>
        <v>0.54683840749414525</v>
      </c>
      <c r="F38" s="154">
        <f>IF($B38=" ","",IFERROR(INDEX(MMWR_RATING_RO_ROLLUP[],MATCH($B38,MMWR_RATING_RO_ROLLUP[MMWR_RATING_RO_ROLLUP],0),MATCH(F$9,MMWR_RATING_RO_ROLLUP[#Headers],0)),"ERROR"))</f>
        <v>103</v>
      </c>
      <c r="G38" s="154">
        <f>IF($B38=" ","",IFERROR(INDEX(MMWR_RATING_RO_ROLLUP[],MATCH($B38,MMWR_RATING_RO_ROLLUP[MMWR_RATING_RO_ROLLUP],0),MATCH(G$9,MMWR_RATING_RO_ROLLUP[#Headers],0)),"ERROR"))</f>
        <v>3758</v>
      </c>
      <c r="H38" s="155">
        <f>IF($B38=" ","",IFERROR(INDEX(MMWR_RATING_RO_ROLLUP[],MATCH($B38,MMWR_RATING_RO_ROLLUP[MMWR_RATING_RO_ROLLUP],0),MATCH(H$9,MMWR_RATING_RO_ROLLUP[#Headers],0)),"ERROR"))</f>
        <v>67.087378640799997</v>
      </c>
      <c r="I38" s="155">
        <f>IF($B38=" ","",IFERROR(INDEX(MMWR_RATING_RO_ROLLUP[],MATCH($B38,MMWR_RATING_RO_ROLLUP[MMWR_RATING_RO_ROLLUP],0),MATCH(I$9,MMWR_RATING_RO_ROLLUP[#Headers],0)),"ERROR"))</f>
        <v>51.755188930300001</v>
      </c>
      <c r="J38" s="42"/>
      <c r="K38" s="42"/>
      <c r="L38" s="42"/>
      <c r="M38" s="42"/>
      <c r="N38" s="42"/>
      <c r="O38" s="42"/>
      <c r="P38" s="28"/>
    </row>
    <row r="39" spans="1:16" x14ac:dyDescent="0.2">
      <c r="A39" s="25"/>
      <c r="B39" s="342" t="s">
        <v>915</v>
      </c>
      <c r="C39" s="343"/>
      <c r="D39" s="343"/>
      <c r="E39" s="343"/>
      <c r="F39" s="343"/>
      <c r="G39" s="343"/>
      <c r="H39" s="343"/>
      <c r="I39" s="343"/>
      <c r="J39" s="343"/>
      <c r="K39" s="343"/>
      <c r="L39" s="343"/>
      <c r="M39" s="343"/>
      <c r="N39" s="343"/>
      <c r="O39" s="343"/>
      <c r="P39" s="28"/>
    </row>
    <row r="40" spans="1:16" x14ac:dyDescent="0.2">
      <c r="A40" s="25"/>
      <c r="B40" s="44" t="s">
        <v>696</v>
      </c>
      <c r="C40" s="154">
        <f>IF($B40=" ","",IFERROR(INDEX(MMWR_RATING_RO_ROLLUP[],MATCH($B40,MMWR_RATING_RO_ROLLUP[MMWR_RATING_RO_ROLLUP],0),MATCH(C$9,MMWR_RATING_RO_ROLLUP[#Headers],0)),"ERROR"))</f>
        <v>8010</v>
      </c>
      <c r="D40" s="155">
        <f>IF($B40=" ","",IFERROR(INDEX(MMWR_RATING_RO_ROLLUP[],MATCH($B40,MMWR_RATING_RO_ROLLUP[MMWR_RATING_RO_ROLLUP],0),MATCH(D$9,MMWR_RATING_RO_ROLLUP[#Headers],0)),"ERROR"))</f>
        <v>65.303495630499995</v>
      </c>
      <c r="E40" s="156">
        <f>IF($B40=" ","",IFERROR(INDEX(MMWR_RATING_RO_ROLLUP[],MATCH($B40,MMWR_RATING_RO_ROLLUP[MMWR_RATING_RO_ROLLUP],0),MATCH(E$9,MMWR_RATING_RO_ROLLUP[#Headers],0))/$C40,"ERROR"))</f>
        <v>0.12534332084893882</v>
      </c>
      <c r="F40" s="154">
        <f>IF($B40=" ","",IFERROR(INDEX(MMWR_RATING_RO_ROLLUP[],MATCH($B40,MMWR_RATING_RO_ROLLUP[MMWR_RATING_RO_ROLLUP],0),MATCH(F$9,MMWR_RATING_RO_ROLLUP[#Headers],0)),"ERROR"))</f>
        <v>403</v>
      </c>
      <c r="G40" s="154">
        <f>IF($B40=" ","",IFERROR(INDEX(MMWR_RATING_RO_ROLLUP[],MATCH($B40,MMWR_RATING_RO_ROLLUP[MMWR_RATING_RO_ROLLUP],0),MATCH(G$9,MMWR_RATING_RO_ROLLUP[#Headers],0)),"ERROR"))</f>
        <v>21758</v>
      </c>
      <c r="H40" s="155">
        <f>IF($B40=" ","",IFERROR(INDEX(MMWR_RATING_RO_ROLLUP[],MATCH($B40,MMWR_RATING_RO_ROLLUP[MMWR_RATING_RO_ROLLUP],0),MATCH(H$9,MMWR_RATING_RO_ROLLUP[#Headers],0)),"ERROR"))</f>
        <v>113.0868486352</v>
      </c>
      <c r="I40" s="155">
        <f>IF($B40=" ","",IFERROR(INDEX(MMWR_RATING_RO_ROLLUP[],MATCH($B40,MMWR_RATING_RO_ROLLUP[MMWR_RATING_RO_ROLLUP],0),MATCH(I$9,MMWR_RATING_RO_ROLLUP[#Headers],0)),"ERROR"))</f>
        <v>137.45284493060001</v>
      </c>
      <c r="J40" s="42"/>
      <c r="K40" s="42"/>
      <c r="L40" s="42"/>
      <c r="M40" s="42"/>
      <c r="N40" s="42"/>
      <c r="O40" s="42"/>
      <c r="P40" s="28"/>
    </row>
    <row r="41" spans="1:16" x14ac:dyDescent="0.2">
      <c r="A41" s="25"/>
      <c r="B41" s="45" t="s">
        <v>955</v>
      </c>
      <c r="C41" s="154">
        <f>IF($B41=" ","",IFERROR(INDEX(MMWR_RATING_RO_ROLLUP[],MATCH($B41,MMWR_RATING_RO_ROLLUP[MMWR_RATING_RO_ROLLUP],0),MATCH(C$9,MMWR_RATING_RO_ROLLUP[#Headers],0)),"ERROR"))</f>
        <v>835</v>
      </c>
      <c r="D41" s="155">
        <f>IF($B41=" ","",IFERROR(INDEX(MMWR_RATING_RO_ROLLUP[],MATCH($B41,MMWR_RATING_RO_ROLLUP[MMWR_RATING_RO_ROLLUP],0),MATCH(D$9,MMWR_RATING_RO_ROLLUP[#Headers],0)),"ERROR"))</f>
        <v>82.146107784400002</v>
      </c>
      <c r="E41" s="156">
        <f>IF($B41=" ","",IFERROR(INDEX(MMWR_RATING_RO_ROLLUP[],MATCH($B41,MMWR_RATING_RO_ROLLUP[MMWR_RATING_RO_ROLLUP],0),MATCH(E$9,MMWR_RATING_RO_ROLLUP[#Headers],0))/$C41,"ERROR"))</f>
        <v>0.19880239520958085</v>
      </c>
      <c r="F41" s="154">
        <f>IF($B41=" ","",IFERROR(INDEX(MMWR_RATING_RO_ROLLUP[],MATCH($B41,MMWR_RATING_RO_ROLLUP[MMWR_RATING_RO_ROLLUP],0),MATCH(F$9,MMWR_RATING_RO_ROLLUP[#Headers],0)),"ERROR"))</f>
        <v>242</v>
      </c>
      <c r="G41" s="154">
        <f>IF($B41=" ","",IFERROR(INDEX(MMWR_RATING_RO_ROLLUP[],MATCH($B41,MMWR_RATING_RO_ROLLUP[MMWR_RATING_RO_ROLLUP],0),MATCH(G$9,MMWR_RATING_RO_ROLLUP[#Headers],0)),"ERROR"))</f>
        <v>9841</v>
      </c>
      <c r="H41" s="155">
        <f>IF($B41=" ","",IFERROR(INDEX(MMWR_RATING_RO_ROLLUP[],MATCH($B41,MMWR_RATING_RO_ROLLUP[MMWR_RATING_RO_ROLLUP],0),MATCH(H$9,MMWR_RATING_RO_ROLLUP[#Headers],0)),"ERROR"))</f>
        <v>100.57851239670001</v>
      </c>
      <c r="I41" s="155">
        <f>IF($B41=" ","",IFERROR(INDEX(MMWR_RATING_RO_ROLLUP[],MATCH($B41,MMWR_RATING_RO_ROLLUP[MMWR_RATING_RO_ROLLUP],0),MATCH(I$9,MMWR_RATING_RO_ROLLUP[#Headers],0)),"ERROR"))</f>
        <v>124.22680621889999</v>
      </c>
      <c r="J41" s="42"/>
      <c r="K41" s="42"/>
      <c r="L41" s="42"/>
      <c r="M41" s="42"/>
      <c r="N41" s="42"/>
      <c r="O41" s="42"/>
      <c r="P41" s="28"/>
    </row>
    <row r="42" spans="1:16" x14ac:dyDescent="0.2">
      <c r="A42" s="25"/>
      <c r="B42" s="45" t="s">
        <v>956</v>
      </c>
      <c r="C42" s="154">
        <f>IF($B42=" ","",IFERROR(INDEX(MMWR_RATING_RO_ROLLUP[],MATCH($B42,MMWR_RATING_RO_ROLLUP[MMWR_RATING_RO_ROLLUP],0),MATCH(C$9,MMWR_RATING_RO_ROLLUP[#Headers],0)),"ERROR"))</f>
        <v>497</v>
      </c>
      <c r="D42" s="155">
        <f>IF($B42=" ","",IFERROR(INDEX(MMWR_RATING_RO_ROLLUP[],MATCH($B42,MMWR_RATING_RO_ROLLUP[MMWR_RATING_RO_ROLLUP],0),MATCH(D$9,MMWR_RATING_RO_ROLLUP[#Headers],0)),"ERROR"))</f>
        <v>109.1006036217</v>
      </c>
      <c r="E42" s="156">
        <f>IF($B42=" ","",IFERROR(INDEX(MMWR_RATING_RO_ROLLUP[],MATCH($B42,MMWR_RATING_RO_ROLLUP[MMWR_RATING_RO_ROLLUP],0),MATCH(E$9,MMWR_RATING_RO_ROLLUP[#Headers],0))/$C42,"ERROR"))</f>
        <v>0.30181086519114686</v>
      </c>
      <c r="F42" s="154">
        <f>IF($B42=" ","",IFERROR(INDEX(MMWR_RATING_RO_ROLLUP[],MATCH($B42,MMWR_RATING_RO_ROLLUP[MMWR_RATING_RO_ROLLUP],0),MATCH(F$9,MMWR_RATING_RO_ROLLUP[#Headers],0)),"ERROR"))</f>
        <v>129</v>
      </c>
      <c r="G42" s="154">
        <f>IF($B42=" ","",IFERROR(INDEX(MMWR_RATING_RO_ROLLUP[],MATCH($B42,MMWR_RATING_RO_ROLLUP[MMWR_RATING_RO_ROLLUP],0),MATCH(G$9,MMWR_RATING_RO_ROLLUP[#Headers],0)),"ERROR"))</f>
        <v>8046</v>
      </c>
      <c r="H42" s="155">
        <f>IF($B42=" ","",IFERROR(INDEX(MMWR_RATING_RO_ROLLUP[],MATCH($B42,MMWR_RATING_RO_ROLLUP[MMWR_RATING_RO_ROLLUP],0),MATCH(H$9,MMWR_RATING_RO_ROLLUP[#Headers],0)),"ERROR"))</f>
        <v>132.31782945739999</v>
      </c>
      <c r="I42" s="155">
        <f>IF($B42=" ","",IFERROR(INDEX(MMWR_RATING_RO_ROLLUP[],MATCH($B42,MMWR_RATING_RO_ROLLUP[MMWR_RATING_RO_ROLLUP],0),MATCH(I$9,MMWR_RATING_RO_ROLLUP[#Headers],0)),"ERROR"))</f>
        <v>155.53753417850001</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6678</v>
      </c>
      <c r="D43" s="155">
        <f>IF($B43=" ","",IFERROR(INDEX(MMWR_RATING_RO_ROLLUP[],MATCH($B43,MMWR_RATING_RO_ROLLUP[MMWR_RATING_RO_ROLLUP],0),MATCH(D$9,MMWR_RATING_RO_ROLLUP[#Headers],0)),"ERROR"))</f>
        <v>59.938005390800001</v>
      </c>
      <c r="E43" s="156">
        <f>IF($B43=" ","",IFERROR(INDEX(MMWR_RATING_RO_ROLLUP[],MATCH($B43,MMWR_RATING_RO_ROLLUP[MMWR_RATING_RO_ROLLUP],0),MATCH(E$9,MMWR_RATING_RO_ROLLUP[#Headers],0))/$C43,"ERROR"))</f>
        <v>0.10302485774183888</v>
      </c>
      <c r="F43" s="154">
        <f>IF($B43=" ","",IFERROR(INDEX(MMWR_RATING_RO_ROLLUP[],MATCH($B43,MMWR_RATING_RO_ROLLUP[MMWR_RATING_RO_ROLLUP],0),MATCH(F$9,MMWR_RATING_RO_ROLLUP[#Headers],0)),"ERROR"))</f>
        <v>32</v>
      </c>
      <c r="G43" s="154">
        <f>IF($B43=" ","",IFERROR(INDEX(MMWR_RATING_RO_ROLLUP[],MATCH($B43,MMWR_RATING_RO_ROLLUP[MMWR_RATING_RO_ROLLUP],0),MATCH(G$9,MMWR_RATING_RO_ROLLUP[#Headers],0)),"ERROR"))</f>
        <v>3871</v>
      </c>
      <c r="H43" s="155">
        <f>IF($B43=" ","",IFERROR(INDEX(MMWR_RATING_RO_ROLLUP[],MATCH($B43,MMWR_RATING_RO_ROLLUP[MMWR_RATING_RO_ROLLUP],0),MATCH(H$9,MMWR_RATING_RO_ROLLUP[#Headers],0)),"ERROR"))</f>
        <v>130.15625</v>
      </c>
      <c r="I43" s="155">
        <f>IF($B43=" ","",IFERROR(INDEX(MMWR_RATING_RO_ROLLUP[],MATCH($B43,MMWR_RATING_RO_ROLLUP[MMWR_RATING_RO_ROLLUP],0),MATCH(I$9,MMWR_RATING_RO_ROLLUP[#Headers],0)),"ERROR"))</f>
        <v>133.4869542754</v>
      </c>
      <c r="J43" s="42"/>
      <c r="K43" s="42"/>
      <c r="L43" s="42"/>
      <c r="M43" s="42"/>
      <c r="N43" s="42"/>
      <c r="O43" s="42"/>
      <c r="P43" s="28"/>
    </row>
    <row r="44" spans="1:16" x14ac:dyDescent="0.2">
      <c r="A44" s="25"/>
      <c r="B44" s="342" t="s">
        <v>733</v>
      </c>
      <c r="C44" s="343"/>
      <c r="D44" s="343"/>
      <c r="E44" s="343"/>
      <c r="F44" s="343"/>
      <c r="G44" s="343"/>
      <c r="H44" s="343"/>
      <c r="I44" s="343"/>
      <c r="J44" s="343"/>
      <c r="K44" s="343"/>
      <c r="L44" s="343"/>
      <c r="M44" s="343"/>
      <c r="N44" s="343"/>
      <c r="O44" s="343"/>
      <c r="P44" s="28"/>
    </row>
    <row r="45" spans="1:16" x14ac:dyDescent="0.2">
      <c r="A45" s="25"/>
      <c r="B45" s="44" t="s">
        <v>694</v>
      </c>
      <c r="C45" s="154">
        <f>IF($B45=" ","",IFERROR(INDEX(MMWR_RATING_RO_ROLLUP[],MATCH($B45,MMWR_RATING_RO_ROLLUP[MMWR_RATING_RO_ROLLUP],0),MATCH(C$9,MMWR_RATING_RO_ROLLUP[#Headers],0)),"ERROR"))</f>
        <v>9094</v>
      </c>
      <c r="D45" s="155">
        <f>IF($B45=" ","",IFERROR(INDEX(MMWR_RATING_RO_ROLLUP[],MATCH($B45,MMWR_RATING_RO_ROLLUP[MMWR_RATING_RO_ROLLUP],0),MATCH(D$9,MMWR_RATING_RO_ROLLUP[#Headers],0)),"ERROR"))</f>
        <v>57.927094787800002</v>
      </c>
      <c r="E45" s="156">
        <f>IF($B45=" ","",IFERROR(INDEX(MMWR_RATING_RO_ROLLUP[],MATCH($B45,MMWR_RATING_RO_ROLLUP[MMWR_RATING_RO_ROLLUP],0),MATCH(E$9,MMWR_RATING_RO_ROLLUP[#Headers],0))/$C45,"ERROR"))</f>
        <v>0.10897294919727293</v>
      </c>
      <c r="F45" s="154">
        <f>IF($B45=" ","",IFERROR(INDEX(MMWR_RATING_RO_ROLLUP[],MATCH($B45,MMWR_RATING_RO_ROLLUP[MMWR_RATING_RO_ROLLUP],0),MATCH(F$9,MMWR_RATING_RO_ROLLUP[#Headers],0)),"ERROR"))</f>
        <v>398</v>
      </c>
      <c r="G45" s="154">
        <f>IF($B45=" ","",IFERROR(INDEX(MMWR_RATING_RO_ROLLUP[],MATCH($B45,MMWR_RATING_RO_ROLLUP[MMWR_RATING_RO_ROLLUP],0),MATCH(G$9,MMWR_RATING_RO_ROLLUP[#Headers],0)),"ERROR"))</f>
        <v>24674</v>
      </c>
      <c r="H45" s="155">
        <f>IF($B45=" ","",IFERROR(INDEX(MMWR_RATING_RO_ROLLUP[],MATCH($B45,MMWR_RATING_RO_ROLLUP[MMWR_RATING_RO_ROLLUP],0),MATCH(H$9,MMWR_RATING_RO_ROLLUP[#Headers],0)),"ERROR"))</f>
        <v>102.1457286432</v>
      </c>
      <c r="I45" s="155">
        <f>IF($B45=" ","",IFERROR(INDEX(MMWR_RATING_RO_ROLLUP[],MATCH($B45,MMWR_RATING_RO_ROLLUP[MMWR_RATING_RO_ROLLUP],0),MATCH(I$9,MMWR_RATING_RO_ROLLUP[#Headers],0)),"ERROR"))</f>
        <v>130.6547783092</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514</v>
      </c>
      <c r="D46" s="155">
        <f>IF($B46=" ","",IFERROR(INDEX(MMWR_RATING_RO_ROLLUP[],MATCH($B46,MMWR_RATING_RO_ROLLUP[MMWR_RATING_RO_ROLLUP],0),MATCH(D$9,MMWR_RATING_RO_ROLLUP[#Headers],0)),"ERROR"))</f>
        <v>114.0019455253</v>
      </c>
      <c r="E46" s="156">
        <f>IF($B46=" ","",IFERROR(INDEX(MMWR_RATING_RO_ROLLUP[],MATCH($B46,MMWR_RATING_RO_ROLLUP[MMWR_RATING_RO_ROLLUP],0),MATCH(E$9,MMWR_RATING_RO_ROLLUP[#Headers],0))/$C46,"ERROR"))</f>
        <v>0.30544747081712065</v>
      </c>
      <c r="F46" s="154">
        <f>IF($B46=" ","",IFERROR(INDEX(MMWR_RATING_RO_ROLLUP[],MATCH($B46,MMWR_RATING_RO_ROLLUP[MMWR_RATING_RO_ROLLUP],0),MATCH(F$9,MMWR_RATING_RO_ROLLUP[#Headers],0)),"ERROR"))</f>
        <v>146</v>
      </c>
      <c r="G46" s="154">
        <f>IF($B46=" ","",IFERROR(INDEX(MMWR_RATING_RO_ROLLUP[],MATCH($B46,MMWR_RATING_RO_ROLLUP[MMWR_RATING_RO_ROLLUP],0),MATCH(G$9,MMWR_RATING_RO_ROLLUP[#Headers],0)),"ERROR"))</f>
        <v>9917</v>
      </c>
      <c r="H46" s="155">
        <f>IF($B46=" ","",IFERROR(INDEX(MMWR_RATING_RO_ROLLUP[],MATCH($B46,MMWR_RATING_RO_ROLLUP[MMWR_RATING_RO_ROLLUP],0),MATCH(H$9,MMWR_RATING_RO_ROLLUP[#Headers],0)),"ERROR"))</f>
        <v>101.5410958904</v>
      </c>
      <c r="I46" s="155">
        <f>IF($B46=" ","",IFERROR(INDEX(MMWR_RATING_RO_ROLLUP[],MATCH($B46,MMWR_RATING_RO_ROLLUP[MMWR_RATING_RO_ROLLUP],0),MATCH(I$9,MMWR_RATING_RO_ROLLUP[#Headers],0)),"ERROR"))</f>
        <v>118.50932741760001</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825</v>
      </c>
      <c r="D47" s="155">
        <f>IF($B47=" ","",IFERROR(INDEX(MMWR_RATING_RO_ROLLUP[],MATCH($B47,MMWR_RATING_RO_ROLLUP[MMWR_RATING_RO_ROLLUP],0),MATCH(D$9,MMWR_RATING_RO_ROLLUP[#Headers],0)),"ERROR"))</f>
        <v>80.656969696999994</v>
      </c>
      <c r="E47" s="156">
        <f>IF($B47=" ","",IFERROR(INDEX(MMWR_RATING_RO_ROLLUP[],MATCH($B47,MMWR_RATING_RO_ROLLUP[MMWR_RATING_RO_ROLLUP],0),MATCH(E$9,MMWR_RATING_RO_ROLLUP[#Headers],0))/$C47,"ERROR"))</f>
        <v>0.21818181818181817</v>
      </c>
      <c r="F47" s="154">
        <f>IF($B47=" ","",IFERROR(INDEX(MMWR_RATING_RO_ROLLUP[],MATCH($B47,MMWR_RATING_RO_ROLLUP[MMWR_RATING_RO_ROLLUP],0),MATCH(F$9,MMWR_RATING_RO_ROLLUP[#Headers],0)),"ERROR"))</f>
        <v>196</v>
      </c>
      <c r="G47" s="154">
        <f>IF($B47=" ","",IFERROR(INDEX(MMWR_RATING_RO_ROLLUP[],MATCH($B47,MMWR_RATING_RO_ROLLUP[MMWR_RATING_RO_ROLLUP],0),MATCH(G$9,MMWR_RATING_RO_ROLLUP[#Headers],0)),"ERROR"))</f>
        <v>8852</v>
      </c>
      <c r="H47" s="155">
        <f>IF($B47=" ","",IFERROR(INDEX(MMWR_RATING_RO_ROLLUP[],MATCH($B47,MMWR_RATING_RO_ROLLUP[MMWR_RATING_RO_ROLLUP],0),MATCH(H$9,MMWR_RATING_RO_ROLLUP[#Headers],0)),"ERROR"))</f>
        <v>101.612244898</v>
      </c>
      <c r="I47" s="155">
        <f>IF($B47=" ","",IFERROR(INDEX(MMWR_RATING_RO_ROLLUP[],MATCH($B47,MMWR_RATING_RO_ROLLUP[MMWR_RATING_RO_ROLLUP],0),MATCH(I$9,MMWR_RATING_RO_ROLLUP[#Headers],0)),"ERROR"))</f>
        <v>146.2829868956</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7755</v>
      </c>
      <c r="D48" s="155">
        <f>IF($B48=" ","",IFERROR(INDEX(MMWR_RATING_RO_ROLLUP[],MATCH($B48,MMWR_RATING_RO_ROLLUP[MMWR_RATING_RO_ROLLUP],0),MATCH(D$9,MMWR_RATING_RO_ROLLUP[#Headers],0)),"ERROR"))</f>
        <v>51.7923920052</v>
      </c>
      <c r="E48" s="156">
        <f>IF($B48=" ","",IFERROR(INDEX(MMWR_RATING_RO_ROLLUP[],MATCH($B48,MMWR_RATING_RO_ROLLUP[MMWR_RATING_RO_ROLLUP],0),MATCH(E$9,MMWR_RATING_RO_ROLLUP[#Headers],0))/$C48,"ERROR"))</f>
        <v>8.4332688588007743E-2</v>
      </c>
      <c r="F48" s="154">
        <f>IF($B48=" ","",IFERROR(INDEX(MMWR_RATING_RO_ROLLUP[],MATCH($B48,MMWR_RATING_RO_ROLLUP[MMWR_RATING_RO_ROLLUP],0),MATCH(F$9,MMWR_RATING_RO_ROLLUP[#Headers],0)),"ERROR"))</f>
        <v>56</v>
      </c>
      <c r="G48" s="154">
        <f>IF($B48=" ","",IFERROR(INDEX(MMWR_RATING_RO_ROLLUP[],MATCH($B48,MMWR_RATING_RO_ROLLUP[MMWR_RATING_RO_ROLLUP],0),MATCH(G$9,MMWR_RATING_RO_ROLLUP[#Headers],0)),"ERROR"))</f>
        <v>5905</v>
      </c>
      <c r="H48" s="155">
        <f>IF($B48=" ","",IFERROR(INDEX(MMWR_RATING_RO_ROLLUP[],MATCH($B48,MMWR_RATING_RO_ROLLUP[MMWR_RATING_RO_ROLLUP],0),MATCH(H$9,MMWR_RATING_RO_ROLLUP[#Headers],0)),"ERROR"))</f>
        <v>105.5892857143</v>
      </c>
      <c r="I48" s="155">
        <f>IF($B48=" ","",IFERROR(INDEX(MMWR_RATING_RO_ROLLUP[],MATCH($B48,MMWR_RATING_RO_ROLLUP[MMWR_RATING_RO_ROLLUP],0),MATCH(I$9,MMWR_RATING_RO_ROLLUP[#Headers],0)),"ERROR"))</f>
        <v>127.62438611349999</v>
      </c>
      <c r="J48" s="42"/>
      <c r="K48" s="42"/>
      <c r="L48" s="42"/>
      <c r="M48" s="42"/>
      <c r="N48" s="42"/>
      <c r="O48" s="42"/>
      <c r="P48" s="28"/>
    </row>
    <row r="49" spans="1:16" ht="15.75" x14ac:dyDescent="0.25">
      <c r="A49" s="25"/>
      <c r="B49" s="341" t="s">
        <v>1049</v>
      </c>
      <c r="C49" s="341"/>
      <c r="D49" s="341"/>
      <c r="E49" s="341"/>
      <c r="F49" s="341"/>
      <c r="G49" s="341"/>
      <c r="H49" s="341"/>
      <c r="I49" s="341"/>
      <c r="J49" s="341"/>
      <c r="K49" s="341"/>
      <c r="L49" s="341"/>
      <c r="M49" s="341"/>
      <c r="N49" s="341"/>
      <c r="O49" s="261"/>
      <c r="P49" s="28"/>
    </row>
    <row r="50" spans="1:16" ht="12" customHeight="1" x14ac:dyDescent="0.2">
      <c r="A50" s="25"/>
      <c r="B50" s="26"/>
      <c r="C50" s="26"/>
      <c r="D50" s="26"/>
      <c r="E50" s="26"/>
      <c r="F50" s="26"/>
      <c r="G50" s="26"/>
      <c r="H50" s="26"/>
      <c r="I50" s="26"/>
      <c r="J50" s="26"/>
      <c r="K50" s="27" t="s">
        <v>921</v>
      </c>
      <c r="L50" s="27" t="s">
        <v>926</v>
      </c>
      <c r="M50" s="27" t="s">
        <v>927</v>
      </c>
      <c r="N50" s="27" t="s">
        <v>928</v>
      </c>
      <c r="O50" s="27" t="s">
        <v>929</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6" t="s">
        <v>294</v>
      </c>
      <c r="D2" s="357"/>
      <c r="E2" s="357"/>
      <c r="F2" s="357"/>
      <c r="G2" s="357"/>
      <c r="H2" s="357"/>
      <c r="I2" s="357"/>
      <c r="J2" s="356" t="s">
        <v>300</v>
      </c>
      <c r="K2" s="357"/>
      <c r="L2" s="357"/>
      <c r="M2" s="358"/>
      <c r="N2" s="28"/>
    </row>
    <row r="3" spans="1:16" ht="24" customHeight="1" thickBot="1" x14ac:dyDescent="0.4">
      <c r="A3" s="25"/>
      <c r="B3" s="29"/>
      <c r="C3" s="359"/>
      <c r="D3" s="360"/>
      <c r="E3" s="360"/>
      <c r="F3" s="360"/>
      <c r="G3" s="360"/>
      <c r="H3" s="360"/>
      <c r="I3" s="360"/>
      <c r="J3" s="359" t="str">
        <f>Transformation!B4</f>
        <v>As of: August 06, 2016</v>
      </c>
      <c r="K3" s="360"/>
      <c r="L3" s="360"/>
      <c r="M3" s="361"/>
      <c r="N3" s="28"/>
    </row>
    <row r="4" spans="1:16" ht="51" customHeight="1" thickBot="1" x14ac:dyDescent="0.35">
      <c r="A4" s="30"/>
      <c r="B4" s="246" t="s">
        <v>454</v>
      </c>
      <c r="C4" s="362" t="s">
        <v>969</v>
      </c>
      <c r="D4" s="363"/>
      <c r="E4" s="363"/>
      <c r="F4" s="363"/>
      <c r="G4" s="363"/>
      <c r="H4" s="363"/>
      <c r="I4" s="363"/>
      <c r="J4" s="363"/>
      <c r="K4" s="363"/>
      <c r="L4" s="363"/>
      <c r="M4" s="364"/>
      <c r="N4" s="28"/>
      <c r="O4" s="22"/>
      <c r="P4" s="23"/>
    </row>
    <row r="5" spans="1:16" ht="27" customHeight="1" thickBot="1" x14ac:dyDescent="0.25">
      <c r="A5" s="30"/>
      <c r="B5" s="48"/>
      <c r="C5" s="365" t="s">
        <v>1040</v>
      </c>
      <c r="D5" s="366"/>
      <c r="E5" s="366"/>
      <c r="F5" s="366"/>
      <c r="G5" s="366"/>
      <c r="H5" s="366"/>
      <c r="I5" s="366"/>
      <c r="J5" s="366"/>
      <c r="K5" s="366"/>
      <c r="L5" s="366"/>
      <c r="M5" s="366"/>
      <c r="N5" s="366"/>
      <c r="O5" s="367"/>
    </row>
    <row r="6" spans="1:16" ht="55.5" customHeight="1" x14ac:dyDescent="0.2">
      <c r="A6" s="30"/>
      <c r="B6" s="31"/>
      <c r="C6" s="32" t="s">
        <v>190</v>
      </c>
      <c r="D6" s="368" t="s">
        <v>16</v>
      </c>
      <c r="E6" s="369"/>
      <c r="F6" s="33" t="s">
        <v>193</v>
      </c>
      <c r="G6" s="368" t="s">
        <v>198</v>
      </c>
      <c r="H6" s="370"/>
      <c r="I6" s="33" t="s">
        <v>196</v>
      </c>
      <c r="J6" s="49" t="s">
        <v>14</v>
      </c>
      <c r="K6" s="33" t="s">
        <v>201</v>
      </c>
      <c r="L6" s="374" t="s">
        <v>85</v>
      </c>
      <c r="M6" s="387"/>
      <c r="N6" s="28"/>
    </row>
    <row r="7" spans="1:16" ht="51.75" customHeight="1" x14ac:dyDescent="0.2">
      <c r="A7" s="30"/>
      <c r="B7" s="34"/>
      <c r="C7" s="35" t="s">
        <v>191</v>
      </c>
      <c r="D7" s="344" t="s">
        <v>0</v>
      </c>
      <c r="E7" s="345"/>
      <c r="F7" s="36" t="s">
        <v>194</v>
      </c>
      <c r="G7" s="346" t="s">
        <v>199</v>
      </c>
      <c r="H7" s="346"/>
      <c r="I7" s="36" t="s">
        <v>197</v>
      </c>
      <c r="J7" s="50" t="s">
        <v>19</v>
      </c>
      <c r="K7" s="36" t="s">
        <v>202</v>
      </c>
      <c r="L7" s="388" t="s">
        <v>87</v>
      </c>
      <c r="M7" s="389"/>
      <c r="N7" s="28"/>
    </row>
    <row r="8" spans="1:16" ht="51.75" customHeight="1" thickBot="1" x14ac:dyDescent="0.25">
      <c r="A8" s="25"/>
      <c r="B8" s="28"/>
      <c r="C8" s="37" t="s">
        <v>192</v>
      </c>
      <c r="D8" s="347" t="s">
        <v>18</v>
      </c>
      <c r="E8" s="348"/>
      <c r="F8" s="38" t="s">
        <v>195</v>
      </c>
      <c r="G8" s="349" t="s">
        <v>17</v>
      </c>
      <c r="H8" s="349"/>
      <c r="I8" s="38" t="s">
        <v>200</v>
      </c>
      <c r="J8" s="51" t="s">
        <v>84</v>
      </c>
      <c r="K8" s="38" t="s">
        <v>203</v>
      </c>
      <c r="L8" s="390" t="s">
        <v>86</v>
      </c>
      <c r="M8" s="391"/>
      <c r="N8" s="28"/>
    </row>
    <row r="9" spans="1:16" x14ac:dyDescent="0.2">
      <c r="A9" s="28"/>
      <c r="B9" s="28"/>
      <c r="C9" s="39" t="s">
        <v>698</v>
      </c>
      <c r="D9" s="39" t="s">
        <v>700</v>
      </c>
      <c r="E9" s="39" t="s">
        <v>699</v>
      </c>
      <c r="F9" s="39" t="s">
        <v>702</v>
      </c>
      <c r="G9" s="39" t="s">
        <v>701</v>
      </c>
      <c r="H9" s="39" t="s">
        <v>712</v>
      </c>
      <c r="I9" s="39" t="s">
        <v>711</v>
      </c>
      <c r="J9" s="39"/>
      <c r="K9" s="39"/>
      <c r="L9" s="39"/>
      <c r="M9" s="39"/>
      <c r="N9" s="28"/>
    </row>
    <row r="10" spans="1:16" ht="15.75" customHeight="1" x14ac:dyDescent="0.2">
      <c r="A10" s="25"/>
      <c r="B10" s="26"/>
      <c r="C10" s="350" t="s">
        <v>293</v>
      </c>
      <c r="D10" s="350"/>
      <c r="E10" s="350"/>
      <c r="F10" s="350"/>
      <c r="G10" s="350"/>
      <c r="H10" s="350"/>
      <c r="I10" s="350"/>
      <c r="J10" s="350"/>
      <c r="K10" s="350"/>
      <c r="L10" s="350"/>
      <c r="M10" s="392"/>
      <c r="N10" s="28"/>
    </row>
    <row r="11" spans="1:16" ht="64.5" customHeight="1" x14ac:dyDescent="0.2">
      <c r="A11" s="25"/>
      <c r="B11" s="26"/>
      <c r="C11" s="52" t="s">
        <v>226</v>
      </c>
      <c r="D11" s="52" t="s">
        <v>134</v>
      </c>
      <c r="E11" s="52" t="s">
        <v>227</v>
      </c>
      <c r="F11" s="52" t="s">
        <v>189</v>
      </c>
      <c r="G11" s="52" t="s">
        <v>204</v>
      </c>
      <c r="H11" s="52" t="s">
        <v>206</v>
      </c>
      <c r="I11" s="52" t="s">
        <v>207</v>
      </c>
      <c r="J11" s="394" t="s">
        <v>970</v>
      </c>
      <c r="K11" s="395"/>
      <c r="L11" s="395"/>
      <c r="M11" s="396"/>
      <c r="N11" s="28"/>
    </row>
    <row r="12" spans="1:16" x14ac:dyDescent="0.2">
      <c r="A12" s="25"/>
      <c r="B12" s="41" t="s">
        <v>728</v>
      </c>
      <c r="C12" s="154">
        <f>IF($B12=" ","",IFERROR(INDEX(MMWR_RATING_RO_ROLLUP[],MATCH($B12,MMWR_RATING_RO_ROLLUP[MMWR_RATING_RO_ROLLUP],0),MATCH(C$9,MMWR_RATING_RO_ROLLUP[#Headers],0)),"ERROR"))</f>
        <v>380286</v>
      </c>
      <c r="D12" s="155">
        <f>IF($B12=" ","",IFERROR(INDEX(MMWR_RATING_RO_ROLLUP[],MATCH($B12,MMWR_RATING_RO_ROLLUP[MMWR_RATING_RO_ROLLUP],0),MATCH(D$9,MMWR_RATING_RO_ROLLUP[#Headers],0)),"ERROR"))</f>
        <v>87.801959577800005</v>
      </c>
      <c r="E12" s="156">
        <f>IF($B12=" ","",IFERROR(INDEX(MMWR_RATING_RO_ROLLUP[],MATCH($B12,MMWR_RATING_RO_ROLLUP[MMWR_RATING_RO_ROLLUP],0),MATCH(E$9,MMWR_RATING_RO_ROLLUP[#Headers],0))/$C12,"ERROR"))</f>
        <v>0.20501149135124616</v>
      </c>
      <c r="F12" s="154">
        <f>IF($B12=" ","",IFERROR(INDEX(MMWR_RATING_RO_ROLLUP[],MATCH($B12,MMWR_RATING_RO_ROLLUP[MMWR_RATING_RO_ROLLUP],0),MATCH(F$9,MMWR_RATING_RO_ROLLUP[#Headers],0)),"ERROR"))</f>
        <v>26021</v>
      </c>
      <c r="G12" s="154">
        <f>IF($B12=" ","",IFERROR(INDEX(MMWR_RATING_RO_ROLLUP[],MATCH($B12,MMWR_RATING_RO_ROLLUP[MMWR_RATING_RO_ROLLUP],0),MATCH(G$9,MMWR_RATING_RO_ROLLUP[#Headers],0)),"ERROR"))</f>
        <v>1071637</v>
      </c>
      <c r="H12" s="155">
        <f>IF($B12=" ","",IFERROR(INDEX(MMWR_RATING_RO_ROLLUP[],MATCH($B12,MMWR_RATING_RO_ROLLUP[MMWR_RATING_RO_ROLLUP],0),MATCH(H$9,MMWR_RATING_RO_ROLLUP[#Headers],0)),"ERROR"))</f>
        <v>121.4122055263</v>
      </c>
      <c r="I12" s="155">
        <f>IF($B12=" ","",IFERROR(INDEX(MMWR_RATING_RO_ROLLUP[],MATCH($B12,MMWR_RATING_RO_ROLLUP[MMWR_RATING_RO_ROLLUP],0),MATCH(I$9,MMWR_RATING_RO_ROLLUP[#Headers],0)),"ERROR"))</f>
        <v>123.1194266342</v>
      </c>
      <c r="J12" s="42"/>
      <c r="K12" s="42"/>
      <c r="L12" s="42"/>
      <c r="M12" s="42"/>
      <c r="N12" s="28"/>
    </row>
    <row r="13" spans="1:16" x14ac:dyDescent="0.2">
      <c r="A13" s="25"/>
      <c r="B13" s="342" t="s">
        <v>731</v>
      </c>
      <c r="C13" s="343"/>
      <c r="D13" s="343"/>
      <c r="E13" s="343"/>
      <c r="F13" s="343"/>
      <c r="G13" s="343"/>
      <c r="H13" s="343"/>
      <c r="I13" s="343"/>
      <c r="J13" s="343"/>
      <c r="K13" s="343"/>
      <c r="L13" s="343"/>
      <c r="M13" s="393"/>
      <c r="N13" s="28"/>
    </row>
    <row r="14" spans="1:16" x14ac:dyDescent="0.2">
      <c r="A14" s="25"/>
      <c r="B14" s="41" t="s">
        <v>727</v>
      </c>
      <c r="C14" s="154">
        <f>IF($B14=" ","",IFERROR(INDEX(MMWR_RATING_RO_ROLLUP[],MATCH($B14,MMWR_RATING_RO_ROLLUP[MMWR_RATING_RO_ROLLUP],0),MATCH(C$9,MMWR_RATING_RO_ROLLUP[#Headers],0)),"ERROR"))</f>
        <v>336516</v>
      </c>
      <c r="D14" s="155">
        <f>IF($B14=" ","",IFERROR(INDEX(MMWR_RATING_RO_ROLLUP[],MATCH($B14,MMWR_RATING_RO_ROLLUP[MMWR_RATING_RO_ROLLUP],0),MATCH(D$9,MMWR_RATING_RO_ROLLUP[#Headers],0)),"ERROR"))</f>
        <v>90.725763411000003</v>
      </c>
      <c r="E14" s="156">
        <f>IF($B14=" ","",IFERROR(INDEX(MMWR_RATING_RO_ROLLUP[],MATCH($B14,MMWR_RATING_RO_ROLLUP[MMWR_RATING_RO_ROLLUP],0),MATCH(E$9,MMWR_RATING_RO_ROLLUP[#Headers],0))/$C14,"ERROR"))</f>
        <v>0.2162631197327913</v>
      </c>
      <c r="F14" s="154">
        <f>IF($B14=" ","",IFERROR(INDEX(MMWR_RATING_RO_ROLLUP[],MATCH($B14,MMWR_RATING_RO_ROLLUP[MMWR_RATING_RO_ROLLUP],0),MATCH(F$9,MMWR_RATING_RO_ROLLUP[#Headers],0)),"ERROR"))</f>
        <v>21558</v>
      </c>
      <c r="G14" s="154">
        <f>IF($B14=" ","",IFERROR(INDEX(MMWR_RATING_RO_ROLLUP[],MATCH($B14,MMWR_RATING_RO_ROLLUP[MMWR_RATING_RO_ROLLUP],0),MATCH(G$9,MMWR_RATING_RO_ROLLUP[#Headers],0)),"ERROR"))</f>
        <v>899260</v>
      </c>
      <c r="H14" s="155">
        <f>IF($B14=" ","",IFERROR(INDEX(MMWR_RATING_RO_ROLLUP[],MATCH($B14,MMWR_RATING_RO_ROLLUP[MMWR_RATING_RO_ROLLUP],0),MATCH(H$9,MMWR_RATING_RO_ROLLUP[#Headers],0)),"ERROR"))</f>
        <v>128.03182113369999</v>
      </c>
      <c r="I14" s="155">
        <f>IF($B14=" ","",IFERROR(INDEX(MMWR_RATING_RO_ROLLUP[],MATCH($B14,MMWR_RATING_RO_ROLLUP[MMWR_RATING_RO_ROLLUP],0),MATCH(I$9,MMWR_RATING_RO_ROLLUP[#Headers],0)),"ERROR"))</f>
        <v>128.70438694040001</v>
      </c>
      <c r="J14" s="42"/>
      <c r="K14" s="42"/>
      <c r="L14" s="42"/>
      <c r="M14" s="42"/>
      <c r="N14" s="28"/>
    </row>
    <row r="15" spans="1:16" x14ac:dyDescent="0.2">
      <c r="A15" s="25"/>
      <c r="B15" s="247" t="s">
        <v>368</v>
      </c>
      <c r="C15" s="154">
        <f>IF($B15=" ","",IFERROR(INDEX(MMWR_RATING_RO_ROLLUP[],MATCH($B15,MMWR_RATING_RO_ROLLUP[MMWR_RATING_RO_ROLLUP],0),MATCH(C$9,MMWR_RATING_RO_ROLLUP[#Headers],0)),"ERROR"))</f>
        <v>74554</v>
      </c>
      <c r="D15" s="155">
        <f>IF($B15=" ","",IFERROR(INDEX(MMWR_RATING_RO_ROLLUP[],MATCH($B15,MMWR_RATING_RO_ROLLUP[MMWR_RATING_RO_ROLLUP],0),MATCH(D$9,MMWR_RATING_RO_ROLLUP[#Headers],0)),"ERROR"))</f>
        <v>94.190948842400005</v>
      </c>
      <c r="E15" s="156">
        <f>IF($B15=" ","",IFERROR(INDEX(MMWR_RATING_RO_ROLLUP[],MATCH($B15,MMWR_RATING_RO_ROLLUP[MMWR_RATING_RO_ROLLUP],0),MATCH(E$9,MMWR_RATING_RO_ROLLUP[#Headers],0))/$C15,"ERROR"))</f>
        <v>0.22953832121683612</v>
      </c>
      <c r="F15" s="154">
        <f>IF($B15=" ","",IFERROR(INDEX(MMWR_RATING_RO_ROLLUP[],MATCH($B15,MMWR_RATING_RO_ROLLUP[MMWR_RATING_RO_ROLLUP],0),MATCH(F$9,MMWR_RATING_RO_ROLLUP[#Headers],0)),"ERROR"))</f>
        <v>4734</v>
      </c>
      <c r="G15" s="154">
        <f>IF($B15=" ","",IFERROR(INDEX(MMWR_RATING_RO_ROLLUP[],MATCH($B15,MMWR_RATING_RO_ROLLUP[MMWR_RATING_RO_ROLLUP],0),MATCH(G$9,MMWR_RATING_RO_ROLLUP[#Headers],0)),"ERROR"))</f>
        <v>198911</v>
      </c>
      <c r="H15" s="155">
        <f>IF($B15=" ","",IFERROR(INDEX(MMWR_RATING_RO_ROLLUP[],MATCH($B15,MMWR_RATING_RO_ROLLUP[MMWR_RATING_RO_ROLLUP],0),MATCH(H$9,MMWR_RATING_RO_ROLLUP[#Headers],0)),"ERROR"))</f>
        <v>130.2653147444</v>
      </c>
      <c r="I15" s="155">
        <f>IF($B15=" ","",IFERROR(INDEX(MMWR_RATING_RO_ROLLUP[],MATCH($B15,MMWR_RATING_RO_ROLLUP[MMWR_RATING_RO_ROLLUP],0),MATCH(I$9,MMWR_RATING_RO_ROLLUP[#Headers],0)),"ERROR"))</f>
        <v>130.65186942899999</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5514</v>
      </c>
      <c r="D16" s="155">
        <f>IF($B16=" ","",IFERROR(INDEX(MMWR_RATING_RO_ROLLUP[],MATCH($B16,MMWR_RATING_RO_ROLLUP[MMWR_RATING_RO_ROLLUP],0),MATCH(D$9,MMWR_RATING_RO_ROLLUP[#Headers],0)),"ERROR"))</f>
        <v>95.203300689200006</v>
      </c>
      <c r="E16" s="156">
        <f>IF($B16=" ","",IFERROR(INDEX(MMWR_RATING_RO_ROLLUP[],MATCH($B16,MMWR_RATING_RO_ROLLUP[MMWR_RATING_RO_ROLLUP],0),MATCH(E$9,MMWR_RATING_RO_ROLLUP[#Headers],0))/$C16,"ERROR"))</f>
        <v>0.23449401523394994</v>
      </c>
      <c r="F16" s="154">
        <f>IF($B16=" ","",IFERROR(INDEX(MMWR_RATING_RO_ROLLUP[],MATCH($B16,MMWR_RATING_RO_ROLLUP[MMWR_RATING_RO_ROLLUP],0),MATCH(F$9,MMWR_RATING_RO_ROLLUP[#Headers],0)),"ERROR"))</f>
        <v>330</v>
      </c>
      <c r="G16" s="154">
        <f>IF($B16=" ","",IFERROR(INDEX(MMWR_RATING_RO_ROLLUP[],MATCH($B16,MMWR_RATING_RO_ROLLUP[MMWR_RATING_RO_ROLLUP],0),MATCH(G$9,MMWR_RATING_RO_ROLLUP[#Headers],0)),"ERROR"))</f>
        <v>13211</v>
      </c>
      <c r="H16" s="155">
        <f>IF($B16=" ","",IFERROR(INDEX(MMWR_RATING_RO_ROLLUP[],MATCH($B16,MMWR_RATING_RO_ROLLUP[MMWR_RATING_RO_ROLLUP],0),MATCH(H$9,MMWR_RATING_RO_ROLLUP[#Headers],0)),"ERROR"))</f>
        <v>130.54545454550001</v>
      </c>
      <c r="I16" s="155">
        <f>IF($B16=" ","",IFERROR(INDEX(MMWR_RATING_RO_ROLLUP[],MATCH($B16,MMWR_RATING_RO_ROLLUP[MMWR_RATING_RO_ROLLUP],0),MATCH(I$9,MMWR_RATING_RO_ROLLUP[#Headers],0)),"ERROR"))</f>
        <v>142.33631065020001</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3568</v>
      </c>
      <c r="D17" s="155">
        <f>IF($B17=" ","",IFERROR(INDEX(MMWR_RATING_RO_ROLLUP[],MATCH($B17,MMWR_RATING_RO_ROLLUP[MMWR_RATING_RO_ROLLUP],0),MATCH(D$9,MMWR_RATING_RO_ROLLUP[#Headers],0)),"ERROR"))</f>
        <v>84.119955157000007</v>
      </c>
      <c r="E17" s="156">
        <f>IF($B17=" ","",IFERROR(INDEX(MMWR_RATING_RO_ROLLUP[],MATCH($B17,MMWR_RATING_RO_ROLLUP[MMWR_RATING_RO_ROLLUP],0),MATCH(E$9,MMWR_RATING_RO_ROLLUP[#Headers],0))/$C17,"ERROR"))</f>
        <v>0.18862107623318386</v>
      </c>
      <c r="F17" s="154">
        <f>IF($B17=" ","",IFERROR(INDEX(MMWR_RATING_RO_ROLLUP[],MATCH($B17,MMWR_RATING_RO_ROLLUP[MMWR_RATING_RO_ROLLUP],0),MATCH(F$9,MMWR_RATING_RO_ROLLUP[#Headers],0)),"ERROR"))</f>
        <v>182</v>
      </c>
      <c r="G17" s="154">
        <f>IF($B17=" ","",IFERROR(INDEX(MMWR_RATING_RO_ROLLUP[],MATCH($B17,MMWR_RATING_RO_ROLLUP[MMWR_RATING_RO_ROLLUP],0),MATCH(G$9,MMWR_RATING_RO_ROLLUP[#Headers],0)),"ERROR"))</f>
        <v>9628</v>
      </c>
      <c r="H17" s="155">
        <f>IF($B17=" ","",IFERROR(INDEX(MMWR_RATING_RO_ROLLUP[],MATCH($B17,MMWR_RATING_RO_ROLLUP[MMWR_RATING_RO_ROLLUP],0),MATCH(H$9,MMWR_RATING_RO_ROLLUP[#Headers],0)),"ERROR"))</f>
        <v>109.4010989011</v>
      </c>
      <c r="I17" s="155">
        <f>IF($B17=" ","",IFERROR(INDEX(MMWR_RATING_RO_ROLLUP[],MATCH($B17,MMWR_RATING_RO_ROLLUP[MMWR_RATING_RO_ROLLUP],0),MATCH(I$9,MMWR_RATING_RO_ROLLUP[#Headers],0)),"ERROR"))</f>
        <v>130.09025758210001</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3839</v>
      </c>
      <c r="D18" s="155">
        <f>IF($B18=" ","",IFERROR(INDEX(MMWR_RATING_RO_ROLLUP[],MATCH($B18,MMWR_RATING_RO_ROLLUP[MMWR_RATING_RO_ROLLUP],0),MATCH(D$9,MMWR_RATING_RO_ROLLUP[#Headers],0)),"ERROR"))</f>
        <v>85.639489450400006</v>
      </c>
      <c r="E18" s="156">
        <f>IF($B18=" ","",IFERROR(INDEX(MMWR_RATING_RO_ROLLUP[],MATCH($B18,MMWR_RATING_RO_ROLLUP[MMWR_RATING_RO_ROLLUP],0),MATCH(E$9,MMWR_RATING_RO_ROLLUP[#Headers],0))/$C18,"ERROR"))</f>
        <v>0.18911174785100288</v>
      </c>
      <c r="F18" s="154">
        <f>IF($B18=" ","",IFERROR(INDEX(MMWR_RATING_RO_ROLLUP[],MATCH($B18,MMWR_RATING_RO_ROLLUP[MMWR_RATING_RO_ROLLUP],0),MATCH(F$9,MMWR_RATING_RO_ROLLUP[#Headers],0)),"ERROR"))</f>
        <v>240</v>
      </c>
      <c r="G18" s="154">
        <f>IF($B18=" ","",IFERROR(INDEX(MMWR_RATING_RO_ROLLUP[],MATCH($B18,MMWR_RATING_RO_ROLLUP[MMWR_RATING_RO_ROLLUP],0),MATCH(G$9,MMWR_RATING_RO_ROLLUP[#Headers],0)),"ERROR"))</f>
        <v>10935</v>
      </c>
      <c r="H18" s="155">
        <f>IF($B18=" ","",IFERROR(INDEX(MMWR_RATING_RO_ROLLUP[],MATCH($B18,MMWR_RATING_RO_ROLLUP[MMWR_RATING_RO_ROLLUP],0),MATCH(H$9,MMWR_RATING_RO_ROLLUP[#Headers],0)),"ERROR"))</f>
        <v>129.3125</v>
      </c>
      <c r="I18" s="155">
        <f>IF($B18=" ","",IFERROR(INDEX(MMWR_RATING_RO_ROLLUP[],MATCH($B18,MMWR_RATING_RO_ROLLUP[MMWR_RATING_RO_ROLLUP],0),MATCH(I$9,MMWR_RATING_RO_ROLLUP[#Headers],0)),"ERROR"))</f>
        <v>133.41536351170001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1882</v>
      </c>
      <c r="D19" s="155">
        <f>IF($B19=" ","",IFERROR(INDEX(MMWR_RATING_RO_ROLLUP[],MATCH($B19,MMWR_RATING_RO_ROLLUP[MMWR_RATING_RO_ROLLUP],0),MATCH(D$9,MMWR_RATING_RO_ROLLUP[#Headers],0)),"ERROR"))</f>
        <v>83.181190223200005</v>
      </c>
      <c r="E19" s="156">
        <f>IF($B19=" ","",IFERROR(INDEX(MMWR_RATING_RO_ROLLUP[],MATCH($B19,MMWR_RATING_RO_ROLLUP[MMWR_RATING_RO_ROLLUP],0),MATCH(E$9,MMWR_RATING_RO_ROLLUP[#Headers],0))/$C19,"ERROR"))</f>
        <v>0.17693942614240171</v>
      </c>
      <c r="F19" s="154">
        <f>IF($B19=" ","",IFERROR(INDEX(MMWR_RATING_RO_ROLLUP[],MATCH($B19,MMWR_RATING_RO_ROLLUP[MMWR_RATING_RO_ROLLUP],0),MATCH(F$9,MMWR_RATING_RO_ROLLUP[#Headers],0)),"ERROR"))</f>
        <v>161</v>
      </c>
      <c r="G19" s="154">
        <f>IF($B19=" ","",IFERROR(INDEX(MMWR_RATING_RO_ROLLUP[],MATCH($B19,MMWR_RATING_RO_ROLLUP[MMWR_RATING_RO_ROLLUP],0),MATCH(G$9,MMWR_RATING_RO_ROLLUP[#Headers],0)),"ERROR"))</f>
        <v>5600</v>
      </c>
      <c r="H19" s="155">
        <f>IF($B19=" ","",IFERROR(INDEX(MMWR_RATING_RO_ROLLUP[],MATCH($B19,MMWR_RATING_RO_ROLLUP[MMWR_RATING_RO_ROLLUP],0),MATCH(H$9,MMWR_RATING_RO_ROLLUP[#Headers],0)),"ERROR"))</f>
        <v>114.4347826087</v>
      </c>
      <c r="I19" s="155">
        <f>IF($B19=" ","",IFERROR(INDEX(MMWR_RATING_RO_ROLLUP[],MATCH($B19,MMWR_RATING_RO_ROLLUP[MMWR_RATING_RO_ROLLUP],0),MATCH(I$9,MMWR_RATING_RO_ROLLUP[#Headers],0)),"ERROR"))</f>
        <v>115.2373214286</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2435</v>
      </c>
      <c r="D20" s="155">
        <f>IF($B20=" ","",IFERROR(INDEX(MMWR_RATING_RO_ROLLUP[],MATCH($B20,MMWR_RATING_RO_ROLLUP[MMWR_RATING_RO_ROLLUP],0),MATCH(D$9,MMWR_RATING_RO_ROLLUP[#Headers],0)),"ERROR"))</f>
        <v>80.126899383999998</v>
      </c>
      <c r="E20" s="156">
        <f>IF($B20=" ","",IFERROR(INDEX(MMWR_RATING_RO_ROLLUP[],MATCH($B20,MMWR_RATING_RO_ROLLUP[MMWR_RATING_RO_ROLLUP],0),MATCH(E$9,MMWR_RATING_RO_ROLLUP[#Headers],0))/$C20,"ERROR"))</f>
        <v>0.17002053388090349</v>
      </c>
      <c r="F20" s="154">
        <f>IF($B20=" ","",IFERROR(INDEX(MMWR_RATING_RO_ROLLUP[],MATCH($B20,MMWR_RATING_RO_ROLLUP[MMWR_RATING_RO_ROLLUP],0),MATCH(F$9,MMWR_RATING_RO_ROLLUP[#Headers],0)),"ERROR"))</f>
        <v>160</v>
      </c>
      <c r="G20" s="154">
        <f>IF($B20=" ","",IFERROR(INDEX(MMWR_RATING_RO_ROLLUP[],MATCH($B20,MMWR_RATING_RO_ROLLUP[MMWR_RATING_RO_ROLLUP],0),MATCH(G$9,MMWR_RATING_RO_ROLLUP[#Headers],0)),"ERROR"))</f>
        <v>7883</v>
      </c>
      <c r="H20" s="155">
        <f>IF($B20=" ","",IFERROR(INDEX(MMWR_RATING_RO_ROLLUP[],MATCH($B20,MMWR_RATING_RO_ROLLUP[MMWR_RATING_RO_ROLLUP],0),MATCH(H$9,MMWR_RATING_RO_ROLLUP[#Headers],0)),"ERROR"))</f>
        <v>118.83125</v>
      </c>
      <c r="I20" s="155">
        <f>IF($B20=" ","",IFERROR(INDEX(MMWR_RATING_RO_ROLLUP[],MATCH($B20,MMWR_RATING_RO_ROLLUP[MMWR_RATING_RO_ROLLUP],0),MATCH(I$9,MMWR_RATING_RO_ROLLUP[#Headers],0)),"ERROR"))</f>
        <v>117.0874032729</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1342</v>
      </c>
      <c r="D21" s="155">
        <f>IF($B21=" ","",IFERROR(INDEX(MMWR_RATING_RO_ROLLUP[],MATCH($B21,MMWR_RATING_RO_ROLLUP[MMWR_RATING_RO_ROLLUP],0),MATCH(D$9,MMWR_RATING_RO_ROLLUP[#Headers],0)),"ERROR"))</f>
        <v>76.274962742200003</v>
      </c>
      <c r="E21" s="156">
        <f>IF($B21=" ","",IFERROR(INDEX(MMWR_RATING_RO_ROLLUP[],MATCH($B21,MMWR_RATING_RO_ROLLUP[MMWR_RATING_RO_ROLLUP],0),MATCH(E$9,MMWR_RATING_RO_ROLLUP[#Headers],0))/$C21,"ERROR"))</f>
        <v>0.14232488822652756</v>
      </c>
      <c r="F21" s="154">
        <f>IF($B21=" ","",IFERROR(INDEX(MMWR_RATING_RO_ROLLUP[],MATCH($B21,MMWR_RATING_RO_ROLLUP[MMWR_RATING_RO_ROLLUP],0),MATCH(F$9,MMWR_RATING_RO_ROLLUP[#Headers],0)),"ERROR"))</f>
        <v>60</v>
      </c>
      <c r="G21" s="154">
        <f>IF($B21=" ","",IFERROR(INDEX(MMWR_RATING_RO_ROLLUP[],MATCH($B21,MMWR_RATING_RO_ROLLUP[MMWR_RATING_RO_ROLLUP],0),MATCH(G$9,MMWR_RATING_RO_ROLLUP[#Headers],0)),"ERROR"))</f>
        <v>3347</v>
      </c>
      <c r="H21" s="155">
        <f>IF($B21=" ","",IFERROR(INDEX(MMWR_RATING_RO_ROLLUP[],MATCH($B21,MMWR_RATING_RO_ROLLUP[MMWR_RATING_RO_ROLLUP],0),MATCH(H$9,MMWR_RATING_RO_ROLLUP[#Headers],0)),"ERROR"))</f>
        <v>116.9</v>
      </c>
      <c r="I21" s="155">
        <f>IF($B21=" ","",IFERROR(INDEX(MMWR_RATING_RO_ROLLUP[],MATCH($B21,MMWR_RATING_RO_ROLLUP[MMWR_RATING_RO_ROLLUP],0),MATCH(I$9,MMWR_RATING_RO_ROLLUP[#Headers],0)),"ERROR"))</f>
        <v>126.7131759785</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4940</v>
      </c>
      <c r="D22" s="155">
        <f>IF($B22=" ","",IFERROR(INDEX(MMWR_RATING_RO_ROLLUP[],MATCH($B22,MMWR_RATING_RO_ROLLUP[MMWR_RATING_RO_ROLLUP],0),MATCH(D$9,MMWR_RATING_RO_ROLLUP[#Headers],0)),"ERROR"))</f>
        <v>110.29008097169999</v>
      </c>
      <c r="E22" s="156">
        <f>IF($B22=" ","",IFERROR(INDEX(MMWR_RATING_RO_ROLLUP[],MATCH($B22,MMWR_RATING_RO_ROLLUP[MMWR_RATING_RO_ROLLUP],0),MATCH(E$9,MMWR_RATING_RO_ROLLUP[#Headers],0))/$C22,"ERROR"))</f>
        <v>0.29453441295546556</v>
      </c>
      <c r="F22" s="154">
        <f>IF($B22=" ","",IFERROR(INDEX(MMWR_RATING_RO_ROLLUP[],MATCH($B22,MMWR_RATING_RO_ROLLUP[MMWR_RATING_RO_ROLLUP],0),MATCH(F$9,MMWR_RATING_RO_ROLLUP[#Headers],0)),"ERROR"))</f>
        <v>338</v>
      </c>
      <c r="G22" s="154">
        <f>IF($B22=" ","",IFERROR(INDEX(MMWR_RATING_RO_ROLLUP[],MATCH($B22,MMWR_RATING_RO_ROLLUP[MMWR_RATING_RO_ROLLUP],0),MATCH(G$9,MMWR_RATING_RO_ROLLUP[#Headers],0)),"ERROR"))</f>
        <v>12130</v>
      </c>
      <c r="H22" s="155">
        <f>IF($B22=" ","",IFERROR(INDEX(MMWR_RATING_RO_ROLLUP[],MATCH($B22,MMWR_RATING_RO_ROLLUP[MMWR_RATING_RO_ROLLUP],0),MATCH(H$9,MMWR_RATING_RO_ROLLUP[#Headers],0)),"ERROR"))</f>
        <v>131.67455621299999</v>
      </c>
      <c r="I22" s="155">
        <f>IF($B22=" ","",IFERROR(INDEX(MMWR_RATING_RO_ROLLUP[],MATCH($B22,MMWR_RATING_RO_ROLLUP[MMWR_RATING_RO_ROLLUP],0),MATCH(I$9,MMWR_RATING_RO_ROLLUP[#Headers],0)),"ERROR"))</f>
        <v>137.1976092333</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2897</v>
      </c>
      <c r="D23" s="155">
        <f>IF($B23=" ","",IFERROR(INDEX(MMWR_RATING_RO_ROLLUP[],MATCH($B23,MMWR_RATING_RO_ROLLUP[MMWR_RATING_RO_ROLLUP],0),MATCH(D$9,MMWR_RATING_RO_ROLLUP[#Headers],0)),"ERROR"))</f>
        <v>96.417673455300005</v>
      </c>
      <c r="E23" s="156">
        <f>IF($B23=" ","",IFERROR(INDEX(MMWR_RATING_RO_ROLLUP[],MATCH($B23,MMWR_RATING_RO_ROLLUP[MMWR_RATING_RO_ROLLUP],0),MATCH(E$9,MMWR_RATING_RO_ROLLUP[#Headers],0))/$C23,"ERROR"))</f>
        <v>0.24784259578874698</v>
      </c>
      <c r="F23" s="154">
        <f>IF($B23=" ","",IFERROR(INDEX(MMWR_RATING_RO_ROLLUP[],MATCH($B23,MMWR_RATING_RO_ROLLUP[MMWR_RATING_RO_ROLLUP],0),MATCH(F$9,MMWR_RATING_RO_ROLLUP[#Headers],0)),"ERROR"))</f>
        <v>134</v>
      </c>
      <c r="G23" s="154">
        <f>IF($B23=" ","",IFERROR(INDEX(MMWR_RATING_RO_ROLLUP[],MATCH($B23,MMWR_RATING_RO_ROLLUP[MMWR_RATING_RO_ROLLUP],0),MATCH(G$9,MMWR_RATING_RO_ROLLUP[#Headers],0)),"ERROR"))</f>
        <v>6747</v>
      </c>
      <c r="H23" s="155">
        <f>IF($B23=" ","",IFERROR(INDEX(MMWR_RATING_RO_ROLLUP[],MATCH($B23,MMWR_RATING_RO_ROLLUP[MMWR_RATING_RO_ROLLUP],0),MATCH(H$9,MMWR_RATING_RO_ROLLUP[#Headers],0)),"ERROR"))</f>
        <v>154.56716417909999</v>
      </c>
      <c r="I23" s="155">
        <f>IF($B23=" ","",IFERROR(INDEX(MMWR_RATING_RO_ROLLUP[],MATCH($B23,MMWR_RATING_RO_ROLLUP[MMWR_RATING_RO_ROLLUP],0),MATCH(I$9,MMWR_RATING_RO_ROLLUP[#Headers],0)),"ERROR"))</f>
        <v>138.04965169709999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8468</v>
      </c>
      <c r="D24" s="155">
        <f>IF($B24=" ","",IFERROR(INDEX(MMWR_RATING_RO_ROLLUP[],MATCH($B24,MMWR_RATING_RO_ROLLUP[MMWR_RATING_RO_ROLLUP],0),MATCH(D$9,MMWR_RATING_RO_ROLLUP[#Headers],0)),"ERROR"))</f>
        <v>119.8430562116</v>
      </c>
      <c r="E24" s="156">
        <f>IF($B24=" ","",IFERROR(INDEX(MMWR_RATING_RO_ROLLUP[],MATCH($B24,MMWR_RATING_RO_ROLLUP[MMWR_RATING_RO_ROLLUP],0),MATCH(E$9,MMWR_RATING_RO_ROLLUP[#Headers],0))/$C24,"ERROR"))</f>
        <v>0.31825696740670761</v>
      </c>
      <c r="F24" s="154">
        <f>IF($B24=" ","",IFERROR(INDEX(MMWR_RATING_RO_ROLLUP[],MATCH($B24,MMWR_RATING_RO_ROLLUP[MMWR_RATING_RO_ROLLUP],0),MATCH(F$9,MMWR_RATING_RO_ROLLUP[#Headers],0)),"ERROR"))</f>
        <v>403</v>
      </c>
      <c r="G24" s="154">
        <f>IF($B24=" ","",IFERROR(INDEX(MMWR_RATING_RO_ROLLUP[],MATCH($B24,MMWR_RATING_RO_ROLLUP[MMWR_RATING_RO_ROLLUP],0),MATCH(G$9,MMWR_RATING_RO_ROLLUP[#Headers],0)),"ERROR"))</f>
        <v>19581</v>
      </c>
      <c r="H24" s="155">
        <f>IF($B24=" ","",IFERROR(INDEX(MMWR_RATING_RO_ROLLUP[],MATCH($B24,MMWR_RATING_RO_ROLLUP[MMWR_RATING_RO_ROLLUP],0),MATCH(H$9,MMWR_RATING_RO_ROLLUP[#Headers],0)),"ERROR"))</f>
        <v>170.0669975186</v>
      </c>
      <c r="I24" s="155">
        <f>IF($B24=" ","",IFERROR(INDEX(MMWR_RATING_RO_ROLLUP[],MATCH($B24,MMWR_RATING_RO_ROLLUP[MMWR_RATING_RO_ROLLUP],0),MATCH(I$9,MMWR_RATING_RO_ROLLUP[#Headers],0)),"ERROR"))</f>
        <v>149.1080639395</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4590</v>
      </c>
      <c r="D25" s="155">
        <f>IF($B25=" ","",IFERROR(INDEX(MMWR_RATING_RO_ROLLUP[],MATCH($B25,MMWR_RATING_RO_ROLLUP[MMWR_RATING_RO_ROLLUP],0),MATCH(D$9,MMWR_RATING_RO_ROLLUP[#Headers],0)),"ERROR"))</f>
        <v>114.0235294118</v>
      </c>
      <c r="E25" s="156">
        <f>IF($B25=" ","",IFERROR(INDEX(MMWR_RATING_RO_ROLLUP[],MATCH($B25,MMWR_RATING_RO_ROLLUP[MMWR_RATING_RO_ROLLUP],0),MATCH(E$9,MMWR_RATING_RO_ROLLUP[#Headers],0))/$C25,"ERROR"))</f>
        <v>0.32069716775599127</v>
      </c>
      <c r="F25" s="154">
        <f>IF($B25=" ","",IFERROR(INDEX(MMWR_RATING_RO_ROLLUP[],MATCH($B25,MMWR_RATING_RO_ROLLUP[MMWR_RATING_RO_ROLLUP],0),MATCH(F$9,MMWR_RATING_RO_ROLLUP[#Headers],0)),"ERROR"))</f>
        <v>303</v>
      </c>
      <c r="G25" s="154">
        <f>IF($B25=" ","",IFERROR(INDEX(MMWR_RATING_RO_ROLLUP[],MATCH($B25,MMWR_RATING_RO_ROLLUP[MMWR_RATING_RO_ROLLUP],0),MATCH(G$9,MMWR_RATING_RO_ROLLUP[#Headers],0)),"ERROR"))</f>
        <v>11216</v>
      </c>
      <c r="H25" s="155">
        <f>IF($B25=" ","",IFERROR(INDEX(MMWR_RATING_RO_ROLLUP[],MATCH($B25,MMWR_RATING_RO_ROLLUP[MMWR_RATING_RO_ROLLUP],0),MATCH(H$9,MMWR_RATING_RO_ROLLUP[#Headers],0)),"ERROR"))</f>
        <v>162.32343234320001</v>
      </c>
      <c r="I25" s="155">
        <f>IF($B25=" ","",IFERROR(INDEX(MMWR_RATING_RO_ROLLUP[],MATCH($B25,MMWR_RATING_RO_ROLLUP[MMWR_RATING_RO_ROLLUP],0),MATCH(I$9,MMWR_RATING_RO_ROLLUP[#Headers],0)),"ERROR"))</f>
        <v>157.63890870189999</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2924</v>
      </c>
      <c r="D26" s="155">
        <f>IF($B26=" ","",IFERROR(INDEX(MMWR_RATING_RO_ROLLUP[],MATCH($B26,MMWR_RATING_RO_ROLLUP[MMWR_RATING_RO_ROLLUP],0),MATCH(D$9,MMWR_RATING_RO_ROLLUP[#Headers],0)),"ERROR"))</f>
        <v>67.344733242100006</v>
      </c>
      <c r="E26" s="156">
        <f>IF($B26=" ","",IFERROR(INDEX(MMWR_RATING_RO_ROLLUP[],MATCH($B26,MMWR_RATING_RO_ROLLUP[MMWR_RATING_RO_ROLLUP],0),MATCH(E$9,MMWR_RATING_RO_ROLLUP[#Headers],0))/$C26,"ERROR"))</f>
        <v>0.12551299589603282</v>
      </c>
      <c r="F26" s="154">
        <f>IF($B26=" ","",IFERROR(INDEX(MMWR_RATING_RO_ROLLUP[],MATCH($B26,MMWR_RATING_RO_ROLLUP[MMWR_RATING_RO_ROLLUP],0),MATCH(F$9,MMWR_RATING_RO_ROLLUP[#Headers],0)),"ERROR"))</f>
        <v>439</v>
      </c>
      <c r="G26" s="154">
        <f>IF($B26=" ","",IFERROR(INDEX(MMWR_RATING_RO_ROLLUP[],MATCH($B26,MMWR_RATING_RO_ROLLUP[MMWR_RATING_RO_ROLLUP],0),MATCH(G$9,MMWR_RATING_RO_ROLLUP[#Headers],0)),"ERROR"))</f>
        <v>18398</v>
      </c>
      <c r="H26" s="155">
        <f>IF($B26=" ","",IFERROR(INDEX(MMWR_RATING_RO_ROLLUP[],MATCH($B26,MMWR_RATING_RO_ROLLUP[MMWR_RATING_RO_ROLLUP],0),MATCH(H$9,MMWR_RATING_RO_ROLLUP[#Headers],0)),"ERROR"))</f>
        <v>58.993166287000001</v>
      </c>
      <c r="I26" s="155">
        <f>IF($B26=" ","",IFERROR(INDEX(MMWR_RATING_RO_ROLLUP[],MATCH($B26,MMWR_RATING_RO_ROLLUP[MMWR_RATING_RO_ROLLUP],0),MATCH(I$9,MMWR_RATING_RO_ROLLUP[#Headers],0)),"ERROR"))</f>
        <v>56.558538971600001</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11320</v>
      </c>
      <c r="D27" s="155">
        <f>IF($B27=" ","",IFERROR(INDEX(MMWR_RATING_RO_ROLLUP[],MATCH($B27,MMWR_RATING_RO_ROLLUP[MMWR_RATING_RO_ROLLUP],0),MATCH(D$9,MMWR_RATING_RO_ROLLUP[#Headers],0)),"ERROR"))</f>
        <v>87.914752650200001</v>
      </c>
      <c r="E27" s="156">
        <f>IF($B27=" ","",IFERROR(INDEX(MMWR_RATING_RO_ROLLUP[],MATCH($B27,MMWR_RATING_RO_ROLLUP[MMWR_RATING_RO_ROLLUP],0),MATCH(E$9,MMWR_RATING_RO_ROLLUP[#Headers],0))/$C27,"ERROR"))</f>
        <v>0.19522968197879859</v>
      </c>
      <c r="F27" s="154">
        <f>IF($B27=" ","",IFERROR(INDEX(MMWR_RATING_RO_ROLLUP[],MATCH($B27,MMWR_RATING_RO_ROLLUP[MMWR_RATING_RO_ROLLUP],0),MATCH(F$9,MMWR_RATING_RO_ROLLUP[#Headers],0)),"ERROR"))</f>
        <v>722</v>
      </c>
      <c r="G27" s="154">
        <f>IF($B27=" ","",IFERROR(INDEX(MMWR_RATING_RO_ROLLUP[],MATCH($B27,MMWR_RATING_RO_ROLLUP[MMWR_RATING_RO_ROLLUP],0),MATCH(G$9,MMWR_RATING_RO_ROLLUP[#Headers],0)),"ERROR"))</f>
        <v>29516</v>
      </c>
      <c r="H27" s="155">
        <f>IF($B27=" ","",IFERROR(INDEX(MMWR_RATING_RO_ROLLUP[],MATCH($B27,MMWR_RATING_RO_ROLLUP[MMWR_RATING_RO_ROLLUP],0),MATCH(H$9,MMWR_RATING_RO_ROLLUP[#Headers],0)),"ERROR"))</f>
        <v>144.89889196679999</v>
      </c>
      <c r="I27" s="155">
        <f>IF($B27=" ","",IFERROR(INDEX(MMWR_RATING_RO_ROLLUP[],MATCH($B27,MMWR_RATING_RO_ROLLUP[MMWR_RATING_RO_ROLLUP],0),MATCH(I$9,MMWR_RATING_RO_ROLLUP[#Headers],0)),"ERROR"))</f>
        <v>135.89937660929999</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1469</v>
      </c>
      <c r="D28" s="155">
        <f>IF($B28=" ","",IFERROR(INDEX(MMWR_RATING_RO_ROLLUP[],MATCH($B28,MMWR_RATING_RO_ROLLUP[MMWR_RATING_RO_ROLLUP],0),MATCH(D$9,MMWR_RATING_RO_ROLLUP[#Headers],0)),"ERROR"))</f>
        <v>72.734513274299999</v>
      </c>
      <c r="E28" s="156">
        <f>IF($B28=" ","",IFERROR(INDEX(MMWR_RATING_RO_ROLLUP[],MATCH($B28,MMWR_RATING_RO_ROLLUP[MMWR_RATING_RO_ROLLUP],0),MATCH(E$9,MMWR_RATING_RO_ROLLUP[#Headers],0))/$C28,"ERROR"))</f>
        <v>0.12049012933968686</v>
      </c>
      <c r="F28" s="154">
        <f>IF($B28=" ","",IFERROR(INDEX(MMWR_RATING_RO_ROLLUP[],MATCH($B28,MMWR_RATING_RO_ROLLUP[MMWR_RATING_RO_ROLLUP],0),MATCH(F$9,MMWR_RATING_RO_ROLLUP[#Headers],0)),"ERROR"))</f>
        <v>121</v>
      </c>
      <c r="G28" s="154">
        <f>IF($B28=" ","",IFERROR(INDEX(MMWR_RATING_RO_ROLLUP[],MATCH($B28,MMWR_RATING_RO_ROLLUP[MMWR_RATING_RO_ROLLUP],0),MATCH(G$9,MMWR_RATING_RO_ROLLUP[#Headers],0)),"ERROR"))</f>
        <v>4399</v>
      </c>
      <c r="H28" s="155">
        <f>IF($B28=" ","",IFERROR(INDEX(MMWR_RATING_RO_ROLLUP[],MATCH($B28,MMWR_RATING_RO_ROLLUP[MMWR_RATING_RO_ROLLUP],0),MATCH(H$9,MMWR_RATING_RO_ROLLUP[#Headers],0)),"ERROR"))</f>
        <v>106.2727272727</v>
      </c>
      <c r="I28" s="155">
        <f>IF($B28=" ","",IFERROR(INDEX(MMWR_RATING_RO_ROLLUP[],MATCH($B28,MMWR_RATING_RO_ROLLUP[MMWR_RATING_RO_ROLLUP],0),MATCH(I$9,MMWR_RATING_RO_ROLLUP[#Headers],0)),"ERROR"))</f>
        <v>103.9027051603</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518</v>
      </c>
      <c r="D29" s="155">
        <f>IF($B29=" ","",IFERROR(INDEX(MMWR_RATING_RO_ROLLUP[],MATCH($B29,MMWR_RATING_RO_ROLLUP[MMWR_RATING_RO_ROLLUP],0),MATCH(D$9,MMWR_RATING_RO_ROLLUP[#Headers],0)),"ERROR"))</f>
        <v>93.113899613900003</v>
      </c>
      <c r="E29" s="156">
        <f>IF($B29=" ","",IFERROR(INDEX(MMWR_RATING_RO_ROLLUP[],MATCH($B29,MMWR_RATING_RO_ROLLUP[MMWR_RATING_RO_ROLLUP],0),MATCH(E$9,MMWR_RATING_RO_ROLLUP[#Headers],0))/$C29,"ERROR"))</f>
        <v>0.2335907335907336</v>
      </c>
      <c r="F29" s="154">
        <f>IF($B29=" ","",IFERROR(INDEX(MMWR_RATING_RO_ROLLUP[],MATCH($B29,MMWR_RATING_RO_ROLLUP[MMWR_RATING_RO_ROLLUP],0),MATCH(F$9,MMWR_RATING_RO_ROLLUP[#Headers],0)),"ERROR"))</f>
        <v>31</v>
      </c>
      <c r="G29" s="154">
        <f>IF($B29=" ","",IFERROR(INDEX(MMWR_RATING_RO_ROLLUP[],MATCH($B29,MMWR_RATING_RO_ROLLUP[MMWR_RATING_RO_ROLLUP],0),MATCH(G$9,MMWR_RATING_RO_ROLLUP[#Headers],0)),"ERROR"))</f>
        <v>1306</v>
      </c>
      <c r="H29" s="155">
        <f>IF($B29=" ","",IFERROR(INDEX(MMWR_RATING_RO_ROLLUP[],MATCH($B29,MMWR_RATING_RO_ROLLUP[MMWR_RATING_RO_ROLLUP],0),MATCH(H$9,MMWR_RATING_RO_ROLLUP[#Headers],0)),"ERROR"))</f>
        <v>179.87096774189999</v>
      </c>
      <c r="I29" s="155">
        <f>IF($B29=" ","",IFERROR(INDEX(MMWR_RATING_RO_ROLLUP[],MATCH($B29,MMWR_RATING_RO_ROLLUP[MMWR_RATING_RO_ROLLUP],0),MATCH(I$9,MMWR_RATING_RO_ROLLUP[#Headers],0)),"ERROR"))</f>
        <v>138.8637059724</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828</v>
      </c>
      <c r="D30" s="155">
        <f>IF($B30=" ","",IFERROR(INDEX(MMWR_RATING_RO_ROLLUP[],MATCH($B30,MMWR_RATING_RO_ROLLUP[MMWR_RATING_RO_ROLLUP],0),MATCH(D$9,MMWR_RATING_RO_ROLLUP[#Headers],0)),"ERROR"))</f>
        <v>87.266908212600001</v>
      </c>
      <c r="E30" s="156">
        <f>IF($B30=" ","",IFERROR(INDEX(MMWR_RATING_RO_ROLLUP[],MATCH($B30,MMWR_RATING_RO_ROLLUP[MMWR_RATING_RO_ROLLUP],0),MATCH(E$9,MMWR_RATING_RO_ROLLUP[#Headers],0))/$C30,"ERROR"))</f>
        <v>0.20289855072463769</v>
      </c>
      <c r="F30" s="154">
        <f>IF($B30=" ","",IFERROR(INDEX(MMWR_RATING_RO_ROLLUP[],MATCH($B30,MMWR_RATING_RO_ROLLUP[MMWR_RATING_RO_ROLLUP],0),MATCH(F$9,MMWR_RATING_RO_ROLLUP[#Headers],0)),"ERROR"))</f>
        <v>56</v>
      </c>
      <c r="G30" s="154">
        <f>IF($B30=" ","",IFERROR(INDEX(MMWR_RATING_RO_ROLLUP[],MATCH($B30,MMWR_RATING_RO_ROLLUP[MMWR_RATING_RO_ROLLUP],0),MATCH(G$9,MMWR_RATING_RO_ROLLUP[#Headers],0)),"ERROR"))</f>
        <v>2101</v>
      </c>
      <c r="H30" s="155">
        <f>IF($B30=" ","",IFERROR(INDEX(MMWR_RATING_RO_ROLLUP[],MATCH($B30,MMWR_RATING_RO_ROLLUP[MMWR_RATING_RO_ROLLUP],0),MATCH(H$9,MMWR_RATING_RO_ROLLUP[#Headers],0)),"ERROR"))</f>
        <v>134.9821428571</v>
      </c>
      <c r="I30" s="155">
        <f>IF($B30=" ","",IFERROR(INDEX(MMWR_RATING_RO_ROLLUP[],MATCH($B30,MMWR_RATING_RO_ROLLUP[MMWR_RATING_RO_ROLLUP],0),MATCH(I$9,MMWR_RATING_RO_ROLLUP[#Headers],0)),"ERROR"))</f>
        <v>140.38886244650001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18020</v>
      </c>
      <c r="D31" s="155">
        <f>IF($B31=" ","",IFERROR(INDEX(MMWR_RATING_RO_ROLLUP[],MATCH($B31,MMWR_RATING_RO_ROLLUP[MMWR_RATING_RO_ROLLUP],0),MATCH(D$9,MMWR_RATING_RO_ROLLUP[#Headers],0)),"ERROR"))</f>
        <v>90.601109877900001</v>
      </c>
      <c r="E31" s="156">
        <f>IF($B31=" ","",IFERROR(INDEX(MMWR_RATING_RO_ROLLUP[],MATCH($B31,MMWR_RATING_RO_ROLLUP[MMWR_RATING_RO_ROLLUP],0),MATCH(E$9,MMWR_RATING_RO_ROLLUP[#Headers],0))/$C31,"ERROR"))</f>
        <v>0.22752497225305215</v>
      </c>
      <c r="F31" s="154">
        <f>IF($B31=" ","",IFERROR(INDEX(MMWR_RATING_RO_ROLLUP[],MATCH($B31,MMWR_RATING_RO_ROLLUP[MMWR_RATING_RO_ROLLUP],0),MATCH(F$9,MMWR_RATING_RO_ROLLUP[#Headers],0)),"ERROR"))</f>
        <v>1054</v>
      </c>
      <c r="G31" s="154">
        <f>IF($B31=" ","",IFERROR(INDEX(MMWR_RATING_RO_ROLLUP[],MATCH($B31,MMWR_RATING_RO_ROLLUP[MMWR_RATING_RO_ROLLUP],0),MATCH(G$9,MMWR_RATING_RO_ROLLUP[#Headers],0)),"ERROR"))</f>
        <v>42913</v>
      </c>
      <c r="H31" s="155">
        <f>IF($B31=" ","",IFERROR(INDEX(MMWR_RATING_RO_ROLLUP[],MATCH($B31,MMWR_RATING_RO_ROLLUP[MMWR_RATING_RO_ROLLUP],0),MATCH(H$9,MMWR_RATING_RO_ROLLUP[#Headers],0)),"ERROR"))</f>
        <v>131.64231499050001</v>
      </c>
      <c r="I31" s="155">
        <f>IF($B31=" ","",IFERROR(INDEX(MMWR_RATING_RO_ROLLUP[],MATCH($B31,MMWR_RATING_RO_ROLLUP[MMWR_RATING_RO_ROLLUP],0),MATCH(I$9,MMWR_RATING_RO_ROLLUP[#Headers],0)),"ERROR"))</f>
        <v>142.97073148000001</v>
      </c>
      <c r="J31" s="42"/>
      <c r="K31" s="42"/>
      <c r="L31" s="42"/>
      <c r="M31" s="42"/>
      <c r="N31" s="28"/>
    </row>
    <row r="32" spans="1:14" x14ac:dyDescent="0.2">
      <c r="A32" s="25"/>
      <c r="B32" s="342" t="s">
        <v>732</v>
      </c>
      <c r="C32" s="343"/>
      <c r="D32" s="343"/>
      <c r="E32" s="343"/>
      <c r="F32" s="343"/>
      <c r="G32" s="343"/>
      <c r="H32" s="343"/>
      <c r="I32" s="343"/>
      <c r="J32" s="343"/>
      <c r="K32" s="343"/>
      <c r="L32" s="343"/>
      <c r="M32" s="393"/>
      <c r="N32" s="28"/>
    </row>
    <row r="33" spans="1:14" x14ac:dyDescent="0.2">
      <c r="A33" s="25"/>
      <c r="B33" s="11" t="s">
        <v>695</v>
      </c>
      <c r="C33" s="154">
        <f>IF($B33=" ","",IFERROR(INDEX(MMWR_RATING_RO_ROLLUP[],MATCH($B33,MMWR_RATING_RO_ROLLUP[MMWR_RATING_RO_ROLLUP],0),MATCH(C$9,MMWR_RATING_RO_ROLLUP[#Headers],0)),"ERROR"))</f>
        <v>26666</v>
      </c>
      <c r="D33" s="155">
        <f>IF($B33=" ","",IFERROR(INDEX(MMWR_RATING_RO_ROLLUP[],MATCH($B33,MMWR_RATING_RO_ROLLUP[MMWR_RATING_RO_ROLLUP],0),MATCH(D$9,MMWR_RATING_RO_ROLLUP[#Headers],0)),"ERROR"))</f>
        <v>67.8510087752</v>
      </c>
      <c r="E33" s="156">
        <f>IF($B33=" ","",IFERROR(INDEX(MMWR_RATING_RO_ROLLUP[],MATCH($B33,MMWR_RATING_RO_ROLLUP[MMWR_RATING_RO_ROLLUP],0),MATCH(E$9,MMWR_RATING_RO_ROLLUP[#Headers],0))/$C33,"ERROR"))</f>
        <v>0.11970299257481437</v>
      </c>
      <c r="F33" s="154">
        <f>IF($B33=" ","",IFERROR(INDEX(MMWR_RATING_RO_ROLLUP[],MATCH($B33,MMWR_RATING_RO_ROLLUP[MMWR_RATING_RO_ROLLUP],0),MATCH(F$9,MMWR_RATING_RO_ROLLUP[#Headers],0)),"ERROR"))</f>
        <v>3662</v>
      </c>
      <c r="G33" s="154">
        <f>IF($B33=" ","",IFERROR(INDEX(MMWR_RATING_RO_ROLLUP[],MATCH($B33,MMWR_RATING_RO_ROLLUP[MMWR_RATING_RO_ROLLUP],0),MATCH(G$9,MMWR_RATING_RO_ROLLUP[#Headers],0)),"ERROR"))</f>
        <v>125945</v>
      </c>
      <c r="H33" s="155">
        <f>IF($B33=" ","",IFERROR(INDEX(MMWR_RATING_RO_ROLLUP[],MATCH($B33,MMWR_RATING_RO_ROLLUP[MMWR_RATING_RO_ROLLUP],0),MATCH(H$9,MMWR_RATING_RO_ROLLUP[#Headers],0)),"ERROR"))</f>
        <v>85.453031130499994</v>
      </c>
      <c r="I33" s="155">
        <f>IF($B33=" ","",IFERROR(INDEX(MMWR_RATING_RO_ROLLUP[],MATCH($B33,MMWR_RATING_RO_ROLLUP[MMWR_RATING_RO_ROLLUP],0),MATCH(I$9,MMWR_RATING_RO_ROLLUP[#Headers],0)),"ERROR"))</f>
        <v>79.289777283700005</v>
      </c>
      <c r="J33" s="42"/>
      <c r="K33" s="42"/>
      <c r="L33" s="42"/>
      <c r="M33" s="42"/>
      <c r="N33" s="28"/>
    </row>
    <row r="34" spans="1:14" x14ac:dyDescent="0.2">
      <c r="A34" s="25"/>
      <c r="B34" s="12" t="s">
        <v>210</v>
      </c>
      <c r="C34" s="154">
        <f>IF($B34=" ","",IFERROR(INDEX(MMWR_RATING_RO_ROLLUP[],MATCH($B34,MMWR_RATING_RO_ROLLUP[MMWR_RATING_RO_ROLLUP],0),MATCH(C$9,MMWR_RATING_RO_ROLLUP[#Headers],0)),"ERROR"))</f>
        <v>12150</v>
      </c>
      <c r="D34" s="155">
        <f>IF($B34=" ","",IFERROR(INDEX(MMWR_RATING_RO_ROLLUP[],MATCH($B34,MMWR_RATING_RO_ROLLUP[MMWR_RATING_RO_ROLLUP],0),MATCH(D$9,MMWR_RATING_RO_ROLLUP[#Headers],0)),"ERROR"))</f>
        <v>65.483456790100007</v>
      </c>
      <c r="E34" s="156">
        <f>IF($B34=" ","",IFERROR(INDEX(MMWR_RATING_RO_ROLLUP[],MATCH($B34,MMWR_RATING_RO_ROLLUP[MMWR_RATING_RO_ROLLUP],0),MATCH(E$9,MMWR_RATING_RO_ROLLUP[#Headers],0))/$C34,"ERROR"))</f>
        <v>0.12115226337448559</v>
      </c>
      <c r="F34" s="154">
        <f>IF($B34=" ","",IFERROR(INDEX(MMWR_RATING_RO_ROLLUP[],MATCH($B34,MMWR_RATING_RO_ROLLUP[MMWR_RATING_RO_ROLLUP],0),MATCH(F$9,MMWR_RATING_RO_ROLLUP[#Headers],0)),"ERROR"))</f>
        <v>1428</v>
      </c>
      <c r="G34" s="154">
        <f>IF($B34=" ","",IFERROR(INDEX(MMWR_RATING_RO_ROLLUP[],MATCH($B34,MMWR_RATING_RO_ROLLUP[MMWR_RATING_RO_ROLLUP],0),MATCH(G$9,MMWR_RATING_RO_ROLLUP[#Headers],0)),"ERROR"))</f>
        <v>42033</v>
      </c>
      <c r="H34" s="155">
        <f>IF($B34=" ","",IFERROR(INDEX(MMWR_RATING_RO_ROLLUP[],MATCH($B34,MMWR_RATING_RO_ROLLUP[MMWR_RATING_RO_ROLLUP],0),MATCH(H$9,MMWR_RATING_RO_ROLLUP[#Headers],0)),"ERROR"))</f>
        <v>107.7072829132</v>
      </c>
      <c r="I34" s="155">
        <f>IF($B34=" ","",IFERROR(INDEX(MMWR_RATING_RO_ROLLUP[],MATCH($B34,MMWR_RATING_RO_ROLLUP[MMWR_RATING_RO_ROLLUP],0),MATCH(I$9,MMWR_RATING_RO_ROLLUP[#Headers],0)),"ERROR"))</f>
        <v>99.463302643199995</v>
      </c>
      <c r="J34" s="42"/>
      <c r="K34" s="42"/>
      <c r="L34" s="42"/>
      <c r="M34" s="42"/>
      <c r="N34" s="28"/>
    </row>
    <row r="35" spans="1:14" x14ac:dyDescent="0.2">
      <c r="A35" s="43"/>
      <c r="B35" s="12" t="s">
        <v>209</v>
      </c>
      <c r="C35" s="154">
        <f>IF($B35=" ","",IFERROR(INDEX(MMWR_RATING_RO_ROLLUP[],MATCH($B35,MMWR_RATING_RO_ROLLUP[MMWR_RATING_RO_ROLLUP],0),MATCH(C$9,MMWR_RATING_RO_ROLLUP[#Headers],0)),"ERROR"))</f>
        <v>5769</v>
      </c>
      <c r="D35" s="155">
        <f>IF($B35=" ","",IFERROR(INDEX(MMWR_RATING_RO_ROLLUP[],MATCH($B35,MMWR_RATING_RO_ROLLUP[MMWR_RATING_RO_ROLLUP],0),MATCH(D$9,MMWR_RATING_RO_ROLLUP[#Headers],0)),"ERROR"))</f>
        <v>67.856300918700001</v>
      </c>
      <c r="E35" s="156">
        <f>IF($B35=" ","",IFERROR(INDEX(MMWR_RATING_RO_ROLLUP[],MATCH($B35,MMWR_RATING_RO_ROLLUP[MMWR_RATING_RO_ROLLUP],0),MATCH(E$9,MMWR_RATING_RO_ROLLUP[#Headers],0))/$C35,"ERROR"))</f>
        <v>0.12965851967412029</v>
      </c>
      <c r="F35" s="154">
        <f>IF($B35=" ","",IFERROR(INDEX(MMWR_RATING_RO_ROLLUP[],MATCH($B35,MMWR_RATING_RO_ROLLUP[MMWR_RATING_RO_ROLLUP],0),MATCH(F$9,MMWR_RATING_RO_ROLLUP[#Headers],0)),"ERROR"))</f>
        <v>842</v>
      </c>
      <c r="G35" s="154">
        <f>IF($B35=" ","",IFERROR(INDEX(MMWR_RATING_RO_ROLLUP[],MATCH($B35,MMWR_RATING_RO_ROLLUP[MMWR_RATING_RO_ROLLUP],0),MATCH(G$9,MMWR_RATING_RO_ROLLUP[#Headers],0)),"ERROR"))</f>
        <v>35004</v>
      </c>
      <c r="H35" s="155">
        <f>IF($B35=" ","",IFERROR(INDEX(MMWR_RATING_RO_ROLLUP[],MATCH($B35,MMWR_RATING_RO_ROLLUP[MMWR_RATING_RO_ROLLUP],0),MATCH(H$9,MMWR_RATING_RO_ROLLUP[#Headers],0)),"ERROR"))</f>
        <v>68.179334916900004</v>
      </c>
      <c r="I35" s="155">
        <f>IF($B35=" ","",IFERROR(INDEX(MMWR_RATING_RO_ROLLUP[],MATCH($B35,MMWR_RATING_RO_ROLLUP[MMWR_RATING_RO_ROLLUP],0),MATCH(I$9,MMWR_RATING_RO_ROLLUP[#Headers],0)),"ERROR"))</f>
        <v>70.779025254299995</v>
      </c>
      <c r="J35" s="42"/>
      <c r="K35" s="42"/>
      <c r="L35" s="42"/>
      <c r="M35" s="42"/>
      <c r="N35" s="28"/>
    </row>
    <row r="36" spans="1:14" x14ac:dyDescent="0.2">
      <c r="A36" s="25"/>
      <c r="B36" s="12" t="s">
        <v>212</v>
      </c>
      <c r="C36" s="154">
        <f>IF($B36=" ","",IFERROR(INDEX(MMWR_RATING_RO_ROLLUP[],MATCH($B36,MMWR_RATING_RO_ROLLUP[MMWR_RATING_RO_ROLLUP],0),MATCH(C$9,MMWR_RATING_RO_ROLLUP[#Headers],0)),"ERROR"))</f>
        <v>7885</v>
      </c>
      <c r="D36" s="155">
        <f>IF($B36=" ","",IFERROR(INDEX(MMWR_RATING_RO_ROLLUP[],MATCH($B36,MMWR_RATING_RO_ROLLUP[MMWR_RATING_RO_ROLLUP],0),MATCH(D$9,MMWR_RATING_RO_ROLLUP[#Headers],0)),"ERROR"))</f>
        <v>59.051363348099997</v>
      </c>
      <c r="E36" s="156">
        <f>IF($B36=" ","",IFERROR(INDEX(MMWR_RATING_RO_ROLLUP[],MATCH($B36,MMWR_RATING_RO_ROLLUP[MMWR_RATING_RO_ROLLUP],0),MATCH(E$9,MMWR_RATING_RO_ROLLUP[#Headers],0))/$C36,"ERROR"))</f>
        <v>7.1274571972098924E-2</v>
      </c>
      <c r="F36" s="154">
        <f>IF($B36=" ","",IFERROR(INDEX(MMWR_RATING_RO_ROLLUP[],MATCH($B36,MMWR_RATING_RO_ROLLUP[MMWR_RATING_RO_ROLLUP],0),MATCH(F$9,MMWR_RATING_RO_ROLLUP[#Headers],0)),"ERROR"))</f>
        <v>1243</v>
      </c>
      <c r="G36" s="154">
        <f>IF($B36=" ","",IFERROR(INDEX(MMWR_RATING_RO_ROLLUP[],MATCH($B36,MMWR_RATING_RO_ROLLUP[MMWR_RATING_RO_ROLLUP],0),MATCH(G$9,MMWR_RATING_RO_ROLLUP[#Headers],0)),"ERROR"))</f>
        <v>44280</v>
      </c>
      <c r="H36" s="155">
        <f>IF($B36=" ","",IFERROR(INDEX(MMWR_RATING_RO_ROLLUP[],MATCH($B36,MMWR_RATING_RO_ROLLUP[MMWR_RATING_RO_ROLLUP],0),MATCH(H$9,MMWR_RATING_RO_ROLLUP[#Headers],0)),"ERROR"))</f>
        <v>72.3539823009</v>
      </c>
      <c r="I36" s="155">
        <f>IF($B36=" ","",IFERROR(INDEX(MMWR_RATING_RO_ROLLUP[],MATCH($B36,MMWR_RATING_RO_ROLLUP[MMWR_RATING_RO_ROLLUP],0),MATCH(I$9,MMWR_RATING_RO_ROLLUP[#Headers],0)),"ERROR"))</f>
        <v>68.441621499500002</v>
      </c>
      <c r="J36" s="42"/>
      <c r="K36" s="42"/>
      <c r="L36" s="42"/>
      <c r="M36" s="42"/>
      <c r="N36" s="28"/>
    </row>
    <row r="37" spans="1:14" x14ac:dyDescent="0.2">
      <c r="A37" s="25"/>
      <c r="B37" s="13" t="s">
        <v>224</v>
      </c>
      <c r="C37" s="154">
        <f>IF($B37=" ","",IFERROR(INDEX(MMWR_RATING_RO_ROLLUP[],MATCH($B37,MMWR_RATING_RO_ROLLUP[MMWR_RATING_RO_ROLLUP],0),MATCH(C$9,MMWR_RATING_RO_ROLLUP[#Headers],0)),"ERROR"))</f>
        <v>862</v>
      </c>
      <c r="D37" s="155">
        <f>IF($B37=" ","",IFERROR(INDEX(MMWR_RATING_RO_ROLLUP[],MATCH($B37,MMWR_RATING_RO_ROLLUP[MMWR_RATING_RO_ROLLUP],0),MATCH(D$9,MMWR_RATING_RO_ROLLUP[#Headers],0)),"ERROR"))</f>
        <v>181.67981438519999</v>
      </c>
      <c r="E37" s="156">
        <f>IF($B37=" ","",IFERROR(INDEX(MMWR_RATING_RO_ROLLUP[],MATCH($B37,MMWR_RATING_RO_ROLLUP[MMWR_RATING_RO_ROLLUP],0),MATCH(E$9,MMWR_RATING_RO_ROLLUP[#Headers],0))/$C37,"ERROR"))</f>
        <v>0.47563805104408352</v>
      </c>
      <c r="F37" s="154">
        <f>IF($B37=" ","",IFERROR(INDEX(MMWR_RATING_RO_ROLLUP[],MATCH($B37,MMWR_RATING_RO_ROLLUP[MMWR_RATING_RO_ROLLUP],0),MATCH(F$9,MMWR_RATING_RO_ROLLUP[#Headers],0)),"ERROR"))</f>
        <v>149</v>
      </c>
      <c r="G37" s="154">
        <f>IF($B37=" ","",IFERROR(INDEX(MMWR_RATING_RO_ROLLUP[],MATCH($B37,MMWR_RATING_RO_ROLLUP[MMWR_RATING_RO_ROLLUP],0),MATCH(G$9,MMWR_RATING_RO_ROLLUP[#Headers],0)),"ERROR"))</f>
        <v>4628</v>
      </c>
      <c r="H37" s="155">
        <f>IF($B37=" ","",IFERROR(INDEX(MMWR_RATING_RO_ROLLUP[],MATCH($B37,MMWR_RATING_RO_ROLLUP[MMWR_RATING_RO_ROLLUP],0),MATCH(H$9,MMWR_RATING_RO_ROLLUP[#Headers],0)),"ERROR"))</f>
        <v>79.060402684600007</v>
      </c>
      <c r="I37" s="155">
        <f>IF($B37=" ","",IFERROR(INDEX(MMWR_RATING_RO_ROLLUP[],MATCH($B37,MMWR_RATING_RO_ROLLUP[MMWR_RATING_RO_ROLLUP],0),MATCH(I$9,MMWR_RATING_RO_ROLLUP[#Headers],0)),"ERROR"))</f>
        <v>64.232065687100004</v>
      </c>
      <c r="J37" s="42"/>
      <c r="K37" s="42"/>
      <c r="L37" s="42"/>
      <c r="M37" s="42"/>
      <c r="N37" s="28"/>
    </row>
    <row r="38" spans="1:14" x14ac:dyDescent="0.2">
      <c r="A38" s="25"/>
      <c r="B38" s="342" t="s">
        <v>915</v>
      </c>
      <c r="C38" s="343"/>
      <c r="D38" s="343"/>
      <c r="E38" s="343"/>
      <c r="F38" s="343"/>
      <c r="G38" s="343"/>
      <c r="H38" s="343"/>
      <c r="I38" s="343"/>
      <c r="J38" s="343"/>
      <c r="K38" s="343"/>
      <c r="L38" s="343"/>
      <c r="M38" s="393"/>
      <c r="N38" s="28"/>
    </row>
    <row r="39" spans="1:14" x14ac:dyDescent="0.2">
      <c r="A39" s="25"/>
      <c r="B39" s="44" t="s">
        <v>696</v>
      </c>
      <c r="C39" s="154">
        <f>IF($B39=" ","",IFERROR(INDEX(MMWR_RATING_RO_ROLLUP[],MATCH($B39,MMWR_RATING_RO_ROLLUP[MMWR_RATING_RO_ROLLUP],0),MATCH(C$9,MMWR_RATING_RO_ROLLUP[#Headers],0)),"ERROR"))</f>
        <v>8010</v>
      </c>
      <c r="D39" s="155">
        <f>IF($B39=" ","",IFERROR(INDEX(MMWR_RATING_RO_ROLLUP[],MATCH($B39,MMWR_RATING_RO_ROLLUP[MMWR_RATING_RO_ROLLUP],0),MATCH(D$9,MMWR_RATING_RO_ROLLUP[#Headers],0)),"ERROR"))</f>
        <v>65.303495630499995</v>
      </c>
      <c r="E39" s="156">
        <f>IF($B39=" ","",IFERROR(INDEX(MMWR_RATING_RO_ROLLUP[],MATCH($B39,MMWR_RATING_RO_ROLLUP[MMWR_RATING_RO_ROLLUP],0),MATCH(E$9,MMWR_RATING_RO_ROLLUP[#Headers],0))/$C39,"ERROR"))</f>
        <v>0.12534332084893882</v>
      </c>
      <c r="F39" s="154">
        <f>IF($B39=" ","",IFERROR(INDEX(MMWR_RATING_RO_ROLLUP[],MATCH($B39,MMWR_RATING_RO_ROLLUP[MMWR_RATING_RO_ROLLUP],0),MATCH(F$9,MMWR_RATING_RO_ROLLUP[#Headers],0)),"ERROR"))</f>
        <v>403</v>
      </c>
      <c r="G39" s="154">
        <f>IF($B39=" ","",IFERROR(INDEX(MMWR_RATING_RO_ROLLUP[],MATCH($B39,MMWR_RATING_RO_ROLLUP[MMWR_RATING_RO_ROLLUP],0),MATCH(G$9,MMWR_RATING_RO_ROLLUP[#Headers],0)),"ERROR"))</f>
        <v>21758</v>
      </c>
      <c r="H39" s="155">
        <f>IF($B39=" ","",IFERROR(INDEX(MMWR_RATING_RO_ROLLUP[],MATCH($B39,MMWR_RATING_RO_ROLLUP[MMWR_RATING_RO_ROLLUP],0),MATCH(H$9,MMWR_RATING_RO_ROLLUP[#Headers],0)),"ERROR"))</f>
        <v>113.0868486352</v>
      </c>
      <c r="I39" s="155">
        <f>IF($B39=" ","",IFERROR(INDEX(MMWR_RATING_RO_ROLLUP[],MATCH($B39,MMWR_RATING_RO_ROLLUP[MMWR_RATING_RO_ROLLUP],0),MATCH(I$9,MMWR_RATING_RO_ROLLUP[#Headers],0)),"ERROR"))</f>
        <v>137.45284493060001</v>
      </c>
      <c r="J39" s="42"/>
      <c r="K39" s="42"/>
      <c r="L39" s="42"/>
      <c r="M39" s="42"/>
      <c r="N39" s="28"/>
    </row>
    <row r="40" spans="1:14" x14ac:dyDescent="0.2">
      <c r="A40" s="25"/>
      <c r="B40" s="53" t="s">
        <v>955</v>
      </c>
      <c r="C40" s="154">
        <f>IF($B40=" ","",IFERROR(INDEX(MMWR_RATING_RO_ROLLUP[],MATCH($B40,MMWR_RATING_RO_ROLLUP[MMWR_RATING_RO_ROLLUP],0),MATCH(C$9,MMWR_RATING_RO_ROLLUP[#Headers],0)),"ERROR"))</f>
        <v>1415</v>
      </c>
      <c r="D40" s="155">
        <f>IF($B40=" ","",IFERROR(INDEX(MMWR_RATING_RO_ROLLUP[],MATCH($B40,MMWR_RATING_RO_ROLLUP[MMWR_RATING_RO_ROLLUP],0),MATCH(D$9,MMWR_RATING_RO_ROLLUP[#Headers],0)),"ERROR"))</f>
        <v>58.156183745600003</v>
      </c>
      <c r="E40" s="156">
        <f>IF($B40=" ","",IFERROR(INDEX(MMWR_RATING_RO_ROLLUP[],MATCH($B40,MMWR_RATING_RO_ROLLUP[MMWR_RATING_RO_ROLLUP],0),MATCH(E$9,MMWR_RATING_RO_ROLLUP[#Headers],0))/$C40,"ERROR"))</f>
        <v>9.3992932862190806E-2</v>
      </c>
      <c r="F40" s="154">
        <f>IF($B40=" ","",IFERROR(INDEX(MMWR_RATING_RO_ROLLUP[],MATCH($B40,MMWR_RATING_RO_ROLLUP[MMWR_RATING_RO_ROLLUP],0),MATCH(F$9,MMWR_RATING_RO_ROLLUP[#Headers],0)),"ERROR"))</f>
        <v>72</v>
      </c>
      <c r="G40" s="154">
        <f>IF($B40=" ","",IFERROR(INDEX(MMWR_RATING_RO_ROLLUP[],MATCH($B40,MMWR_RATING_RO_ROLLUP[MMWR_RATING_RO_ROLLUP],0),MATCH(G$9,MMWR_RATING_RO_ROLLUP[#Headers],0)),"ERROR"))</f>
        <v>3991</v>
      </c>
      <c r="H40" s="155">
        <f>IF($B40=" ","",IFERROR(INDEX(MMWR_RATING_RO_ROLLUP[],MATCH($B40,MMWR_RATING_RO_ROLLUP[MMWR_RATING_RO_ROLLUP],0),MATCH(H$9,MMWR_RATING_RO_ROLLUP[#Headers],0)),"ERROR"))</f>
        <v>103.2916666667</v>
      </c>
      <c r="I40" s="155">
        <f>IF($B40=" ","",IFERROR(INDEX(MMWR_RATING_RO_ROLLUP[],MATCH($B40,MMWR_RATING_RO_ROLLUP[MMWR_RATING_RO_ROLLUP],0),MATCH(I$9,MMWR_RATING_RO_ROLLUP[#Headers],0)),"ERROR"))</f>
        <v>123.4845903282</v>
      </c>
      <c r="J40" s="42"/>
      <c r="K40" s="42"/>
      <c r="L40" s="42"/>
      <c r="M40" s="42"/>
      <c r="N40" s="28"/>
    </row>
    <row r="41" spans="1:14" x14ac:dyDescent="0.2">
      <c r="A41" s="25"/>
      <c r="B41" s="53" t="s">
        <v>956</v>
      </c>
      <c r="C41" s="154">
        <f>IF($B41=" ","",IFERROR(INDEX(MMWR_RATING_RO_ROLLUP[],MATCH($B41,MMWR_RATING_RO_ROLLUP[MMWR_RATING_RO_ROLLUP],0),MATCH(C$9,MMWR_RATING_RO_ROLLUP[#Headers],0)),"ERROR"))</f>
        <v>1171</v>
      </c>
      <c r="D41" s="155">
        <f>IF($B41=" ","",IFERROR(INDEX(MMWR_RATING_RO_ROLLUP[],MATCH($B41,MMWR_RATING_RO_ROLLUP[MMWR_RATING_RO_ROLLUP],0),MATCH(D$9,MMWR_RATING_RO_ROLLUP[#Headers],0)),"ERROR"))</f>
        <v>64.541417591799998</v>
      </c>
      <c r="E41" s="156">
        <f>IF($B41=" ","",IFERROR(INDEX(MMWR_RATING_RO_ROLLUP[],MATCH($B41,MMWR_RATING_RO_ROLLUP[MMWR_RATING_RO_ROLLUP],0),MATCH(E$9,MMWR_RATING_RO_ROLLUP[#Headers],0))/$C41,"ERROR"))</f>
        <v>0.10845431255337319</v>
      </c>
      <c r="F41" s="154">
        <f>IF($B41=" ","",IFERROR(INDEX(MMWR_RATING_RO_ROLLUP[],MATCH($B41,MMWR_RATING_RO_ROLLUP[MMWR_RATING_RO_ROLLUP],0),MATCH(F$9,MMWR_RATING_RO_ROLLUP[#Headers],0)),"ERROR"))</f>
        <v>58</v>
      </c>
      <c r="G41" s="154">
        <f>IF($B41=" ","",IFERROR(INDEX(MMWR_RATING_RO_ROLLUP[],MATCH($B41,MMWR_RATING_RO_ROLLUP[MMWR_RATING_RO_ROLLUP],0),MATCH(G$9,MMWR_RATING_RO_ROLLUP[#Headers],0)),"ERROR"))</f>
        <v>3434</v>
      </c>
      <c r="H41" s="155">
        <f>IF($B41=" ","",IFERROR(INDEX(MMWR_RATING_RO_ROLLUP[],MATCH($B41,MMWR_RATING_RO_ROLLUP[MMWR_RATING_RO_ROLLUP],0),MATCH(H$9,MMWR_RATING_RO_ROLLUP[#Headers],0)),"ERROR"))</f>
        <v>109.724137931</v>
      </c>
      <c r="I41" s="155">
        <f>IF($B41=" ","",IFERROR(INDEX(MMWR_RATING_RO_ROLLUP[],MATCH($B41,MMWR_RATING_RO_ROLLUP[MMWR_RATING_RO_ROLLUP],0),MATCH(I$9,MMWR_RATING_RO_ROLLUP[#Headers],0)),"ERROR"))</f>
        <v>148.52154921370001</v>
      </c>
      <c r="J41" s="42"/>
      <c r="K41" s="42"/>
      <c r="L41" s="42"/>
      <c r="M41" s="42"/>
      <c r="N41" s="28"/>
    </row>
    <row r="42" spans="1:14" x14ac:dyDescent="0.2">
      <c r="A42" s="25"/>
      <c r="B42" s="46" t="s">
        <v>307</v>
      </c>
      <c r="C42" s="154">
        <f>IF($B42=" ","",IFERROR(INDEX(MMWR_RATING_RO_ROLLUP[],MATCH($B42,MMWR_RATING_RO_ROLLUP[MMWR_RATING_RO_ROLLUP],0),MATCH(C$9,MMWR_RATING_RO_ROLLUP[#Headers],0)),"ERROR"))</f>
        <v>5424</v>
      </c>
      <c r="D42" s="155">
        <f>IF($B42=" ","",IFERROR(INDEX(MMWR_RATING_RO_ROLLUP[],MATCH($B42,MMWR_RATING_RO_ROLLUP[MMWR_RATING_RO_ROLLUP],0),MATCH(D$9,MMWR_RATING_RO_ROLLUP[#Headers],0)),"ERROR"))</f>
        <v>67.332595870199995</v>
      </c>
      <c r="E42" s="156">
        <f>IF($B42=" ","",IFERROR(INDEX(MMWR_RATING_RO_ROLLUP[],MATCH($B42,MMWR_RATING_RO_ROLLUP[MMWR_RATING_RO_ROLLUP],0),MATCH(E$9,MMWR_RATING_RO_ROLLUP[#Headers],0))/$C42,"ERROR"))</f>
        <v>0.13716814159292035</v>
      </c>
      <c r="F42" s="154">
        <f>IF($B42=" ","",IFERROR(INDEX(MMWR_RATING_RO_ROLLUP[],MATCH($B42,MMWR_RATING_RO_ROLLUP[MMWR_RATING_RO_ROLLUP],0),MATCH(F$9,MMWR_RATING_RO_ROLLUP[#Headers],0)),"ERROR"))</f>
        <v>273</v>
      </c>
      <c r="G42" s="154">
        <f>IF($B42=" ","",IFERROR(INDEX(MMWR_RATING_RO_ROLLUP[],MATCH($B42,MMWR_RATING_RO_ROLLUP[MMWR_RATING_RO_ROLLUP],0),MATCH(G$9,MMWR_RATING_RO_ROLLUP[#Headers],0)),"ERROR"))</f>
        <v>14333</v>
      </c>
      <c r="H42" s="155">
        <f>IF($B42=" ","",IFERROR(INDEX(MMWR_RATING_RO_ROLLUP[],MATCH($B42,MMWR_RATING_RO_ROLLUP[MMWR_RATING_RO_ROLLUP],0),MATCH(H$9,MMWR_RATING_RO_ROLLUP[#Headers],0)),"ERROR"))</f>
        <v>116.3846153846</v>
      </c>
      <c r="I42" s="155">
        <f>IF($B42=" ","",IFERROR(INDEX(MMWR_RATING_RO_ROLLUP[],MATCH($B42,MMWR_RATING_RO_ROLLUP[MMWR_RATING_RO_ROLLUP],0),MATCH(I$9,MMWR_RATING_RO_ROLLUP[#Headers],0)),"ERROR"))</f>
        <v>138.69036489219999</v>
      </c>
      <c r="J42" s="42"/>
      <c r="K42" s="42"/>
      <c r="L42" s="42"/>
      <c r="M42" s="42"/>
      <c r="N42" s="28"/>
    </row>
    <row r="43" spans="1:14" x14ac:dyDescent="0.2">
      <c r="A43" s="25"/>
      <c r="B43" s="342" t="s">
        <v>733</v>
      </c>
      <c r="C43" s="343"/>
      <c r="D43" s="343"/>
      <c r="E43" s="343"/>
      <c r="F43" s="343"/>
      <c r="G43" s="343"/>
      <c r="H43" s="343"/>
      <c r="I43" s="343"/>
      <c r="J43" s="343"/>
      <c r="K43" s="343"/>
      <c r="L43" s="343"/>
      <c r="M43" s="393"/>
      <c r="N43" s="28"/>
    </row>
    <row r="44" spans="1:14" x14ac:dyDescent="0.2">
      <c r="A44" s="25"/>
      <c r="B44" s="44" t="s">
        <v>694</v>
      </c>
      <c r="C44" s="154">
        <f>IF($B44=" ","",IFERROR(INDEX(MMWR_RATING_RO_ROLLUP[],MATCH($B44,MMWR_RATING_RO_ROLLUP[MMWR_RATING_RO_ROLLUP],0),MATCH(C$9,MMWR_RATING_RO_ROLLUP[#Headers],0)),"ERROR"))</f>
        <v>9094</v>
      </c>
      <c r="D44" s="155">
        <f>IF($B44=" ","",IFERROR(INDEX(MMWR_RATING_RO_ROLLUP[],MATCH($B44,MMWR_RATING_RO_ROLLUP[MMWR_RATING_RO_ROLLUP],0),MATCH(D$9,MMWR_RATING_RO_ROLLUP[#Headers],0)),"ERROR"))</f>
        <v>57.927094787800002</v>
      </c>
      <c r="E44" s="156">
        <f>IF($B44=" ","",IFERROR(INDEX(MMWR_RATING_RO_ROLLUP[],MATCH($B44,MMWR_RATING_RO_ROLLUP[MMWR_RATING_RO_ROLLUP],0),MATCH(E$9,MMWR_RATING_RO_ROLLUP[#Headers],0))/$C44,"ERROR"))</f>
        <v>0.10897294919727293</v>
      </c>
      <c r="F44" s="154">
        <f>IF($B44=" ","",IFERROR(INDEX(MMWR_RATING_RO_ROLLUP[],MATCH($B44,MMWR_RATING_RO_ROLLUP[MMWR_RATING_RO_ROLLUP],0),MATCH(F$9,MMWR_RATING_RO_ROLLUP[#Headers],0)),"ERROR"))</f>
        <v>398</v>
      </c>
      <c r="G44" s="154">
        <f>IF($B44=" ","",IFERROR(INDEX(MMWR_RATING_RO_ROLLUP[],MATCH($B44,MMWR_RATING_RO_ROLLUP[MMWR_RATING_RO_ROLLUP],0),MATCH(G$9,MMWR_RATING_RO_ROLLUP[#Headers],0)),"ERROR"))</f>
        <v>24674</v>
      </c>
      <c r="H44" s="155">
        <f>IF($B44=" ","",IFERROR(INDEX(MMWR_RATING_RO_ROLLUP[],MATCH($B44,MMWR_RATING_RO_ROLLUP[MMWR_RATING_RO_ROLLUP],0),MATCH(H$9,MMWR_RATING_RO_ROLLUP[#Headers],0)),"ERROR"))</f>
        <v>102.1457286432</v>
      </c>
      <c r="I44" s="155">
        <f>IF($B44=" ","",IFERROR(INDEX(MMWR_RATING_RO_ROLLUP[],MATCH($B44,MMWR_RATING_RO_ROLLUP[MMWR_RATING_RO_ROLLUP],0),MATCH(I$9,MMWR_RATING_RO_ROLLUP[#Headers],0)),"ERROR"))</f>
        <v>130.6547783092</v>
      </c>
      <c r="J44" s="42"/>
      <c r="K44" s="42"/>
      <c r="L44" s="42"/>
      <c r="M44" s="42"/>
      <c r="N44" s="28"/>
    </row>
    <row r="45" spans="1:14" x14ac:dyDescent="0.2">
      <c r="A45" s="25"/>
      <c r="B45" s="45" t="s">
        <v>211</v>
      </c>
      <c r="C45" s="154">
        <f>IF($B45=" ","",IFERROR(INDEX(MMWR_RATING_RO_ROLLUP[],MATCH($B45,MMWR_RATING_RO_ROLLUP[MMWR_RATING_RO_ROLLUP],0),MATCH(C$9,MMWR_RATING_RO_ROLLUP[#Headers],0)),"ERROR"))</f>
        <v>63</v>
      </c>
      <c r="D45" s="155">
        <f>IF($B45=" ","",IFERROR(INDEX(MMWR_RATING_RO_ROLLUP[],MATCH($B45,MMWR_RATING_RO_ROLLUP[MMWR_RATING_RO_ROLLUP],0),MATCH(D$9,MMWR_RATING_RO_ROLLUP[#Headers],0)),"ERROR"))</f>
        <v>56.714285714299997</v>
      </c>
      <c r="E45" s="156">
        <f>IF($B45=" ","",IFERROR(INDEX(MMWR_RATING_RO_ROLLUP[],MATCH($B45,MMWR_RATING_RO_ROLLUP[MMWR_RATING_RO_ROLLUP],0),MATCH(E$9,MMWR_RATING_RO_ROLLUP[#Headers],0))/$C45,"ERROR"))</f>
        <v>0.1111111111111111</v>
      </c>
      <c r="F45" s="154">
        <f>IF($B45=" ","",IFERROR(INDEX(MMWR_RATING_RO_ROLLUP[],MATCH($B45,MMWR_RATING_RO_ROLLUP[MMWR_RATING_RO_ROLLUP],0),MATCH(F$9,MMWR_RATING_RO_ROLLUP[#Headers],0)),"ERROR"))</f>
        <v>4</v>
      </c>
      <c r="G45" s="154">
        <f>IF($B45=" ","",IFERROR(INDEX(MMWR_RATING_RO_ROLLUP[],MATCH($B45,MMWR_RATING_RO_ROLLUP[MMWR_RATING_RO_ROLLUP],0),MATCH(G$9,MMWR_RATING_RO_ROLLUP[#Headers],0)),"ERROR"))</f>
        <v>189</v>
      </c>
      <c r="H45" s="155">
        <f>IF($B45=" ","",IFERROR(INDEX(MMWR_RATING_RO_ROLLUP[],MATCH($B45,MMWR_RATING_RO_ROLLUP[MMWR_RATING_RO_ROLLUP],0),MATCH(H$9,MMWR_RATING_RO_ROLLUP[#Headers],0)),"ERROR"))</f>
        <v>72.5</v>
      </c>
      <c r="I45" s="155">
        <f>IF($B45=" ","",IFERROR(INDEX(MMWR_RATING_RO_ROLLUP[],MATCH($B45,MMWR_RATING_RO_ROLLUP[MMWR_RATING_RO_ROLLUP],0),MATCH(I$9,MMWR_RATING_RO_ROLLUP[#Headers],0)),"ERROR"))</f>
        <v>128.39153439149999</v>
      </c>
      <c r="J45" s="42"/>
      <c r="K45" s="42"/>
      <c r="L45" s="42"/>
      <c r="M45" s="42"/>
      <c r="N45" s="28"/>
    </row>
    <row r="46" spans="1:14" x14ac:dyDescent="0.2">
      <c r="A46" s="25"/>
      <c r="B46" s="45" t="s">
        <v>213</v>
      </c>
      <c r="C46" s="154">
        <f>IF($B46=" ","",IFERROR(INDEX(MMWR_RATING_RO_ROLLUP[],MATCH($B46,MMWR_RATING_RO_ROLLUP[MMWR_RATING_RO_ROLLUP],0),MATCH(C$9,MMWR_RATING_RO_ROLLUP[#Headers],0)),"ERROR"))</f>
        <v>1144</v>
      </c>
      <c r="D46" s="155">
        <f>IF($B46=" ","",IFERROR(INDEX(MMWR_RATING_RO_ROLLUP[],MATCH($B46,MMWR_RATING_RO_ROLLUP[MMWR_RATING_RO_ROLLUP],0),MATCH(D$9,MMWR_RATING_RO_ROLLUP[#Headers],0)),"ERROR"))</f>
        <v>55.176573426600001</v>
      </c>
      <c r="E46" s="156">
        <f>IF($B46=" ","",IFERROR(INDEX(MMWR_RATING_RO_ROLLUP[],MATCH($B46,MMWR_RATING_RO_ROLLUP[MMWR_RATING_RO_ROLLUP],0),MATCH(E$9,MMWR_RATING_RO_ROLLUP[#Headers],0))/$C46,"ERROR"))</f>
        <v>9.7027972027972031E-2</v>
      </c>
      <c r="F46" s="154">
        <f>IF($B46=" ","",IFERROR(INDEX(MMWR_RATING_RO_ROLLUP[],MATCH($B46,MMWR_RATING_RO_ROLLUP[MMWR_RATING_RO_ROLLUP],0),MATCH(F$9,MMWR_RATING_RO_ROLLUP[#Headers],0)),"ERROR"))</f>
        <v>64</v>
      </c>
      <c r="G46" s="154">
        <f>IF($B46=" ","",IFERROR(INDEX(MMWR_RATING_RO_ROLLUP[],MATCH($B46,MMWR_RATING_RO_ROLLUP[MMWR_RATING_RO_ROLLUP],0),MATCH(G$9,MMWR_RATING_RO_ROLLUP[#Headers],0)),"ERROR"))</f>
        <v>3905</v>
      </c>
      <c r="H46" s="155">
        <f>IF($B46=" ","",IFERROR(INDEX(MMWR_RATING_RO_ROLLUP[],MATCH($B46,MMWR_RATING_RO_ROLLUP[MMWR_RATING_RO_ROLLUP],0),MATCH(H$9,MMWR_RATING_RO_ROLLUP[#Headers],0)),"ERROR"))</f>
        <v>93.609375</v>
      </c>
      <c r="I46" s="155">
        <f>IF($B46=" ","",IFERROR(INDEX(MMWR_RATING_RO_ROLLUP[],MATCH($B46,MMWR_RATING_RO_ROLLUP[MMWR_RATING_RO_ROLLUP],0),MATCH(I$9,MMWR_RATING_RO_ROLLUP[#Headers],0)),"ERROR"))</f>
        <v>141.4504481434</v>
      </c>
      <c r="J46" s="42"/>
      <c r="K46" s="42"/>
      <c r="L46" s="42"/>
      <c r="M46" s="42"/>
      <c r="N46" s="28"/>
    </row>
    <row r="47" spans="1:14" x14ac:dyDescent="0.2">
      <c r="A47" s="25"/>
      <c r="B47" s="47" t="s">
        <v>308</v>
      </c>
      <c r="C47" s="154">
        <f>IF($B47=" ","",IFERROR(INDEX(MMWR_RATING_RO_ROLLUP[],MATCH($B47,MMWR_RATING_RO_ROLLUP[MMWR_RATING_RO_ROLLUP],0),MATCH(C$9,MMWR_RATING_RO_ROLLUP[#Headers],0)),"ERROR"))</f>
        <v>7887</v>
      </c>
      <c r="D47" s="155">
        <f>IF($B47=" ","",IFERROR(INDEX(MMWR_RATING_RO_ROLLUP[],MATCH($B47,MMWR_RATING_RO_ROLLUP[MMWR_RATING_RO_ROLLUP],0),MATCH(D$9,MMWR_RATING_RO_ROLLUP[#Headers],0)),"ERROR"))</f>
        <v>58.335742360799998</v>
      </c>
      <c r="E47" s="156">
        <f>IF($B47=" ","",IFERROR(INDEX(MMWR_RATING_RO_ROLLUP[],MATCH($B47,MMWR_RATING_RO_ROLLUP[MMWR_RATING_RO_ROLLUP],0),MATCH(E$9,MMWR_RATING_RO_ROLLUP[#Headers],0))/$C47,"ERROR"))</f>
        <v>0.11068847470521111</v>
      </c>
      <c r="F47" s="154">
        <f>IF($B47=" ","",IFERROR(INDEX(MMWR_RATING_RO_ROLLUP[],MATCH($B47,MMWR_RATING_RO_ROLLUP[MMWR_RATING_RO_ROLLUP],0),MATCH(F$9,MMWR_RATING_RO_ROLLUP[#Headers],0)),"ERROR"))</f>
        <v>330</v>
      </c>
      <c r="G47" s="154">
        <f>IF($B47=" ","",IFERROR(INDEX(MMWR_RATING_RO_ROLLUP[],MATCH($B47,MMWR_RATING_RO_ROLLUP[MMWR_RATING_RO_ROLLUP],0),MATCH(G$9,MMWR_RATING_RO_ROLLUP[#Headers],0)),"ERROR"))</f>
        <v>20580</v>
      </c>
      <c r="H47" s="155">
        <f>IF($B47=" ","",IFERROR(INDEX(MMWR_RATING_RO_ROLLUP[],MATCH($B47,MMWR_RATING_RO_ROLLUP[MMWR_RATING_RO_ROLLUP],0),MATCH(H$9,MMWR_RATING_RO_ROLLUP[#Headers],0)),"ERROR"))</f>
        <v>104.1606060606</v>
      </c>
      <c r="I47" s="155">
        <f>IF($B47=" ","",IFERROR(INDEX(MMWR_RATING_RO_ROLLUP[],MATCH($B47,MMWR_RATING_RO_ROLLUP[MMWR_RATING_RO_ROLLUP],0),MATCH(I$9,MMWR_RATING_RO_ROLLUP[#Headers],0)),"ERROR"))</f>
        <v>128.62711370260001</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6" t="s">
        <v>976</v>
      </c>
      <c r="D2" s="357"/>
      <c r="E2" s="357"/>
      <c r="F2" s="357"/>
      <c r="G2" s="357"/>
      <c r="H2" s="357"/>
      <c r="I2" s="357"/>
      <c r="J2" s="356" t="s">
        <v>300</v>
      </c>
      <c r="K2" s="357"/>
      <c r="L2" s="357"/>
      <c r="M2" s="358"/>
      <c r="N2" s="28"/>
    </row>
    <row r="3" spans="1:15" ht="24" customHeight="1" thickBot="1" x14ac:dyDescent="0.4">
      <c r="A3" s="25"/>
      <c r="B3" s="29"/>
      <c r="C3" s="359"/>
      <c r="D3" s="360"/>
      <c r="E3" s="360"/>
      <c r="F3" s="360"/>
      <c r="G3" s="360"/>
      <c r="H3" s="360"/>
      <c r="I3" s="360"/>
      <c r="J3" s="359" t="str">
        <f>Transformation!B4</f>
        <v>As of: August 06, 2016</v>
      </c>
      <c r="K3" s="360"/>
      <c r="L3" s="360"/>
      <c r="M3" s="361"/>
      <c r="N3" s="28"/>
    </row>
    <row r="4" spans="1:15" ht="51.75" customHeight="1" thickBot="1" x14ac:dyDescent="0.35">
      <c r="A4" s="30"/>
      <c r="B4" s="246" t="s">
        <v>454</v>
      </c>
      <c r="C4" s="362" t="s">
        <v>430</v>
      </c>
      <c r="D4" s="363"/>
      <c r="E4" s="363"/>
      <c r="F4" s="363"/>
      <c r="G4" s="363"/>
      <c r="H4" s="363"/>
      <c r="I4" s="363"/>
      <c r="J4" s="363"/>
      <c r="K4" s="363"/>
      <c r="L4" s="363"/>
      <c r="M4" s="364"/>
      <c r="N4" s="28"/>
    </row>
    <row r="5" spans="1:15" ht="27" customHeight="1" thickBot="1" x14ac:dyDescent="0.25">
      <c r="A5" s="30"/>
      <c r="B5" s="245" t="s">
        <v>368</v>
      </c>
      <c r="C5" s="365" t="s">
        <v>1040</v>
      </c>
      <c r="D5" s="366"/>
      <c r="E5" s="366"/>
      <c r="F5" s="366"/>
      <c r="G5" s="366"/>
      <c r="H5" s="366"/>
      <c r="I5" s="366"/>
      <c r="J5" s="366"/>
      <c r="K5" s="366"/>
      <c r="L5" s="366"/>
      <c r="M5" s="366"/>
      <c r="N5" s="366"/>
      <c r="O5" s="367"/>
    </row>
    <row r="6" spans="1:15" ht="55.5" customHeight="1" x14ac:dyDescent="0.2">
      <c r="A6" s="30"/>
      <c r="B6" s="31"/>
      <c r="C6" s="32" t="s">
        <v>190</v>
      </c>
      <c r="D6" s="368" t="s">
        <v>16</v>
      </c>
      <c r="E6" s="369"/>
      <c r="F6" s="33" t="s">
        <v>193</v>
      </c>
      <c r="G6" s="368" t="s">
        <v>198</v>
      </c>
      <c r="H6" s="370"/>
      <c r="I6" s="33" t="s">
        <v>196</v>
      </c>
      <c r="J6" s="49" t="s">
        <v>14</v>
      </c>
      <c r="K6" s="33" t="s">
        <v>201</v>
      </c>
      <c r="L6" s="374" t="s">
        <v>85</v>
      </c>
      <c r="M6" s="387"/>
      <c r="N6" s="28"/>
    </row>
    <row r="7" spans="1:15" ht="51.75" customHeight="1" x14ac:dyDescent="0.2">
      <c r="A7" s="30"/>
      <c r="B7" s="34"/>
      <c r="C7" s="35" t="s">
        <v>191</v>
      </c>
      <c r="D7" s="344" t="s">
        <v>0</v>
      </c>
      <c r="E7" s="345"/>
      <c r="F7" s="36" t="s">
        <v>194</v>
      </c>
      <c r="G7" s="346" t="s">
        <v>199</v>
      </c>
      <c r="H7" s="346"/>
      <c r="I7" s="36" t="s">
        <v>197</v>
      </c>
      <c r="J7" s="50" t="s">
        <v>19</v>
      </c>
      <c r="K7" s="36" t="s">
        <v>202</v>
      </c>
      <c r="L7" s="388" t="s">
        <v>87</v>
      </c>
      <c r="M7" s="389"/>
      <c r="N7" s="28"/>
    </row>
    <row r="8" spans="1:15" ht="51.75" customHeight="1" thickBot="1" x14ac:dyDescent="0.25">
      <c r="A8" s="25"/>
      <c r="B8" s="28"/>
      <c r="C8" s="37" t="s">
        <v>192</v>
      </c>
      <c r="D8" s="347" t="s">
        <v>18</v>
      </c>
      <c r="E8" s="348"/>
      <c r="F8" s="38" t="s">
        <v>195</v>
      </c>
      <c r="G8" s="349" t="s">
        <v>17</v>
      </c>
      <c r="H8" s="349"/>
      <c r="I8" s="38" t="s">
        <v>200</v>
      </c>
      <c r="J8" s="51" t="s">
        <v>84</v>
      </c>
      <c r="K8" s="38" t="s">
        <v>203</v>
      </c>
      <c r="L8" s="390" t="s">
        <v>86</v>
      </c>
      <c r="M8" s="391"/>
      <c r="N8" s="28"/>
    </row>
    <row r="9" spans="1:15" x14ac:dyDescent="0.2">
      <c r="A9" s="28"/>
      <c r="B9" s="39"/>
      <c r="C9" s="39" t="s">
        <v>713</v>
      </c>
      <c r="D9" s="39" t="s">
        <v>715</v>
      </c>
      <c r="E9" s="39" t="s">
        <v>714</v>
      </c>
      <c r="F9" s="39" t="s">
        <v>717</v>
      </c>
      <c r="G9" s="39" t="s">
        <v>716</v>
      </c>
      <c r="H9" s="39" t="s">
        <v>719</v>
      </c>
      <c r="I9" s="39" t="s">
        <v>718</v>
      </c>
      <c r="J9" s="39"/>
      <c r="K9" s="39"/>
      <c r="L9" s="39"/>
      <c r="M9" s="39"/>
      <c r="N9" s="39"/>
    </row>
    <row r="10" spans="1:15" ht="15.75" customHeight="1" x14ac:dyDescent="0.2">
      <c r="A10" s="25"/>
      <c r="B10" s="26"/>
      <c r="C10" s="350" t="s">
        <v>293</v>
      </c>
      <c r="D10" s="350"/>
      <c r="E10" s="350"/>
      <c r="F10" s="350"/>
      <c r="G10" s="350"/>
      <c r="H10" s="350"/>
      <c r="I10" s="350"/>
      <c r="J10" s="350"/>
      <c r="K10" s="350"/>
      <c r="L10" s="350"/>
      <c r="M10" s="392"/>
      <c r="N10" s="28"/>
    </row>
    <row r="11" spans="1:15" ht="63.75" customHeight="1" x14ac:dyDescent="0.2">
      <c r="A11" s="25"/>
      <c r="B11" s="26"/>
      <c r="C11" s="52" t="s">
        <v>226</v>
      </c>
      <c r="D11" s="52" t="s">
        <v>134</v>
      </c>
      <c r="E11" s="52" t="s">
        <v>227</v>
      </c>
      <c r="F11" s="52" t="s">
        <v>189</v>
      </c>
      <c r="G11" s="52" t="s">
        <v>204</v>
      </c>
      <c r="H11" s="52" t="s">
        <v>206</v>
      </c>
      <c r="I11" s="52" t="s">
        <v>207</v>
      </c>
      <c r="J11" s="394" t="s">
        <v>971</v>
      </c>
      <c r="K11" s="395"/>
      <c r="L11" s="395"/>
      <c r="M11" s="396"/>
      <c r="N11" s="28"/>
    </row>
    <row r="12" spans="1:15" x14ac:dyDescent="0.2">
      <c r="A12" s="25"/>
      <c r="B12" s="41" t="s">
        <v>728</v>
      </c>
      <c r="C12" s="154">
        <f>IF($B12=" ","",IFERROR(INDEX(MMWR_RATING_STATE_ROLLUP_VSC[],MATCH($B12,MMWR_RATING_STATE_ROLLUP_VSC[MMWR_RATING_STATE_ROLLUP_VSC],0),MATCH(C$9,MMWR_RATING_STATE_ROLLUP_VSC[#Headers],0)),"ERROR"))</f>
        <v>380286</v>
      </c>
      <c r="D12" s="155">
        <f>IF($B12=" ","",IFERROR(INDEX(MMWR_RATING_STATE_ROLLUP_VSC[],MATCH($B12,MMWR_RATING_STATE_ROLLUP_VSC[MMWR_RATING_STATE_ROLLUP_VSC],0),MATCH(D$9,MMWR_RATING_STATE_ROLLUP_VSC[#Headers],0)),"ERROR"))</f>
        <v>87.801959577800005</v>
      </c>
      <c r="E12" s="157">
        <f>IF($B12=" ","",IFERROR(INDEX(MMWR_RATING_STATE_ROLLUP_VSC[],MATCH($B12,MMWR_RATING_STATE_ROLLUP_VSC[MMWR_RATING_STATE_ROLLUP_VSC],0),MATCH(E$9,MMWR_RATING_STATE_ROLLUP_VSC[#Headers],0))/$C12,"ERROR"))</f>
        <v>0.20501149135124616</v>
      </c>
      <c r="F12" s="154">
        <f>IF($B12=" ","",IFERROR(INDEX(MMWR_RATING_STATE_ROLLUP_VSC[],MATCH($B12,MMWR_RATING_STATE_ROLLUP_VSC[MMWR_RATING_STATE_ROLLUP_VSC],0),MATCH(F$9,MMWR_RATING_STATE_ROLLUP_VSC[#Headers],0)),"ERROR"))</f>
        <v>26021</v>
      </c>
      <c r="G12" s="154">
        <f>IF($B12=" ","",IFERROR(INDEX(MMWR_RATING_STATE_ROLLUP_VSC[],MATCH($B12,MMWR_RATING_STATE_ROLLUP_VSC[MMWR_RATING_STATE_ROLLUP_VSC],0),MATCH(G$9,MMWR_RATING_STATE_ROLLUP_VSC[#Headers],0)),"ERROR"))</f>
        <v>1071637</v>
      </c>
      <c r="H12" s="155">
        <f>IF($B12=" ","",IFERROR(INDEX(MMWR_RATING_STATE_ROLLUP_VSC[],MATCH($B12,MMWR_RATING_STATE_ROLLUP_VSC[MMWR_RATING_STATE_ROLLUP_VSC],0),MATCH(H$9,MMWR_RATING_STATE_ROLLUP_VSC[#Headers],0)),"ERROR"))</f>
        <v>121.4122055263</v>
      </c>
      <c r="I12" s="155">
        <f>IF($B12=" ","",IFERROR(INDEX(MMWR_RATING_STATE_ROLLUP_VSC[],MATCH($B12,MMWR_RATING_STATE_ROLLUP_VSC[MMWR_RATING_STATE_ROLLUP_VSC],0),MATCH(I$9,MMWR_RATING_STATE_ROLLUP_VSC[#Headers],0)),"ERROR"))</f>
        <v>123.1194266342</v>
      </c>
      <c r="J12" s="42"/>
      <c r="K12" s="42"/>
      <c r="L12" s="42"/>
      <c r="M12" s="42"/>
      <c r="N12" s="28"/>
    </row>
    <row r="13" spans="1:15" x14ac:dyDescent="0.2">
      <c r="A13" s="25"/>
      <c r="B13" s="342" t="s">
        <v>957</v>
      </c>
      <c r="C13" s="343"/>
      <c r="D13" s="343"/>
      <c r="E13" s="343"/>
      <c r="F13" s="343"/>
      <c r="G13" s="343"/>
      <c r="H13" s="343"/>
      <c r="I13" s="343"/>
      <c r="J13" s="343"/>
      <c r="K13" s="343"/>
      <c r="L13" s="343"/>
      <c r="M13" s="393"/>
      <c r="N13" s="28"/>
    </row>
    <row r="14" spans="1:15" x14ac:dyDescent="0.2">
      <c r="A14" s="25"/>
      <c r="B14" s="41" t="s">
        <v>1034</v>
      </c>
      <c r="C14" s="154">
        <f>IF($B14=" ","",IFERROR(INDEX(MMWR_RATING_STATE_ROLLUP_VSC[],MATCH($B14,MMWR_RATING_STATE_ROLLUP_VSC[MMWR_RATING_STATE_ROLLUP_VSC],0),MATCH(C$9,MMWR_RATING_STATE_ROLLUP_VSC[#Headers],0)),"ERROR"))</f>
        <v>336517</v>
      </c>
      <c r="D14" s="155">
        <f>IF($B14=" ","",IFERROR(INDEX(MMWR_RATING_STATE_ROLLUP_VSC[],MATCH($B14,MMWR_RATING_STATE_ROLLUP_VSC[MMWR_RATING_STATE_ROLLUP_VSC],0),MATCH(D$9,MMWR_RATING_STATE_ROLLUP_VSC[#Headers],0)),"ERROR"))</f>
        <v>90.727086595900005</v>
      </c>
      <c r="E14" s="156">
        <f>IF($B14=" ","",IFERROR(INDEX(MMWR_RATING_STATE_ROLLUP_VSC[],MATCH($B14,MMWR_RATING_STATE_ROLLUP_VSC[MMWR_RATING_STATE_ROLLUP_VSC],0),MATCH(E$9,MMWR_RATING_STATE_ROLLUP_VSC[#Headers],0))/$C14,"ERROR"))</f>
        <v>0.21626544869947134</v>
      </c>
      <c r="F14" s="154">
        <f>IF($B14=" ","",IFERROR(INDEX(MMWR_RATING_STATE_ROLLUP_VSC[],MATCH($B14,MMWR_RATING_STATE_ROLLUP_VSC[MMWR_RATING_STATE_ROLLUP_VSC],0),MATCH(F$9,MMWR_RATING_STATE_ROLLUP_VSC[#Headers],0)),"ERROR"))</f>
        <v>21558</v>
      </c>
      <c r="G14" s="154">
        <f>IF($B14=" ","",IFERROR(INDEX(MMWR_RATING_STATE_ROLLUP_VSC[],MATCH($B14,MMWR_RATING_STATE_ROLLUP_VSC[MMWR_RATING_STATE_ROLLUP_VSC],0),MATCH(G$9,MMWR_RATING_STATE_ROLLUP_VSC[#Headers],0)),"ERROR"))</f>
        <v>899260</v>
      </c>
      <c r="H14" s="155">
        <f>IF($B14=" ","",IFERROR(INDEX(MMWR_RATING_STATE_ROLLUP_VSC[],MATCH($B14,MMWR_RATING_STATE_ROLLUP_VSC[MMWR_RATING_STATE_ROLLUP_VSC],0),MATCH(H$9,MMWR_RATING_STATE_ROLLUP_VSC[#Headers],0)),"ERROR"))</f>
        <v>128.03182113369999</v>
      </c>
      <c r="I14" s="155">
        <f>IF($B14=" ","",IFERROR(INDEX(MMWR_RATING_STATE_ROLLUP_VSC[],MATCH($B14,MMWR_RATING_STATE_ROLLUP_VSC[MMWR_RATING_STATE_ROLLUP_VSC],0),MATCH(I$9,MMWR_RATING_STATE_ROLLUP_VSC[#Headers],0)),"ERROR"))</f>
        <v>128.70438694040001</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71799</v>
      </c>
      <c r="D15" s="155">
        <f>IF($B15=" ","",IFERROR(INDEX(MMWR_RATING_STATE_ROLLUP_VSC[],MATCH($B15,MMWR_RATING_STATE_ROLLUP_VSC[MMWR_RATING_STATE_ROLLUP_VSC],0),MATCH(D$9,MMWR_RATING_STATE_ROLLUP_VSC[#Headers],0)),"ERROR"))</f>
        <v>93.709954177599997</v>
      </c>
      <c r="E15" s="156">
        <f>IF($B15=" ","",IFERROR(INDEX(MMWR_RATING_STATE_ROLLUP_VSC[],MATCH($B15,MMWR_RATING_STATE_ROLLUP_VSC[MMWR_RATING_STATE_ROLLUP_VSC],0),MATCH(E$9,MMWR_RATING_STATE_ROLLUP_VSC[#Headers],0))/$C15,"ERROR"))</f>
        <v>0.22638198303597543</v>
      </c>
      <c r="F15" s="154">
        <f>IF($B15=" ","",IFERROR(INDEX(MMWR_RATING_STATE_ROLLUP_VSC[],MATCH($B15,MMWR_RATING_STATE_ROLLUP_VSC[MMWR_RATING_STATE_ROLLUP_VSC],0),MATCH(F$9,MMWR_RATING_STATE_ROLLUP_VSC[#Headers],0)),"ERROR"))</f>
        <v>4478</v>
      </c>
      <c r="G15" s="154">
        <f>IF($B15=" ","",IFERROR(INDEX(MMWR_RATING_STATE_ROLLUP_VSC[],MATCH($B15,MMWR_RATING_STATE_ROLLUP_VSC[MMWR_RATING_STATE_ROLLUP_VSC],0),MATCH(G$9,MMWR_RATING_STATE_ROLLUP_VSC[#Headers],0)),"ERROR"))</f>
        <v>189593</v>
      </c>
      <c r="H15" s="155">
        <f>IF($B15=" ","",IFERROR(INDEX(MMWR_RATING_STATE_ROLLUP_VSC[],MATCH($B15,MMWR_RATING_STATE_ROLLUP_VSC[MMWR_RATING_STATE_ROLLUP_VSC],0),MATCH(H$9,MMWR_RATING_STATE_ROLLUP_VSC[#Headers],0)),"ERROR"))</f>
        <v>130.47498883430001</v>
      </c>
      <c r="I15" s="155">
        <f>IF($B15=" ","",IFERROR(INDEX(MMWR_RATING_STATE_ROLLUP_VSC[],MATCH($B15,MMWR_RATING_STATE_ROLLUP_VSC[MMWR_RATING_STATE_ROLLUP_VSC],0),MATCH(I$9,MMWR_RATING_STATE_ROLLUP_VSC[#Headers],0)),"ERROR"))</f>
        <v>131.43062243860001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1900</v>
      </c>
      <c r="D16" s="155">
        <f>IF($B16=" ","",IFERROR(INDEX(MMWR_RATING_STATE_ROLLUP_VSC[],MATCH($B16,MMWR_RATING_STATE_ROLLUP_VSC[MMWR_RATING_STATE_ROLLUP_VSC],0),MATCH(D$9,MMWR_RATING_STATE_ROLLUP_VSC[#Headers],0)),"ERROR"))</f>
        <v>80.06</v>
      </c>
      <c r="E16" s="156">
        <f>IF($B16=" ","",IFERROR(INDEX(MMWR_RATING_STATE_ROLLUP_VSC[],MATCH($B16,MMWR_RATING_STATE_ROLLUP_VSC[MMWR_RATING_STATE_ROLLUP_VSC],0),MATCH(E$9,MMWR_RATING_STATE_ROLLUP_VSC[#Headers],0))/$C16,"ERROR"))</f>
        <v>0.15789473684210525</v>
      </c>
      <c r="F16" s="154">
        <f>IF($B16=" ","",IFERROR(INDEX(MMWR_RATING_STATE_ROLLUP_VSC[],MATCH($B16,MMWR_RATING_STATE_ROLLUP_VSC[MMWR_RATING_STATE_ROLLUP_VSC],0),MATCH(F$9,MMWR_RATING_STATE_ROLLUP_VSC[#Headers],0)),"ERROR"))</f>
        <v>154</v>
      </c>
      <c r="G16" s="154">
        <f>IF($B16=" ","",IFERROR(INDEX(MMWR_RATING_STATE_ROLLUP_VSC[],MATCH($B16,MMWR_RATING_STATE_ROLLUP_VSC[MMWR_RATING_STATE_ROLLUP_VSC],0),MATCH(G$9,MMWR_RATING_STATE_ROLLUP_VSC[#Headers],0)),"ERROR"))</f>
        <v>5712</v>
      </c>
      <c r="H16" s="155">
        <f>IF($B16=" ","",IFERROR(INDEX(MMWR_RATING_STATE_ROLLUP_VSC[],MATCH($B16,MMWR_RATING_STATE_ROLLUP_VSC[MMWR_RATING_STATE_ROLLUP_VSC],0),MATCH(H$9,MMWR_RATING_STATE_ROLLUP_VSC[#Headers],0)),"ERROR"))</f>
        <v>110.88961038959999</v>
      </c>
      <c r="I16" s="155">
        <f>IF($B16=" ","",IFERROR(INDEX(MMWR_RATING_STATE_ROLLUP_VSC[],MATCH($B16,MMWR_RATING_STATE_ROLLUP_VSC[MMWR_RATING_STATE_ROLLUP_VSC],0),MATCH(I$9,MMWR_RATING_STATE_ROLLUP_VSC[#Headers],0)),"ERROR"))</f>
        <v>112.8291316527</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1004</v>
      </c>
      <c r="D17" s="155">
        <f>IF($B17=" ","",IFERROR(INDEX(MMWR_RATING_STATE_ROLLUP_VSC[],MATCH($B17,MMWR_RATING_STATE_ROLLUP_VSC[MMWR_RATING_STATE_ROLLUP_VSC],0),MATCH(D$9,MMWR_RATING_STATE_ROLLUP_VSC[#Headers],0)),"ERROR"))</f>
        <v>99.048804780899999</v>
      </c>
      <c r="E17" s="156">
        <f>IF($B17=" ","",IFERROR(INDEX(MMWR_RATING_STATE_ROLLUP_VSC[],MATCH($B17,MMWR_RATING_STATE_ROLLUP_VSC[MMWR_RATING_STATE_ROLLUP_VSC],0),MATCH(E$9,MMWR_RATING_STATE_ROLLUP_VSC[#Headers],0))/$C17,"ERROR"))</f>
        <v>0.23007968127490039</v>
      </c>
      <c r="F17" s="154">
        <f>IF($B17=" ","",IFERROR(INDEX(MMWR_RATING_STATE_ROLLUP_VSC[],MATCH($B17,MMWR_RATING_STATE_ROLLUP_VSC[MMWR_RATING_STATE_ROLLUP_VSC],0),MATCH(F$9,MMWR_RATING_STATE_ROLLUP_VSC[#Headers],0)),"ERROR"))</f>
        <v>65</v>
      </c>
      <c r="G17" s="154">
        <f>IF($B17=" ","",IFERROR(INDEX(MMWR_RATING_STATE_ROLLUP_VSC[],MATCH($B17,MMWR_RATING_STATE_ROLLUP_VSC[MMWR_RATING_STATE_ROLLUP_VSC],0),MATCH(G$9,MMWR_RATING_STATE_ROLLUP_VSC[#Headers],0)),"ERROR"))</f>
        <v>2520</v>
      </c>
      <c r="H17" s="155">
        <f>IF($B17=" ","",IFERROR(INDEX(MMWR_RATING_STATE_ROLLUP_VSC[],MATCH($B17,MMWR_RATING_STATE_ROLLUP_VSC[MMWR_RATING_STATE_ROLLUP_VSC],0),MATCH(H$9,MMWR_RATING_STATE_ROLLUP_VSC[#Headers],0)),"ERROR"))</f>
        <v>141.96923076920001</v>
      </c>
      <c r="I17" s="155">
        <f>IF($B17=" ","",IFERROR(INDEX(MMWR_RATING_STATE_ROLLUP_VSC[],MATCH($B17,MMWR_RATING_STATE_ROLLUP_VSC[MMWR_RATING_STATE_ROLLUP_VSC],0),MATCH(I$9,MMWR_RATING_STATE_ROLLUP_VSC[#Headers],0)),"ERROR"))</f>
        <v>136.9857142857</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439</v>
      </c>
      <c r="D18" s="155">
        <f>IF($B18=" ","",IFERROR(INDEX(MMWR_RATING_STATE_ROLLUP_VSC[],MATCH($B18,MMWR_RATING_STATE_ROLLUP_VSC[MMWR_RATING_STATE_ROLLUP_VSC],0),MATCH(D$9,MMWR_RATING_STATE_ROLLUP_VSC[#Headers],0)),"ERROR"))</f>
        <v>93.154897494300002</v>
      </c>
      <c r="E18" s="156">
        <f>IF($B18=" ","",IFERROR(INDEX(MMWR_RATING_STATE_ROLLUP_VSC[],MATCH($B18,MMWR_RATING_STATE_ROLLUP_VSC[MMWR_RATING_STATE_ROLLUP_VSC],0),MATCH(E$9,MMWR_RATING_STATE_ROLLUP_VSC[#Headers],0))/$C18,"ERROR"))</f>
        <v>0.21867881548974943</v>
      </c>
      <c r="F18" s="154">
        <f>IF($B18=" ","",IFERROR(INDEX(MMWR_RATING_STATE_ROLLUP_VSC[],MATCH($B18,MMWR_RATING_STATE_ROLLUP_VSC[MMWR_RATING_STATE_ROLLUP_VSC],0),MATCH(F$9,MMWR_RATING_STATE_ROLLUP_VSC[#Headers],0)),"ERROR"))</f>
        <v>31</v>
      </c>
      <c r="G18" s="154">
        <f>IF($B18=" ","",IFERROR(INDEX(MMWR_RATING_STATE_ROLLUP_VSC[],MATCH($B18,MMWR_RATING_STATE_ROLLUP_VSC[MMWR_RATING_STATE_ROLLUP_VSC],0),MATCH(G$9,MMWR_RATING_STATE_ROLLUP_VSC[#Headers],0)),"ERROR"))</f>
        <v>1151</v>
      </c>
      <c r="H18" s="155">
        <f>IF($B18=" ","",IFERROR(INDEX(MMWR_RATING_STATE_ROLLUP_VSC[],MATCH($B18,MMWR_RATING_STATE_ROLLUP_VSC[MMWR_RATING_STATE_ROLLUP_VSC],0),MATCH(H$9,MMWR_RATING_STATE_ROLLUP_VSC[#Headers],0)),"ERROR"))</f>
        <v>173.80645161289999</v>
      </c>
      <c r="I18" s="155">
        <f>IF($B18=" ","",IFERROR(INDEX(MMWR_RATING_STATE_ROLLUP_VSC[],MATCH($B18,MMWR_RATING_STATE_ROLLUP_VSC[MMWR_RATING_STATE_ROLLUP_VSC],0),MATCH(I$9,MMWR_RATING_STATE_ROLLUP_VSC[#Headers],0)),"ERROR"))</f>
        <v>142.0104257168</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1189</v>
      </c>
      <c r="D19" s="155">
        <f>IF($B19=" ","",IFERROR(INDEX(MMWR_RATING_STATE_ROLLUP_VSC[],MATCH($B19,MMWR_RATING_STATE_ROLLUP_VSC[MMWR_RATING_STATE_ROLLUP_VSC],0),MATCH(D$9,MMWR_RATING_STATE_ROLLUP_VSC[#Headers],0)),"ERROR"))</f>
        <v>74.091673675400003</v>
      </c>
      <c r="E19" s="156">
        <f>IF($B19=" ","",IFERROR(INDEX(MMWR_RATING_STATE_ROLLUP_VSC[],MATCH($B19,MMWR_RATING_STATE_ROLLUP_VSC[MMWR_RATING_STATE_ROLLUP_VSC],0),MATCH(E$9,MMWR_RATING_STATE_ROLLUP_VSC[#Headers],0))/$C19,"ERROR"))</f>
        <v>0.14045416316232129</v>
      </c>
      <c r="F19" s="154">
        <f>IF($B19=" ","",IFERROR(INDEX(MMWR_RATING_STATE_ROLLUP_VSC[],MATCH($B19,MMWR_RATING_STATE_ROLLUP_VSC[MMWR_RATING_STATE_ROLLUP_VSC],0),MATCH(F$9,MMWR_RATING_STATE_ROLLUP_VSC[#Headers],0)),"ERROR"))</f>
        <v>116</v>
      </c>
      <c r="G19" s="154">
        <f>IF($B19=" ","",IFERROR(INDEX(MMWR_RATING_STATE_ROLLUP_VSC[],MATCH($B19,MMWR_RATING_STATE_ROLLUP_VSC[MMWR_RATING_STATE_ROLLUP_VSC],0),MATCH(G$9,MMWR_RATING_STATE_ROLLUP_VSC[#Headers],0)),"ERROR"))</f>
        <v>4504</v>
      </c>
      <c r="H19" s="155">
        <f>IF($B19=" ","",IFERROR(INDEX(MMWR_RATING_STATE_ROLLUP_VSC[],MATCH($B19,MMWR_RATING_STATE_ROLLUP_VSC[MMWR_RATING_STATE_ROLLUP_VSC],0),MATCH(H$9,MMWR_RATING_STATE_ROLLUP_VSC[#Headers],0)),"ERROR"))</f>
        <v>103.2068965517</v>
      </c>
      <c r="I19" s="155">
        <f>IF($B19=" ","",IFERROR(INDEX(MMWR_RATING_STATE_ROLLUP_VSC[],MATCH($B19,MMWR_RATING_STATE_ROLLUP_VSC[MMWR_RATING_STATE_ROLLUP_VSC],0),MATCH(I$9,MMWR_RATING_STATE_ROLLUP_VSC[#Headers],0)),"ERROR"))</f>
        <v>102.9045293073</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6070</v>
      </c>
      <c r="D20" s="155">
        <f>IF($B20=" ","",IFERROR(INDEX(MMWR_RATING_STATE_ROLLUP_VSC[],MATCH($B20,MMWR_RATING_STATE_ROLLUP_VSC[MMWR_RATING_STATE_ROLLUP_VSC],0),MATCH(D$9,MMWR_RATING_STATE_ROLLUP_VSC[#Headers],0)),"ERROR"))</f>
        <v>97.210543657299993</v>
      </c>
      <c r="E20" s="156">
        <f>IF($B20=" ","",IFERROR(INDEX(MMWR_RATING_STATE_ROLLUP_VSC[],MATCH($B20,MMWR_RATING_STATE_ROLLUP_VSC[MMWR_RATING_STATE_ROLLUP_VSC],0),MATCH(E$9,MMWR_RATING_STATE_ROLLUP_VSC[#Headers],0))/$C20,"ERROR"))</f>
        <v>0.23245469522240528</v>
      </c>
      <c r="F20" s="154">
        <f>IF($B20=" ","",IFERROR(INDEX(MMWR_RATING_STATE_ROLLUP_VSC[],MATCH($B20,MMWR_RATING_STATE_ROLLUP_VSC[MMWR_RATING_STATE_ROLLUP_VSC],0),MATCH(F$9,MMWR_RATING_STATE_ROLLUP_VSC[#Headers],0)),"ERROR"))</f>
        <v>398</v>
      </c>
      <c r="G20" s="154">
        <f>IF($B20=" ","",IFERROR(INDEX(MMWR_RATING_STATE_ROLLUP_VSC[],MATCH($B20,MMWR_RATING_STATE_ROLLUP_VSC[MMWR_RATING_STATE_ROLLUP_VSC],0),MATCH(G$9,MMWR_RATING_STATE_ROLLUP_VSC[#Headers],0)),"ERROR"))</f>
        <v>15306</v>
      </c>
      <c r="H20" s="155">
        <f>IF($B20=" ","",IFERROR(INDEX(MMWR_RATING_STATE_ROLLUP_VSC[],MATCH($B20,MMWR_RATING_STATE_ROLLUP_VSC[MMWR_RATING_STATE_ROLLUP_VSC],0),MATCH(H$9,MMWR_RATING_STATE_ROLLUP_VSC[#Headers],0)),"ERROR"))</f>
        <v>129.93718592959999</v>
      </c>
      <c r="I20" s="155">
        <f>IF($B20=" ","",IFERROR(INDEX(MMWR_RATING_STATE_ROLLUP_VSC[],MATCH($B20,MMWR_RATING_STATE_ROLLUP_VSC[MMWR_RATING_STATE_ROLLUP_VSC],0),MATCH(I$9,MMWR_RATING_STATE_ROLLUP_VSC[#Headers],0)),"ERROR"))</f>
        <v>136.58878871030001</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4427</v>
      </c>
      <c r="D21" s="155">
        <f>IF($B21=" ","",IFERROR(INDEX(MMWR_RATING_STATE_ROLLUP_VSC[],MATCH($B21,MMWR_RATING_STATE_ROLLUP_VSC[MMWR_RATING_STATE_ROLLUP_VSC],0),MATCH(D$9,MMWR_RATING_STATE_ROLLUP_VSC[#Headers],0)),"ERROR"))</f>
        <v>86.250056471700006</v>
      </c>
      <c r="E21" s="156">
        <f>IF($B21=" ","",IFERROR(INDEX(MMWR_RATING_STATE_ROLLUP_VSC[],MATCH($B21,MMWR_RATING_STATE_ROLLUP_VSC[MMWR_RATING_STATE_ROLLUP_VSC],0),MATCH(E$9,MMWR_RATING_STATE_ROLLUP_VSC[#Headers],0))/$C21,"ERROR"))</f>
        <v>0.19561779986446803</v>
      </c>
      <c r="F21" s="154">
        <f>IF($B21=" ","",IFERROR(INDEX(MMWR_RATING_STATE_ROLLUP_VSC[],MATCH($B21,MMWR_RATING_STATE_ROLLUP_VSC[MMWR_RATING_STATE_ROLLUP_VSC],0),MATCH(F$9,MMWR_RATING_STATE_ROLLUP_VSC[#Headers],0)),"ERROR"))</f>
        <v>233</v>
      </c>
      <c r="G21" s="154">
        <f>IF($B21=" ","",IFERROR(INDEX(MMWR_RATING_STATE_ROLLUP_VSC[],MATCH($B21,MMWR_RATING_STATE_ROLLUP_VSC[MMWR_RATING_STATE_ROLLUP_VSC],0),MATCH(G$9,MMWR_RATING_STATE_ROLLUP_VSC[#Headers],0)),"ERROR"))</f>
        <v>11945</v>
      </c>
      <c r="H21" s="155">
        <f>IF($B21=" ","",IFERROR(INDEX(MMWR_RATING_STATE_ROLLUP_VSC[],MATCH($B21,MMWR_RATING_STATE_ROLLUP_VSC[MMWR_RATING_STATE_ROLLUP_VSC],0),MATCH(H$9,MMWR_RATING_STATE_ROLLUP_VSC[#Headers],0)),"ERROR"))</f>
        <v>109.4763948498</v>
      </c>
      <c r="I21" s="155">
        <f>IF($B21=" ","",IFERROR(INDEX(MMWR_RATING_STATE_ROLLUP_VSC[],MATCH($B21,MMWR_RATING_STATE_ROLLUP_VSC[MMWR_RATING_STATE_ROLLUP_VSC],0),MATCH(I$9,MMWR_RATING_STATE_ROLLUP_VSC[#Headers],0)),"ERROR"))</f>
        <v>126.37329426540001</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1362</v>
      </c>
      <c r="D22" s="155">
        <f>IF($B22=" ","",IFERROR(INDEX(MMWR_RATING_STATE_ROLLUP_VSC[],MATCH($B22,MMWR_RATING_STATE_ROLLUP_VSC[MMWR_RATING_STATE_ROLLUP_VSC],0),MATCH(D$9,MMWR_RATING_STATE_ROLLUP_VSC[#Headers],0)),"ERROR"))</f>
        <v>75.809838472799996</v>
      </c>
      <c r="E22" s="156">
        <f>IF($B22=" ","",IFERROR(INDEX(MMWR_RATING_STATE_ROLLUP_VSC[],MATCH($B22,MMWR_RATING_STATE_ROLLUP_VSC[MMWR_RATING_STATE_ROLLUP_VSC],0),MATCH(E$9,MMWR_RATING_STATE_ROLLUP_VSC[#Headers],0))/$C22,"ERROR"))</f>
        <v>0.14977973568281938</v>
      </c>
      <c r="F22" s="154">
        <f>IF($B22=" ","",IFERROR(INDEX(MMWR_RATING_STATE_ROLLUP_VSC[],MATCH($B22,MMWR_RATING_STATE_ROLLUP_VSC[MMWR_RATING_STATE_ROLLUP_VSC],0),MATCH(F$9,MMWR_RATING_STATE_ROLLUP_VSC[#Headers],0)),"ERROR"))</f>
        <v>62</v>
      </c>
      <c r="G22" s="154">
        <f>IF($B22=" ","",IFERROR(INDEX(MMWR_RATING_STATE_ROLLUP_VSC[],MATCH($B22,MMWR_RATING_STATE_ROLLUP_VSC[MMWR_RATING_STATE_ROLLUP_VSC],0),MATCH(G$9,MMWR_RATING_STATE_ROLLUP_VSC[#Headers],0)),"ERROR"))</f>
        <v>3579</v>
      </c>
      <c r="H22" s="155">
        <f>IF($B22=" ","",IFERROR(INDEX(MMWR_RATING_STATE_ROLLUP_VSC[],MATCH($B22,MMWR_RATING_STATE_ROLLUP_VSC[MMWR_RATING_STATE_ROLLUP_VSC],0),MATCH(H$9,MMWR_RATING_STATE_ROLLUP_VSC[#Headers],0)),"ERROR"))</f>
        <v>121.6612903226</v>
      </c>
      <c r="I22" s="155">
        <f>IF($B22=" ","",IFERROR(INDEX(MMWR_RATING_STATE_ROLLUP_VSC[],MATCH($B22,MMWR_RATING_STATE_ROLLUP_VSC[MMWR_RATING_STATE_ROLLUP_VSC],0),MATCH(I$9,MMWR_RATING_STATE_ROLLUP_VSC[#Headers],0)),"ERROR"))</f>
        <v>125.7974294496</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4430</v>
      </c>
      <c r="D23" s="155">
        <f>IF($B23=" ","",IFERROR(INDEX(MMWR_RATING_STATE_ROLLUP_VSC[],MATCH($B23,MMWR_RATING_STATE_ROLLUP_VSC[MMWR_RATING_STATE_ROLLUP_VSC],0),MATCH(D$9,MMWR_RATING_STATE_ROLLUP_VSC[#Headers],0)),"ERROR"))</f>
        <v>105.3963882619</v>
      </c>
      <c r="E23" s="156">
        <f>IF($B23=" ","",IFERROR(INDEX(MMWR_RATING_STATE_ROLLUP_VSC[],MATCH($B23,MMWR_RATING_STATE_ROLLUP_VSC[MMWR_RATING_STATE_ROLLUP_VSC],0),MATCH(E$9,MMWR_RATING_STATE_ROLLUP_VSC[#Headers],0))/$C23,"ERROR"))</f>
        <v>0.27584650112866815</v>
      </c>
      <c r="F23" s="154">
        <f>IF($B23=" ","",IFERROR(INDEX(MMWR_RATING_STATE_ROLLUP_VSC[],MATCH($B23,MMWR_RATING_STATE_ROLLUP_VSC[MMWR_RATING_STATE_ROLLUP_VSC],0),MATCH(F$9,MMWR_RATING_STATE_ROLLUP_VSC[#Headers],0)),"ERROR"))</f>
        <v>225</v>
      </c>
      <c r="G23" s="154">
        <f>IF($B23=" ","",IFERROR(INDEX(MMWR_RATING_STATE_ROLLUP_VSC[],MATCH($B23,MMWR_RATING_STATE_ROLLUP_VSC[MMWR_RATING_STATE_ROLLUP_VSC],0),MATCH(G$9,MMWR_RATING_STATE_ROLLUP_VSC[#Headers],0)),"ERROR"))</f>
        <v>10406</v>
      </c>
      <c r="H23" s="155">
        <f>IF($B23=" ","",IFERROR(INDEX(MMWR_RATING_STATE_ROLLUP_VSC[],MATCH($B23,MMWR_RATING_STATE_ROLLUP_VSC[MMWR_RATING_STATE_ROLLUP_VSC],0),MATCH(H$9,MMWR_RATING_STATE_ROLLUP_VSC[#Headers],0)),"ERROR"))</f>
        <v>170.18222222220001</v>
      </c>
      <c r="I23" s="155">
        <f>IF($B23=" ","",IFERROR(INDEX(MMWR_RATING_STATE_ROLLUP_VSC[],MATCH($B23,MMWR_RATING_STATE_ROLLUP_VSC[MMWR_RATING_STATE_ROLLUP_VSC],0),MATCH(I$9,MMWR_RATING_STATE_ROLLUP_VSC[#Headers],0)),"ERROR"))</f>
        <v>139.1579857774</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9033</v>
      </c>
      <c r="D24" s="155">
        <f>IF($B24=" ","",IFERROR(INDEX(MMWR_RATING_STATE_ROLLUP_VSC[],MATCH($B24,MMWR_RATING_STATE_ROLLUP_VSC[MMWR_RATING_STATE_ROLLUP_VSC],0),MATCH(D$9,MMWR_RATING_STATE_ROLLUP_VSC[#Headers],0)),"ERROR"))</f>
        <v>97.677294365099996</v>
      </c>
      <c r="E24" s="156">
        <f>IF($B24=" ","",IFERROR(INDEX(MMWR_RATING_STATE_ROLLUP_VSC[],MATCH($B24,MMWR_RATING_STATE_ROLLUP_VSC[MMWR_RATING_STATE_ROLLUP_VSC],0),MATCH(E$9,MMWR_RATING_STATE_ROLLUP_VSC[#Headers],0))/$C24,"ERROR"))</f>
        <v>0.24000885641536587</v>
      </c>
      <c r="F24" s="154">
        <f>IF($B24=" ","",IFERROR(INDEX(MMWR_RATING_STATE_ROLLUP_VSC[],MATCH($B24,MMWR_RATING_STATE_ROLLUP_VSC[MMWR_RATING_STATE_ROLLUP_VSC],0),MATCH(F$9,MMWR_RATING_STATE_ROLLUP_VSC[#Headers],0)),"ERROR"))</f>
        <v>596</v>
      </c>
      <c r="G24" s="154">
        <f>IF($B24=" ","",IFERROR(INDEX(MMWR_RATING_STATE_ROLLUP_VSC[],MATCH($B24,MMWR_RATING_STATE_ROLLUP_VSC[MMWR_RATING_STATE_ROLLUP_VSC],0),MATCH(G$9,MMWR_RATING_STATE_ROLLUP_VSC[#Headers],0)),"ERROR"))</f>
        <v>23972</v>
      </c>
      <c r="H24" s="155">
        <f>IF($B24=" ","",IFERROR(INDEX(MMWR_RATING_STATE_ROLLUP_VSC[],MATCH($B24,MMWR_RATING_STATE_ROLLUP_VSC[MMWR_RATING_STATE_ROLLUP_VSC],0),MATCH(H$9,MMWR_RATING_STATE_ROLLUP_VSC[#Headers],0)),"ERROR"))</f>
        <v>125.5100671141</v>
      </c>
      <c r="I24" s="155">
        <f>IF($B24=" ","",IFERROR(INDEX(MMWR_RATING_STATE_ROLLUP_VSC[],MATCH($B24,MMWR_RATING_STATE_ROLLUP_VSC[MMWR_RATING_STATE_ROLLUP_VSC],0),MATCH(I$9,MMWR_RATING_STATE_ROLLUP_VSC[#Headers],0)),"ERROR"))</f>
        <v>129.5877273486</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17276</v>
      </c>
      <c r="D25" s="155">
        <f>IF($B25=" ","",IFERROR(INDEX(MMWR_RATING_STATE_ROLLUP_VSC[],MATCH($B25,MMWR_RATING_STATE_ROLLUP_VSC[MMWR_RATING_STATE_ROLLUP_VSC],0),MATCH(D$9,MMWR_RATING_STATE_ROLLUP_VSC[#Headers],0)),"ERROR"))</f>
        <v>91.017133595700003</v>
      </c>
      <c r="E25" s="156">
        <f>IF($B25=" ","",IFERROR(INDEX(MMWR_RATING_STATE_ROLLUP_VSC[],MATCH($B25,MMWR_RATING_STATE_ROLLUP_VSC[MMWR_RATING_STATE_ROLLUP_VSC],0),MATCH(E$9,MMWR_RATING_STATE_ROLLUP_VSC[#Headers],0))/$C25,"ERROR"))</f>
        <v>0.23037740217642974</v>
      </c>
      <c r="F25" s="154">
        <f>IF($B25=" ","",IFERROR(INDEX(MMWR_RATING_STATE_ROLLUP_VSC[],MATCH($B25,MMWR_RATING_STATE_ROLLUP_VSC[MMWR_RATING_STATE_ROLLUP_VSC],0),MATCH(F$9,MMWR_RATING_STATE_ROLLUP_VSC[#Headers],0)),"ERROR"))</f>
        <v>1089</v>
      </c>
      <c r="G25" s="154">
        <f>IF($B25=" ","",IFERROR(INDEX(MMWR_RATING_STATE_ROLLUP_VSC[],MATCH($B25,MMWR_RATING_STATE_ROLLUP_VSC[MMWR_RATING_STATE_ROLLUP_VSC],0),MATCH(G$9,MMWR_RATING_STATE_ROLLUP_VSC[#Headers],0)),"ERROR"))</f>
        <v>43510</v>
      </c>
      <c r="H25" s="155">
        <f>IF($B25=" ","",IFERROR(INDEX(MMWR_RATING_STATE_ROLLUP_VSC[],MATCH($B25,MMWR_RATING_STATE_ROLLUP_VSC[MMWR_RATING_STATE_ROLLUP_VSC],0),MATCH(H$9,MMWR_RATING_STATE_ROLLUP_VSC[#Headers],0)),"ERROR"))</f>
        <v>124.7401285583</v>
      </c>
      <c r="I25" s="155">
        <f>IF($B25=" ","",IFERROR(INDEX(MMWR_RATING_STATE_ROLLUP_VSC[],MATCH($B25,MMWR_RATING_STATE_ROLLUP_VSC[MMWR_RATING_STATE_ROLLUP_VSC],0),MATCH(I$9,MMWR_RATING_STATE_ROLLUP_VSC[#Headers],0)),"ERROR"))</f>
        <v>135.4893587681</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9579</v>
      </c>
      <c r="D26" s="155">
        <f>IF($B26=" ","",IFERROR(INDEX(MMWR_RATING_STATE_ROLLUP_VSC[],MATCH($B26,MMWR_RATING_STATE_ROLLUP_VSC[MMWR_RATING_STATE_ROLLUP_VSC],0),MATCH(D$9,MMWR_RATING_STATE_ROLLUP_VSC[#Headers],0)),"ERROR"))</f>
        <v>113.2281031423</v>
      </c>
      <c r="E26" s="156">
        <f>IF($B26=" ","",IFERROR(INDEX(MMWR_RATING_STATE_ROLLUP_VSC[],MATCH($B26,MMWR_RATING_STATE_ROLLUP_VSC[MMWR_RATING_STATE_ROLLUP_VSC],0),MATCH(E$9,MMWR_RATING_STATE_ROLLUP_VSC[#Headers],0))/$C26,"ERROR"))</f>
        <v>0.30055329366322164</v>
      </c>
      <c r="F26" s="154">
        <f>IF($B26=" ","",IFERROR(INDEX(MMWR_RATING_STATE_ROLLUP_VSC[],MATCH($B26,MMWR_RATING_STATE_ROLLUP_VSC[MMWR_RATING_STATE_ROLLUP_VSC],0),MATCH(F$9,MMWR_RATING_STATE_ROLLUP_VSC[#Headers],0)),"ERROR"))</f>
        <v>535</v>
      </c>
      <c r="G26" s="154">
        <f>IF($B26=" ","",IFERROR(INDEX(MMWR_RATING_STATE_ROLLUP_VSC[],MATCH($B26,MMWR_RATING_STATE_ROLLUP_VSC[MMWR_RATING_STATE_ROLLUP_VSC],0),MATCH(G$9,MMWR_RATING_STATE_ROLLUP_VSC[#Headers],0)),"ERROR"))</f>
        <v>24208</v>
      </c>
      <c r="H26" s="155">
        <f>IF($B26=" ","",IFERROR(INDEX(MMWR_RATING_STATE_ROLLUP_VSC[],MATCH($B26,MMWR_RATING_STATE_ROLLUP_VSC[MMWR_RATING_STATE_ROLLUP_VSC],0),MATCH(H$9,MMWR_RATING_STATE_ROLLUP_VSC[#Headers],0)),"ERROR"))</f>
        <v>152.96448598129999</v>
      </c>
      <c r="I26" s="155">
        <f>IF($B26=" ","",IFERROR(INDEX(MMWR_RATING_STATE_ROLLUP_VSC[],MATCH($B26,MMWR_RATING_STATE_ROLLUP_VSC[MMWR_RATING_STATE_ROLLUP_VSC],0),MATCH(I$9,MMWR_RATING_STATE_ROLLUP_VSC[#Headers],0)),"ERROR"))</f>
        <v>140.70563450099999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905</v>
      </c>
      <c r="D27" s="155">
        <f>IF($B27=" ","",IFERROR(INDEX(MMWR_RATING_STATE_ROLLUP_VSC[],MATCH($B27,MMWR_RATING_STATE_ROLLUP_VSC[MMWR_RATING_STATE_ROLLUP_VSC],0),MATCH(D$9,MMWR_RATING_STATE_ROLLUP_VSC[#Headers],0)),"ERROR"))</f>
        <v>87.180110497200005</v>
      </c>
      <c r="E27" s="156">
        <f>IF($B27=" ","",IFERROR(INDEX(MMWR_RATING_STATE_ROLLUP_VSC[],MATCH($B27,MMWR_RATING_STATE_ROLLUP_VSC[MMWR_RATING_STATE_ROLLUP_VSC],0),MATCH(E$9,MMWR_RATING_STATE_ROLLUP_VSC[#Headers],0))/$C27,"ERROR"))</f>
        <v>0.18453038674033148</v>
      </c>
      <c r="F27" s="154">
        <f>IF($B27=" ","",IFERROR(INDEX(MMWR_RATING_STATE_ROLLUP_VSC[],MATCH($B27,MMWR_RATING_STATE_ROLLUP_VSC[MMWR_RATING_STATE_ROLLUP_VSC],0),MATCH(F$9,MMWR_RATING_STATE_ROLLUP_VSC[#Headers],0)),"ERROR"))</f>
        <v>55</v>
      </c>
      <c r="G27" s="154">
        <f>IF($B27=" ","",IFERROR(INDEX(MMWR_RATING_STATE_ROLLUP_VSC[],MATCH($B27,MMWR_RATING_STATE_ROLLUP_VSC[MMWR_RATING_STATE_ROLLUP_VSC],0),MATCH(G$9,MMWR_RATING_STATE_ROLLUP_VSC[#Headers],0)),"ERROR"))</f>
        <v>2834</v>
      </c>
      <c r="H27" s="155">
        <f>IF($B27=" ","",IFERROR(INDEX(MMWR_RATING_STATE_ROLLUP_VSC[],MATCH($B27,MMWR_RATING_STATE_ROLLUP_VSC[MMWR_RATING_STATE_ROLLUP_VSC],0),MATCH(H$9,MMWR_RATING_STATE_ROLLUP_VSC[#Headers],0)),"ERROR"))</f>
        <v>104.8727272727</v>
      </c>
      <c r="I27" s="155">
        <f>IF($B27=" ","",IFERROR(INDEX(MMWR_RATING_STATE_ROLLUP_VSC[],MATCH($B27,MMWR_RATING_STATE_ROLLUP_VSC[MMWR_RATING_STATE_ROLLUP_VSC],0),MATCH(I$9,MMWR_RATING_STATE_ROLLUP_VSC[#Headers],0)),"ERROR"))</f>
        <v>106.7364149612</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523</v>
      </c>
      <c r="D28" s="155">
        <f>IF($B28=" ","",IFERROR(INDEX(MMWR_RATING_STATE_ROLLUP_VSC[],MATCH($B28,MMWR_RATING_STATE_ROLLUP_VSC[MMWR_RATING_STATE_ROLLUP_VSC],0),MATCH(D$9,MMWR_RATING_STATE_ROLLUP_VSC[#Headers],0)),"ERROR"))</f>
        <v>92.820267686400001</v>
      </c>
      <c r="E28" s="156">
        <f>IF($B28=" ","",IFERROR(INDEX(MMWR_RATING_STATE_ROLLUP_VSC[],MATCH($B28,MMWR_RATING_STATE_ROLLUP_VSC[MMWR_RATING_STATE_ROLLUP_VSC],0),MATCH(E$9,MMWR_RATING_STATE_ROLLUP_VSC[#Headers],0))/$C28,"ERROR"))</f>
        <v>0.23709369024856597</v>
      </c>
      <c r="F28" s="154">
        <f>IF($B28=" ","",IFERROR(INDEX(MMWR_RATING_STATE_ROLLUP_VSC[],MATCH($B28,MMWR_RATING_STATE_ROLLUP_VSC[MMWR_RATING_STATE_ROLLUP_VSC],0),MATCH(F$9,MMWR_RATING_STATE_ROLLUP_VSC[#Headers],0)),"ERROR"))</f>
        <v>25</v>
      </c>
      <c r="G28" s="154">
        <f>IF($B28=" ","",IFERROR(INDEX(MMWR_RATING_STATE_ROLLUP_VSC[],MATCH($B28,MMWR_RATING_STATE_ROLLUP_VSC[MMWR_RATING_STATE_ROLLUP_VSC],0),MATCH(G$9,MMWR_RATING_STATE_ROLLUP_VSC[#Headers],0)),"ERROR"))</f>
        <v>1279</v>
      </c>
      <c r="H28" s="155">
        <f>IF($B28=" ","",IFERROR(INDEX(MMWR_RATING_STATE_ROLLUP_VSC[],MATCH($B28,MMWR_RATING_STATE_ROLLUP_VSC[MMWR_RATING_STATE_ROLLUP_VSC],0),MATCH(H$9,MMWR_RATING_STATE_ROLLUP_VSC[#Headers],0)),"ERROR"))</f>
        <v>188.6</v>
      </c>
      <c r="I28" s="155">
        <f>IF($B28=" ","",IFERROR(INDEX(MMWR_RATING_STATE_ROLLUP_VSC[],MATCH($B28,MMWR_RATING_STATE_ROLLUP_VSC[MMWR_RATING_STATE_ROLLUP_VSC],0),MATCH(I$9,MMWR_RATING_STATE_ROLLUP_VSC[#Headers],0)),"ERROR"))</f>
        <v>133.22517591869999</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11190</v>
      </c>
      <c r="D29" s="155">
        <f>IF($B29=" ","",IFERROR(INDEX(MMWR_RATING_STATE_ROLLUP_VSC[],MATCH($B29,MMWR_RATING_STATE_ROLLUP_VSC[MMWR_RATING_STATE_ROLLUP_VSC],0),MATCH(D$9,MMWR_RATING_STATE_ROLLUP_VSC[#Headers],0)),"ERROR"))</f>
        <v>83.971671134900006</v>
      </c>
      <c r="E29" s="156">
        <f>IF($B29=" ","",IFERROR(INDEX(MMWR_RATING_STATE_ROLLUP_VSC[],MATCH($B29,MMWR_RATING_STATE_ROLLUP_VSC[MMWR_RATING_STATE_ROLLUP_VSC],0),MATCH(E$9,MMWR_RATING_STATE_ROLLUP_VSC[#Headers],0))/$C29,"ERROR"))</f>
        <v>0.17917783735478104</v>
      </c>
      <c r="F29" s="154">
        <f>IF($B29=" ","",IFERROR(INDEX(MMWR_RATING_STATE_ROLLUP_VSC[],MATCH($B29,MMWR_RATING_STATE_ROLLUP_VSC[MMWR_RATING_STATE_ROLLUP_VSC],0),MATCH(F$9,MMWR_RATING_STATE_ROLLUP_VSC[#Headers],0)),"ERROR"))</f>
        <v>731</v>
      </c>
      <c r="G29" s="154">
        <f>IF($B29=" ","",IFERROR(INDEX(MMWR_RATING_STATE_ROLLUP_VSC[],MATCH($B29,MMWR_RATING_STATE_ROLLUP_VSC[MMWR_RATING_STATE_ROLLUP_VSC],0),MATCH(G$9,MMWR_RATING_STATE_ROLLUP_VSC[#Headers],0)),"ERROR"))</f>
        <v>30603</v>
      </c>
      <c r="H29" s="155">
        <f>IF($B29=" ","",IFERROR(INDEX(MMWR_RATING_STATE_ROLLUP_VSC[],MATCH($B29,MMWR_RATING_STATE_ROLLUP_VSC[MMWR_RATING_STATE_ROLLUP_VSC],0),MATCH(H$9,MMWR_RATING_STATE_ROLLUP_VSC[#Headers],0)),"ERROR"))</f>
        <v>130.67852257179999</v>
      </c>
      <c r="I29" s="155">
        <f>IF($B29=" ","",IFERROR(INDEX(MMWR_RATING_STATE_ROLLUP_VSC[],MATCH($B29,MMWR_RATING_STATE_ROLLUP_VSC[MMWR_RATING_STATE_ROLLUP_VSC],0),MATCH(I$9,MMWR_RATING_STATE_ROLLUP_VSC[#Headers],0)),"ERROR"))</f>
        <v>130.07567885500001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2472</v>
      </c>
      <c r="D30" s="155">
        <f>IF($B30=" ","",IFERROR(INDEX(MMWR_RATING_STATE_ROLLUP_VSC[],MATCH($B30,MMWR_RATING_STATE_ROLLUP_VSC[MMWR_RATING_STATE_ROLLUP_VSC],0),MATCH(D$9,MMWR_RATING_STATE_ROLLUP_VSC[#Headers],0)),"ERROR"))</f>
        <v>80.601537216799997</v>
      </c>
      <c r="E30" s="156">
        <f>IF($B30=" ","",IFERROR(INDEX(MMWR_RATING_STATE_ROLLUP_VSC[],MATCH($B30,MMWR_RATING_STATE_ROLLUP_VSC[MMWR_RATING_STATE_ROLLUP_VSC],0),MATCH(E$9,MMWR_RATING_STATE_ROLLUP_VSC[#Headers],0))/$C30,"ERROR"))</f>
        <v>0.17556634304207119</v>
      </c>
      <c r="F30" s="154">
        <f>IF($B30=" ","",IFERROR(INDEX(MMWR_RATING_STATE_ROLLUP_VSC[],MATCH($B30,MMWR_RATING_STATE_ROLLUP_VSC[MMWR_RATING_STATE_ROLLUP_VSC],0),MATCH(F$9,MMWR_RATING_STATE_ROLLUP_VSC[#Headers],0)),"ERROR"))</f>
        <v>163</v>
      </c>
      <c r="G30" s="154">
        <f>IF($B30=" ","",IFERROR(INDEX(MMWR_RATING_STATE_ROLLUP_VSC[],MATCH($B30,MMWR_RATING_STATE_ROLLUP_VSC[MMWR_RATING_STATE_ROLLUP_VSC],0),MATCH(G$9,MMWR_RATING_STATE_ROLLUP_VSC[#Headers],0)),"ERROR"))</f>
        <v>8064</v>
      </c>
      <c r="H30" s="155">
        <f>IF($B30=" ","",IFERROR(INDEX(MMWR_RATING_STATE_ROLLUP_VSC[],MATCH($B30,MMWR_RATING_STATE_ROLLUP_VSC[MMWR_RATING_STATE_ROLLUP_VSC],0),MATCH(H$9,MMWR_RATING_STATE_ROLLUP_VSC[#Headers],0)),"ERROR"))</f>
        <v>116.89570552150001</v>
      </c>
      <c r="I30" s="155">
        <f>IF($B30=" ","",IFERROR(INDEX(MMWR_RATING_STATE_ROLLUP_VSC[],MATCH($B30,MMWR_RATING_STATE_ROLLUP_VSC[MMWR_RATING_STATE_ROLLUP_VSC],0),MATCH(I$9,MMWR_RATING_STATE_ROLLUP_VSC[#Headers],0)),"ERROR"))</f>
        <v>116.7942708333</v>
      </c>
      <c r="J30" s="42"/>
      <c r="K30" s="42"/>
      <c r="L30" s="42"/>
      <c r="M30" s="42"/>
      <c r="N30" s="28"/>
    </row>
    <row r="31" spans="1:14" x14ac:dyDescent="0.2">
      <c r="A31" s="25"/>
      <c r="B31" s="342" t="s">
        <v>958</v>
      </c>
      <c r="C31" s="343"/>
      <c r="D31" s="343"/>
      <c r="E31" s="343"/>
      <c r="F31" s="343"/>
      <c r="G31" s="343"/>
      <c r="H31" s="343"/>
      <c r="I31" s="343"/>
      <c r="J31" s="343"/>
      <c r="K31" s="343"/>
      <c r="L31" s="343"/>
      <c r="M31" s="393"/>
      <c r="N31" s="28"/>
    </row>
    <row r="32" spans="1:14" x14ac:dyDescent="0.2">
      <c r="A32" s="25"/>
      <c r="B32" s="41" t="s">
        <v>1036</v>
      </c>
      <c r="C32" s="154">
        <f>IF($B32=" ","",IFERROR(INDEX(MMWR_RATING_STATE_ROLLUP_PMC[],MATCH($B32,MMWR_RATING_STATE_ROLLUP_PMC[MMWR_RATING_STATE_ROLLUP_PMC],0),MATCH(C$9,MMWR_RATING_STATE_ROLLUP_PMC[#Headers],0)),"ERROR"))</f>
        <v>26665</v>
      </c>
      <c r="D32" s="155">
        <f>IF($B32=" ","",IFERROR(INDEX(MMWR_RATING_STATE_ROLLUP_PMC[],MATCH($B32,MMWR_RATING_STATE_ROLLUP_PMC[MMWR_RATING_STATE_ROLLUP_PMC],0),MATCH(D$9,MMWR_RATING_STATE_ROLLUP_PMC[#Headers],0)),"ERROR"))</f>
        <v>67.833452090799994</v>
      </c>
      <c r="E32" s="156">
        <f>IF($B32=" ","",IFERROR(INDEX(MMWR_RATING_STATE_ROLLUP_PMC[],MATCH($B32,MMWR_RATING_STATE_ROLLUP_PMC[MMWR_RATING_STATE_ROLLUP_PMC],0),MATCH(E$9,MMWR_RATING_STATE_ROLLUP_PMC[#Headers],0))/$C32,"ERROR"))</f>
        <v>0.11966997937371086</v>
      </c>
      <c r="F32" s="154">
        <f>IF($B32=" ","",IFERROR(INDEX(MMWR_RATING_STATE_ROLLUP_PMC[],MATCH($B32,MMWR_RATING_STATE_ROLLUP_PMC[MMWR_RATING_STATE_ROLLUP_PMC],0),MATCH(F$9,MMWR_RATING_STATE_ROLLUP_PMC[#Headers],0)),"ERROR"))</f>
        <v>3662</v>
      </c>
      <c r="G32" s="154">
        <f>IF($B32=" ","",IFERROR(INDEX(MMWR_RATING_STATE_ROLLUP_PMC[],MATCH($B32,MMWR_RATING_STATE_ROLLUP_PMC[MMWR_RATING_STATE_ROLLUP_PMC],0),MATCH(G$9,MMWR_RATING_STATE_ROLLUP_PMC[#Headers],0)),"ERROR"))</f>
        <v>125945</v>
      </c>
      <c r="H32" s="155">
        <f>IF($B32=" ","",IFERROR(INDEX(MMWR_RATING_STATE_ROLLUP_PMC[],MATCH($B32,MMWR_RATING_STATE_ROLLUP_PMC[MMWR_RATING_STATE_ROLLUP_PMC],0),MATCH(H$9,MMWR_RATING_STATE_ROLLUP_PMC[#Headers],0)),"ERROR"))</f>
        <v>85.453031130499994</v>
      </c>
      <c r="I32" s="155">
        <f>IF($B32=" ","",IFERROR(INDEX(MMWR_RATING_STATE_ROLLUP_PMC[],MATCH($B32,MMWR_RATING_STATE_ROLLUP_PMC[MMWR_RATING_STATE_ROLLUP_PMC],0),MATCH(I$9,MMWR_RATING_STATE_ROLLUP_PMC[#Headers],0)),"ERROR"))</f>
        <v>79.289777283700005</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7112</v>
      </c>
      <c r="D33" s="155">
        <f>IF($B33=" ","",IFERROR(INDEX(MMWR_RATING_STATE_ROLLUP_PMC[],MATCH($B33,MMWR_RATING_STATE_ROLLUP_PMC[MMWR_RATING_STATE_ROLLUP_PMC],0),MATCH(D$9,MMWR_RATING_STATE_ROLLUP_PMC[#Headers],0)),"ERROR"))</f>
        <v>69.5449943757</v>
      </c>
      <c r="E33" s="156">
        <f>IF($B33=" ","",IFERROR(INDEX(MMWR_RATING_STATE_ROLLUP_PMC[],MATCH($B33,MMWR_RATING_STATE_ROLLUP_PMC[MMWR_RATING_STATE_ROLLUP_PMC],0),MATCH(E$9,MMWR_RATING_STATE_ROLLUP_PMC[#Headers],0))/$C33,"ERROR"))</f>
        <v>0.13217097862767155</v>
      </c>
      <c r="F33" s="154">
        <f>IF($B33=" ","",IFERROR(INDEX(MMWR_RATING_STATE_ROLLUP_PMC[],MATCH($B33,MMWR_RATING_STATE_ROLLUP_PMC[MMWR_RATING_STATE_ROLLUP_PMC],0),MATCH(F$9,MMWR_RATING_STATE_ROLLUP_PMC[#Headers],0)),"ERROR"))</f>
        <v>813</v>
      </c>
      <c r="G33" s="154">
        <f>IF($B33=" ","",IFERROR(INDEX(MMWR_RATING_STATE_ROLLUP_PMC[],MATCH($B33,MMWR_RATING_STATE_ROLLUP_PMC[MMWR_RATING_STATE_ROLLUP_PMC],0),MATCH(G$9,MMWR_RATING_STATE_ROLLUP_PMC[#Headers],0)),"ERROR"))</f>
        <v>25729</v>
      </c>
      <c r="H33" s="155">
        <f>IF($B33=" ","",IFERROR(INDEX(MMWR_RATING_STATE_ROLLUP_PMC[],MATCH($B33,MMWR_RATING_STATE_ROLLUP_PMC[MMWR_RATING_STATE_ROLLUP_PMC],0),MATCH(H$9,MMWR_RATING_STATE_ROLLUP_PMC[#Headers],0)),"ERROR"))</f>
        <v>105.8105781058</v>
      </c>
      <c r="I33" s="155">
        <f>IF($B33=" ","",IFERROR(INDEX(MMWR_RATING_STATE_ROLLUP_PMC[],MATCH($B33,MMWR_RATING_STATE_ROLLUP_PMC[MMWR_RATING_STATE_ROLLUP_PMC],0),MATCH(I$9,MMWR_RATING_STATE_ROLLUP_PMC[#Headers],0)),"ERROR"))</f>
        <v>98.323603715700003</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239</v>
      </c>
      <c r="D34" s="155">
        <f>IF($B34=" ","",IFERROR(INDEX(MMWR_RATING_STATE_ROLLUP_PMC[],MATCH($B34,MMWR_RATING_STATE_ROLLUP_PMC[MMWR_RATING_STATE_ROLLUP_PMC],0),MATCH(D$9,MMWR_RATING_STATE_ROLLUP_PMC[#Headers],0)),"ERROR"))</f>
        <v>69.309623431000006</v>
      </c>
      <c r="E34" s="156">
        <f>IF($B34=" ","",IFERROR(INDEX(MMWR_RATING_STATE_ROLLUP_PMC[],MATCH($B34,MMWR_RATING_STATE_ROLLUP_PMC[MMWR_RATING_STATE_ROLLUP_PMC],0),MATCH(E$9,MMWR_RATING_STATE_ROLLUP_PMC[#Headers],0))/$C34,"ERROR"))</f>
        <v>0.10460251046025104</v>
      </c>
      <c r="F34" s="154">
        <f>IF($B34=" ","",IFERROR(INDEX(MMWR_RATING_STATE_ROLLUP_PMC[],MATCH($B34,MMWR_RATING_STATE_ROLLUP_PMC[MMWR_RATING_STATE_ROLLUP_PMC],0),MATCH(F$9,MMWR_RATING_STATE_ROLLUP_PMC[#Headers],0)),"ERROR"))</f>
        <v>26</v>
      </c>
      <c r="G34" s="154">
        <f>IF($B34=" ","",IFERROR(INDEX(MMWR_RATING_STATE_ROLLUP_PMC[],MATCH($B34,MMWR_RATING_STATE_ROLLUP_PMC[MMWR_RATING_STATE_ROLLUP_PMC],0),MATCH(G$9,MMWR_RATING_STATE_ROLLUP_PMC[#Headers],0)),"ERROR"))</f>
        <v>768</v>
      </c>
      <c r="H34" s="155">
        <f>IF($B34=" ","",IFERROR(INDEX(MMWR_RATING_STATE_ROLLUP_PMC[],MATCH($B34,MMWR_RATING_STATE_ROLLUP_PMC[MMWR_RATING_STATE_ROLLUP_PMC],0),MATCH(H$9,MMWR_RATING_STATE_ROLLUP_PMC[#Headers],0)),"ERROR"))</f>
        <v>90.038461538500002</v>
      </c>
      <c r="I34" s="155">
        <f>IF($B34=" ","",IFERROR(INDEX(MMWR_RATING_STATE_ROLLUP_PMC[],MATCH($B34,MMWR_RATING_STATE_ROLLUP_PMC[MMWR_RATING_STATE_ROLLUP_PMC],0),MATCH(I$9,MMWR_RATING_STATE_ROLLUP_PMC[#Headers],0)),"ERROR"))</f>
        <v>97.6953125</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76</v>
      </c>
      <c r="D35" s="155">
        <f>IF($B35=" ","",IFERROR(INDEX(MMWR_RATING_STATE_ROLLUP_PMC[],MATCH($B35,MMWR_RATING_STATE_ROLLUP_PMC[MMWR_RATING_STATE_ROLLUP_PMC],0),MATCH(D$9,MMWR_RATING_STATE_ROLLUP_PMC[#Headers],0)),"ERROR"))</f>
        <v>67.013157894700001</v>
      </c>
      <c r="E35" s="156">
        <f>IF($B35=" ","",IFERROR(INDEX(MMWR_RATING_STATE_ROLLUP_PMC[],MATCH($B35,MMWR_RATING_STATE_ROLLUP_PMC[MMWR_RATING_STATE_ROLLUP_PMC],0),MATCH(E$9,MMWR_RATING_STATE_ROLLUP_PMC[#Headers],0))/$C35,"ERROR"))</f>
        <v>0.13157894736842105</v>
      </c>
      <c r="F35" s="154">
        <f>IF($B35=" ","",IFERROR(INDEX(MMWR_RATING_STATE_ROLLUP_PMC[],MATCH($B35,MMWR_RATING_STATE_ROLLUP_PMC[MMWR_RATING_STATE_ROLLUP_PMC],0),MATCH(F$9,MMWR_RATING_STATE_ROLLUP_PMC[#Headers],0)),"ERROR"))</f>
        <v>7</v>
      </c>
      <c r="G35" s="154">
        <f>IF($B35=" ","",IFERROR(INDEX(MMWR_RATING_STATE_ROLLUP_PMC[],MATCH($B35,MMWR_RATING_STATE_ROLLUP_PMC[MMWR_RATING_STATE_ROLLUP_PMC],0),MATCH(G$9,MMWR_RATING_STATE_ROLLUP_PMC[#Headers],0)),"ERROR"))</f>
        <v>258</v>
      </c>
      <c r="H35" s="155">
        <f>IF($B35=" ","",IFERROR(INDEX(MMWR_RATING_STATE_ROLLUP_PMC[],MATCH($B35,MMWR_RATING_STATE_ROLLUP_PMC[MMWR_RATING_STATE_ROLLUP_PMC],0),MATCH(H$9,MMWR_RATING_STATE_ROLLUP_PMC[#Headers],0)),"ERROR"))</f>
        <v>139.8571428571</v>
      </c>
      <c r="I35" s="155">
        <f>IF($B35=" ","",IFERROR(INDEX(MMWR_RATING_STATE_ROLLUP_PMC[],MATCH($B35,MMWR_RATING_STATE_ROLLUP_PMC[MMWR_RATING_STATE_ROLLUP_PMC],0),MATCH(I$9,MMWR_RATING_STATE_ROLLUP_PMC[#Headers],0)),"ERROR"))</f>
        <v>101.72868217049999</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42</v>
      </c>
      <c r="D36" s="155">
        <f>IF($B36=" ","",IFERROR(INDEX(MMWR_RATING_STATE_ROLLUP_PMC[],MATCH($B36,MMWR_RATING_STATE_ROLLUP_PMC[MMWR_RATING_STATE_ROLLUP_PMC],0),MATCH(D$9,MMWR_RATING_STATE_ROLLUP_PMC[#Headers],0)),"ERROR"))</f>
        <v>84.952380952400006</v>
      </c>
      <c r="E36" s="156">
        <f>IF($B36=" ","",IFERROR(INDEX(MMWR_RATING_STATE_ROLLUP_PMC[],MATCH($B36,MMWR_RATING_STATE_ROLLUP_PMC[MMWR_RATING_STATE_ROLLUP_PMC],0),MATCH(E$9,MMWR_RATING_STATE_ROLLUP_PMC[#Headers],0))/$C36,"ERROR"))</f>
        <v>0.19047619047619047</v>
      </c>
      <c r="F36" s="154">
        <f>IF($B36=" ","",IFERROR(INDEX(MMWR_RATING_STATE_ROLLUP_PMC[],MATCH($B36,MMWR_RATING_STATE_ROLLUP_PMC[MMWR_RATING_STATE_ROLLUP_PMC],0),MATCH(F$9,MMWR_RATING_STATE_ROLLUP_PMC[#Headers],0)),"ERROR"))</f>
        <v>5</v>
      </c>
      <c r="G36" s="154">
        <f>IF($B36=" ","",IFERROR(INDEX(MMWR_RATING_STATE_ROLLUP_PMC[],MATCH($B36,MMWR_RATING_STATE_ROLLUP_PMC[MMWR_RATING_STATE_ROLLUP_PMC],0),MATCH(G$9,MMWR_RATING_STATE_ROLLUP_PMC[#Headers],0)),"ERROR"))</f>
        <v>218</v>
      </c>
      <c r="H36" s="155">
        <f>IF($B36=" ","",IFERROR(INDEX(MMWR_RATING_STATE_ROLLUP_PMC[],MATCH($B36,MMWR_RATING_STATE_ROLLUP_PMC[MMWR_RATING_STATE_ROLLUP_PMC],0),MATCH(H$9,MMWR_RATING_STATE_ROLLUP_PMC[#Headers],0)),"ERROR"))</f>
        <v>90.2</v>
      </c>
      <c r="I36" s="155">
        <f>IF($B36=" ","",IFERROR(INDEX(MMWR_RATING_STATE_ROLLUP_PMC[],MATCH($B36,MMWR_RATING_STATE_ROLLUP_PMC[MMWR_RATING_STATE_ROLLUP_PMC],0),MATCH(I$9,MMWR_RATING_STATE_ROLLUP_PMC[#Headers],0)),"ERROR"))</f>
        <v>109.2155963303</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120</v>
      </c>
      <c r="D37" s="155">
        <f>IF($B37=" ","",IFERROR(INDEX(MMWR_RATING_STATE_ROLLUP_PMC[],MATCH($B37,MMWR_RATING_STATE_ROLLUP_PMC[MMWR_RATING_STATE_ROLLUP_PMC],0),MATCH(D$9,MMWR_RATING_STATE_ROLLUP_PMC[#Headers],0)),"ERROR"))</f>
        <v>60.35</v>
      </c>
      <c r="E37" s="156">
        <f>IF($B37=" ","",IFERROR(INDEX(MMWR_RATING_STATE_ROLLUP_PMC[],MATCH($B37,MMWR_RATING_STATE_ROLLUP_PMC[MMWR_RATING_STATE_ROLLUP_PMC],0),MATCH(E$9,MMWR_RATING_STATE_ROLLUP_PMC[#Headers],0))/$C37,"ERROR"))</f>
        <v>8.3333333333333329E-2</v>
      </c>
      <c r="F37" s="154">
        <f>IF($B37=" ","",IFERROR(INDEX(MMWR_RATING_STATE_ROLLUP_PMC[],MATCH($B37,MMWR_RATING_STATE_ROLLUP_PMC[MMWR_RATING_STATE_ROLLUP_PMC],0),MATCH(F$9,MMWR_RATING_STATE_ROLLUP_PMC[#Headers],0)),"ERROR"))</f>
        <v>13</v>
      </c>
      <c r="G37" s="154">
        <f>IF($B37=" ","",IFERROR(INDEX(MMWR_RATING_STATE_ROLLUP_PMC[],MATCH($B37,MMWR_RATING_STATE_ROLLUP_PMC[MMWR_RATING_STATE_ROLLUP_PMC],0),MATCH(G$9,MMWR_RATING_STATE_ROLLUP_PMC[#Headers],0)),"ERROR"))</f>
        <v>486</v>
      </c>
      <c r="H37" s="155">
        <f>IF($B37=" ","",IFERROR(INDEX(MMWR_RATING_STATE_ROLLUP_PMC[],MATCH($B37,MMWR_RATING_STATE_ROLLUP_PMC[MMWR_RATING_STATE_ROLLUP_PMC],0),MATCH(H$9,MMWR_RATING_STATE_ROLLUP_PMC[#Headers],0)),"ERROR"))</f>
        <v>97.153846153800004</v>
      </c>
      <c r="I37" s="155">
        <f>IF($B37=" ","",IFERROR(INDEX(MMWR_RATING_STATE_ROLLUP_PMC[],MATCH($B37,MMWR_RATING_STATE_ROLLUP_PMC[MMWR_RATING_STATE_ROLLUP_PMC],0),MATCH(I$9,MMWR_RATING_STATE_ROLLUP_PMC[#Headers],0)),"ERROR"))</f>
        <v>87.913580246899997</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480</v>
      </c>
      <c r="D38" s="155">
        <f>IF($B38=" ","",IFERROR(INDEX(MMWR_RATING_STATE_ROLLUP_PMC[],MATCH($B38,MMWR_RATING_STATE_ROLLUP_PMC[MMWR_RATING_STATE_ROLLUP_PMC],0),MATCH(D$9,MMWR_RATING_STATE_ROLLUP_PMC[#Headers],0)),"ERROR"))</f>
        <v>69.785416666700002</v>
      </c>
      <c r="E38" s="156">
        <f>IF($B38=" ","",IFERROR(INDEX(MMWR_RATING_STATE_ROLLUP_PMC[],MATCH($B38,MMWR_RATING_STATE_ROLLUP_PMC[MMWR_RATING_STATE_ROLLUP_PMC],0),MATCH(E$9,MMWR_RATING_STATE_ROLLUP_PMC[#Headers],0))/$C38,"ERROR"))</f>
        <v>0.15416666666666667</v>
      </c>
      <c r="F38" s="154">
        <f>IF($B38=" ","",IFERROR(INDEX(MMWR_RATING_STATE_ROLLUP_PMC[],MATCH($B38,MMWR_RATING_STATE_ROLLUP_PMC[MMWR_RATING_STATE_ROLLUP_PMC],0),MATCH(F$9,MMWR_RATING_STATE_ROLLUP_PMC[#Headers],0)),"ERROR"))</f>
        <v>49</v>
      </c>
      <c r="G38" s="154">
        <f>IF($B38=" ","",IFERROR(INDEX(MMWR_RATING_STATE_ROLLUP_PMC[],MATCH($B38,MMWR_RATING_STATE_ROLLUP_PMC[MMWR_RATING_STATE_ROLLUP_PMC],0),MATCH(G$9,MMWR_RATING_STATE_ROLLUP_PMC[#Headers],0)),"ERROR"))</f>
        <v>1678</v>
      </c>
      <c r="H38" s="155">
        <f>IF($B38=" ","",IFERROR(INDEX(MMWR_RATING_STATE_ROLLUP_PMC[],MATCH($B38,MMWR_RATING_STATE_ROLLUP_PMC[MMWR_RATING_STATE_ROLLUP_PMC],0),MATCH(H$9,MMWR_RATING_STATE_ROLLUP_PMC[#Headers],0)),"ERROR"))</f>
        <v>125.51020408159999</v>
      </c>
      <c r="I38" s="155">
        <f>IF($B38=" ","",IFERROR(INDEX(MMWR_RATING_STATE_ROLLUP_PMC[],MATCH($B38,MMWR_RATING_STATE_ROLLUP_PMC[MMWR_RATING_STATE_ROLLUP_PMC],0),MATCH(I$9,MMWR_RATING_STATE_ROLLUP_PMC[#Headers],0)),"ERROR"))</f>
        <v>101.6323003576</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441</v>
      </c>
      <c r="D39" s="155">
        <f>IF($B39=" ","",IFERROR(INDEX(MMWR_RATING_STATE_ROLLUP_PMC[],MATCH($B39,MMWR_RATING_STATE_ROLLUP_PMC[MMWR_RATING_STATE_ROLLUP_PMC],0),MATCH(D$9,MMWR_RATING_STATE_ROLLUP_PMC[#Headers],0)),"ERROR"))</f>
        <v>68.714285714300004</v>
      </c>
      <c r="E39" s="156">
        <f>IF($B39=" ","",IFERROR(INDEX(MMWR_RATING_STATE_ROLLUP_PMC[],MATCH($B39,MMWR_RATING_STATE_ROLLUP_PMC[MMWR_RATING_STATE_ROLLUP_PMC],0),MATCH(E$9,MMWR_RATING_STATE_ROLLUP_PMC[#Headers],0))/$C39,"ERROR"))</f>
        <v>0.13378684807256236</v>
      </c>
      <c r="F39" s="154">
        <f>IF($B39=" ","",IFERROR(INDEX(MMWR_RATING_STATE_ROLLUP_PMC[],MATCH($B39,MMWR_RATING_STATE_ROLLUP_PMC[MMWR_RATING_STATE_ROLLUP_PMC],0),MATCH(F$9,MMWR_RATING_STATE_ROLLUP_PMC[#Headers],0)),"ERROR"))</f>
        <v>45</v>
      </c>
      <c r="G39" s="154">
        <f>IF($B39=" ","",IFERROR(INDEX(MMWR_RATING_STATE_ROLLUP_PMC[],MATCH($B39,MMWR_RATING_STATE_ROLLUP_PMC[MMWR_RATING_STATE_ROLLUP_PMC],0),MATCH(G$9,MMWR_RATING_STATE_ROLLUP_PMC[#Headers],0)),"ERROR"))</f>
        <v>1596</v>
      </c>
      <c r="H39" s="155">
        <f>IF($B39=" ","",IFERROR(INDEX(MMWR_RATING_STATE_ROLLUP_PMC[],MATCH($B39,MMWR_RATING_STATE_ROLLUP_PMC[MMWR_RATING_STATE_ROLLUP_PMC],0),MATCH(H$9,MMWR_RATING_STATE_ROLLUP_PMC[#Headers],0)),"ERROR"))</f>
        <v>97.488888888899993</v>
      </c>
      <c r="I39" s="155">
        <f>IF($B39=" ","",IFERROR(INDEX(MMWR_RATING_STATE_ROLLUP_PMC[],MATCH($B39,MMWR_RATING_STATE_ROLLUP_PMC[MMWR_RATING_STATE_ROLLUP_PMC],0),MATCH(I$9,MMWR_RATING_STATE_ROLLUP_PMC[#Headers],0)),"ERROR"))</f>
        <v>94.077067669200005</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113</v>
      </c>
      <c r="D40" s="155">
        <f>IF($B40=" ","",IFERROR(INDEX(MMWR_RATING_STATE_ROLLUP_PMC[],MATCH($B40,MMWR_RATING_STATE_ROLLUP_PMC[MMWR_RATING_STATE_ROLLUP_PMC],0),MATCH(D$9,MMWR_RATING_STATE_ROLLUP_PMC[#Headers],0)),"ERROR"))</f>
        <v>68.2831858407</v>
      </c>
      <c r="E40" s="156">
        <f>IF($B40=" ","",IFERROR(INDEX(MMWR_RATING_STATE_ROLLUP_PMC[],MATCH($B40,MMWR_RATING_STATE_ROLLUP_PMC[MMWR_RATING_STATE_ROLLUP_PMC],0),MATCH(E$9,MMWR_RATING_STATE_ROLLUP_PMC[#Headers],0))/$C40,"ERROR"))</f>
        <v>0.1415929203539823</v>
      </c>
      <c r="F40" s="154">
        <f>IF($B40=" ","",IFERROR(INDEX(MMWR_RATING_STATE_ROLLUP_PMC[],MATCH($B40,MMWR_RATING_STATE_ROLLUP_PMC[MMWR_RATING_STATE_ROLLUP_PMC],0),MATCH(F$9,MMWR_RATING_STATE_ROLLUP_PMC[#Headers],0)),"ERROR"))</f>
        <v>14</v>
      </c>
      <c r="G40" s="154">
        <f>IF($B40=" ","",IFERROR(INDEX(MMWR_RATING_STATE_ROLLUP_PMC[],MATCH($B40,MMWR_RATING_STATE_ROLLUP_PMC[MMWR_RATING_STATE_ROLLUP_PMC],0),MATCH(G$9,MMWR_RATING_STATE_ROLLUP_PMC[#Headers],0)),"ERROR"))</f>
        <v>400</v>
      </c>
      <c r="H40" s="155">
        <f>IF($B40=" ","",IFERROR(INDEX(MMWR_RATING_STATE_ROLLUP_PMC[],MATCH($B40,MMWR_RATING_STATE_ROLLUP_PMC[MMWR_RATING_STATE_ROLLUP_PMC],0),MATCH(H$9,MMWR_RATING_STATE_ROLLUP_PMC[#Headers],0)),"ERROR"))</f>
        <v>89.857142857100001</v>
      </c>
      <c r="I40" s="155">
        <f>IF($B40=" ","",IFERROR(INDEX(MMWR_RATING_STATE_ROLLUP_PMC[],MATCH($B40,MMWR_RATING_STATE_ROLLUP_PMC[MMWR_RATING_STATE_ROLLUP_PMC],0),MATCH(I$9,MMWR_RATING_STATE_ROLLUP_PMC[#Headers],0)),"ERROR"))</f>
        <v>93.364999999999995</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499</v>
      </c>
      <c r="D41" s="155">
        <f>IF($B41=" ","",IFERROR(INDEX(MMWR_RATING_STATE_ROLLUP_PMC[],MATCH($B41,MMWR_RATING_STATE_ROLLUP_PMC[MMWR_RATING_STATE_ROLLUP_PMC],0),MATCH(D$9,MMWR_RATING_STATE_ROLLUP_PMC[#Headers],0)),"ERROR"))</f>
        <v>69.120240480999996</v>
      </c>
      <c r="E41" s="156">
        <f>IF($B41=" ","",IFERROR(INDEX(MMWR_RATING_STATE_ROLLUP_PMC[],MATCH($B41,MMWR_RATING_STATE_ROLLUP_PMC[MMWR_RATING_STATE_ROLLUP_PMC],0),MATCH(E$9,MMWR_RATING_STATE_ROLLUP_PMC[#Headers],0))/$C41,"ERROR"))</f>
        <v>0.13026052104208416</v>
      </c>
      <c r="F41" s="154">
        <f>IF($B41=" ","",IFERROR(INDEX(MMWR_RATING_STATE_ROLLUP_PMC[],MATCH($B41,MMWR_RATING_STATE_ROLLUP_PMC[MMWR_RATING_STATE_ROLLUP_PMC],0),MATCH(F$9,MMWR_RATING_STATE_ROLLUP_PMC[#Headers],0)),"ERROR"))</f>
        <v>56</v>
      </c>
      <c r="G41" s="154">
        <f>IF($B41=" ","",IFERROR(INDEX(MMWR_RATING_STATE_ROLLUP_PMC[],MATCH($B41,MMWR_RATING_STATE_ROLLUP_PMC[MMWR_RATING_STATE_ROLLUP_PMC],0),MATCH(G$9,MMWR_RATING_STATE_ROLLUP_PMC[#Headers],0)),"ERROR"))</f>
        <v>1753</v>
      </c>
      <c r="H41" s="155">
        <f>IF($B41=" ","",IFERROR(INDEX(MMWR_RATING_STATE_ROLLUP_PMC[],MATCH($B41,MMWR_RATING_STATE_ROLLUP_PMC[MMWR_RATING_STATE_ROLLUP_PMC],0),MATCH(H$9,MMWR_RATING_STATE_ROLLUP_PMC[#Headers],0)),"ERROR"))</f>
        <v>100.3571428571</v>
      </c>
      <c r="I41" s="155">
        <f>IF($B41=" ","",IFERROR(INDEX(MMWR_RATING_STATE_ROLLUP_PMC[],MATCH($B41,MMWR_RATING_STATE_ROLLUP_PMC[MMWR_RATING_STATE_ROLLUP_PMC],0),MATCH(I$9,MMWR_RATING_STATE_ROLLUP_PMC[#Headers],0)),"ERROR"))</f>
        <v>97.144894466599993</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1146</v>
      </c>
      <c r="D42" s="155">
        <f>IF($B42=" ","",IFERROR(INDEX(MMWR_RATING_STATE_ROLLUP_PMC[],MATCH($B42,MMWR_RATING_STATE_ROLLUP_PMC[MMWR_RATING_STATE_ROLLUP_PMC],0),MATCH(D$9,MMWR_RATING_STATE_ROLLUP_PMC[#Headers],0)),"ERROR"))</f>
        <v>67.672774869099996</v>
      </c>
      <c r="E42" s="156">
        <f>IF($B42=" ","",IFERROR(INDEX(MMWR_RATING_STATE_ROLLUP_PMC[],MATCH($B42,MMWR_RATING_STATE_ROLLUP_PMC[MMWR_RATING_STATE_ROLLUP_PMC],0),MATCH(E$9,MMWR_RATING_STATE_ROLLUP_PMC[#Headers],0))/$C42,"ERROR"))</f>
        <v>0.1256544502617801</v>
      </c>
      <c r="F42" s="154">
        <f>IF($B42=" ","",IFERROR(INDEX(MMWR_RATING_STATE_ROLLUP_PMC[],MATCH($B42,MMWR_RATING_STATE_ROLLUP_PMC[MMWR_RATING_STATE_ROLLUP_PMC],0),MATCH(F$9,MMWR_RATING_STATE_ROLLUP_PMC[#Headers],0)),"ERROR"))</f>
        <v>139</v>
      </c>
      <c r="G42" s="154">
        <f>IF($B42=" ","",IFERROR(INDEX(MMWR_RATING_STATE_ROLLUP_PMC[],MATCH($B42,MMWR_RATING_STATE_ROLLUP_PMC[MMWR_RATING_STATE_ROLLUP_PMC],0),MATCH(G$9,MMWR_RATING_STATE_ROLLUP_PMC[#Headers],0)),"ERROR"))</f>
        <v>4477</v>
      </c>
      <c r="H42" s="155">
        <f>IF($B42=" ","",IFERROR(INDEX(MMWR_RATING_STATE_ROLLUP_PMC[],MATCH($B42,MMWR_RATING_STATE_ROLLUP_PMC[MMWR_RATING_STATE_ROLLUP_PMC],0),MATCH(H$9,MMWR_RATING_STATE_ROLLUP_PMC[#Headers],0)),"ERROR"))</f>
        <v>107.6690647482</v>
      </c>
      <c r="I42" s="155">
        <f>IF($B42=" ","",IFERROR(INDEX(MMWR_RATING_STATE_ROLLUP_PMC[],MATCH($B42,MMWR_RATING_STATE_ROLLUP_PMC[MMWR_RATING_STATE_ROLLUP_PMC],0),MATCH(I$9,MMWR_RATING_STATE_ROLLUP_PMC[#Headers],0)),"ERROR"))</f>
        <v>99.544561090000002</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1271</v>
      </c>
      <c r="D43" s="155">
        <f>IF($B43=" ","",IFERROR(INDEX(MMWR_RATING_STATE_ROLLUP_PMC[],MATCH($B43,MMWR_RATING_STATE_ROLLUP_PMC[MMWR_RATING_STATE_ROLLUP_PMC],0),MATCH(D$9,MMWR_RATING_STATE_ROLLUP_PMC[#Headers],0)),"ERROR"))</f>
        <v>72.079464988200002</v>
      </c>
      <c r="E43" s="156">
        <f>IF($B43=" ","",IFERROR(INDEX(MMWR_RATING_STATE_ROLLUP_PMC[],MATCH($B43,MMWR_RATING_STATE_ROLLUP_PMC[MMWR_RATING_STATE_ROLLUP_PMC],0),MATCH(E$9,MMWR_RATING_STATE_ROLLUP_PMC[#Headers],0))/$C43,"ERROR"))</f>
        <v>0.14712824547600314</v>
      </c>
      <c r="F43" s="154">
        <f>IF($B43=" ","",IFERROR(INDEX(MMWR_RATING_STATE_ROLLUP_PMC[],MATCH($B43,MMWR_RATING_STATE_ROLLUP_PMC[MMWR_RATING_STATE_ROLLUP_PMC],0),MATCH(F$9,MMWR_RATING_STATE_ROLLUP_PMC[#Headers],0)),"ERROR"))</f>
        <v>151</v>
      </c>
      <c r="G43" s="154">
        <f>IF($B43=" ","",IFERROR(INDEX(MMWR_RATING_STATE_ROLLUP_PMC[],MATCH($B43,MMWR_RATING_STATE_ROLLUP_PMC[MMWR_RATING_STATE_ROLLUP_PMC],0),MATCH(G$9,MMWR_RATING_STATE_ROLLUP_PMC[#Headers],0)),"ERROR"))</f>
        <v>4524</v>
      </c>
      <c r="H43" s="155">
        <f>IF($B43=" ","",IFERROR(INDEX(MMWR_RATING_STATE_ROLLUP_PMC[],MATCH($B43,MMWR_RATING_STATE_ROLLUP_PMC[MMWR_RATING_STATE_ROLLUP_PMC],0),MATCH(H$9,MMWR_RATING_STATE_ROLLUP_PMC[#Headers],0)),"ERROR"))</f>
        <v>110.7152317881</v>
      </c>
      <c r="I43" s="155">
        <f>IF($B43=" ","",IFERROR(INDEX(MMWR_RATING_STATE_ROLLUP_PMC[],MATCH($B43,MMWR_RATING_STATE_ROLLUP_PMC[MMWR_RATING_STATE_ROLLUP_PMC],0),MATCH(I$9,MMWR_RATING_STATE_ROLLUP_PMC[#Headers],0)),"ERROR"))</f>
        <v>97.935455349199998</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1414</v>
      </c>
      <c r="D44" s="155">
        <f>IF($B44=" ","",IFERROR(INDEX(MMWR_RATING_STATE_ROLLUP_PMC[],MATCH($B44,MMWR_RATING_STATE_ROLLUP_PMC[MMWR_RATING_STATE_ROLLUP_PMC],0),MATCH(D$9,MMWR_RATING_STATE_ROLLUP_PMC[#Headers],0)),"ERROR"))</f>
        <v>69.665487977400005</v>
      </c>
      <c r="E44" s="156">
        <f>IF($B44=" ","",IFERROR(INDEX(MMWR_RATING_STATE_ROLLUP_PMC[],MATCH($B44,MMWR_RATING_STATE_ROLLUP_PMC[MMWR_RATING_STATE_ROLLUP_PMC],0),MATCH(E$9,MMWR_RATING_STATE_ROLLUP_PMC[#Headers],0))/$C44,"ERROR"))</f>
        <v>0.11315417256011315</v>
      </c>
      <c r="F44" s="154">
        <f>IF($B44=" ","",IFERROR(INDEX(MMWR_RATING_STATE_ROLLUP_PMC[],MATCH($B44,MMWR_RATING_STATE_ROLLUP_PMC[MMWR_RATING_STATE_ROLLUP_PMC],0),MATCH(F$9,MMWR_RATING_STATE_ROLLUP_PMC[#Headers],0)),"ERROR"))</f>
        <v>170</v>
      </c>
      <c r="G44" s="154">
        <f>IF($B44=" ","",IFERROR(INDEX(MMWR_RATING_STATE_ROLLUP_PMC[],MATCH($B44,MMWR_RATING_STATE_ROLLUP_PMC[MMWR_RATING_STATE_ROLLUP_PMC],0),MATCH(G$9,MMWR_RATING_STATE_ROLLUP_PMC[#Headers],0)),"ERROR"))</f>
        <v>5253</v>
      </c>
      <c r="H44" s="155">
        <f>IF($B44=" ","",IFERROR(INDEX(MMWR_RATING_STATE_ROLLUP_PMC[],MATCH($B44,MMWR_RATING_STATE_ROLLUP_PMC[MMWR_RATING_STATE_ROLLUP_PMC],0),MATCH(H$9,MMWR_RATING_STATE_ROLLUP_PMC[#Headers],0)),"ERROR"))</f>
        <v>100.90588235289999</v>
      </c>
      <c r="I44" s="155">
        <f>IF($B44=" ","",IFERROR(INDEX(MMWR_RATING_STATE_ROLLUP_PMC[],MATCH($B44,MMWR_RATING_STATE_ROLLUP_PMC[MMWR_RATING_STATE_ROLLUP_PMC],0),MATCH(I$9,MMWR_RATING_STATE_ROLLUP_PMC[#Headers],0)),"ERROR"))</f>
        <v>97.031981724700003</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95</v>
      </c>
      <c r="D45" s="155">
        <f>IF($B45=" ","",IFERROR(INDEX(MMWR_RATING_STATE_ROLLUP_PMC[],MATCH($B45,MMWR_RATING_STATE_ROLLUP_PMC[MMWR_RATING_STATE_ROLLUP_PMC],0),MATCH(D$9,MMWR_RATING_STATE_ROLLUP_PMC[#Headers],0)),"ERROR"))</f>
        <v>70.610526315800001</v>
      </c>
      <c r="E45" s="156">
        <f>IF($B45=" ","",IFERROR(INDEX(MMWR_RATING_STATE_ROLLUP_PMC[],MATCH($B45,MMWR_RATING_STATE_ROLLUP_PMC[MMWR_RATING_STATE_ROLLUP_PMC],0),MATCH(E$9,MMWR_RATING_STATE_ROLLUP_PMC[#Headers],0))/$C45,"ERROR"))</f>
        <v>0.1368421052631579</v>
      </c>
      <c r="F45" s="154">
        <f>IF($B45=" ","",IFERROR(INDEX(MMWR_RATING_STATE_ROLLUP_PMC[],MATCH($B45,MMWR_RATING_STATE_ROLLUP_PMC[MMWR_RATING_STATE_ROLLUP_PMC],0),MATCH(F$9,MMWR_RATING_STATE_ROLLUP_PMC[#Headers],0)),"ERROR"))</f>
        <v>16</v>
      </c>
      <c r="G45" s="154">
        <f>IF($B45=" ","",IFERROR(INDEX(MMWR_RATING_STATE_ROLLUP_PMC[],MATCH($B45,MMWR_RATING_STATE_ROLLUP_PMC[MMWR_RATING_STATE_ROLLUP_PMC],0),MATCH(G$9,MMWR_RATING_STATE_ROLLUP_PMC[#Headers],0)),"ERROR"))</f>
        <v>404</v>
      </c>
      <c r="H45" s="155">
        <f>IF($B45=" ","",IFERROR(INDEX(MMWR_RATING_STATE_ROLLUP_PMC[],MATCH($B45,MMWR_RATING_STATE_ROLLUP_PMC[MMWR_RATING_STATE_ROLLUP_PMC],0),MATCH(H$9,MMWR_RATING_STATE_ROLLUP_PMC[#Headers],0)),"ERROR"))</f>
        <v>91.5</v>
      </c>
      <c r="I45" s="155">
        <f>IF($B45=" ","",IFERROR(INDEX(MMWR_RATING_STATE_ROLLUP_PMC[],MATCH($B45,MMWR_RATING_STATE_ROLLUP_PMC[MMWR_RATING_STATE_ROLLUP_PMC],0),MATCH(I$9,MMWR_RATING_STATE_ROLLUP_PMC[#Headers],0)),"ERROR"))</f>
        <v>98.103960396000005</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44</v>
      </c>
      <c r="D46" s="155">
        <f>IF($B46=" ","",IFERROR(INDEX(MMWR_RATING_STATE_ROLLUP_PMC[],MATCH($B46,MMWR_RATING_STATE_ROLLUP_PMC[MMWR_RATING_STATE_ROLLUP_PMC],0),MATCH(D$9,MMWR_RATING_STATE_ROLLUP_PMC[#Headers],0)),"ERROR"))</f>
        <v>58.477272727299997</v>
      </c>
      <c r="E46" s="156">
        <f>IF($B46=" ","",IFERROR(INDEX(MMWR_RATING_STATE_ROLLUP_PMC[],MATCH($B46,MMWR_RATING_STATE_ROLLUP_PMC[MMWR_RATING_STATE_ROLLUP_PMC],0),MATCH(E$9,MMWR_RATING_STATE_ROLLUP_PMC[#Headers],0))/$C46,"ERROR"))</f>
        <v>9.0909090909090912E-2</v>
      </c>
      <c r="F46" s="154">
        <f>IF($B46=" ","",IFERROR(INDEX(MMWR_RATING_STATE_ROLLUP_PMC[],MATCH($B46,MMWR_RATING_STATE_ROLLUP_PMC[MMWR_RATING_STATE_ROLLUP_PMC],0),MATCH(F$9,MMWR_RATING_STATE_ROLLUP_PMC[#Headers],0)),"ERROR"))</f>
        <v>4</v>
      </c>
      <c r="G46" s="154">
        <f>IF($B46=" ","",IFERROR(INDEX(MMWR_RATING_STATE_ROLLUP_PMC[],MATCH($B46,MMWR_RATING_STATE_ROLLUP_PMC[MMWR_RATING_STATE_ROLLUP_PMC],0),MATCH(G$9,MMWR_RATING_STATE_ROLLUP_PMC[#Headers],0)),"ERROR"))</f>
        <v>143</v>
      </c>
      <c r="H46" s="155">
        <f>IF($B46=" ","",IFERROR(INDEX(MMWR_RATING_STATE_ROLLUP_PMC[],MATCH($B46,MMWR_RATING_STATE_ROLLUP_PMC[MMWR_RATING_STATE_ROLLUP_PMC],0),MATCH(H$9,MMWR_RATING_STATE_ROLLUP_PMC[#Headers],0)),"ERROR"))</f>
        <v>81.75</v>
      </c>
      <c r="I46" s="155">
        <f>IF($B46=" ","",IFERROR(INDEX(MMWR_RATING_STATE_ROLLUP_PMC[],MATCH($B46,MMWR_RATING_STATE_ROLLUP_PMC[MMWR_RATING_STATE_ROLLUP_PMC],0),MATCH(I$9,MMWR_RATING_STATE_ROLLUP_PMC[#Headers],0)),"ERROR"))</f>
        <v>100.7902097902</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898</v>
      </c>
      <c r="D47" s="155">
        <f>IF($B47=" ","",IFERROR(INDEX(MMWR_RATING_STATE_ROLLUP_PMC[],MATCH($B47,MMWR_RATING_STATE_ROLLUP_PMC[MMWR_RATING_STATE_ROLLUP_PMC],0),MATCH(D$9,MMWR_RATING_STATE_ROLLUP_PMC[#Headers],0)),"ERROR"))</f>
        <v>71.557906458800005</v>
      </c>
      <c r="E47" s="156">
        <f>IF($B47=" ","",IFERROR(INDEX(MMWR_RATING_STATE_ROLLUP_PMC[],MATCH($B47,MMWR_RATING_STATE_ROLLUP_PMC[MMWR_RATING_STATE_ROLLUP_PMC],0),MATCH(E$9,MMWR_RATING_STATE_ROLLUP_PMC[#Headers],0))/$C47,"ERROR"))</f>
        <v>0.15590200445434299</v>
      </c>
      <c r="F47" s="154">
        <f>IF($B47=" ","",IFERROR(INDEX(MMWR_RATING_STATE_ROLLUP_PMC[],MATCH($B47,MMWR_RATING_STATE_ROLLUP_PMC[MMWR_RATING_STATE_ROLLUP_PMC],0),MATCH(F$9,MMWR_RATING_STATE_ROLLUP_PMC[#Headers],0)),"ERROR"))</f>
        <v>92</v>
      </c>
      <c r="G47" s="154">
        <f>IF($B47=" ","",IFERROR(INDEX(MMWR_RATING_STATE_ROLLUP_PMC[],MATCH($B47,MMWR_RATING_STATE_ROLLUP_PMC[MMWR_RATING_STATE_ROLLUP_PMC],0),MATCH(G$9,MMWR_RATING_STATE_ROLLUP_PMC[#Headers],0)),"ERROR"))</f>
        <v>2837</v>
      </c>
      <c r="H47" s="155">
        <f>IF($B47=" ","",IFERROR(INDEX(MMWR_RATING_STATE_ROLLUP_PMC[],MATCH($B47,MMWR_RATING_STATE_ROLLUP_PMC[MMWR_RATING_STATE_ROLLUP_PMC],0),MATCH(H$9,MMWR_RATING_STATE_ROLLUP_PMC[#Headers],0)),"ERROR"))</f>
        <v>110.03260869570001</v>
      </c>
      <c r="I47" s="155">
        <f>IF($B47=" ","",IFERROR(INDEX(MMWR_RATING_STATE_ROLLUP_PMC[],MATCH($B47,MMWR_RATING_STATE_ROLLUP_PMC[MMWR_RATING_STATE_ROLLUP_PMC],0),MATCH(I$9,MMWR_RATING_STATE_ROLLUP_PMC[#Headers],0)),"ERROR"))</f>
        <v>101.5477617201</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234</v>
      </c>
      <c r="D48" s="155">
        <f>IF($B48=" ","",IFERROR(INDEX(MMWR_RATING_STATE_ROLLUP_PMC[],MATCH($B48,MMWR_RATING_STATE_ROLLUP_PMC[MMWR_RATING_STATE_ROLLUP_PMC],0),MATCH(D$9,MMWR_RATING_STATE_ROLLUP_PMC[#Headers],0)),"ERROR"))</f>
        <v>63.743589743599998</v>
      </c>
      <c r="E48" s="156">
        <f>IF($B48=" ","",IFERROR(INDEX(MMWR_RATING_STATE_ROLLUP_PMC[],MATCH($B48,MMWR_RATING_STATE_ROLLUP_PMC[MMWR_RATING_STATE_ROLLUP_PMC],0),MATCH(E$9,MMWR_RATING_STATE_ROLLUP_PMC[#Headers],0))/$C48,"ERROR"))</f>
        <v>0.10683760683760683</v>
      </c>
      <c r="F48" s="154">
        <f>IF($B48=" ","",IFERROR(INDEX(MMWR_RATING_STATE_ROLLUP_PMC[],MATCH($B48,MMWR_RATING_STATE_ROLLUP_PMC[MMWR_RATING_STATE_ROLLUP_PMC],0),MATCH(F$9,MMWR_RATING_STATE_ROLLUP_PMC[#Headers],0)),"ERROR"))</f>
        <v>26</v>
      </c>
      <c r="G48" s="154">
        <f>IF($B48=" ","",IFERROR(INDEX(MMWR_RATING_STATE_ROLLUP_PMC[],MATCH($B48,MMWR_RATING_STATE_ROLLUP_PMC[MMWR_RATING_STATE_ROLLUP_PMC],0),MATCH(G$9,MMWR_RATING_STATE_ROLLUP_PMC[#Headers],0)),"ERROR"))</f>
        <v>934</v>
      </c>
      <c r="H48" s="155">
        <f>IF($B48=" ","",IFERROR(INDEX(MMWR_RATING_STATE_ROLLUP_PMC[],MATCH($B48,MMWR_RATING_STATE_ROLLUP_PMC[MMWR_RATING_STATE_ROLLUP_PMC],0),MATCH(H$9,MMWR_RATING_STATE_ROLLUP_PMC[#Headers],0)),"ERROR"))</f>
        <v>108.5769230769</v>
      </c>
      <c r="I48" s="155">
        <f>IF($B48=" ","",IFERROR(INDEX(MMWR_RATING_STATE_ROLLUP_PMC[],MATCH($B48,MMWR_RATING_STATE_ROLLUP_PMC[MMWR_RATING_STATE_ROLLUP_PMC],0),MATCH(I$9,MMWR_RATING_STATE_ROLLUP_PMC[#Headers],0)),"ERROR"))</f>
        <v>99.638115631700003</v>
      </c>
      <c r="J48" s="42"/>
      <c r="K48" s="42"/>
      <c r="L48" s="42"/>
      <c r="M48" s="42"/>
      <c r="N48" s="28"/>
    </row>
    <row r="49" spans="1:14" x14ac:dyDescent="0.2">
      <c r="A49" s="25"/>
      <c r="B49" s="342" t="s">
        <v>1038</v>
      </c>
      <c r="C49" s="343"/>
      <c r="D49" s="343"/>
      <c r="E49" s="343"/>
      <c r="F49" s="343"/>
      <c r="G49" s="343"/>
      <c r="H49" s="343"/>
      <c r="I49" s="343"/>
      <c r="J49" s="343"/>
      <c r="K49" s="343"/>
      <c r="L49" s="343"/>
      <c r="M49" s="393"/>
      <c r="N49" s="28"/>
    </row>
    <row r="50" spans="1:14" x14ac:dyDescent="0.2">
      <c r="A50" s="25"/>
      <c r="B50" s="41" t="s">
        <v>1037</v>
      </c>
      <c r="C50" s="154">
        <f>IF($B50=" ","",IFERROR(INDEX(MMWR_RATING_STATE_ROLLUP_QST[],MATCH($B50,MMWR_RATING_STATE_ROLLUP_QST[MMWR_RATING_STATE_ROLLUP_QST],0),MATCH(C$9,MMWR_RATING_STATE_ROLLUP_QST[#Headers],0)),"ERROR"))</f>
        <v>8010</v>
      </c>
      <c r="D50" s="155">
        <f>IF($B50=" ","",IFERROR(INDEX(MMWR_RATING_STATE_ROLLUP_QST[],MATCH($B50,MMWR_RATING_STATE_ROLLUP_QST[MMWR_RATING_STATE_ROLLUP_QST],0),MATCH(D$9,MMWR_RATING_STATE_ROLLUP_QST[#Headers],0)),"ERROR"))</f>
        <v>65.303495630499995</v>
      </c>
      <c r="E50" s="156">
        <f>IF($B50=" ","",IFERROR(INDEX(MMWR_RATING_STATE_ROLLUP_QST[],MATCH($B50,MMWR_RATING_STATE_ROLLUP_QST[MMWR_RATING_STATE_ROLLUP_QST],0),MATCH(E$9,MMWR_RATING_STATE_ROLLUP_QST[#Headers],0))/$C50,"ERROR"))</f>
        <v>0.12534332084893882</v>
      </c>
      <c r="F50" s="154">
        <f>IF($B50=" ","",IFERROR(INDEX(MMWR_RATING_STATE_ROLLUP_QST[],MATCH($B50,MMWR_RATING_STATE_ROLLUP_QST[MMWR_RATING_STATE_ROLLUP_QST],0),MATCH(F$9,MMWR_RATING_STATE_ROLLUP_QST[#Headers],0)),"ERROR"))</f>
        <v>403</v>
      </c>
      <c r="G50" s="154">
        <f>IF($B50=" ","",IFERROR(INDEX(MMWR_RATING_STATE_ROLLUP_QST[],MATCH($B50,MMWR_RATING_STATE_ROLLUP_QST[MMWR_RATING_STATE_ROLLUP_QST],0),MATCH(G$9,MMWR_RATING_STATE_ROLLUP_QST[#Headers],0)),"ERROR"))</f>
        <v>21758</v>
      </c>
      <c r="H50" s="155">
        <f>IF($B50=" ","",IFERROR(INDEX(MMWR_RATING_STATE_ROLLUP_QST[],MATCH($B50,MMWR_RATING_STATE_ROLLUP_QST[MMWR_RATING_STATE_ROLLUP_QST],0),MATCH(H$9,MMWR_RATING_STATE_ROLLUP_QST[#Headers],0)),"ERROR"))</f>
        <v>113.0868486352</v>
      </c>
      <c r="I50" s="155">
        <f>IF($B50=" ","",IFERROR(INDEX(MMWR_RATING_STATE_ROLLUP_QST[],MATCH($B50,MMWR_RATING_STATE_ROLLUP_QST[MMWR_RATING_STATE_ROLLUP_QST],0),MATCH(I$9,MMWR_RATING_STATE_ROLLUP_QST[#Headers],0)),"ERROR"))</f>
        <v>137.45284493060001</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1956</v>
      </c>
      <c r="D51" s="155">
        <f>IF($B51=" ","",IFERROR(INDEX(MMWR_RATING_STATE_ROLLUP_QST[],MATCH($B51,MMWR_RATING_STATE_ROLLUP_QST[MMWR_RATING_STATE_ROLLUP_QST],0),MATCH(D$9,MMWR_RATING_STATE_ROLLUP_QST[#Headers],0)),"ERROR"))</f>
        <v>65.156952965200006</v>
      </c>
      <c r="E51" s="156">
        <f>IF($B51=" ","",IFERROR(INDEX(MMWR_RATING_STATE_ROLLUP_QST[],MATCH($B51,MMWR_RATING_STATE_ROLLUP_QST[MMWR_RATING_STATE_ROLLUP_QST],0),MATCH(E$9,MMWR_RATING_STATE_ROLLUP_QST[#Headers],0))/$C51,"ERROR"))</f>
        <v>0.12116564417177914</v>
      </c>
      <c r="F51" s="154">
        <f>IF($B51=" ","",IFERROR(INDEX(MMWR_RATING_STATE_ROLLUP_QST[],MATCH($B51,MMWR_RATING_STATE_ROLLUP_QST[MMWR_RATING_STATE_ROLLUP_QST],0),MATCH(F$9,MMWR_RATING_STATE_ROLLUP_QST[#Headers],0)),"ERROR"))</f>
        <v>86</v>
      </c>
      <c r="G51" s="154">
        <f>IF($B51=" ","",IFERROR(INDEX(MMWR_RATING_STATE_ROLLUP_QST[],MATCH($B51,MMWR_RATING_STATE_ROLLUP_QST[MMWR_RATING_STATE_ROLLUP_QST],0),MATCH(G$9,MMWR_RATING_STATE_ROLLUP_QST[#Headers],0)),"ERROR"))</f>
        <v>4776</v>
      </c>
      <c r="H51" s="155">
        <f>IF($B51=" ","",IFERROR(INDEX(MMWR_RATING_STATE_ROLLUP_QST[],MATCH($B51,MMWR_RATING_STATE_ROLLUP_QST[MMWR_RATING_STATE_ROLLUP_QST],0),MATCH(H$9,MMWR_RATING_STATE_ROLLUP_QST[#Headers],0)),"ERROR"))</f>
        <v>135.13953488370001</v>
      </c>
      <c r="I51" s="155">
        <f>IF($B51=" ","",IFERROR(INDEX(MMWR_RATING_STATE_ROLLUP_QST[],MATCH($B51,MMWR_RATING_STATE_ROLLUP_QST[MMWR_RATING_STATE_ROLLUP_QST],0),MATCH(I$9,MMWR_RATING_STATE_ROLLUP_QST[#Headers],0)),"ERROR"))</f>
        <v>146.96566164149999</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55</v>
      </c>
      <c r="D52" s="155">
        <f>IF($B52=" ","",IFERROR(INDEX(MMWR_RATING_STATE_ROLLUP_QST[],MATCH($B52,MMWR_RATING_STATE_ROLLUP_QST[MMWR_RATING_STATE_ROLLUP_QST],0),MATCH(D$9,MMWR_RATING_STATE_ROLLUP_QST[#Headers],0)),"ERROR"))</f>
        <v>64.3818181818</v>
      </c>
      <c r="E52" s="156">
        <f>IF($B52=" ","",IFERROR(INDEX(MMWR_RATING_STATE_ROLLUP_QST[],MATCH($B52,MMWR_RATING_STATE_ROLLUP_QST[MMWR_RATING_STATE_ROLLUP_QST],0),MATCH(E$9,MMWR_RATING_STATE_ROLLUP_QST[#Headers],0))/$C52,"ERROR"))</f>
        <v>0.10909090909090909</v>
      </c>
      <c r="F52" s="154">
        <f>IF($B52=" ","",IFERROR(INDEX(MMWR_RATING_STATE_ROLLUP_QST[],MATCH($B52,MMWR_RATING_STATE_ROLLUP_QST[MMWR_RATING_STATE_ROLLUP_QST],0),MATCH(F$9,MMWR_RATING_STATE_ROLLUP_QST[#Headers],0)),"ERROR"))</f>
        <v>1</v>
      </c>
      <c r="G52" s="154">
        <f>IF($B52=" ","",IFERROR(INDEX(MMWR_RATING_STATE_ROLLUP_QST[],MATCH($B52,MMWR_RATING_STATE_ROLLUP_QST[MMWR_RATING_STATE_ROLLUP_QST],0),MATCH(G$9,MMWR_RATING_STATE_ROLLUP_QST[#Headers],0)),"ERROR"))</f>
        <v>122</v>
      </c>
      <c r="H52" s="155">
        <f>IF($B52=" ","",IFERROR(INDEX(MMWR_RATING_STATE_ROLLUP_QST[],MATCH($B52,MMWR_RATING_STATE_ROLLUP_QST[MMWR_RATING_STATE_ROLLUP_QST],0),MATCH(H$9,MMWR_RATING_STATE_ROLLUP_QST[#Headers],0)),"ERROR"))</f>
        <v>41</v>
      </c>
      <c r="I52" s="155">
        <f>IF($B52=" ","",IFERROR(INDEX(MMWR_RATING_STATE_ROLLUP_QST[],MATCH($B52,MMWR_RATING_STATE_ROLLUP_QST[MMWR_RATING_STATE_ROLLUP_QST],0),MATCH(I$9,MMWR_RATING_STATE_ROLLUP_QST[#Headers],0)),"ERROR"))</f>
        <v>134.62295081970001</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13</v>
      </c>
      <c r="D53" s="155">
        <f>IF($B53=" ","",IFERROR(INDEX(MMWR_RATING_STATE_ROLLUP_QST[],MATCH($B53,MMWR_RATING_STATE_ROLLUP_QST[MMWR_RATING_STATE_ROLLUP_QST],0),MATCH(D$9,MMWR_RATING_STATE_ROLLUP_QST[#Headers],0)),"ERROR"))</f>
        <v>52.615384615399996</v>
      </c>
      <c r="E53" s="156">
        <f>IF($B53=" ","",IFERROR(INDEX(MMWR_RATING_STATE_ROLLUP_QST[],MATCH($B53,MMWR_RATING_STATE_ROLLUP_QST[MMWR_RATING_STATE_ROLLUP_QST],0),MATCH(E$9,MMWR_RATING_STATE_ROLLUP_QST[#Headers],0))/$C53,"ERROR"))</f>
        <v>0.15384615384615385</v>
      </c>
      <c r="F53" s="154">
        <f>IF($B53=" ","",IFERROR(INDEX(MMWR_RATING_STATE_ROLLUP_QST[],MATCH($B53,MMWR_RATING_STATE_ROLLUP_QST[MMWR_RATING_STATE_ROLLUP_QST],0),MATCH(F$9,MMWR_RATING_STATE_ROLLUP_QST[#Headers],0)),"ERROR"))</f>
        <v>0</v>
      </c>
      <c r="G53" s="154">
        <f>IF($B53=" ","",IFERROR(INDEX(MMWR_RATING_STATE_ROLLUP_QST[],MATCH($B53,MMWR_RATING_STATE_ROLLUP_QST[MMWR_RATING_STATE_ROLLUP_QST],0),MATCH(G$9,MMWR_RATING_STATE_ROLLUP_QST[#Headers],0)),"ERROR"))</f>
        <v>41</v>
      </c>
      <c r="H53" s="155">
        <f>IF($B53=" ","",IFERROR(INDEX(MMWR_RATING_STATE_ROLLUP_QST[],MATCH($B53,MMWR_RATING_STATE_ROLLUP_QST[MMWR_RATING_STATE_ROLLUP_QST],0),MATCH(H$9,MMWR_RATING_STATE_ROLLUP_QST[#Headers],0)),"ERROR"))</f>
        <v>0</v>
      </c>
      <c r="I53" s="155">
        <f>IF($B53=" ","",IFERROR(INDEX(MMWR_RATING_STATE_ROLLUP_QST[],MATCH($B53,MMWR_RATING_STATE_ROLLUP_QST[MMWR_RATING_STATE_ROLLUP_QST],0),MATCH(I$9,MMWR_RATING_STATE_ROLLUP_QST[#Headers],0)),"ERROR"))</f>
        <v>155.0243902439</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10</v>
      </c>
      <c r="D54" s="155">
        <f>IF($B54=" ","",IFERROR(INDEX(MMWR_RATING_STATE_ROLLUP_QST[],MATCH($B54,MMWR_RATING_STATE_ROLLUP_QST[MMWR_RATING_STATE_ROLLUP_QST],0),MATCH(D$9,MMWR_RATING_STATE_ROLLUP_QST[#Headers],0)),"ERROR"))</f>
        <v>43.9</v>
      </c>
      <c r="E54" s="156">
        <f>IF($B54=" ","",IFERROR(INDEX(MMWR_RATING_STATE_ROLLUP_QST[],MATCH($B54,MMWR_RATING_STATE_ROLLUP_QST[MMWR_RATING_STATE_ROLLUP_QST],0),MATCH(E$9,MMWR_RATING_STATE_ROLLUP_QST[#Headers],0))/$C54,"ERROR"))</f>
        <v>0.1</v>
      </c>
      <c r="F54" s="154">
        <f>IF($B54=" ","",IFERROR(INDEX(MMWR_RATING_STATE_ROLLUP_QST[],MATCH($B54,MMWR_RATING_STATE_ROLLUP_QST[MMWR_RATING_STATE_ROLLUP_QST],0),MATCH(F$9,MMWR_RATING_STATE_ROLLUP_QST[#Headers],0)),"ERROR"))</f>
        <v>0</v>
      </c>
      <c r="G54" s="154">
        <f>IF($B54=" ","",IFERROR(INDEX(MMWR_RATING_STATE_ROLLUP_QST[],MATCH($B54,MMWR_RATING_STATE_ROLLUP_QST[MMWR_RATING_STATE_ROLLUP_QST],0),MATCH(G$9,MMWR_RATING_STATE_ROLLUP_QST[#Headers],0)),"ERROR"))</f>
        <v>39</v>
      </c>
      <c r="H54" s="155">
        <f>IF($B54=" ","",IFERROR(INDEX(MMWR_RATING_STATE_ROLLUP_QST[],MATCH($B54,MMWR_RATING_STATE_ROLLUP_QST[MMWR_RATING_STATE_ROLLUP_QST],0),MATCH(H$9,MMWR_RATING_STATE_ROLLUP_QST[#Headers],0)),"ERROR"))</f>
        <v>0</v>
      </c>
      <c r="I54" s="155">
        <f>IF($B54=" ","",IFERROR(INDEX(MMWR_RATING_STATE_ROLLUP_QST[],MATCH($B54,MMWR_RATING_STATE_ROLLUP_QST[MMWR_RATING_STATE_ROLLUP_QST],0),MATCH(I$9,MMWR_RATING_STATE_ROLLUP_QST[#Headers],0)),"ERROR"))</f>
        <v>152.30769230769999</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11</v>
      </c>
      <c r="D55" s="155">
        <f>IF($B55=" ","",IFERROR(INDEX(MMWR_RATING_STATE_ROLLUP_QST[],MATCH($B55,MMWR_RATING_STATE_ROLLUP_QST[MMWR_RATING_STATE_ROLLUP_QST],0),MATCH(D$9,MMWR_RATING_STATE_ROLLUP_QST[#Headers],0)),"ERROR"))</f>
        <v>55.5454545455</v>
      </c>
      <c r="E55" s="156">
        <f>IF($B55=" ","",IFERROR(INDEX(MMWR_RATING_STATE_ROLLUP_QST[],MATCH($B55,MMWR_RATING_STATE_ROLLUP_QST[MMWR_RATING_STATE_ROLLUP_QST],0),MATCH(E$9,MMWR_RATING_STATE_ROLLUP_QST[#Headers],0))/$C55,"ERROR"))</f>
        <v>0</v>
      </c>
      <c r="F55" s="154">
        <f>IF($B55=" ","",IFERROR(INDEX(MMWR_RATING_STATE_ROLLUP_QST[],MATCH($B55,MMWR_RATING_STATE_ROLLUP_QST[MMWR_RATING_STATE_ROLLUP_QST],0),MATCH(F$9,MMWR_RATING_STATE_ROLLUP_QST[#Headers],0)),"ERROR"))</f>
        <v>2</v>
      </c>
      <c r="G55" s="154">
        <f>IF($B55=" ","",IFERROR(INDEX(MMWR_RATING_STATE_ROLLUP_QST[],MATCH($B55,MMWR_RATING_STATE_ROLLUP_QST[MMWR_RATING_STATE_ROLLUP_QST],0),MATCH(G$9,MMWR_RATING_STATE_ROLLUP_QST[#Headers],0)),"ERROR"))</f>
        <v>52</v>
      </c>
      <c r="H55" s="155">
        <f>IF($B55=" ","",IFERROR(INDEX(MMWR_RATING_STATE_ROLLUP_QST[],MATCH($B55,MMWR_RATING_STATE_ROLLUP_QST[MMWR_RATING_STATE_ROLLUP_QST],0),MATCH(H$9,MMWR_RATING_STATE_ROLLUP_QST[#Headers],0)),"ERROR"))</f>
        <v>215.5</v>
      </c>
      <c r="I55" s="155">
        <f>IF($B55=" ","",IFERROR(INDEX(MMWR_RATING_STATE_ROLLUP_QST[],MATCH($B55,MMWR_RATING_STATE_ROLLUP_QST[MMWR_RATING_STATE_ROLLUP_QST],0),MATCH(I$9,MMWR_RATING_STATE_ROLLUP_QST[#Headers],0)),"ERROR"))</f>
        <v>147.44230769230001</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181</v>
      </c>
      <c r="D56" s="155">
        <f>IF($B56=" ","",IFERROR(INDEX(MMWR_RATING_STATE_ROLLUP_QST[],MATCH($B56,MMWR_RATING_STATE_ROLLUP_QST[MMWR_RATING_STATE_ROLLUP_QST],0),MATCH(D$9,MMWR_RATING_STATE_ROLLUP_QST[#Headers],0)),"ERROR"))</f>
        <v>67.276243093900007</v>
      </c>
      <c r="E56" s="156">
        <f>IF($B56=" ","",IFERROR(INDEX(MMWR_RATING_STATE_ROLLUP_QST[],MATCH($B56,MMWR_RATING_STATE_ROLLUP_QST[MMWR_RATING_STATE_ROLLUP_QST],0),MATCH(E$9,MMWR_RATING_STATE_ROLLUP_QST[#Headers],0))/$C56,"ERROR"))</f>
        <v>0.143646408839779</v>
      </c>
      <c r="F56" s="154">
        <f>IF($B56=" ","",IFERROR(INDEX(MMWR_RATING_STATE_ROLLUP_QST[],MATCH($B56,MMWR_RATING_STATE_ROLLUP_QST[MMWR_RATING_STATE_ROLLUP_QST],0),MATCH(F$9,MMWR_RATING_STATE_ROLLUP_QST[#Headers],0)),"ERROR"))</f>
        <v>6</v>
      </c>
      <c r="G56" s="154">
        <f>IF($B56=" ","",IFERROR(INDEX(MMWR_RATING_STATE_ROLLUP_QST[],MATCH($B56,MMWR_RATING_STATE_ROLLUP_QST[MMWR_RATING_STATE_ROLLUP_QST],0),MATCH(G$9,MMWR_RATING_STATE_ROLLUP_QST[#Headers],0)),"ERROR"))</f>
        <v>511</v>
      </c>
      <c r="H56" s="155">
        <f>IF($B56=" ","",IFERROR(INDEX(MMWR_RATING_STATE_ROLLUP_QST[],MATCH($B56,MMWR_RATING_STATE_ROLLUP_QST[MMWR_RATING_STATE_ROLLUP_QST],0),MATCH(H$9,MMWR_RATING_STATE_ROLLUP_QST[#Headers],0)),"ERROR"))</f>
        <v>139.1666666667</v>
      </c>
      <c r="I56" s="155">
        <f>IF($B56=" ","",IFERROR(INDEX(MMWR_RATING_STATE_ROLLUP_QST[],MATCH($B56,MMWR_RATING_STATE_ROLLUP_QST[MMWR_RATING_STATE_ROLLUP_QST],0),MATCH(I$9,MMWR_RATING_STATE_ROLLUP_QST[#Headers],0)),"ERROR"))</f>
        <v>145.56751467710001</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79</v>
      </c>
      <c r="D57" s="155">
        <f>IF($B57=" ","",IFERROR(INDEX(MMWR_RATING_STATE_ROLLUP_QST[],MATCH($B57,MMWR_RATING_STATE_ROLLUP_QST[MMWR_RATING_STATE_ROLLUP_QST],0),MATCH(D$9,MMWR_RATING_STATE_ROLLUP_QST[#Headers],0)),"ERROR"))</f>
        <v>55.265822784800001</v>
      </c>
      <c r="E57" s="156">
        <f>IF($B57=" ","",IFERROR(INDEX(MMWR_RATING_STATE_ROLLUP_QST[],MATCH($B57,MMWR_RATING_STATE_ROLLUP_QST[MMWR_RATING_STATE_ROLLUP_QST],0),MATCH(E$9,MMWR_RATING_STATE_ROLLUP_QST[#Headers],0))/$C57,"ERROR"))</f>
        <v>6.3291139240506333E-2</v>
      </c>
      <c r="F57" s="154">
        <f>IF($B57=" ","",IFERROR(INDEX(MMWR_RATING_STATE_ROLLUP_QST[],MATCH($B57,MMWR_RATING_STATE_ROLLUP_QST[MMWR_RATING_STATE_ROLLUP_QST],0),MATCH(F$9,MMWR_RATING_STATE_ROLLUP_QST[#Headers],0)),"ERROR"))</f>
        <v>5</v>
      </c>
      <c r="G57" s="154">
        <f>IF($B57=" ","",IFERROR(INDEX(MMWR_RATING_STATE_ROLLUP_QST[],MATCH($B57,MMWR_RATING_STATE_ROLLUP_QST[MMWR_RATING_STATE_ROLLUP_QST],0),MATCH(G$9,MMWR_RATING_STATE_ROLLUP_QST[#Headers],0)),"ERROR"))</f>
        <v>198</v>
      </c>
      <c r="H57" s="155">
        <f>IF($B57=" ","",IFERROR(INDEX(MMWR_RATING_STATE_ROLLUP_QST[],MATCH($B57,MMWR_RATING_STATE_ROLLUP_QST[MMWR_RATING_STATE_ROLLUP_QST],0),MATCH(H$9,MMWR_RATING_STATE_ROLLUP_QST[#Headers],0)),"ERROR"))</f>
        <v>94.4</v>
      </c>
      <c r="I57" s="155">
        <f>IF($B57=" ","",IFERROR(INDEX(MMWR_RATING_STATE_ROLLUP_QST[],MATCH($B57,MMWR_RATING_STATE_ROLLUP_QST[MMWR_RATING_STATE_ROLLUP_QST],0),MATCH(I$9,MMWR_RATING_STATE_ROLLUP_QST[#Headers],0)),"ERROR"))</f>
        <v>136.14141414139999</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25</v>
      </c>
      <c r="D58" s="155">
        <f>IF($B58=" ","",IFERROR(INDEX(MMWR_RATING_STATE_ROLLUP_QST[],MATCH($B58,MMWR_RATING_STATE_ROLLUP_QST[MMWR_RATING_STATE_ROLLUP_QST],0),MATCH(D$9,MMWR_RATING_STATE_ROLLUP_QST[#Headers],0)),"ERROR"))</f>
        <v>70.56</v>
      </c>
      <c r="E58" s="156">
        <f>IF($B58=" ","",IFERROR(INDEX(MMWR_RATING_STATE_ROLLUP_QST[],MATCH($B58,MMWR_RATING_STATE_ROLLUP_QST[MMWR_RATING_STATE_ROLLUP_QST],0),MATCH(E$9,MMWR_RATING_STATE_ROLLUP_QST[#Headers],0))/$C58,"ERROR"))</f>
        <v>0.08</v>
      </c>
      <c r="F58" s="154">
        <f>IF($B58=" ","",IFERROR(INDEX(MMWR_RATING_STATE_ROLLUP_QST[],MATCH($B58,MMWR_RATING_STATE_ROLLUP_QST[MMWR_RATING_STATE_ROLLUP_QST],0),MATCH(F$9,MMWR_RATING_STATE_ROLLUP_QST[#Headers],0)),"ERROR"))</f>
        <v>0</v>
      </c>
      <c r="G58" s="154">
        <f>IF($B58=" ","",IFERROR(INDEX(MMWR_RATING_STATE_ROLLUP_QST[],MATCH($B58,MMWR_RATING_STATE_ROLLUP_QST[MMWR_RATING_STATE_ROLLUP_QST],0),MATCH(G$9,MMWR_RATING_STATE_ROLLUP_QST[#Headers],0)),"ERROR"))</f>
        <v>52</v>
      </c>
      <c r="H58" s="155">
        <f>IF($B58=" ","",IFERROR(INDEX(MMWR_RATING_STATE_ROLLUP_QST[],MATCH($B58,MMWR_RATING_STATE_ROLLUP_QST[MMWR_RATING_STATE_ROLLUP_QST],0),MATCH(H$9,MMWR_RATING_STATE_ROLLUP_QST[#Headers],0)),"ERROR"))</f>
        <v>0</v>
      </c>
      <c r="I58" s="155">
        <f>IF($B58=" ","",IFERROR(INDEX(MMWR_RATING_STATE_ROLLUP_QST[],MATCH($B58,MMWR_RATING_STATE_ROLLUP_QST[MMWR_RATING_STATE_ROLLUP_QST],0),MATCH(I$9,MMWR_RATING_STATE_ROLLUP_QST[#Headers],0)),"ERROR"))</f>
        <v>144.23076923080001</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95</v>
      </c>
      <c r="D59" s="155">
        <f>IF($B59=" ","",IFERROR(INDEX(MMWR_RATING_STATE_ROLLUP_QST[],MATCH($B59,MMWR_RATING_STATE_ROLLUP_QST[MMWR_RATING_STATE_ROLLUP_QST],0),MATCH(D$9,MMWR_RATING_STATE_ROLLUP_QST[#Headers],0)),"ERROR"))</f>
        <v>58.157894736800003</v>
      </c>
      <c r="E59" s="156">
        <f>IF($B59=" ","",IFERROR(INDEX(MMWR_RATING_STATE_ROLLUP_QST[],MATCH($B59,MMWR_RATING_STATE_ROLLUP_QST[MMWR_RATING_STATE_ROLLUP_QST],0),MATCH(E$9,MMWR_RATING_STATE_ROLLUP_QST[#Headers],0))/$C59,"ERROR"))</f>
        <v>0.10526315789473684</v>
      </c>
      <c r="F59" s="154">
        <f>IF($B59=" ","",IFERROR(INDEX(MMWR_RATING_STATE_ROLLUP_QST[],MATCH($B59,MMWR_RATING_STATE_ROLLUP_QST[MMWR_RATING_STATE_ROLLUP_QST],0),MATCH(F$9,MMWR_RATING_STATE_ROLLUP_QST[#Headers],0)),"ERROR"))</f>
        <v>7</v>
      </c>
      <c r="G59" s="154">
        <f>IF($B59=" ","",IFERROR(INDEX(MMWR_RATING_STATE_ROLLUP_QST[],MATCH($B59,MMWR_RATING_STATE_ROLLUP_QST[MMWR_RATING_STATE_ROLLUP_QST],0),MATCH(G$9,MMWR_RATING_STATE_ROLLUP_QST[#Headers],0)),"ERROR"))</f>
        <v>236</v>
      </c>
      <c r="H59" s="155">
        <f>IF($B59=" ","",IFERROR(INDEX(MMWR_RATING_STATE_ROLLUP_QST[],MATCH($B59,MMWR_RATING_STATE_ROLLUP_QST[MMWR_RATING_STATE_ROLLUP_QST],0),MATCH(H$9,MMWR_RATING_STATE_ROLLUP_QST[#Headers],0)),"ERROR"))</f>
        <v>140.42857142860001</v>
      </c>
      <c r="I59" s="155">
        <f>IF($B59=" ","",IFERROR(INDEX(MMWR_RATING_STATE_ROLLUP_QST[],MATCH($B59,MMWR_RATING_STATE_ROLLUP_QST[MMWR_RATING_STATE_ROLLUP_QST],0),MATCH(I$9,MMWR_RATING_STATE_ROLLUP_QST[#Headers],0)),"ERROR"))</f>
        <v>145.04661016950001</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219</v>
      </c>
      <c r="D60" s="155">
        <f>IF($B60=" ","",IFERROR(INDEX(MMWR_RATING_STATE_ROLLUP_QST[],MATCH($B60,MMWR_RATING_STATE_ROLLUP_QST[MMWR_RATING_STATE_ROLLUP_QST],0),MATCH(D$9,MMWR_RATING_STATE_ROLLUP_QST[#Headers],0)),"ERROR"))</f>
        <v>56.260273972599997</v>
      </c>
      <c r="E60" s="156">
        <f>IF($B60=" ","",IFERROR(INDEX(MMWR_RATING_STATE_ROLLUP_QST[],MATCH($B60,MMWR_RATING_STATE_ROLLUP_QST[MMWR_RATING_STATE_ROLLUP_QST],0),MATCH(E$9,MMWR_RATING_STATE_ROLLUP_QST[#Headers],0))/$C60,"ERROR"))</f>
        <v>7.3059360730593603E-2</v>
      </c>
      <c r="F60" s="154">
        <f>IF($B60=" ","",IFERROR(INDEX(MMWR_RATING_STATE_ROLLUP_QST[],MATCH($B60,MMWR_RATING_STATE_ROLLUP_QST[MMWR_RATING_STATE_ROLLUP_QST],0),MATCH(F$9,MMWR_RATING_STATE_ROLLUP_QST[#Headers],0)),"ERROR"))</f>
        <v>15</v>
      </c>
      <c r="G60" s="154">
        <f>IF($B60=" ","",IFERROR(INDEX(MMWR_RATING_STATE_ROLLUP_QST[],MATCH($B60,MMWR_RATING_STATE_ROLLUP_QST[MMWR_RATING_STATE_ROLLUP_QST],0),MATCH(G$9,MMWR_RATING_STATE_ROLLUP_QST[#Headers],0)),"ERROR"))</f>
        <v>530</v>
      </c>
      <c r="H60" s="155">
        <f>IF($B60=" ","",IFERROR(INDEX(MMWR_RATING_STATE_ROLLUP_QST[],MATCH($B60,MMWR_RATING_STATE_ROLLUP_QST[MMWR_RATING_STATE_ROLLUP_QST],0),MATCH(H$9,MMWR_RATING_STATE_ROLLUP_QST[#Headers],0)),"ERROR"))</f>
        <v>127.8666666667</v>
      </c>
      <c r="I60" s="155">
        <f>IF($B60=" ","",IFERROR(INDEX(MMWR_RATING_STATE_ROLLUP_QST[],MATCH($B60,MMWR_RATING_STATE_ROLLUP_QST[MMWR_RATING_STATE_ROLLUP_QST],0),MATCH(I$9,MMWR_RATING_STATE_ROLLUP_QST[#Headers],0)),"ERROR"))</f>
        <v>137.94339622640001</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489</v>
      </c>
      <c r="D61" s="155">
        <f>IF($B61=" ","",IFERROR(INDEX(MMWR_RATING_STATE_ROLLUP_QST[],MATCH($B61,MMWR_RATING_STATE_ROLLUP_QST[MMWR_RATING_STATE_ROLLUP_QST],0),MATCH(D$9,MMWR_RATING_STATE_ROLLUP_QST[#Headers],0)),"ERROR"))</f>
        <v>68.6871165644</v>
      </c>
      <c r="E61" s="156">
        <f>IF($B61=" ","",IFERROR(INDEX(MMWR_RATING_STATE_ROLLUP_QST[],MATCH($B61,MMWR_RATING_STATE_ROLLUP_QST[MMWR_RATING_STATE_ROLLUP_QST],0),MATCH(E$9,MMWR_RATING_STATE_ROLLUP_QST[#Headers],0))/$C61,"ERROR"))</f>
        <v>0.130879345603272</v>
      </c>
      <c r="F61" s="154">
        <f>IF($B61=" ","",IFERROR(INDEX(MMWR_RATING_STATE_ROLLUP_QST[],MATCH($B61,MMWR_RATING_STATE_ROLLUP_QST[MMWR_RATING_STATE_ROLLUP_QST],0),MATCH(F$9,MMWR_RATING_STATE_ROLLUP_QST[#Headers],0)),"ERROR"))</f>
        <v>27</v>
      </c>
      <c r="G61" s="154">
        <f>IF($B61=" ","",IFERROR(INDEX(MMWR_RATING_STATE_ROLLUP_QST[],MATCH($B61,MMWR_RATING_STATE_ROLLUP_QST[MMWR_RATING_STATE_ROLLUP_QST],0),MATCH(G$9,MMWR_RATING_STATE_ROLLUP_QST[#Headers],0)),"ERROR"))</f>
        <v>1156</v>
      </c>
      <c r="H61" s="155">
        <f>IF($B61=" ","",IFERROR(INDEX(MMWR_RATING_STATE_ROLLUP_QST[],MATCH($B61,MMWR_RATING_STATE_ROLLUP_QST[MMWR_RATING_STATE_ROLLUP_QST],0),MATCH(H$9,MMWR_RATING_STATE_ROLLUP_QST[#Headers],0)),"ERROR"))</f>
        <v>145.4074074074</v>
      </c>
      <c r="I61" s="155">
        <f>IF($B61=" ","",IFERROR(INDEX(MMWR_RATING_STATE_ROLLUP_QST[],MATCH($B61,MMWR_RATING_STATE_ROLLUP_QST[MMWR_RATING_STATE_ROLLUP_QST],0),MATCH(I$9,MMWR_RATING_STATE_ROLLUP_QST[#Headers],0)),"ERROR"))</f>
        <v>149.90224913489999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165</v>
      </c>
      <c r="D62" s="155">
        <f>IF($B62=" ","",IFERROR(INDEX(MMWR_RATING_STATE_ROLLUP_QST[],MATCH($B62,MMWR_RATING_STATE_ROLLUP_QST[MMWR_RATING_STATE_ROLLUP_QST],0),MATCH(D$9,MMWR_RATING_STATE_ROLLUP_QST[#Headers],0)),"ERROR"))</f>
        <v>66.303030303</v>
      </c>
      <c r="E62" s="156">
        <f>IF($B62=" ","",IFERROR(INDEX(MMWR_RATING_STATE_ROLLUP_QST[],MATCH($B62,MMWR_RATING_STATE_ROLLUP_QST[MMWR_RATING_STATE_ROLLUP_QST],0),MATCH(E$9,MMWR_RATING_STATE_ROLLUP_QST[#Headers],0))/$C62,"ERROR"))</f>
        <v>0.10909090909090909</v>
      </c>
      <c r="F62" s="154">
        <f>IF($B62=" ","",IFERROR(INDEX(MMWR_RATING_STATE_ROLLUP_QST[],MATCH($B62,MMWR_RATING_STATE_ROLLUP_QST[MMWR_RATING_STATE_ROLLUP_QST],0),MATCH(F$9,MMWR_RATING_STATE_ROLLUP_QST[#Headers],0)),"ERROR"))</f>
        <v>8</v>
      </c>
      <c r="G62" s="154">
        <f>IF($B62=" ","",IFERROR(INDEX(MMWR_RATING_STATE_ROLLUP_QST[],MATCH($B62,MMWR_RATING_STATE_ROLLUP_QST[MMWR_RATING_STATE_ROLLUP_QST],0),MATCH(G$9,MMWR_RATING_STATE_ROLLUP_QST[#Headers],0)),"ERROR"))</f>
        <v>426</v>
      </c>
      <c r="H62" s="155">
        <f>IF($B62=" ","",IFERROR(INDEX(MMWR_RATING_STATE_ROLLUP_QST[],MATCH($B62,MMWR_RATING_STATE_ROLLUP_QST[MMWR_RATING_STATE_ROLLUP_QST],0),MATCH(H$9,MMWR_RATING_STATE_ROLLUP_QST[#Headers],0)),"ERROR"))</f>
        <v>117.625</v>
      </c>
      <c r="I62" s="155">
        <f>IF($B62=" ","",IFERROR(INDEX(MMWR_RATING_STATE_ROLLUP_QST[],MATCH($B62,MMWR_RATING_STATE_ROLLUP_QST[MMWR_RATING_STATE_ROLLUP_QST],0),MATCH(I$9,MMWR_RATING_STATE_ROLLUP_QST[#Headers],0)),"ERROR"))</f>
        <v>140.7676056338</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6</v>
      </c>
      <c r="D63" s="155">
        <f>IF($B63=" ","",IFERROR(INDEX(MMWR_RATING_STATE_ROLLUP_QST[],MATCH($B63,MMWR_RATING_STATE_ROLLUP_QST[MMWR_RATING_STATE_ROLLUP_QST],0),MATCH(D$9,MMWR_RATING_STATE_ROLLUP_QST[#Headers],0)),"ERROR"))</f>
        <v>49.666666666700003</v>
      </c>
      <c r="E63" s="156">
        <f>IF($B63=" ","",IFERROR(INDEX(MMWR_RATING_STATE_ROLLUP_QST[],MATCH($B63,MMWR_RATING_STATE_ROLLUP_QST[MMWR_RATING_STATE_ROLLUP_QST],0),MATCH(E$9,MMWR_RATING_STATE_ROLLUP_QST[#Headers],0))/$C63,"ERROR"))</f>
        <v>0</v>
      </c>
      <c r="F63" s="154">
        <f>IF($B63=" ","",IFERROR(INDEX(MMWR_RATING_STATE_ROLLUP_QST[],MATCH($B63,MMWR_RATING_STATE_ROLLUP_QST[MMWR_RATING_STATE_ROLLUP_QST],0),MATCH(F$9,MMWR_RATING_STATE_ROLLUP_QST[#Headers],0)),"ERROR"))</f>
        <v>1</v>
      </c>
      <c r="G63" s="154">
        <f>IF($B63=" ","",IFERROR(INDEX(MMWR_RATING_STATE_ROLLUP_QST[],MATCH($B63,MMWR_RATING_STATE_ROLLUP_QST[MMWR_RATING_STATE_ROLLUP_QST],0),MATCH(G$9,MMWR_RATING_STATE_ROLLUP_QST[#Headers],0)),"ERROR"))</f>
        <v>29</v>
      </c>
      <c r="H63" s="155">
        <f>IF($B63=" ","",IFERROR(INDEX(MMWR_RATING_STATE_ROLLUP_QST[],MATCH($B63,MMWR_RATING_STATE_ROLLUP_QST[MMWR_RATING_STATE_ROLLUP_QST],0),MATCH(H$9,MMWR_RATING_STATE_ROLLUP_QST[#Headers],0)),"ERROR"))</f>
        <v>123</v>
      </c>
      <c r="I63" s="155">
        <f>IF($B63=" ","",IFERROR(INDEX(MMWR_RATING_STATE_ROLLUP_QST[],MATCH($B63,MMWR_RATING_STATE_ROLLUP_QST[MMWR_RATING_STATE_ROLLUP_QST],0),MATCH(I$9,MMWR_RATING_STATE_ROLLUP_QST[#Headers],0)),"ERROR"))</f>
        <v>152.7586206897</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9</v>
      </c>
      <c r="D64" s="155">
        <f>IF($B64=" ","",IFERROR(INDEX(MMWR_RATING_STATE_ROLLUP_QST[],MATCH($B64,MMWR_RATING_STATE_ROLLUP_QST[MMWR_RATING_STATE_ROLLUP_QST],0),MATCH(D$9,MMWR_RATING_STATE_ROLLUP_QST[#Headers],0)),"ERROR"))</f>
        <v>36.666666666700003</v>
      </c>
      <c r="E64" s="156">
        <f>IF($B64=" ","",IFERROR(INDEX(MMWR_RATING_STATE_ROLLUP_QST[],MATCH($B64,MMWR_RATING_STATE_ROLLUP_QST[MMWR_RATING_STATE_ROLLUP_QST],0),MATCH(E$9,MMWR_RATING_STATE_ROLLUP_QST[#Headers],0))/$C64,"ERROR"))</f>
        <v>0.1111111111111111</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13</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148.61538461539999</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577</v>
      </c>
      <c r="D65" s="155">
        <f>IF($B65=" ","",IFERROR(INDEX(MMWR_RATING_STATE_ROLLUP_QST[],MATCH($B65,MMWR_RATING_STATE_ROLLUP_QST[MMWR_RATING_STATE_ROLLUP_QST],0),MATCH(D$9,MMWR_RATING_STATE_ROLLUP_QST[#Headers],0)),"ERROR"))</f>
        <v>68.175043327599994</v>
      </c>
      <c r="E65" s="156">
        <f>IF($B65=" ","",IFERROR(INDEX(MMWR_RATING_STATE_ROLLUP_QST[],MATCH($B65,MMWR_RATING_STATE_ROLLUP_QST[MMWR_RATING_STATE_ROLLUP_QST],0),MATCH(E$9,MMWR_RATING_STATE_ROLLUP_QST[#Headers],0))/$C65,"ERROR"))</f>
        <v>0.14211438474870017</v>
      </c>
      <c r="F65" s="154">
        <f>IF($B65=" ","",IFERROR(INDEX(MMWR_RATING_STATE_ROLLUP_QST[],MATCH($B65,MMWR_RATING_STATE_ROLLUP_QST[MMWR_RATING_STATE_ROLLUP_QST],0),MATCH(F$9,MMWR_RATING_STATE_ROLLUP_QST[#Headers],0)),"ERROR"))</f>
        <v>14</v>
      </c>
      <c r="G65" s="154">
        <f>IF($B65=" ","",IFERROR(INDEX(MMWR_RATING_STATE_ROLLUP_QST[],MATCH($B65,MMWR_RATING_STATE_ROLLUP_QST[MMWR_RATING_STATE_ROLLUP_QST],0),MATCH(G$9,MMWR_RATING_STATE_ROLLUP_QST[#Headers],0)),"ERROR"))</f>
        <v>1325</v>
      </c>
      <c r="H65" s="155">
        <f>IF($B65=" ","",IFERROR(INDEX(MMWR_RATING_STATE_ROLLUP_QST[],MATCH($B65,MMWR_RATING_STATE_ROLLUP_QST[MMWR_RATING_STATE_ROLLUP_QST],0),MATCH(H$9,MMWR_RATING_STATE_ROLLUP_QST[#Headers],0)),"ERROR"))</f>
        <v>139.42857142860001</v>
      </c>
      <c r="I65" s="155">
        <f>IF($B65=" ","",IFERROR(INDEX(MMWR_RATING_STATE_ROLLUP_QST[],MATCH($B65,MMWR_RATING_STATE_ROLLUP_QST[MMWR_RATING_STATE_ROLLUP_QST],0),MATCH(I$9,MMWR_RATING_STATE_ROLLUP_QST[#Headers],0)),"ERROR"))</f>
        <v>153.41358490569999</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22</v>
      </c>
      <c r="D66" s="155">
        <f>IF($B66=" ","",IFERROR(INDEX(MMWR_RATING_STATE_ROLLUP_QST[],MATCH($B66,MMWR_RATING_STATE_ROLLUP_QST[MMWR_RATING_STATE_ROLLUP_QST],0),MATCH(D$9,MMWR_RATING_STATE_ROLLUP_QST[#Headers],0)),"ERROR"))</f>
        <v>69.363636363599994</v>
      </c>
      <c r="E66" s="156">
        <f>IF($B66=" ","",IFERROR(INDEX(MMWR_RATING_STATE_ROLLUP_QST[],MATCH($B66,MMWR_RATING_STATE_ROLLUP_QST[MMWR_RATING_STATE_ROLLUP_QST],0),MATCH(E$9,MMWR_RATING_STATE_ROLLUP_QST[#Headers],0))/$C66,"ERROR"))</f>
        <v>0.18181818181818182</v>
      </c>
      <c r="F66" s="154">
        <f>IF($B66=" ","",IFERROR(INDEX(MMWR_RATING_STATE_ROLLUP_QST[],MATCH($B66,MMWR_RATING_STATE_ROLLUP_QST[MMWR_RATING_STATE_ROLLUP_QST],0),MATCH(F$9,MMWR_RATING_STATE_ROLLUP_QST[#Headers],0)),"ERROR"))</f>
        <v>0</v>
      </c>
      <c r="G66" s="154">
        <f>IF($B66=" ","",IFERROR(INDEX(MMWR_RATING_STATE_ROLLUP_QST[],MATCH($B66,MMWR_RATING_STATE_ROLLUP_QST[MMWR_RATING_STATE_ROLLUP_QST],0),MATCH(G$9,MMWR_RATING_STATE_ROLLUP_QST[#Headers],0)),"ERROR"))</f>
        <v>46</v>
      </c>
      <c r="H66" s="155">
        <f>IF($B66=" ","",IFERROR(INDEX(MMWR_RATING_STATE_ROLLUP_QST[],MATCH($B66,MMWR_RATING_STATE_ROLLUP_QST[MMWR_RATING_STATE_ROLLUP_QST],0),MATCH(H$9,MMWR_RATING_STATE_ROLLUP_QST[#Headers],0)),"ERROR"))</f>
        <v>0</v>
      </c>
      <c r="I66" s="155">
        <f>IF($B66=" ","",IFERROR(INDEX(MMWR_RATING_STATE_ROLLUP_QST[],MATCH($B66,MMWR_RATING_STATE_ROLLUP_QST[MMWR_RATING_STATE_ROLLUP_QST],0),MATCH(I$9,MMWR_RATING_STATE_ROLLUP_QST[#Headers],0)),"ERROR"))</f>
        <v>140.21739130430001</v>
      </c>
      <c r="J66" s="42"/>
      <c r="K66" s="42"/>
      <c r="L66" s="42"/>
      <c r="M66" s="42"/>
      <c r="N66" s="28"/>
    </row>
    <row r="67" spans="1:14" x14ac:dyDescent="0.2">
      <c r="A67" s="25"/>
      <c r="B67" s="342" t="s">
        <v>1039</v>
      </c>
      <c r="C67" s="343"/>
      <c r="D67" s="343"/>
      <c r="E67" s="343"/>
      <c r="F67" s="343"/>
      <c r="G67" s="343"/>
      <c r="H67" s="343"/>
      <c r="I67" s="343"/>
      <c r="J67" s="343"/>
      <c r="K67" s="343"/>
      <c r="L67" s="343"/>
      <c r="M67" s="393"/>
      <c r="N67" s="28"/>
    </row>
    <row r="68" spans="1:14" ht="25.5" x14ac:dyDescent="0.2">
      <c r="A68" s="25"/>
      <c r="B68" s="250" t="s">
        <v>1035</v>
      </c>
      <c r="C68" s="154">
        <f>IF($B68=" ","",IFERROR(INDEX(MMWR_RATING_STATE_ROLLUP_BDD[],MATCH($B68,MMWR_RATING_STATE_ROLLUP_BDD[MMWR_RATING_STATE_ROLLUP_BDD],0),MATCH(C$9,MMWR_RATING_STATE_ROLLUP_BDD[#Headers],0)),"ERROR"))</f>
        <v>9094</v>
      </c>
      <c r="D68" s="155">
        <f>IF($B68=" ","",IFERROR(INDEX(MMWR_RATING_STATE_ROLLUP_BDD[],MATCH($B68,MMWR_RATING_STATE_ROLLUP_BDD[MMWR_RATING_STATE_ROLLUP_BDD],0),MATCH(D$9,MMWR_RATING_STATE_ROLLUP_BDD[#Headers],0)),"ERROR"))</f>
        <v>57.927094787800002</v>
      </c>
      <c r="E68" s="156">
        <f>IF($B68=" ","",IFERROR(INDEX(MMWR_RATING_STATE_ROLLUP_BDD[],MATCH($B68,MMWR_RATING_STATE_ROLLUP_BDD[MMWR_RATING_STATE_ROLLUP_BDD],0),MATCH(E$9,MMWR_RATING_STATE_ROLLUP_BDD[#Headers],0))/$C68,"ERROR"))</f>
        <v>0.10897294919727293</v>
      </c>
      <c r="F68" s="154">
        <f>IF($B68=" ","",IFERROR(INDEX(MMWR_RATING_STATE_ROLLUP_BDD[],MATCH($B68,MMWR_RATING_STATE_ROLLUP_BDD[MMWR_RATING_STATE_ROLLUP_BDD],0),MATCH(F$9,MMWR_RATING_STATE_ROLLUP_BDD[#Headers],0)),"ERROR"))</f>
        <v>398</v>
      </c>
      <c r="G68" s="154">
        <f>IF($B68=" ","",IFERROR(INDEX(MMWR_RATING_STATE_ROLLUP_BDD[],MATCH($B68,MMWR_RATING_STATE_ROLLUP_BDD[MMWR_RATING_STATE_ROLLUP_BDD],0),MATCH(G$9,MMWR_RATING_STATE_ROLLUP_BDD[#Headers],0)),"ERROR"))</f>
        <v>24674</v>
      </c>
      <c r="H68" s="155">
        <f>IF($B68=" ","",IFERROR(INDEX(MMWR_RATING_STATE_ROLLUP_BDD[],MATCH($B68,MMWR_RATING_STATE_ROLLUP_BDD[MMWR_RATING_STATE_ROLLUP_BDD],0),MATCH(H$9,MMWR_RATING_STATE_ROLLUP_BDD[#Headers],0)),"ERROR"))</f>
        <v>102.1457286432</v>
      </c>
      <c r="I68" s="155">
        <f>IF($B68=" ","",IFERROR(INDEX(MMWR_RATING_STATE_ROLLUP_BDD[],MATCH($B68,MMWR_RATING_STATE_ROLLUP_BDD[MMWR_RATING_STATE_ROLLUP_BDD],0),MATCH(I$9,MMWR_RATING_STATE_ROLLUP_BDD[#Headers],0)),"ERROR"))</f>
        <v>130.6547783092</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2420</v>
      </c>
      <c r="D69" s="155">
        <f>IF($B69=" ","",IFERROR(INDEX(MMWR_RATING_STATE_ROLLUP_BDD[],MATCH($B69,MMWR_RATING_STATE_ROLLUP_BDD[MMWR_RATING_STATE_ROLLUP_BDD],0),MATCH(D$9,MMWR_RATING_STATE_ROLLUP_BDD[#Headers],0)),"ERROR"))</f>
        <v>53.837190082600003</v>
      </c>
      <c r="E69" s="156">
        <f>IF($B69=" ","",IFERROR(INDEX(MMWR_RATING_STATE_ROLLUP_BDD[],MATCH($B69,MMWR_RATING_STATE_ROLLUP_BDD[MMWR_RATING_STATE_ROLLUP_BDD],0),MATCH(E$9,MMWR_RATING_STATE_ROLLUP_BDD[#Headers],0))/$C69,"ERROR"))</f>
        <v>0.1012396694214876</v>
      </c>
      <c r="F69" s="154">
        <f>IF($B69=" ","",IFERROR(INDEX(MMWR_RATING_STATE_ROLLUP_BDD[],MATCH($B69,MMWR_RATING_STATE_ROLLUP_BDD[MMWR_RATING_STATE_ROLLUP_BDD],0),MATCH(F$9,MMWR_RATING_STATE_ROLLUP_BDD[#Headers],0)),"ERROR"))</f>
        <v>106</v>
      </c>
      <c r="G69" s="154">
        <f>IF($B69=" ","",IFERROR(INDEX(MMWR_RATING_STATE_ROLLUP_BDD[],MATCH($B69,MMWR_RATING_STATE_ROLLUP_BDD[MMWR_RATING_STATE_ROLLUP_BDD],0),MATCH(G$9,MMWR_RATING_STATE_ROLLUP_BDD[#Headers],0)),"ERROR"))</f>
        <v>6513</v>
      </c>
      <c r="H69" s="155">
        <f>IF($B69=" ","",IFERROR(INDEX(MMWR_RATING_STATE_ROLLUP_BDD[],MATCH($B69,MMWR_RATING_STATE_ROLLUP_BDD[MMWR_RATING_STATE_ROLLUP_BDD],0),MATCH(H$9,MMWR_RATING_STATE_ROLLUP_BDD[#Headers],0)),"ERROR"))</f>
        <v>101.1603773585</v>
      </c>
      <c r="I69" s="155">
        <f>IF($B69=" ","",IFERROR(INDEX(MMWR_RATING_STATE_ROLLUP_BDD[],MATCH($B69,MMWR_RATING_STATE_ROLLUP_BDD[MMWR_RATING_STATE_ROLLUP_BDD],0),MATCH(I$9,MMWR_RATING_STATE_ROLLUP_BDD[#Headers],0)),"ERROR"))</f>
        <v>140.71057884230001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38</v>
      </c>
      <c r="D70" s="155">
        <f>IF($B70=" ","",IFERROR(INDEX(MMWR_RATING_STATE_ROLLUP_BDD[],MATCH($B70,MMWR_RATING_STATE_ROLLUP_BDD[MMWR_RATING_STATE_ROLLUP_BDD],0),MATCH(D$9,MMWR_RATING_STATE_ROLLUP_BDD[#Headers],0)),"ERROR"))</f>
        <v>59.763157894700001</v>
      </c>
      <c r="E70" s="156">
        <f>IF($B70=" ","",IFERROR(INDEX(MMWR_RATING_STATE_ROLLUP_BDD[],MATCH($B70,MMWR_RATING_STATE_ROLLUP_BDD[MMWR_RATING_STATE_ROLLUP_BDD],0),MATCH(E$9,MMWR_RATING_STATE_ROLLUP_BDD[#Headers],0))/$C70,"ERROR"))</f>
        <v>7.8947368421052627E-2</v>
      </c>
      <c r="F70" s="154">
        <f>IF($B70=" ","",IFERROR(INDEX(MMWR_RATING_STATE_ROLLUP_BDD[],MATCH($B70,MMWR_RATING_STATE_ROLLUP_BDD[MMWR_RATING_STATE_ROLLUP_BDD],0),MATCH(F$9,MMWR_RATING_STATE_ROLLUP_BDD[#Headers],0)),"ERROR"))</f>
        <v>4</v>
      </c>
      <c r="G70" s="154">
        <f>IF($B70=" ","",IFERROR(INDEX(MMWR_RATING_STATE_ROLLUP_BDD[],MATCH($B70,MMWR_RATING_STATE_ROLLUP_BDD[MMWR_RATING_STATE_ROLLUP_BDD],0),MATCH(G$9,MMWR_RATING_STATE_ROLLUP_BDD[#Headers],0)),"ERROR"))</f>
        <v>138</v>
      </c>
      <c r="H70" s="155">
        <f>IF($B70=" ","",IFERROR(INDEX(MMWR_RATING_STATE_ROLLUP_BDD[],MATCH($B70,MMWR_RATING_STATE_ROLLUP_BDD[MMWR_RATING_STATE_ROLLUP_BDD],0),MATCH(H$9,MMWR_RATING_STATE_ROLLUP_BDD[#Headers],0)),"ERROR"))</f>
        <v>63.25</v>
      </c>
      <c r="I70" s="155">
        <f>IF($B70=" ","",IFERROR(INDEX(MMWR_RATING_STATE_ROLLUP_BDD[],MATCH($B70,MMWR_RATING_STATE_ROLLUP_BDD[MMWR_RATING_STATE_ROLLUP_BDD],0),MATCH(I$9,MMWR_RATING_STATE_ROLLUP_BDD[#Headers],0)),"ERROR"))</f>
        <v>133.36231884060001</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20</v>
      </c>
      <c r="D71" s="155">
        <f>IF($B71=" ","",IFERROR(INDEX(MMWR_RATING_STATE_ROLLUP_BDD[],MATCH($B71,MMWR_RATING_STATE_ROLLUP_BDD[MMWR_RATING_STATE_ROLLUP_BDD],0),MATCH(D$9,MMWR_RATING_STATE_ROLLUP_BDD[#Headers],0)),"ERROR"))</f>
        <v>63.65</v>
      </c>
      <c r="E71" s="156">
        <f>IF($B71=" ","",IFERROR(INDEX(MMWR_RATING_STATE_ROLLUP_BDD[],MATCH($B71,MMWR_RATING_STATE_ROLLUP_BDD[MMWR_RATING_STATE_ROLLUP_BDD],0),MATCH(E$9,MMWR_RATING_STATE_ROLLUP_BDD[#Headers],0))/$C71,"ERROR"))</f>
        <v>0.15</v>
      </c>
      <c r="F71" s="154">
        <f>IF($B71=" ","",IFERROR(INDEX(MMWR_RATING_STATE_ROLLUP_BDD[],MATCH($B71,MMWR_RATING_STATE_ROLLUP_BDD[MMWR_RATING_STATE_ROLLUP_BDD],0),MATCH(F$9,MMWR_RATING_STATE_ROLLUP_BDD[#Headers],0)),"ERROR"))</f>
        <v>0</v>
      </c>
      <c r="G71" s="154">
        <f>IF($B71=" ","",IFERROR(INDEX(MMWR_RATING_STATE_ROLLUP_BDD[],MATCH($B71,MMWR_RATING_STATE_ROLLUP_BDD[MMWR_RATING_STATE_ROLLUP_BDD],0),MATCH(G$9,MMWR_RATING_STATE_ROLLUP_BDD[#Headers],0)),"ERROR"))</f>
        <v>53</v>
      </c>
      <c r="H71" s="155">
        <f>IF($B71=" ","",IFERROR(INDEX(MMWR_RATING_STATE_ROLLUP_BDD[],MATCH($B71,MMWR_RATING_STATE_ROLLUP_BDD[MMWR_RATING_STATE_ROLLUP_BDD],0),MATCH(H$9,MMWR_RATING_STATE_ROLLUP_BDD[#Headers],0)),"ERROR"))</f>
        <v>0</v>
      </c>
      <c r="I71" s="155">
        <f>IF($B71=" ","",IFERROR(INDEX(MMWR_RATING_STATE_ROLLUP_BDD[],MATCH($B71,MMWR_RATING_STATE_ROLLUP_BDD[MMWR_RATING_STATE_ROLLUP_BDD],0),MATCH(I$9,MMWR_RATING_STATE_ROLLUP_BDD[#Headers],0)),"ERROR"))</f>
        <v>151.86792452829999</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15</v>
      </c>
      <c r="D72" s="155">
        <f>IF($B72=" ","",IFERROR(INDEX(MMWR_RATING_STATE_ROLLUP_BDD[],MATCH($B72,MMWR_RATING_STATE_ROLLUP_BDD[MMWR_RATING_STATE_ROLLUP_BDD],0),MATCH(D$9,MMWR_RATING_STATE_ROLLUP_BDD[#Headers],0)),"ERROR"))</f>
        <v>35.266666666699997</v>
      </c>
      <c r="E72" s="156">
        <f>IF($B72=" ","",IFERROR(INDEX(MMWR_RATING_STATE_ROLLUP_BDD[],MATCH($B72,MMWR_RATING_STATE_ROLLUP_BDD[MMWR_RATING_STATE_ROLLUP_BDD],0),MATCH(E$9,MMWR_RATING_STATE_ROLLUP_BDD[#Headers],0))/$C72,"ERROR"))</f>
        <v>0</v>
      </c>
      <c r="F72" s="154">
        <f>IF($B72=" ","",IFERROR(INDEX(MMWR_RATING_STATE_ROLLUP_BDD[],MATCH($B72,MMWR_RATING_STATE_ROLLUP_BDD[MMWR_RATING_STATE_ROLLUP_BDD],0),MATCH(F$9,MMWR_RATING_STATE_ROLLUP_BDD[#Headers],0)),"ERROR"))</f>
        <v>1</v>
      </c>
      <c r="G72" s="154">
        <f>IF($B72=" ","",IFERROR(INDEX(MMWR_RATING_STATE_ROLLUP_BDD[],MATCH($B72,MMWR_RATING_STATE_ROLLUP_BDD[MMWR_RATING_STATE_ROLLUP_BDD],0),MATCH(G$9,MMWR_RATING_STATE_ROLLUP_BDD[#Headers],0)),"ERROR"))</f>
        <v>56</v>
      </c>
      <c r="H72" s="155">
        <f>IF($B72=" ","",IFERROR(INDEX(MMWR_RATING_STATE_ROLLUP_BDD[],MATCH($B72,MMWR_RATING_STATE_ROLLUP_BDD[MMWR_RATING_STATE_ROLLUP_BDD],0),MATCH(H$9,MMWR_RATING_STATE_ROLLUP_BDD[#Headers],0)),"ERROR"))</f>
        <v>61</v>
      </c>
      <c r="I72" s="155">
        <f>IF($B72=" ","",IFERROR(INDEX(MMWR_RATING_STATE_ROLLUP_BDD[],MATCH($B72,MMWR_RATING_STATE_ROLLUP_BDD[MMWR_RATING_STATE_ROLLUP_BDD],0),MATCH(I$9,MMWR_RATING_STATE_ROLLUP_BDD[#Headers],0)),"ERROR"))</f>
        <v>129.5178571429</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12</v>
      </c>
      <c r="D73" s="155">
        <f>IF($B73=" ","",IFERROR(INDEX(MMWR_RATING_STATE_ROLLUP_BDD[],MATCH($B73,MMWR_RATING_STATE_ROLLUP_BDD[MMWR_RATING_STATE_ROLLUP_BDD],0),MATCH(D$9,MMWR_RATING_STATE_ROLLUP_BDD[#Headers],0)),"ERROR"))</f>
        <v>35.25</v>
      </c>
      <c r="E73" s="156">
        <f>IF($B73=" ","",IFERROR(INDEX(MMWR_RATING_STATE_ROLLUP_BDD[],MATCH($B73,MMWR_RATING_STATE_ROLLUP_BDD[MMWR_RATING_STATE_ROLLUP_BDD],0),MATCH(E$9,MMWR_RATING_STATE_ROLLUP_BDD[#Headers],0))/$C73,"ERROR"))</f>
        <v>0</v>
      </c>
      <c r="F73" s="154">
        <f>IF($B73=" ","",IFERROR(INDEX(MMWR_RATING_STATE_ROLLUP_BDD[],MATCH($B73,MMWR_RATING_STATE_ROLLUP_BDD[MMWR_RATING_STATE_ROLLUP_BDD],0),MATCH(F$9,MMWR_RATING_STATE_ROLLUP_BDD[#Headers],0)),"ERROR"))</f>
        <v>2</v>
      </c>
      <c r="G73" s="154">
        <f>IF($B73=" ","",IFERROR(INDEX(MMWR_RATING_STATE_ROLLUP_BDD[],MATCH($B73,MMWR_RATING_STATE_ROLLUP_BDD[MMWR_RATING_STATE_ROLLUP_BDD],0),MATCH(G$9,MMWR_RATING_STATE_ROLLUP_BDD[#Headers],0)),"ERROR"))</f>
        <v>54</v>
      </c>
      <c r="H73" s="155">
        <f>IF($B73=" ","",IFERROR(INDEX(MMWR_RATING_STATE_ROLLUP_BDD[],MATCH($B73,MMWR_RATING_STATE_ROLLUP_BDD[MMWR_RATING_STATE_ROLLUP_BDD],0),MATCH(H$9,MMWR_RATING_STATE_ROLLUP_BDD[#Headers],0)),"ERROR"))</f>
        <v>47</v>
      </c>
      <c r="I73" s="155">
        <f>IF($B73=" ","",IFERROR(INDEX(MMWR_RATING_STATE_ROLLUP_BDD[],MATCH($B73,MMWR_RATING_STATE_ROLLUP_BDD[MMWR_RATING_STATE_ROLLUP_BDD],0),MATCH(I$9,MMWR_RATING_STATE_ROLLUP_BDD[#Headers],0)),"ERROR"))</f>
        <v>128.9074074074</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208</v>
      </c>
      <c r="D74" s="155">
        <f>IF($B74=" ","",IFERROR(INDEX(MMWR_RATING_STATE_ROLLUP_BDD[],MATCH($B74,MMWR_RATING_STATE_ROLLUP_BDD[MMWR_RATING_STATE_ROLLUP_BDD],0),MATCH(D$9,MMWR_RATING_STATE_ROLLUP_BDD[#Headers],0)),"ERROR"))</f>
        <v>57.879807692299998</v>
      </c>
      <c r="E74" s="156">
        <f>IF($B74=" ","",IFERROR(INDEX(MMWR_RATING_STATE_ROLLUP_BDD[],MATCH($B74,MMWR_RATING_STATE_ROLLUP_BDD[MMWR_RATING_STATE_ROLLUP_BDD],0),MATCH(E$9,MMWR_RATING_STATE_ROLLUP_BDD[#Headers],0))/$C74,"ERROR"))</f>
        <v>0.11057692307692307</v>
      </c>
      <c r="F74" s="154">
        <f>IF($B74=" ","",IFERROR(INDEX(MMWR_RATING_STATE_ROLLUP_BDD[],MATCH($B74,MMWR_RATING_STATE_ROLLUP_BDD[MMWR_RATING_STATE_ROLLUP_BDD],0),MATCH(F$9,MMWR_RATING_STATE_ROLLUP_BDD[#Headers],0)),"ERROR"))</f>
        <v>11</v>
      </c>
      <c r="G74" s="154">
        <f>IF($B74=" ","",IFERROR(INDEX(MMWR_RATING_STATE_ROLLUP_BDD[],MATCH($B74,MMWR_RATING_STATE_ROLLUP_BDD[MMWR_RATING_STATE_ROLLUP_BDD],0),MATCH(G$9,MMWR_RATING_STATE_ROLLUP_BDD[#Headers],0)),"ERROR"))</f>
        <v>716</v>
      </c>
      <c r="H74" s="155">
        <f>IF($B74=" ","",IFERROR(INDEX(MMWR_RATING_STATE_ROLLUP_BDD[],MATCH($B74,MMWR_RATING_STATE_ROLLUP_BDD[MMWR_RATING_STATE_ROLLUP_BDD],0),MATCH(H$9,MMWR_RATING_STATE_ROLLUP_BDD[#Headers],0)),"ERROR"))</f>
        <v>109.9090909091</v>
      </c>
      <c r="I74" s="155">
        <f>IF($B74=" ","",IFERROR(INDEX(MMWR_RATING_STATE_ROLLUP_BDD[],MATCH($B74,MMWR_RATING_STATE_ROLLUP_BDD[MMWR_RATING_STATE_ROLLUP_BDD],0),MATCH(I$9,MMWR_RATING_STATE_ROLLUP_BDD[#Headers],0)),"ERROR"))</f>
        <v>142.1634078212</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60</v>
      </c>
      <c r="D75" s="155">
        <f>IF($B75=" ","",IFERROR(INDEX(MMWR_RATING_STATE_ROLLUP_BDD[],MATCH($B75,MMWR_RATING_STATE_ROLLUP_BDD[MMWR_RATING_STATE_ROLLUP_BDD],0),MATCH(D$9,MMWR_RATING_STATE_ROLLUP_BDD[#Headers],0)),"ERROR"))</f>
        <v>55</v>
      </c>
      <c r="E75" s="156">
        <f>IF($B75=" ","",IFERROR(INDEX(MMWR_RATING_STATE_ROLLUP_BDD[],MATCH($B75,MMWR_RATING_STATE_ROLLUP_BDD[MMWR_RATING_STATE_ROLLUP_BDD],0),MATCH(E$9,MMWR_RATING_STATE_ROLLUP_BDD[#Headers],0))/$C75,"ERROR"))</f>
        <v>6.6666666666666666E-2</v>
      </c>
      <c r="F75" s="154">
        <f>IF($B75=" ","",IFERROR(INDEX(MMWR_RATING_STATE_ROLLUP_BDD[],MATCH($B75,MMWR_RATING_STATE_ROLLUP_BDD[MMWR_RATING_STATE_ROLLUP_BDD],0),MATCH(F$9,MMWR_RATING_STATE_ROLLUP_BDD[#Headers],0)),"ERROR"))</f>
        <v>3</v>
      </c>
      <c r="G75" s="154">
        <f>IF($B75=" ","",IFERROR(INDEX(MMWR_RATING_STATE_ROLLUP_BDD[],MATCH($B75,MMWR_RATING_STATE_ROLLUP_BDD[MMWR_RATING_STATE_ROLLUP_BDD],0),MATCH(G$9,MMWR_RATING_STATE_ROLLUP_BDD[#Headers],0)),"ERROR"))</f>
        <v>121</v>
      </c>
      <c r="H75" s="155">
        <f>IF($B75=" ","",IFERROR(INDEX(MMWR_RATING_STATE_ROLLUP_BDD[],MATCH($B75,MMWR_RATING_STATE_ROLLUP_BDD[MMWR_RATING_STATE_ROLLUP_BDD],0),MATCH(H$9,MMWR_RATING_STATE_ROLLUP_BDD[#Headers],0)),"ERROR"))</f>
        <v>41</v>
      </c>
      <c r="I75" s="155">
        <f>IF($B75=" ","",IFERROR(INDEX(MMWR_RATING_STATE_ROLLUP_BDD[],MATCH($B75,MMWR_RATING_STATE_ROLLUP_BDD[MMWR_RATING_STATE_ROLLUP_BDD],0),MATCH(I$9,MMWR_RATING_STATE_ROLLUP_BDD[#Headers],0)),"ERROR"))</f>
        <v>122.2314049587</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8</v>
      </c>
      <c r="D76" s="155">
        <f>IF($B76=" ","",IFERROR(INDEX(MMWR_RATING_STATE_ROLLUP_BDD[],MATCH($B76,MMWR_RATING_STATE_ROLLUP_BDD[MMWR_RATING_STATE_ROLLUP_BDD],0),MATCH(D$9,MMWR_RATING_STATE_ROLLUP_BDD[#Headers],0)),"ERROR"))</f>
        <v>37.5</v>
      </c>
      <c r="E76" s="156">
        <f>IF($B76=" ","",IFERROR(INDEX(MMWR_RATING_STATE_ROLLUP_BDD[],MATCH($B76,MMWR_RATING_STATE_ROLLUP_BDD[MMWR_RATING_STATE_ROLLUP_BDD],0),MATCH(E$9,MMWR_RATING_STATE_ROLLUP_BDD[#Headers],0))/$C76,"ERROR"))</f>
        <v>0.125</v>
      </c>
      <c r="F76" s="154">
        <f>IF($B76=" ","",IFERROR(INDEX(MMWR_RATING_STATE_ROLLUP_BDD[],MATCH($B76,MMWR_RATING_STATE_ROLLUP_BDD[MMWR_RATING_STATE_ROLLUP_BDD],0),MATCH(F$9,MMWR_RATING_STATE_ROLLUP_BDD[#Headers],0)),"ERROR"))</f>
        <v>1</v>
      </c>
      <c r="G76" s="154">
        <f>IF($B76=" ","",IFERROR(INDEX(MMWR_RATING_STATE_ROLLUP_BDD[],MATCH($B76,MMWR_RATING_STATE_ROLLUP_BDD[MMWR_RATING_STATE_ROLLUP_BDD],0),MATCH(G$9,MMWR_RATING_STATE_ROLLUP_BDD[#Headers],0)),"ERROR"))</f>
        <v>51</v>
      </c>
      <c r="H76" s="155">
        <f>IF($B76=" ","",IFERROR(INDEX(MMWR_RATING_STATE_ROLLUP_BDD[],MATCH($B76,MMWR_RATING_STATE_ROLLUP_BDD[MMWR_RATING_STATE_ROLLUP_BDD],0),MATCH(H$9,MMWR_RATING_STATE_ROLLUP_BDD[#Headers],0)),"ERROR"))</f>
        <v>66</v>
      </c>
      <c r="I76" s="155">
        <f>IF($B76=" ","",IFERROR(INDEX(MMWR_RATING_STATE_ROLLUP_BDD[],MATCH($B76,MMWR_RATING_STATE_ROLLUP_BDD[MMWR_RATING_STATE_ROLLUP_BDD],0),MATCH(I$9,MMWR_RATING_STATE_ROLLUP_BDD[#Headers],0)),"ERROR"))</f>
        <v>136.9411764706</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73</v>
      </c>
      <c r="D77" s="155">
        <f>IF($B77=" ","",IFERROR(INDEX(MMWR_RATING_STATE_ROLLUP_BDD[],MATCH($B77,MMWR_RATING_STATE_ROLLUP_BDD[MMWR_RATING_STATE_ROLLUP_BDD],0),MATCH(D$9,MMWR_RATING_STATE_ROLLUP_BDD[#Headers],0)),"ERROR"))</f>
        <v>62.301369862999998</v>
      </c>
      <c r="E77" s="156">
        <f>IF($B77=" ","",IFERROR(INDEX(MMWR_RATING_STATE_ROLLUP_BDD[],MATCH($B77,MMWR_RATING_STATE_ROLLUP_BDD[MMWR_RATING_STATE_ROLLUP_BDD],0),MATCH(E$9,MMWR_RATING_STATE_ROLLUP_BDD[#Headers],0))/$C77,"ERROR"))</f>
        <v>0.12328767123287671</v>
      </c>
      <c r="F77" s="154">
        <f>IF($B77=" ","",IFERROR(INDEX(MMWR_RATING_STATE_ROLLUP_BDD[],MATCH($B77,MMWR_RATING_STATE_ROLLUP_BDD[MMWR_RATING_STATE_ROLLUP_BDD],0),MATCH(F$9,MMWR_RATING_STATE_ROLLUP_BDD[#Headers],0)),"ERROR"))</f>
        <v>3</v>
      </c>
      <c r="G77" s="154">
        <f>IF($B77=" ","",IFERROR(INDEX(MMWR_RATING_STATE_ROLLUP_BDD[],MATCH($B77,MMWR_RATING_STATE_ROLLUP_BDD[MMWR_RATING_STATE_ROLLUP_BDD],0),MATCH(G$9,MMWR_RATING_STATE_ROLLUP_BDD[#Headers],0)),"ERROR"))</f>
        <v>178</v>
      </c>
      <c r="H77" s="155">
        <f>IF($B77=" ","",IFERROR(INDEX(MMWR_RATING_STATE_ROLLUP_BDD[],MATCH($B77,MMWR_RATING_STATE_ROLLUP_BDD[MMWR_RATING_STATE_ROLLUP_BDD],0),MATCH(H$9,MMWR_RATING_STATE_ROLLUP_BDD[#Headers],0)),"ERROR"))</f>
        <v>80.666666666699996</v>
      </c>
      <c r="I77" s="155">
        <f>IF($B77=" ","",IFERROR(INDEX(MMWR_RATING_STATE_ROLLUP_BDD[],MATCH($B77,MMWR_RATING_STATE_ROLLUP_BDD[MMWR_RATING_STATE_ROLLUP_BDD],0),MATCH(I$9,MMWR_RATING_STATE_ROLLUP_BDD[#Headers],0)),"ERROR"))</f>
        <v>135.95505617980001</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150</v>
      </c>
      <c r="D78" s="155">
        <f>IF($B78=" ","",IFERROR(INDEX(MMWR_RATING_STATE_ROLLUP_BDD[],MATCH($B78,MMWR_RATING_STATE_ROLLUP_BDD[MMWR_RATING_STATE_ROLLUP_BDD],0),MATCH(D$9,MMWR_RATING_STATE_ROLLUP_BDD[#Headers],0)),"ERROR"))</f>
        <v>58.66</v>
      </c>
      <c r="E78" s="156">
        <f>IF($B78=" ","",IFERROR(INDEX(MMWR_RATING_STATE_ROLLUP_BDD[],MATCH($B78,MMWR_RATING_STATE_ROLLUP_BDD[MMWR_RATING_STATE_ROLLUP_BDD],0),MATCH(E$9,MMWR_RATING_STATE_ROLLUP_BDD[#Headers],0))/$C78,"ERROR"))</f>
        <v>0.15333333333333332</v>
      </c>
      <c r="F78" s="154">
        <f>IF($B78=" ","",IFERROR(INDEX(MMWR_RATING_STATE_ROLLUP_BDD[],MATCH($B78,MMWR_RATING_STATE_ROLLUP_BDD[MMWR_RATING_STATE_ROLLUP_BDD],0),MATCH(F$9,MMWR_RATING_STATE_ROLLUP_BDD[#Headers],0)),"ERROR"))</f>
        <v>11</v>
      </c>
      <c r="G78" s="154">
        <f>IF($B78=" ","",IFERROR(INDEX(MMWR_RATING_STATE_ROLLUP_BDD[],MATCH($B78,MMWR_RATING_STATE_ROLLUP_BDD[MMWR_RATING_STATE_ROLLUP_BDD],0),MATCH(G$9,MMWR_RATING_STATE_ROLLUP_BDD[#Headers],0)),"ERROR"))</f>
        <v>384</v>
      </c>
      <c r="H78" s="155">
        <f>IF($B78=" ","",IFERROR(INDEX(MMWR_RATING_STATE_ROLLUP_BDD[],MATCH($B78,MMWR_RATING_STATE_ROLLUP_BDD[MMWR_RATING_STATE_ROLLUP_BDD],0),MATCH(H$9,MMWR_RATING_STATE_ROLLUP_BDD[#Headers],0)),"ERROR"))</f>
        <v>105.54545454549999</v>
      </c>
      <c r="I78" s="155">
        <f>IF($B78=" ","",IFERROR(INDEX(MMWR_RATING_STATE_ROLLUP_BDD[],MATCH($B78,MMWR_RATING_STATE_ROLLUP_BDD[MMWR_RATING_STATE_ROLLUP_BDD],0),MATCH(I$9,MMWR_RATING_STATE_ROLLUP_BDD[#Headers],0)),"ERROR"))</f>
        <v>129.7317708333</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816</v>
      </c>
      <c r="D79" s="155">
        <f>IF($B79=" ","",IFERROR(INDEX(MMWR_RATING_STATE_ROLLUP_BDD[],MATCH($B79,MMWR_RATING_STATE_ROLLUP_BDD[MMWR_RATING_STATE_ROLLUP_BDD],0),MATCH(D$9,MMWR_RATING_STATE_ROLLUP_BDD[#Headers],0)),"ERROR"))</f>
        <v>49.672794117599999</v>
      </c>
      <c r="E79" s="156">
        <f>IF($B79=" ","",IFERROR(INDEX(MMWR_RATING_STATE_ROLLUP_BDD[],MATCH($B79,MMWR_RATING_STATE_ROLLUP_BDD[MMWR_RATING_STATE_ROLLUP_BDD],0),MATCH(E$9,MMWR_RATING_STATE_ROLLUP_BDD[#Headers],0))/$C79,"ERROR"))</f>
        <v>7.5980392156862739E-2</v>
      </c>
      <c r="F79" s="154">
        <f>IF($B79=" ","",IFERROR(INDEX(MMWR_RATING_STATE_ROLLUP_BDD[],MATCH($B79,MMWR_RATING_STATE_ROLLUP_BDD[MMWR_RATING_STATE_ROLLUP_BDD],0),MATCH(F$9,MMWR_RATING_STATE_ROLLUP_BDD[#Headers],0)),"ERROR"))</f>
        <v>27</v>
      </c>
      <c r="G79" s="154">
        <f>IF($B79=" ","",IFERROR(INDEX(MMWR_RATING_STATE_ROLLUP_BDD[],MATCH($B79,MMWR_RATING_STATE_ROLLUP_BDD[MMWR_RATING_STATE_ROLLUP_BDD],0),MATCH(G$9,MMWR_RATING_STATE_ROLLUP_BDD[#Headers],0)),"ERROR"))</f>
        <v>2056</v>
      </c>
      <c r="H79" s="155">
        <f>IF($B79=" ","",IFERROR(INDEX(MMWR_RATING_STATE_ROLLUP_BDD[],MATCH($B79,MMWR_RATING_STATE_ROLLUP_BDD[MMWR_RATING_STATE_ROLLUP_BDD],0),MATCH(H$9,MMWR_RATING_STATE_ROLLUP_BDD[#Headers],0)),"ERROR"))</f>
        <v>106.7777777778</v>
      </c>
      <c r="I79" s="155">
        <f>IF($B79=" ","",IFERROR(INDEX(MMWR_RATING_STATE_ROLLUP_BDD[],MATCH($B79,MMWR_RATING_STATE_ROLLUP_BDD[MMWR_RATING_STATE_ROLLUP_BDD],0),MATCH(I$9,MMWR_RATING_STATE_ROLLUP_BDD[#Headers],0)),"ERROR"))</f>
        <v>140.82441634240001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126</v>
      </c>
      <c r="D80" s="155">
        <f>IF($B80=" ","",IFERROR(INDEX(MMWR_RATING_STATE_ROLLUP_BDD[],MATCH($B80,MMWR_RATING_STATE_ROLLUP_BDD[MMWR_RATING_STATE_ROLLUP_BDD],0),MATCH(D$9,MMWR_RATING_STATE_ROLLUP_BDD[#Headers],0)),"ERROR"))</f>
        <v>68.206349206300004</v>
      </c>
      <c r="E80" s="156">
        <f>IF($B80=" ","",IFERROR(INDEX(MMWR_RATING_STATE_ROLLUP_BDD[],MATCH($B80,MMWR_RATING_STATE_ROLLUP_BDD[MMWR_RATING_STATE_ROLLUP_BDD],0),MATCH(E$9,MMWR_RATING_STATE_ROLLUP_BDD[#Headers],0))/$C80,"ERROR"))</f>
        <v>0.19047619047619047</v>
      </c>
      <c r="F80" s="154">
        <f>IF($B80=" ","",IFERROR(INDEX(MMWR_RATING_STATE_ROLLUP_BDD[],MATCH($B80,MMWR_RATING_STATE_ROLLUP_BDD[MMWR_RATING_STATE_ROLLUP_BDD],0),MATCH(F$9,MMWR_RATING_STATE_ROLLUP_BDD[#Headers],0)),"ERROR"))</f>
        <v>14</v>
      </c>
      <c r="G80" s="154">
        <f>IF($B80=" ","",IFERROR(INDEX(MMWR_RATING_STATE_ROLLUP_BDD[],MATCH($B80,MMWR_RATING_STATE_ROLLUP_BDD[MMWR_RATING_STATE_ROLLUP_BDD],0),MATCH(G$9,MMWR_RATING_STATE_ROLLUP_BDD[#Headers],0)),"ERROR"))</f>
        <v>360</v>
      </c>
      <c r="H80" s="155">
        <f>IF($B80=" ","",IFERROR(INDEX(MMWR_RATING_STATE_ROLLUP_BDD[],MATCH($B80,MMWR_RATING_STATE_ROLLUP_BDD[MMWR_RATING_STATE_ROLLUP_BDD],0),MATCH(H$9,MMWR_RATING_STATE_ROLLUP_BDD[#Headers],0)),"ERROR"))</f>
        <v>75.857142857100001</v>
      </c>
      <c r="I80" s="155">
        <f>IF($B80=" ","",IFERROR(INDEX(MMWR_RATING_STATE_ROLLUP_BDD[],MATCH($B80,MMWR_RATING_STATE_ROLLUP_BDD[MMWR_RATING_STATE_ROLLUP_BDD],0),MATCH(I$9,MMWR_RATING_STATE_ROLLUP_BDD[#Headers],0)),"ERROR"))</f>
        <v>128.71944444440001</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11</v>
      </c>
      <c r="D81" s="155">
        <f>IF($B81=" ","",IFERROR(INDEX(MMWR_RATING_STATE_ROLLUP_BDD[],MATCH($B81,MMWR_RATING_STATE_ROLLUP_BDD[MMWR_RATING_STATE_ROLLUP_BDD],0),MATCH(D$9,MMWR_RATING_STATE_ROLLUP_BDD[#Headers],0)),"ERROR"))</f>
        <v>57.636363636399999</v>
      </c>
      <c r="E81" s="156">
        <f>IF($B81=" ","",IFERROR(INDEX(MMWR_RATING_STATE_ROLLUP_BDD[],MATCH($B81,MMWR_RATING_STATE_ROLLUP_BDD[MMWR_RATING_STATE_ROLLUP_BDD],0),MATCH(E$9,MMWR_RATING_STATE_ROLLUP_BDD[#Headers],0))/$C81,"ERROR"))</f>
        <v>9.0909090909090912E-2</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23</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124.9565217391</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11</v>
      </c>
      <c r="D82" s="155">
        <f>IF($B82=" ","",IFERROR(INDEX(MMWR_RATING_STATE_ROLLUP_BDD[],MATCH($B82,MMWR_RATING_STATE_ROLLUP_BDD[MMWR_RATING_STATE_ROLLUP_BDD],0),MATCH(D$9,MMWR_RATING_STATE_ROLLUP_BDD[#Headers],0)),"ERROR"))</f>
        <v>55.5454545455</v>
      </c>
      <c r="E82" s="156">
        <f>IF($B82=" ","",IFERROR(INDEX(MMWR_RATING_STATE_ROLLUP_BDD[],MATCH($B82,MMWR_RATING_STATE_ROLLUP_BDD[MMWR_RATING_STATE_ROLLUP_BDD],0),MATCH(E$9,MMWR_RATING_STATE_ROLLUP_BDD[#Headers],0))/$C82,"ERROR"))</f>
        <v>9.0909090909090912E-2</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12</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115.4166666667</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858</v>
      </c>
      <c r="D83" s="155">
        <f>IF($B83=" ","",IFERROR(INDEX(MMWR_RATING_STATE_ROLLUP_BDD[],MATCH($B83,MMWR_RATING_STATE_ROLLUP_BDD[MMWR_RATING_STATE_ROLLUP_BDD],0),MATCH(D$9,MMWR_RATING_STATE_ROLLUP_BDD[#Headers],0)),"ERROR"))</f>
        <v>53.194638694600002</v>
      </c>
      <c r="E83" s="156">
        <f>IF($B83=" ","",IFERROR(INDEX(MMWR_RATING_STATE_ROLLUP_BDD[],MATCH($B83,MMWR_RATING_STATE_ROLLUP_BDD[MMWR_RATING_STATE_ROLLUP_BDD],0),MATCH(E$9,MMWR_RATING_STATE_ROLLUP_BDD[#Headers],0))/$C83,"ERROR"))</f>
        <v>0.10372960372960373</v>
      </c>
      <c r="F83" s="154">
        <f>IF($B83=" ","",IFERROR(INDEX(MMWR_RATING_STATE_ROLLUP_BDD[],MATCH($B83,MMWR_RATING_STATE_ROLLUP_BDD[MMWR_RATING_STATE_ROLLUP_BDD],0),MATCH(F$9,MMWR_RATING_STATE_ROLLUP_BDD[#Headers],0)),"ERROR"))</f>
        <v>27</v>
      </c>
      <c r="G83" s="154">
        <f>IF($B83=" ","",IFERROR(INDEX(MMWR_RATING_STATE_ROLLUP_BDD[],MATCH($B83,MMWR_RATING_STATE_ROLLUP_BDD[MMWR_RATING_STATE_ROLLUP_BDD],0),MATCH(G$9,MMWR_RATING_STATE_ROLLUP_BDD[#Headers],0)),"ERROR"))</f>
        <v>2234</v>
      </c>
      <c r="H83" s="155">
        <f>IF($B83=" ","",IFERROR(INDEX(MMWR_RATING_STATE_ROLLUP_BDD[],MATCH($B83,MMWR_RATING_STATE_ROLLUP_BDD[MMWR_RATING_STATE_ROLLUP_BDD],0),MATCH(H$9,MMWR_RATING_STATE_ROLLUP_BDD[#Headers],0)),"ERROR"))</f>
        <v>124.5185185185</v>
      </c>
      <c r="I83" s="155">
        <f>IF($B83=" ","",IFERROR(INDEX(MMWR_RATING_STATE_ROLLUP_BDD[],MATCH($B83,MMWR_RATING_STATE_ROLLUP_BDD[MMWR_RATING_STATE_ROLLUP_BDD],0),MATCH(I$9,MMWR_RATING_STATE_ROLLUP_BDD[#Headers],0)),"ERROR"))</f>
        <v>147.017905103</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14</v>
      </c>
      <c r="D84" s="155">
        <f>IF($B84=" ","",IFERROR(INDEX(MMWR_RATING_STATE_ROLLUP_BDD[],MATCH($B84,MMWR_RATING_STATE_ROLLUP_BDD[MMWR_RATING_STATE_ROLLUP_BDD],0),MATCH(D$9,MMWR_RATING_STATE_ROLLUP_BDD[#Headers],0)),"ERROR"))</f>
        <v>56.5</v>
      </c>
      <c r="E84" s="156">
        <f>IF($B84=" ","",IFERROR(INDEX(MMWR_RATING_STATE_ROLLUP_BDD[],MATCH($B84,MMWR_RATING_STATE_ROLLUP_BDD[MMWR_RATING_STATE_ROLLUP_BDD],0),MATCH(E$9,MMWR_RATING_STATE_ROLLUP_BDD[#Headers],0))/$C84,"ERROR"))</f>
        <v>0.14285714285714285</v>
      </c>
      <c r="F84" s="154">
        <f>IF($B84=" ","",IFERROR(INDEX(MMWR_RATING_STATE_ROLLUP_BDD[],MATCH($B84,MMWR_RATING_STATE_ROLLUP_BDD[MMWR_RATING_STATE_ROLLUP_BDD],0),MATCH(F$9,MMWR_RATING_STATE_ROLLUP_BDD[#Headers],0)),"ERROR"))</f>
        <v>2</v>
      </c>
      <c r="G84" s="154">
        <f>IF($B84=" ","",IFERROR(INDEX(MMWR_RATING_STATE_ROLLUP_BDD[],MATCH($B84,MMWR_RATING_STATE_ROLLUP_BDD[MMWR_RATING_STATE_ROLLUP_BDD],0),MATCH(G$9,MMWR_RATING_STATE_ROLLUP_BDD[#Headers],0)),"ERROR"))</f>
        <v>77</v>
      </c>
      <c r="H84" s="155">
        <f>IF($B84=" ","",IFERROR(INDEX(MMWR_RATING_STATE_ROLLUP_BDD[],MATCH($B84,MMWR_RATING_STATE_ROLLUP_BDD[MMWR_RATING_STATE_ROLLUP_BDD],0),MATCH(H$9,MMWR_RATING_STATE_ROLLUP_BDD[#Headers],0)),"ERROR"))</f>
        <v>103.5</v>
      </c>
      <c r="I84" s="155">
        <f>IF($B84=" ","",IFERROR(INDEX(MMWR_RATING_STATE_ROLLUP_BDD[],MATCH($B84,MMWR_RATING_STATE_ROLLUP_BDD[MMWR_RATING_STATE_ROLLUP_BDD],0),MATCH(I$9,MMWR_RATING_STATE_ROLLUP_BDD[#Headers],0)),"ERROR"))</f>
        <v>125.0649350649</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3" t="s">
        <v>296</v>
      </c>
      <c r="C2" s="424"/>
      <c r="D2" s="424"/>
      <c r="E2" s="424"/>
      <c r="F2" s="424"/>
      <c r="G2" s="424"/>
      <c r="H2" s="424"/>
      <c r="I2" s="424"/>
      <c r="J2" s="424"/>
      <c r="K2" s="424"/>
      <c r="L2" s="424"/>
      <c r="M2" s="424"/>
      <c r="N2" s="424"/>
      <c r="O2" s="424"/>
      <c r="P2" s="424"/>
      <c r="Q2" s="424"/>
      <c r="R2" s="424"/>
      <c r="S2" s="424"/>
      <c r="T2" s="424"/>
      <c r="U2" s="425"/>
      <c r="V2" s="25"/>
    </row>
    <row r="3" spans="1:22" s="1" customFormat="1" ht="63" customHeight="1" thickBot="1" x14ac:dyDescent="0.25">
      <c r="A3" s="25"/>
      <c r="B3" s="432" t="s">
        <v>311</v>
      </c>
      <c r="C3" s="433"/>
      <c r="D3" s="433"/>
      <c r="E3" s="433"/>
      <c r="F3" s="433"/>
      <c r="G3" s="433"/>
      <c r="H3" s="433"/>
      <c r="I3" s="433"/>
      <c r="J3" s="433"/>
      <c r="K3" s="433"/>
      <c r="L3" s="433"/>
      <c r="M3" s="433"/>
      <c r="N3" s="433"/>
      <c r="O3" s="433"/>
      <c r="P3" s="433"/>
      <c r="Q3" s="433"/>
      <c r="R3" s="433"/>
      <c r="S3" s="433"/>
      <c r="T3" s="433"/>
      <c r="U3" s="434"/>
      <c r="V3" s="25"/>
    </row>
    <row r="4" spans="1:22" s="1" customFormat="1" ht="32.25" customHeight="1" thickBot="1" x14ac:dyDescent="0.25">
      <c r="A4" s="25"/>
      <c r="B4" s="429" t="str">
        <f>Transformation!B4</f>
        <v>As of: August 06, 2016</v>
      </c>
      <c r="C4" s="430"/>
      <c r="D4" s="430"/>
      <c r="E4" s="430"/>
      <c r="F4" s="430"/>
      <c r="G4" s="430"/>
      <c r="H4" s="430"/>
      <c r="I4" s="430"/>
      <c r="J4" s="430"/>
      <c r="K4" s="430"/>
      <c r="L4" s="430"/>
      <c r="M4" s="430"/>
      <c r="N4" s="430"/>
      <c r="O4" s="430"/>
      <c r="P4" s="430"/>
      <c r="Q4" s="430"/>
      <c r="R4" s="430"/>
      <c r="S4" s="430"/>
      <c r="T4" s="430"/>
      <c r="U4" s="431"/>
      <c r="V4" s="25"/>
    </row>
    <row r="5" spans="1:22" s="1" customFormat="1" ht="27" customHeight="1" thickBot="1" x14ac:dyDescent="0.45">
      <c r="A5" s="25"/>
      <c r="B5" s="435" t="s">
        <v>239</v>
      </c>
      <c r="C5" s="436"/>
      <c r="D5" s="436"/>
      <c r="E5" s="436"/>
      <c r="F5" s="436"/>
      <c r="G5" s="436"/>
      <c r="H5" s="437"/>
      <c r="I5" s="55"/>
      <c r="J5" s="435" t="s">
        <v>236</v>
      </c>
      <c r="K5" s="436"/>
      <c r="L5" s="436"/>
      <c r="M5" s="436"/>
      <c r="N5" s="437"/>
      <c r="O5" s="56"/>
      <c r="P5" s="407" t="s">
        <v>11</v>
      </c>
      <c r="Q5" s="408"/>
      <c r="R5" s="408"/>
      <c r="S5" s="408"/>
      <c r="T5" s="408"/>
      <c r="U5" s="409"/>
      <c r="V5" s="25"/>
    </row>
    <row r="6" spans="1:22" s="1" customFormat="1" ht="65.25" customHeight="1" thickBot="1" x14ac:dyDescent="0.25">
      <c r="A6" s="25"/>
      <c r="B6" s="426" t="s">
        <v>279</v>
      </c>
      <c r="C6" s="427"/>
      <c r="D6" s="427"/>
      <c r="E6" s="428"/>
      <c r="F6" s="57" t="s">
        <v>12</v>
      </c>
      <c r="G6" s="58" t="s">
        <v>3</v>
      </c>
      <c r="H6" s="59" t="s">
        <v>4</v>
      </c>
      <c r="I6" s="25"/>
      <c r="J6" s="446" t="s">
        <v>279</v>
      </c>
      <c r="K6" s="447"/>
      <c r="L6" s="60" t="s">
        <v>12</v>
      </c>
      <c r="M6" s="61" t="s">
        <v>3</v>
      </c>
      <c r="N6" s="62" t="s">
        <v>4</v>
      </c>
      <c r="O6" s="63"/>
      <c r="P6" s="438" t="s">
        <v>279</v>
      </c>
      <c r="Q6" s="439"/>
      <c r="R6" s="64" t="s">
        <v>487</v>
      </c>
      <c r="S6" s="441" t="s">
        <v>279</v>
      </c>
      <c r="T6" s="442"/>
      <c r="U6" s="65" t="s">
        <v>134</v>
      </c>
      <c r="V6" s="25"/>
    </row>
    <row r="7" spans="1:22" s="1" customFormat="1" ht="32.25" customHeight="1" thickBot="1" x14ac:dyDescent="0.25">
      <c r="A7" s="25"/>
      <c r="B7" s="410" t="s">
        <v>298</v>
      </c>
      <c r="C7" s="411"/>
      <c r="D7" s="411"/>
      <c r="E7" s="411"/>
      <c r="F7" s="166">
        <f>SUM(F8:F10)</f>
        <v>120364</v>
      </c>
      <c r="G7" s="167">
        <f>SUM(G8:G10)</f>
        <v>29793</v>
      </c>
      <c r="H7" s="168">
        <f t="shared" ref="H7:H44" si="0">IF(G7="--", 0, G7/F7)</f>
        <v>0.24752417666411883</v>
      </c>
      <c r="I7" s="25"/>
      <c r="J7" s="410" t="s">
        <v>264</v>
      </c>
      <c r="K7" s="411"/>
      <c r="L7" s="167">
        <f>SUM(L8:L10)</f>
        <v>29958</v>
      </c>
      <c r="M7" s="167">
        <f>SUM(M8:M10)</f>
        <v>4015</v>
      </c>
      <c r="N7" s="178">
        <f>IF(M7="--", 0, M7/L7)</f>
        <v>0.13402096268108685</v>
      </c>
      <c r="O7" s="66"/>
      <c r="P7" s="410" t="s">
        <v>965</v>
      </c>
      <c r="Q7" s="411"/>
      <c r="R7" s="179">
        <f>R8+R9+R10+R11+R12</f>
        <v>316769</v>
      </c>
      <c r="S7" s="410"/>
      <c r="T7" s="411"/>
      <c r="U7" s="67"/>
      <c r="V7" s="25"/>
    </row>
    <row r="8" spans="1:22" s="1" customFormat="1" ht="51" customHeight="1" x14ac:dyDescent="0.2">
      <c r="A8" s="25"/>
      <c r="B8" s="323" t="s">
        <v>249</v>
      </c>
      <c r="C8" s="324"/>
      <c r="D8" s="324"/>
      <c r="E8" s="403"/>
      <c r="F8" s="169">
        <f>IFERROR(VLOOKUP(MID(B8,4,3),MMWR_TRAD_AGG_NATIONAL[],2,0),"--")</f>
        <v>327</v>
      </c>
      <c r="G8" s="170">
        <f>IFERROR(VLOOKUP(MID(B8,4,3),MMWR_TRAD_AGG_NATIONAL[],3,0),"--")</f>
        <v>160</v>
      </c>
      <c r="H8" s="171">
        <f t="shared" si="0"/>
        <v>0.4892966360856269</v>
      </c>
      <c r="I8" s="25"/>
      <c r="J8" s="421" t="s">
        <v>266</v>
      </c>
      <c r="K8" s="440"/>
      <c r="L8" s="169">
        <f>IFERROR(VLOOKUP(MID(J8,4,3),MMWR_TRAD_AGG_NATIONAL[],2,0),"--")</f>
        <v>6920</v>
      </c>
      <c r="M8" s="170">
        <f>IFERROR(VLOOKUP(MID(J8,4,3),MMWR_TRAD_AGG_NATIONAL[],3,0),"--")</f>
        <v>513</v>
      </c>
      <c r="N8" s="171">
        <f>IF(M8="--", 0, M8/L8)</f>
        <v>7.413294797687861E-2</v>
      </c>
      <c r="O8" s="68" t="s">
        <v>310</v>
      </c>
      <c r="P8" s="443" t="s">
        <v>240</v>
      </c>
      <c r="Q8" s="444"/>
      <c r="R8" s="180">
        <f>VLOOKUP(P8,MMWR_APP_NATIONAL[],2,0)</f>
        <v>231050</v>
      </c>
      <c r="S8" s="445" t="s">
        <v>229</v>
      </c>
      <c r="T8" s="422"/>
      <c r="U8" s="181">
        <f>VLOOKUP(P8,MMWR_APP_NATIONAL[],3,0)</f>
        <v>409.8334768853</v>
      </c>
      <c r="V8" s="25"/>
    </row>
    <row r="9" spans="1:22" s="1" customFormat="1" ht="45" customHeight="1" x14ac:dyDescent="0.2">
      <c r="A9" s="25"/>
      <c r="B9" s="323" t="s">
        <v>247</v>
      </c>
      <c r="C9" s="324"/>
      <c r="D9" s="324"/>
      <c r="E9" s="403"/>
      <c r="F9" s="169">
        <f>IFERROR(VLOOKUP(MID(B9,4,3),MMWR_TRAD_AGG_NATIONAL[],2,0),"--")</f>
        <v>36618</v>
      </c>
      <c r="G9" s="170">
        <f>IFERROR(VLOOKUP(MID(B9,4,3),MMWR_TRAD_AGG_NATIONAL[],3,0),"--")</f>
        <v>9840</v>
      </c>
      <c r="H9" s="171">
        <f t="shared" si="0"/>
        <v>0.26872030149106996</v>
      </c>
      <c r="I9" s="68" t="s">
        <v>310</v>
      </c>
      <c r="J9" s="323" t="s">
        <v>265</v>
      </c>
      <c r="K9" s="324"/>
      <c r="L9" s="169">
        <f>IFERROR(VLOOKUP(MID(J9,4,3),MMWR_TRAD_AGG_NATIONAL[],2,0),"--")</f>
        <v>7580</v>
      </c>
      <c r="M9" s="170">
        <f>IFERROR(VLOOKUP(MID(J9,4,3),MMWR_TRAD_AGG_NATIONAL[],3,0),"--")</f>
        <v>466</v>
      </c>
      <c r="N9" s="171">
        <f>IF(M9="--", 0, M9/L9)</f>
        <v>6.1477572559366755E-2</v>
      </c>
      <c r="O9" s="68" t="s">
        <v>310</v>
      </c>
      <c r="P9" s="401" t="s">
        <v>241</v>
      </c>
      <c r="Q9" s="402"/>
      <c r="R9" s="182">
        <f>VLOOKUP(P9,MMWR_APP_NATIONAL[],2,0)</f>
        <v>51411</v>
      </c>
      <c r="S9" s="397" t="s">
        <v>230</v>
      </c>
      <c r="T9" s="398"/>
      <c r="U9" s="183">
        <f>VLOOKUP(P9,MMWR_APP_NATIONAL[],3,0)</f>
        <v>527.54647838009998</v>
      </c>
      <c r="V9" s="25"/>
    </row>
    <row r="10" spans="1:22" s="1" customFormat="1" ht="63" customHeight="1" thickBot="1" x14ac:dyDescent="0.25">
      <c r="A10" s="25"/>
      <c r="B10" s="323" t="s">
        <v>248</v>
      </c>
      <c r="C10" s="324"/>
      <c r="D10" s="324"/>
      <c r="E10" s="403"/>
      <c r="F10" s="169">
        <f>IFERROR(VLOOKUP(MID(B10,4,3),MMWR_TRAD_AGG_NATIONAL[],2,0),"--")</f>
        <v>83419</v>
      </c>
      <c r="G10" s="170">
        <f>IFERROR(VLOOKUP(MID(B10,4,3),MMWR_TRAD_AGG_NATIONAL[],3,0),"--")</f>
        <v>19793</v>
      </c>
      <c r="H10" s="171">
        <f t="shared" si="0"/>
        <v>0.23727208429734234</v>
      </c>
      <c r="I10" s="68" t="s">
        <v>310</v>
      </c>
      <c r="J10" s="325" t="s">
        <v>267</v>
      </c>
      <c r="K10" s="326"/>
      <c r="L10" s="169">
        <f>IFERROR(VLOOKUP(MID(J10,4,3),MMWR_TRAD_AGG_NATIONAL[],2,0),"--")</f>
        <v>15458</v>
      </c>
      <c r="M10" s="170">
        <f>IFERROR(VLOOKUP(MID(J10,4,3),MMWR_TRAD_AGG_NATIONAL[],3,0),"--")</f>
        <v>3036</v>
      </c>
      <c r="N10" s="171">
        <f>IF(M10="--", 0, M10/L10)</f>
        <v>0.19640315694138957</v>
      </c>
      <c r="O10" s="69"/>
      <c r="P10" s="401" t="s">
        <v>242</v>
      </c>
      <c r="Q10" s="402"/>
      <c r="R10" s="182">
        <f>VLOOKUP(P10,MMWR_APP_NATIONAL[],2,0)</f>
        <v>22326</v>
      </c>
      <c r="S10" s="397" t="s">
        <v>231</v>
      </c>
      <c r="T10" s="398"/>
      <c r="U10" s="183">
        <f>VLOOKUP(P10,MMWR_APP_NATIONAL[],3,0)</f>
        <v>506.630763027</v>
      </c>
      <c r="V10" s="25"/>
    </row>
    <row r="11" spans="1:22" s="1" customFormat="1" ht="45" customHeight="1" thickBot="1" x14ac:dyDescent="0.25">
      <c r="A11" s="25"/>
      <c r="B11" s="410" t="s">
        <v>299</v>
      </c>
      <c r="C11" s="411"/>
      <c r="D11" s="411"/>
      <c r="E11" s="411"/>
      <c r="F11" s="166">
        <f>SUM(F12:F13)</f>
        <v>11304</v>
      </c>
      <c r="G11" s="167">
        <f>SUM(G12:G13)</f>
        <v>2666</v>
      </c>
      <c r="H11" s="168">
        <f t="shared" si="0"/>
        <v>0.23584571832979476</v>
      </c>
      <c r="I11" s="25"/>
      <c r="J11" s="410" t="s">
        <v>237</v>
      </c>
      <c r="K11" s="411"/>
      <c r="L11" s="166">
        <f>SUM(L12:L17)</f>
        <v>32500</v>
      </c>
      <c r="M11" s="166">
        <f>SUM(M12:M17)</f>
        <v>7621</v>
      </c>
      <c r="N11" s="159">
        <f>IF(M11="--", 0, M11/L11)</f>
        <v>0.23449230769230769</v>
      </c>
      <c r="O11" s="69"/>
      <c r="P11" s="401" t="s">
        <v>966</v>
      </c>
      <c r="Q11" s="402"/>
      <c r="R11" s="182">
        <f>VLOOKUP(P11,MMWR_APP_NATIONAL[],2,0)</f>
        <v>11389</v>
      </c>
      <c r="S11" s="397" t="s">
        <v>232</v>
      </c>
      <c r="T11" s="398"/>
      <c r="U11" s="183">
        <f>VLOOKUP(P11,MMWR_APP_NATIONAL[],3,0)</f>
        <v>182.08429926240001</v>
      </c>
      <c r="V11" s="25"/>
    </row>
    <row r="12" spans="1:22" s="1" customFormat="1" ht="46.5" customHeight="1" thickBot="1" x14ac:dyDescent="0.25">
      <c r="A12" s="25"/>
      <c r="B12" s="404" t="s">
        <v>269</v>
      </c>
      <c r="C12" s="405"/>
      <c r="D12" s="405"/>
      <c r="E12" s="406"/>
      <c r="F12" s="169">
        <f>IFERROR(VLOOKUP(MID(B12,4,3),MMWR_TRAD_AGG_NATIONAL[],2,0),"--")</f>
        <v>10099</v>
      </c>
      <c r="G12" s="170">
        <f>IFERROR(VLOOKUP(MID(B12,4,3),MMWR_TRAD_AGG_NATIONAL[],3,0),"--")</f>
        <v>1923</v>
      </c>
      <c r="H12" s="171">
        <f t="shared" si="0"/>
        <v>0.19041489256362015</v>
      </c>
      <c r="I12" s="68" t="s">
        <v>310</v>
      </c>
      <c r="J12" s="325" t="s">
        <v>259</v>
      </c>
      <c r="K12" s="398"/>
      <c r="L12" s="169">
        <f>IFERROR(VLOOKUP(MID(J12,4,3)&amp;"p",MMWR_TRAD_AGG_NATIONAL[],2,0),"--")</f>
        <v>941</v>
      </c>
      <c r="M12" s="170">
        <f>IFERROR(VLOOKUP(MID(J12,4,3)&amp;"p",MMWR_TRAD_AGG_NATIONAL[],3,0),"--")</f>
        <v>36</v>
      </c>
      <c r="N12" s="171">
        <f t="shared" ref="N12:N17" si="1">IF(L12="--", 0,M12/L12)</f>
        <v>3.8257173219978749E-2</v>
      </c>
      <c r="O12" s="69"/>
      <c r="P12" s="401" t="s">
        <v>947</v>
      </c>
      <c r="Q12" s="402"/>
      <c r="R12" s="182">
        <f>VLOOKUP(P12,MMWR_APP_NATIONAL[],2,0)</f>
        <v>593</v>
      </c>
      <c r="S12" s="399" t="s">
        <v>964</v>
      </c>
      <c r="T12" s="400"/>
      <c r="U12" s="183">
        <f>VLOOKUP(P12,MMWR_APP_NATIONAL[],3,0)</f>
        <v>455.35919055649998</v>
      </c>
      <c r="V12" s="25"/>
    </row>
    <row r="13" spans="1:22" s="1" customFormat="1" ht="49.5" customHeight="1" thickBot="1" x14ac:dyDescent="0.25">
      <c r="A13" s="25"/>
      <c r="B13" s="404" t="s">
        <v>1056</v>
      </c>
      <c r="C13" s="405"/>
      <c r="D13" s="405"/>
      <c r="E13" s="406"/>
      <c r="F13" s="169">
        <f>IFERROR(VLOOKUP(MID(B13,4,3),MMWR_TRAD_AGG_NATIONAL[],2,0),"--")</f>
        <v>1205</v>
      </c>
      <c r="G13" s="170">
        <f>IFERROR(VLOOKUP(MID(B13,4,3),MMWR_TRAD_AGG_NATIONAL[],3,0),"--")</f>
        <v>743</v>
      </c>
      <c r="H13" s="171">
        <f t="shared" si="0"/>
        <v>0.61659751037344401</v>
      </c>
      <c r="I13" s="25"/>
      <c r="J13" s="325" t="s">
        <v>268</v>
      </c>
      <c r="K13" s="398"/>
      <c r="L13" s="169">
        <f>IFERROR(VLOOKUP(MID(J13,4,3),MMWR_TRAD_AGG_NATIONAL[],2,0),"--")</f>
        <v>4901</v>
      </c>
      <c r="M13" s="170">
        <f>IFERROR(VLOOKUP(MID(J13,4,3),MMWR_TRAD_AGG_NATIONAL[],3,0),"--")</f>
        <v>1025</v>
      </c>
      <c r="N13" s="171">
        <f t="shared" si="1"/>
        <v>0.20914099163436034</v>
      </c>
      <c r="O13" s="69"/>
      <c r="P13" s="410" t="s">
        <v>975</v>
      </c>
      <c r="Q13" s="411"/>
      <c r="R13" s="412"/>
      <c r="S13" s="413">
        <f>VLOOKUP(P13,MMWR_APP_NATIONAL[],2,0)</f>
        <v>26448</v>
      </c>
      <c r="T13" s="414"/>
      <c r="U13" s="415"/>
      <c r="V13" s="25"/>
    </row>
    <row r="14" spans="1:22" s="1" customFormat="1" ht="45" customHeight="1" thickBot="1" x14ac:dyDescent="0.25">
      <c r="A14" s="25"/>
      <c r="B14" s="410" t="s">
        <v>1</v>
      </c>
      <c r="C14" s="411"/>
      <c r="D14" s="411"/>
      <c r="E14" s="411"/>
      <c r="F14" s="166">
        <f>SUM(F15:F21)</f>
        <v>212820</v>
      </c>
      <c r="G14" s="167">
        <f>SUM(G15:G21)</f>
        <v>41209</v>
      </c>
      <c r="H14" s="168">
        <f t="shared" si="0"/>
        <v>0.1936331171882342</v>
      </c>
      <c r="I14" s="25"/>
      <c r="J14" s="325" t="s">
        <v>270</v>
      </c>
      <c r="K14" s="398"/>
      <c r="L14" s="169">
        <f>IFERROR(VLOOKUP(MID(J14,4,3),MMWR_TRAD_AGG_NATIONAL[],2,0),"--")</f>
        <v>14589</v>
      </c>
      <c r="M14" s="170">
        <f>IFERROR(VLOOKUP(MID(J14,4,3),MMWR_TRAD_AGG_NATIONAL[],3,0),"--")</f>
        <v>4644</v>
      </c>
      <c r="N14" s="171">
        <f t="shared" si="1"/>
        <v>0.31832202344231958</v>
      </c>
      <c r="O14" s="69"/>
      <c r="P14" s="21"/>
      <c r="Q14" s="21"/>
      <c r="R14" s="21"/>
      <c r="S14" s="28"/>
      <c r="T14" s="28"/>
      <c r="U14" s="70"/>
      <c r="V14" s="25"/>
    </row>
    <row r="15" spans="1:22" s="1" customFormat="1" ht="44.25" customHeight="1" thickBot="1" x14ac:dyDescent="0.25">
      <c r="A15" s="25"/>
      <c r="B15" s="323" t="s">
        <v>250</v>
      </c>
      <c r="C15" s="324"/>
      <c r="D15" s="324"/>
      <c r="E15" s="403"/>
      <c r="F15" s="169">
        <f>IFERROR(VLOOKUP(MID(B15,4,3),MMWR_TRAD_AGG_NATIONAL[],2,0),"--")</f>
        <v>211851</v>
      </c>
      <c r="G15" s="170">
        <f>IFERROR(VLOOKUP(MID(B15,4,3),MMWR_TRAD_AGG_NATIONAL[],3,0),"--")</f>
        <v>40933</v>
      </c>
      <c r="H15" s="171">
        <f t="shared" si="0"/>
        <v>0.19321598670763887</v>
      </c>
      <c r="I15" s="68" t="s">
        <v>310</v>
      </c>
      <c r="J15" s="325" t="s">
        <v>271</v>
      </c>
      <c r="K15" s="398"/>
      <c r="L15" s="169" t="str">
        <f>IFERROR(VLOOKUP(MID(J15,4,3),MMWR_TRAD_AGG_NATIONAL[],2,0),"--")</f>
        <v>--</v>
      </c>
      <c r="M15" s="170" t="str">
        <f>IFERROR(VLOOKUP(MID(J15,4,3),MMWR_TRAD_AGG_NATIONAL[],3,0),"--")</f>
        <v>--</v>
      </c>
      <c r="N15" s="171">
        <f t="shared" si="1"/>
        <v>0</v>
      </c>
      <c r="O15" s="69"/>
      <c r="P15" s="25"/>
      <c r="Q15" s="25"/>
      <c r="R15" s="25"/>
      <c r="S15" s="25"/>
      <c r="T15" s="28"/>
      <c r="U15" s="71"/>
      <c r="V15" s="25"/>
    </row>
    <row r="16" spans="1:22" s="1" customFormat="1" ht="57.75" customHeight="1" thickBot="1" x14ac:dyDescent="0.25">
      <c r="A16" s="25"/>
      <c r="B16" s="325" t="s">
        <v>251</v>
      </c>
      <c r="C16" s="326"/>
      <c r="D16" s="326"/>
      <c r="E16" s="398"/>
      <c r="F16" s="169">
        <f>IFERROR(VLOOKUP(MID(B16,4,3),MMWR_TRAD_AGG_NATIONAL[],2,0),"--")</f>
        <v>451</v>
      </c>
      <c r="G16" s="170">
        <f>IFERROR(VLOOKUP(MID(B16,4,3),MMWR_TRAD_AGG_NATIONAL[],3,0),"--")</f>
        <v>25</v>
      </c>
      <c r="H16" s="171">
        <f t="shared" si="0"/>
        <v>5.543237250554324E-2</v>
      </c>
      <c r="I16" s="68" t="s">
        <v>310</v>
      </c>
      <c r="J16" s="325" t="s">
        <v>272</v>
      </c>
      <c r="K16" s="398"/>
      <c r="L16" s="169">
        <f>IFERROR(VLOOKUP(MID(J16,4,3),MMWR_TRAD_AGG_NATIONAL[],2,0),"--")</f>
        <v>5874</v>
      </c>
      <c r="M16" s="170">
        <f>IFERROR(VLOOKUP(MID(J16,4,3),MMWR_TRAD_AGG_NATIONAL[],3,0),"--")</f>
        <v>1545</v>
      </c>
      <c r="N16" s="171">
        <f t="shared" si="1"/>
        <v>0.26302349336057201</v>
      </c>
      <c r="O16" s="69"/>
      <c r="P16" s="407" t="s">
        <v>948</v>
      </c>
      <c r="Q16" s="408"/>
      <c r="R16" s="408"/>
      <c r="S16" s="409"/>
      <c r="T16" s="28"/>
      <c r="U16" s="71"/>
      <c r="V16" s="25"/>
    </row>
    <row r="17" spans="1:22" s="1" customFormat="1" ht="31.5" customHeight="1" thickBot="1" x14ac:dyDescent="0.25">
      <c r="A17" s="25"/>
      <c r="B17" s="325" t="s">
        <v>252</v>
      </c>
      <c r="C17" s="326"/>
      <c r="D17" s="326"/>
      <c r="E17" s="398"/>
      <c r="F17" s="169">
        <f>IFERROR(VLOOKUP(MID(B17,4,3),MMWR_TRAD_AGG_NATIONAL[],2,0),"--")</f>
        <v>216</v>
      </c>
      <c r="G17" s="170">
        <f>IFERROR(VLOOKUP(MID(B17,4,3),MMWR_TRAD_AGG_NATIONAL[],3,0),"--")</f>
        <v>142</v>
      </c>
      <c r="H17" s="171">
        <f t="shared" si="0"/>
        <v>0.65740740740740744</v>
      </c>
      <c r="I17" s="25"/>
      <c r="J17" s="325" t="s">
        <v>273</v>
      </c>
      <c r="K17" s="398"/>
      <c r="L17" s="169">
        <f>IFERROR(VLOOKUP(MID(J17,4,3),MMWR_TRAD_AGG_NATIONAL[],2,0),"--")</f>
        <v>6195</v>
      </c>
      <c r="M17" s="170">
        <f>IFERROR(VLOOKUP(MID(J17,4,3),MMWR_TRAD_AGG_NATIONAL[],3,0),"--")</f>
        <v>371</v>
      </c>
      <c r="N17" s="171">
        <f t="shared" si="1"/>
        <v>5.9887005649717516E-2</v>
      </c>
      <c r="O17" s="72"/>
      <c r="P17" s="416" t="s">
        <v>245</v>
      </c>
      <c r="Q17" s="417"/>
      <c r="R17" s="417"/>
      <c r="S17" s="184">
        <f>IFERROR(VLOOKUP("160",MMWR_TRAD_AGG_NATIONAL[],2,0),"--")</f>
        <v>35366</v>
      </c>
      <c r="T17" s="28"/>
      <c r="U17" s="71"/>
      <c r="V17" s="25"/>
    </row>
    <row r="18" spans="1:22" s="1" customFormat="1" ht="32.25" customHeight="1" thickBot="1" x14ac:dyDescent="0.25">
      <c r="A18" s="25"/>
      <c r="B18" s="325" t="s">
        <v>253</v>
      </c>
      <c r="C18" s="326"/>
      <c r="D18" s="326"/>
      <c r="E18" s="398"/>
      <c r="F18" s="169">
        <f>IFERROR(VLOOKUP(MID(B18,4,3),MMWR_TRAD_AGG_NATIONAL[],2,0),"--")</f>
        <v>4</v>
      </c>
      <c r="G18" s="170">
        <f>IFERROR(VLOOKUP(MID(B18,4,3),MMWR_TRAD_AGG_NATIONAL[],3,0),"--")</f>
        <v>1</v>
      </c>
      <c r="H18" s="171">
        <f t="shared" si="0"/>
        <v>0.25</v>
      </c>
      <c r="I18" s="68" t="s">
        <v>310</v>
      </c>
      <c r="J18" s="410" t="s">
        <v>15</v>
      </c>
      <c r="K18" s="411"/>
      <c r="L18" s="166">
        <f>SUM(L19:L21)</f>
        <v>249</v>
      </c>
      <c r="M18" s="166">
        <f>SUM(M19:M21)</f>
        <v>235</v>
      </c>
      <c r="N18" s="159">
        <f t="shared" ref="N18:N26" si="2">IF(M18="--", 0, M18/L18)</f>
        <v>0.94377510040160639</v>
      </c>
      <c r="O18" s="73"/>
      <c r="P18" s="418" t="s">
        <v>246</v>
      </c>
      <c r="Q18" s="419"/>
      <c r="R18" s="419"/>
      <c r="S18" s="185">
        <f>IFERROR(VLOOKUP("165",MMWR_TRAD_AGG_NATIONAL[],2,0),"--")</f>
        <v>10497</v>
      </c>
      <c r="T18" s="28"/>
      <c r="U18" s="71"/>
      <c r="V18" s="25"/>
    </row>
    <row r="19" spans="1:22" s="1" customFormat="1" ht="41.25" customHeight="1" x14ac:dyDescent="0.4">
      <c r="A19" s="25"/>
      <c r="B19" s="325" t="s">
        <v>254</v>
      </c>
      <c r="C19" s="326"/>
      <c r="D19" s="326"/>
      <c r="E19" s="398"/>
      <c r="F19" s="169">
        <f>IFERROR(VLOOKUP(MID(B19,4,3),MMWR_TRAD_AGG_NATIONAL[],2,0),"--")</f>
        <v>1</v>
      </c>
      <c r="G19" s="170">
        <f>IFERROR(VLOOKUP(MID(B19,4,3),MMWR_TRAD_AGG_NATIONAL[],3,0),"--")</f>
        <v>0</v>
      </c>
      <c r="H19" s="171">
        <f t="shared" si="0"/>
        <v>0</v>
      </c>
      <c r="I19" s="68" t="s">
        <v>310</v>
      </c>
      <c r="J19" s="325" t="s">
        <v>274</v>
      </c>
      <c r="K19" s="398"/>
      <c r="L19" s="169">
        <f>IFERROR(VLOOKUP(MID(J19,4,3),MMWR_TRAD_AGG_NATIONAL[],2,0),"--")</f>
        <v>189</v>
      </c>
      <c r="M19" s="170">
        <f>IFERROR(VLOOKUP(MID(J19,4,3),MMWR_TRAD_AGG_NATIONAL[],3,0),"--")</f>
        <v>189</v>
      </c>
      <c r="N19" s="171">
        <f t="shared" si="2"/>
        <v>1</v>
      </c>
      <c r="O19" s="56"/>
      <c r="P19" s="25"/>
      <c r="Q19" s="25"/>
      <c r="R19" s="25"/>
      <c r="S19" s="25"/>
      <c r="T19" s="28"/>
      <c r="U19" s="71"/>
      <c r="V19" s="25"/>
    </row>
    <row r="20" spans="1:22" s="1" customFormat="1" ht="40.5" customHeight="1" x14ac:dyDescent="0.4">
      <c r="A20" s="25"/>
      <c r="B20" s="325" t="s">
        <v>255</v>
      </c>
      <c r="C20" s="326"/>
      <c r="D20" s="326"/>
      <c r="E20" s="398"/>
      <c r="F20" s="169">
        <f>IFERROR(VLOOKUP(MID(B20,4,3),MMWR_TRAD_AGG_NATIONAL[],2,0),"--")</f>
        <v>6</v>
      </c>
      <c r="G20" s="170">
        <f>IFERROR(VLOOKUP(MID(B20,4,3),MMWR_TRAD_AGG_NATIONAL[],3,0),"--")</f>
        <v>5</v>
      </c>
      <c r="H20" s="171">
        <f t="shared" si="0"/>
        <v>0.83333333333333337</v>
      </c>
      <c r="I20" s="68" t="s">
        <v>310</v>
      </c>
      <c r="J20" s="325" t="s">
        <v>297</v>
      </c>
      <c r="K20" s="398"/>
      <c r="L20" s="169">
        <f>IFERROR(VLOOKUP(MID(J20,4,3),MMWR_TRAD_AGG_NATIONAL[],2,0),"--")</f>
        <v>36</v>
      </c>
      <c r="M20" s="170">
        <f>IFERROR(VLOOKUP(MID(J20,4,3),MMWR_TRAD_AGG_NATIONAL[],3,0),"--")</f>
        <v>29</v>
      </c>
      <c r="N20" s="171">
        <f t="shared" si="2"/>
        <v>0.80555555555555558</v>
      </c>
      <c r="O20" s="56"/>
      <c r="P20" s="56"/>
      <c r="Q20" s="56"/>
      <c r="R20" s="56"/>
      <c r="S20" s="56"/>
      <c r="T20" s="56"/>
      <c r="U20" s="74"/>
      <c r="V20" s="25"/>
    </row>
    <row r="21" spans="1:22" s="1" customFormat="1" ht="39" customHeight="1" thickBot="1" x14ac:dyDescent="0.45">
      <c r="A21" s="25"/>
      <c r="B21" s="325" t="s">
        <v>256</v>
      </c>
      <c r="C21" s="326"/>
      <c r="D21" s="326"/>
      <c r="E21" s="398"/>
      <c r="F21" s="169">
        <f>IFERROR(VLOOKUP(MID(B21,4,3),MMWR_TRAD_AGG_NATIONAL[],2,0),"--")</f>
        <v>291</v>
      </c>
      <c r="G21" s="170">
        <f>IFERROR(VLOOKUP(MID(B21,4,3),MMWR_TRAD_AGG_NATIONAL[],3,0),"--")</f>
        <v>103</v>
      </c>
      <c r="H21" s="171">
        <f t="shared" si="0"/>
        <v>0.35395189003436428</v>
      </c>
      <c r="I21" s="68" t="s">
        <v>310</v>
      </c>
      <c r="J21" s="325" t="s">
        <v>275</v>
      </c>
      <c r="K21" s="398"/>
      <c r="L21" s="169">
        <f>IFERROR(VLOOKUP(MID(J21,4,3),MMWR_TRAD_AGG_NATIONAL[],2,0),"--")</f>
        <v>24</v>
      </c>
      <c r="M21" s="170">
        <f>IFERROR(VLOOKUP(MID(J21,4,3),MMWR_TRAD_AGG_NATIONAL[],3,0),"--")</f>
        <v>17</v>
      </c>
      <c r="N21" s="171">
        <f t="shared" si="2"/>
        <v>0.70833333333333337</v>
      </c>
      <c r="O21" s="56"/>
      <c r="P21" s="56"/>
      <c r="Q21" s="56"/>
      <c r="R21" s="56"/>
      <c r="S21" s="56"/>
      <c r="T21" s="56"/>
      <c r="U21" s="74"/>
      <c r="V21" s="25"/>
    </row>
    <row r="22" spans="1:22" s="1" customFormat="1" ht="32.25" customHeight="1" thickBot="1" x14ac:dyDescent="0.45">
      <c r="A22" s="25"/>
      <c r="B22" s="410" t="s">
        <v>13</v>
      </c>
      <c r="C22" s="411"/>
      <c r="D22" s="411"/>
      <c r="E22" s="411"/>
      <c r="F22" s="166">
        <f>SUM(F23:F29)</f>
        <v>443553</v>
      </c>
      <c r="G22" s="167">
        <f>SUM(G23:G29)</f>
        <v>217049</v>
      </c>
      <c r="H22" s="168">
        <f t="shared" si="0"/>
        <v>0.48934174720946538</v>
      </c>
      <c r="I22" s="25"/>
      <c r="J22" s="410" t="s">
        <v>224</v>
      </c>
      <c r="K22" s="411"/>
      <c r="L22" s="166">
        <f>SUM(L23:L26)</f>
        <v>1705</v>
      </c>
      <c r="M22" s="166">
        <f>SUM(M23:M26)</f>
        <v>545</v>
      </c>
      <c r="N22" s="159">
        <f t="shared" si="2"/>
        <v>0.31964809384164222</v>
      </c>
      <c r="O22" s="56"/>
      <c r="P22" s="25"/>
      <c r="Q22" s="25"/>
      <c r="R22" s="25"/>
      <c r="S22" s="25"/>
      <c r="T22" s="56"/>
      <c r="U22" s="74"/>
      <c r="V22" s="25"/>
    </row>
    <row r="23" spans="1:22" s="1" customFormat="1" ht="26.25" customHeight="1" x14ac:dyDescent="0.4">
      <c r="A23" s="25"/>
      <c r="B23" s="404" t="s">
        <v>257</v>
      </c>
      <c r="C23" s="405"/>
      <c r="D23" s="405"/>
      <c r="E23" s="406"/>
      <c r="F23" s="169">
        <f>IFERROR(VLOOKUP(MID(B23,4,3),MMWR_TRAD_AGG_NATIONAL[],2,0),"--")</f>
        <v>131351</v>
      </c>
      <c r="G23" s="170">
        <f>IFERROR(VLOOKUP(MID(B23,4,3),MMWR_TRAD_AGG_NATIONAL[],3,0),"--")</f>
        <v>82145</v>
      </c>
      <c r="H23" s="171">
        <f t="shared" si="0"/>
        <v>0.62538541769761935</v>
      </c>
      <c r="I23" s="25"/>
      <c r="J23" s="421" t="s">
        <v>278</v>
      </c>
      <c r="K23" s="422"/>
      <c r="L23" s="172">
        <f>IFERROR(VLOOKUP(MID(J23,4,3),MMWR_TRAD_AGG_NATIONAL[],2,0),"--")</f>
        <v>254</v>
      </c>
      <c r="M23" s="173">
        <f>IFERROR(VLOOKUP(MID(J23,4,3),MMWR_TRAD_AGG_NATIONAL[],3,0),"--")</f>
        <v>91</v>
      </c>
      <c r="N23" s="174">
        <f t="shared" si="2"/>
        <v>0.35826771653543305</v>
      </c>
      <c r="O23" s="56"/>
      <c r="P23" s="25"/>
      <c r="Q23" s="25"/>
      <c r="R23" s="25"/>
      <c r="S23" s="25"/>
      <c r="T23" s="56"/>
      <c r="U23" s="74"/>
      <c r="V23" s="25"/>
    </row>
    <row r="24" spans="1:22" s="1" customFormat="1" ht="39.75" customHeight="1" x14ac:dyDescent="0.4">
      <c r="A24" s="25"/>
      <c r="B24" s="404" t="s">
        <v>258</v>
      </c>
      <c r="C24" s="405"/>
      <c r="D24" s="405"/>
      <c r="E24" s="406"/>
      <c r="F24" s="169">
        <f>IFERROR(VLOOKUP(MID(B24,4,3),MMWR_TRAD_AGG_NATIONAL[],2,0),"--")</f>
        <v>124</v>
      </c>
      <c r="G24" s="170">
        <f>IFERROR(VLOOKUP(MID(B24,4,3),MMWR_TRAD_AGG_NATIONAL[],3,0),"--")</f>
        <v>71</v>
      </c>
      <c r="H24" s="171">
        <f t="shared" si="0"/>
        <v>0.57258064516129037</v>
      </c>
      <c r="I24" s="25"/>
      <c r="J24" s="325" t="s">
        <v>277</v>
      </c>
      <c r="K24" s="398"/>
      <c r="L24" s="169">
        <f>IFERROR(VLOOKUP(MID(J24,4,3),MMWR_TRAD_AGG_NATIONAL[],2,0),"--")</f>
        <v>487</v>
      </c>
      <c r="M24" s="170">
        <f>IFERROR(VLOOKUP(MID(J24,4,3),MMWR_TRAD_AGG_NATIONAL[],3,0),"--")</f>
        <v>20</v>
      </c>
      <c r="N24" s="171">
        <f t="shared" si="2"/>
        <v>4.1067761806981518E-2</v>
      </c>
      <c r="O24" s="56"/>
      <c r="P24" s="25"/>
      <c r="Q24" s="25"/>
      <c r="R24" s="25"/>
      <c r="S24" s="25"/>
      <c r="T24" s="56"/>
      <c r="U24" s="74"/>
      <c r="V24" s="25"/>
    </row>
    <row r="25" spans="1:22" s="1" customFormat="1" ht="37.5" customHeight="1" x14ac:dyDescent="0.4">
      <c r="A25" s="25"/>
      <c r="B25" s="404" t="s">
        <v>259</v>
      </c>
      <c r="C25" s="405"/>
      <c r="D25" s="405"/>
      <c r="E25" s="406"/>
      <c r="F25" s="169">
        <f>IFERROR(VLOOKUP(MID(B25,4,3),MMWR_TRAD_AGG_NATIONAL[],2,0),"--")</f>
        <v>345</v>
      </c>
      <c r="G25" s="170">
        <f>IFERROR(VLOOKUP(MID(B25,4,3),MMWR_TRAD_AGG_NATIONAL[],3,0),"--")</f>
        <v>276</v>
      </c>
      <c r="H25" s="171">
        <f t="shared" si="0"/>
        <v>0.8</v>
      </c>
      <c r="I25" s="25"/>
      <c r="J25" s="325" t="s">
        <v>276</v>
      </c>
      <c r="K25" s="398"/>
      <c r="L25" s="169">
        <f>IFERROR(VLOOKUP(MID(J25,4,3),MMWR_TRAD_AGG_NATIONAL[],2,0),"--")</f>
        <v>920</v>
      </c>
      <c r="M25" s="170">
        <f>IFERROR(VLOOKUP(MID(J25,4,3),MMWR_TRAD_AGG_NATIONAL[],3,0),"--")</f>
        <v>404</v>
      </c>
      <c r="N25" s="171">
        <f t="shared" si="2"/>
        <v>0.43913043478260871</v>
      </c>
      <c r="O25" s="56"/>
      <c r="P25" s="56"/>
      <c r="Q25" s="56"/>
      <c r="R25" s="56"/>
      <c r="S25" s="56"/>
      <c r="T25" s="56"/>
      <c r="U25" s="74"/>
      <c r="V25" s="25"/>
    </row>
    <row r="26" spans="1:22" s="1" customFormat="1" ht="37.5" customHeight="1" thickBot="1" x14ac:dyDescent="0.45">
      <c r="A26" s="25"/>
      <c r="B26" s="404" t="s">
        <v>260</v>
      </c>
      <c r="C26" s="405"/>
      <c r="D26" s="405"/>
      <c r="E26" s="406"/>
      <c r="F26" s="169">
        <f>IFERROR(VLOOKUP(MID(B26,4,3),MMWR_TRAD_AGG_NATIONAL[],2,0),"--")</f>
        <v>95966</v>
      </c>
      <c r="G26" s="170">
        <f>IFERROR(VLOOKUP(MID(B26,4,3),MMWR_TRAD_AGG_NATIONAL[],3,0),"--")</f>
        <v>72127</v>
      </c>
      <c r="H26" s="171">
        <f t="shared" si="0"/>
        <v>0.75158910447450133</v>
      </c>
      <c r="I26" s="56"/>
      <c r="J26" s="327" t="s">
        <v>313</v>
      </c>
      <c r="K26" s="400"/>
      <c r="L26" s="175">
        <f>IFERROR(VLOOKUP(MID(J26,4,3),MMWR_TRAD_AGG_NATIONAL[],2,0),"--")</f>
        <v>44</v>
      </c>
      <c r="M26" s="176">
        <f>IFERROR(VLOOKUP(MID(J26,4,3),MMWR_TRAD_AGG_NATIONAL[],3,0),"--")</f>
        <v>30</v>
      </c>
      <c r="N26" s="177">
        <f t="shared" si="2"/>
        <v>0.68181818181818177</v>
      </c>
      <c r="O26" s="56"/>
      <c r="P26" s="56"/>
      <c r="Q26" s="56"/>
      <c r="R26" s="56"/>
      <c r="S26" s="56"/>
      <c r="T26" s="56"/>
      <c r="U26" s="74"/>
      <c r="V26" s="25"/>
    </row>
    <row r="27" spans="1:22" s="1" customFormat="1" ht="26.25" customHeight="1" thickBot="1" x14ac:dyDescent="0.45">
      <c r="A27" s="25"/>
      <c r="B27" s="404" t="s">
        <v>261</v>
      </c>
      <c r="C27" s="405"/>
      <c r="D27" s="405"/>
      <c r="E27" s="406"/>
      <c r="F27" s="169">
        <f>IFERROR(VLOOKUP(MID(B27,4,3),MMWR_TRAD_AGG_NATIONAL[],2,0),"--")</f>
        <v>245</v>
      </c>
      <c r="G27" s="170">
        <f>IFERROR(VLOOKUP(MID(B27,4,3),MMWR_TRAD_AGG_NATIONAL[],3,0),"--")</f>
        <v>212</v>
      </c>
      <c r="H27" s="171">
        <f t="shared" si="0"/>
        <v>0.86530612244897964</v>
      </c>
      <c r="I27" s="56"/>
      <c r="J27" s="56"/>
      <c r="K27" s="56"/>
      <c r="L27" s="56"/>
      <c r="M27" s="56"/>
      <c r="N27" s="56"/>
      <c r="O27" s="56"/>
      <c r="P27" s="56"/>
      <c r="Q27" s="56"/>
      <c r="R27" s="56"/>
      <c r="S27" s="56"/>
      <c r="T27" s="56"/>
      <c r="U27" s="74"/>
      <c r="V27" s="25"/>
    </row>
    <row r="28" spans="1:22" s="1" customFormat="1" ht="32.25" customHeight="1" x14ac:dyDescent="0.4">
      <c r="A28" s="25"/>
      <c r="B28" s="404" t="s">
        <v>262</v>
      </c>
      <c r="C28" s="405"/>
      <c r="D28" s="405"/>
      <c r="E28" s="406"/>
      <c r="F28" s="169">
        <f>IFERROR(VLOOKUP(MID(B28,4,3),MMWR_TRAD_AGG_NATIONAL[],2,0),"--")</f>
        <v>23046</v>
      </c>
      <c r="G28" s="170">
        <f>IFERROR(VLOOKUP(MID(B28,4,3),MMWR_TRAD_AGG_NATIONAL[],3,0),"--")</f>
        <v>4361</v>
      </c>
      <c r="H28" s="171">
        <f t="shared" si="0"/>
        <v>0.18923023518181029</v>
      </c>
      <c r="I28" s="68" t="s">
        <v>310</v>
      </c>
      <c r="J28" s="448" t="s">
        <v>312</v>
      </c>
      <c r="K28" s="449"/>
      <c r="L28" s="449"/>
      <c r="M28" s="449"/>
      <c r="N28" s="450"/>
      <c r="O28" s="420" t="s">
        <v>310</v>
      </c>
      <c r="P28" s="75"/>
      <c r="Q28" s="56"/>
      <c r="R28" s="56"/>
      <c r="S28" s="56"/>
      <c r="T28" s="56"/>
      <c r="U28" s="74"/>
      <c r="V28" s="25"/>
    </row>
    <row r="29" spans="1:22" s="1" customFormat="1" ht="27" customHeight="1" thickBot="1" x14ac:dyDescent="0.45">
      <c r="A29" s="25"/>
      <c r="B29" s="404" t="s">
        <v>263</v>
      </c>
      <c r="C29" s="405"/>
      <c r="D29" s="405"/>
      <c r="E29" s="406"/>
      <c r="F29" s="169">
        <f>IFERROR(VLOOKUP(MID(B29,4,3),MMWR_TRAD_AGG_NATIONAL[],2,0),"--")</f>
        <v>192476</v>
      </c>
      <c r="G29" s="170">
        <f>IFERROR(VLOOKUP(MID(B29,4,3),MMWR_TRAD_AGG_NATIONAL[],3,0),"--")</f>
        <v>57857</v>
      </c>
      <c r="H29" s="171">
        <f t="shared" si="0"/>
        <v>0.30059332072570089</v>
      </c>
      <c r="I29" s="56"/>
      <c r="J29" s="451"/>
      <c r="K29" s="452"/>
      <c r="L29" s="452"/>
      <c r="M29" s="452"/>
      <c r="N29" s="453"/>
      <c r="O29" s="420"/>
      <c r="P29" s="76"/>
      <c r="Q29" s="56"/>
      <c r="R29" s="56"/>
      <c r="S29" s="56"/>
      <c r="T29" s="56"/>
      <c r="U29" s="74"/>
      <c r="V29" s="25"/>
    </row>
    <row r="30" spans="1:22" s="1" customFormat="1" ht="32.25" customHeight="1" thickBot="1" x14ac:dyDescent="0.45">
      <c r="A30" s="25"/>
      <c r="B30" s="410" t="s">
        <v>29</v>
      </c>
      <c r="C30" s="411"/>
      <c r="D30" s="411"/>
      <c r="E30" s="411"/>
      <c r="F30" s="167">
        <f>SUM(F31:F37)</f>
        <v>126130</v>
      </c>
      <c r="G30" s="167">
        <f>SUM(G31:G37)</f>
        <v>97577</v>
      </c>
      <c r="H30" s="159">
        <f t="shared" si="0"/>
        <v>0.77362245302465715</v>
      </c>
      <c r="I30" s="56"/>
      <c r="J30" s="28"/>
      <c r="K30" s="28"/>
      <c r="L30" s="28"/>
      <c r="M30" s="28"/>
      <c r="N30" s="28"/>
      <c r="O30" s="28"/>
      <c r="P30" s="56"/>
      <c r="Q30" s="56"/>
      <c r="R30" s="56"/>
      <c r="S30" s="56"/>
      <c r="T30" s="56"/>
      <c r="U30" s="74"/>
      <c r="V30" s="25"/>
    </row>
    <row r="31" spans="1:22" s="1" customFormat="1" ht="33.75" customHeight="1" x14ac:dyDescent="0.4">
      <c r="A31" s="25"/>
      <c r="B31" s="325" t="s">
        <v>280</v>
      </c>
      <c r="C31" s="326"/>
      <c r="D31" s="326"/>
      <c r="E31" s="398"/>
      <c r="F31" s="169">
        <f>IFERROR(VLOOKUP(MID(B31,4,3),MMWR_TRAD_AGG_NATIONAL[],2,0),"--")</f>
        <v>23</v>
      </c>
      <c r="G31" s="170">
        <f>IFERROR(VLOOKUP(MID(B31,4,3),MMWR_TRAD_AGG_NATIONAL[],3,0),"--")</f>
        <v>21</v>
      </c>
      <c r="H31" s="171">
        <f t="shared" si="0"/>
        <v>0.91304347826086951</v>
      </c>
      <c r="I31" s="56"/>
      <c r="J31" s="56"/>
      <c r="K31" s="56"/>
      <c r="L31" s="56"/>
      <c r="M31" s="56"/>
      <c r="N31" s="56"/>
      <c r="O31" s="56"/>
      <c r="P31" s="56"/>
      <c r="Q31" s="56"/>
      <c r="R31" s="56"/>
      <c r="S31" s="56"/>
      <c r="T31" s="56"/>
      <c r="U31" s="74"/>
      <c r="V31" s="25"/>
    </row>
    <row r="32" spans="1:22" s="1" customFormat="1" ht="32.25" customHeight="1" x14ac:dyDescent="0.4">
      <c r="A32" s="25"/>
      <c r="B32" s="325" t="s">
        <v>281</v>
      </c>
      <c r="C32" s="326"/>
      <c r="D32" s="326"/>
      <c r="E32" s="398"/>
      <c r="F32" s="169">
        <f>IFERROR(VLOOKUP(MID(B32,4,3),MMWR_TRAD_AGG_NATIONAL[],2,0),"--")</f>
        <v>34589</v>
      </c>
      <c r="G32" s="170">
        <f>IFERROR(VLOOKUP(MID(B32,4,3),MMWR_TRAD_AGG_NATIONAL[],3,0),"--")</f>
        <v>24056</v>
      </c>
      <c r="H32" s="171">
        <f t="shared" si="0"/>
        <v>0.69548122235392751</v>
      </c>
      <c r="I32" s="56"/>
      <c r="J32" s="56"/>
      <c r="K32" s="56"/>
      <c r="L32" s="56"/>
      <c r="M32" s="56"/>
      <c r="N32" s="56"/>
      <c r="O32" s="56"/>
      <c r="P32" s="56"/>
      <c r="Q32" s="56"/>
      <c r="R32" s="56"/>
      <c r="S32" s="56"/>
      <c r="T32" s="56"/>
      <c r="U32" s="74"/>
      <c r="V32" s="25"/>
    </row>
    <row r="33" spans="1:22" s="1" customFormat="1" ht="32.25" customHeight="1" x14ac:dyDescent="0.4">
      <c r="A33" s="25"/>
      <c r="B33" s="325" t="s">
        <v>282</v>
      </c>
      <c r="C33" s="326"/>
      <c r="D33" s="326"/>
      <c r="E33" s="398"/>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5" t="s">
        <v>283</v>
      </c>
      <c r="C34" s="326"/>
      <c r="D34" s="326"/>
      <c r="E34" s="398"/>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5" t="s">
        <v>284</v>
      </c>
      <c r="C35" s="326"/>
      <c r="D35" s="326"/>
      <c r="E35" s="398"/>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5" t="s">
        <v>285</v>
      </c>
      <c r="C36" s="326"/>
      <c r="D36" s="326"/>
      <c r="E36" s="398"/>
      <c r="F36" s="169">
        <f>IFERROR(VLOOKUP(MID(B36,4,3),MMWR_TRAD_AGG_NATIONAL[],2,0),"--")</f>
        <v>25007</v>
      </c>
      <c r="G36" s="170">
        <f>IFERROR(VLOOKUP(MID(B36,4,3),MMWR_TRAD_AGG_NATIONAL[],3,0),"--")</f>
        <v>17185</v>
      </c>
      <c r="H36" s="171">
        <f t="shared" si="0"/>
        <v>0.68720758187707442</v>
      </c>
      <c r="I36" s="56"/>
      <c r="J36" s="56"/>
      <c r="K36" s="56"/>
      <c r="L36" s="56"/>
      <c r="M36" s="56"/>
      <c r="N36" s="56"/>
      <c r="O36" s="56"/>
      <c r="P36" s="56"/>
      <c r="Q36" s="56"/>
      <c r="R36" s="56"/>
      <c r="S36" s="56"/>
      <c r="T36" s="56"/>
      <c r="U36" s="74"/>
      <c r="V36" s="25"/>
    </row>
    <row r="37" spans="1:22" s="1" customFormat="1" ht="27" customHeight="1" thickBot="1" x14ac:dyDescent="0.45">
      <c r="A37" s="25"/>
      <c r="B37" s="325" t="s">
        <v>286</v>
      </c>
      <c r="C37" s="326"/>
      <c r="D37" s="326"/>
      <c r="E37" s="398"/>
      <c r="F37" s="169">
        <f>IFERROR(VLOOKUP(MID(B37,4,3)&amp;"G",MMWR_TRAD_AGG_NATIONAL[],2,0),"--")</f>
        <v>66511</v>
      </c>
      <c r="G37" s="170">
        <f>IFERROR(VLOOKUP(MID(B37,4,3)&amp;"G",MMWR_TRAD_AGG_NATIONAL[],3,0),"--")</f>
        <v>56315</v>
      </c>
      <c r="H37" s="171">
        <f t="shared" si="0"/>
        <v>0.84670204928508064</v>
      </c>
      <c r="I37" s="56"/>
      <c r="J37" s="56"/>
      <c r="K37" s="56"/>
      <c r="L37" s="56"/>
      <c r="M37" s="56"/>
      <c r="N37" s="56"/>
      <c r="O37" s="56"/>
      <c r="P37" s="56"/>
      <c r="Q37" s="56"/>
      <c r="R37" s="56"/>
      <c r="S37" s="56"/>
      <c r="T37" s="56"/>
      <c r="U37" s="74"/>
      <c r="V37" s="25"/>
    </row>
    <row r="38" spans="1:22" s="1" customFormat="1" ht="32.25" customHeight="1" thickBot="1" x14ac:dyDescent="0.45">
      <c r="A38" s="25"/>
      <c r="B38" s="410" t="s">
        <v>238</v>
      </c>
      <c r="C38" s="411"/>
      <c r="D38" s="411"/>
      <c r="E38" s="411"/>
      <c r="F38" s="166">
        <f>SUM(F39:F44)</f>
        <v>170108</v>
      </c>
      <c r="G38" s="167">
        <f>SUM(G39:G44)</f>
        <v>117517</v>
      </c>
      <c r="H38" s="168">
        <f t="shared" si="0"/>
        <v>0.69083758553389607</v>
      </c>
      <c r="I38" s="56"/>
      <c r="J38" s="56"/>
      <c r="K38" s="75"/>
      <c r="L38" s="75"/>
      <c r="M38" s="75"/>
      <c r="N38" s="75"/>
      <c r="O38" s="75"/>
      <c r="P38" s="56"/>
      <c r="Q38" s="56"/>
      <c r="R38" s="56"/>
      <c r="S38" s="56"/>
      <c r="T38" s="56"/>
      <c r="U38" s="74"/>
      <c r="V38" s="25"/>
    </row>
    <row r="39" spans="1:22" s="1" customFormat="1" ht="26.25" customHeight="1" x14ac:dyDescent="0.4">
      <c r="A39" s="25"/>
      <c r="B39" s="421" t="s">
        <v>287</v>
      </c>
      <c r="C39" s="440"/>
      <c r="D39" s="440"/>
      <c r="E39" s="422"/>
      <c r="F39" s="172">
        <f>IFERROR(VLOOKUP(MID(B39,4,3),MMWR_TRAD_AGG_NATIONAL[],2,0),"--")</f>
        <v>8424</v>
      </c>
      <c r="G39" s="173">
        <f>IFERROR(VLOOKUP(MID(B39,4,3),MMWR_TRAD_AGG_NATIONAL[],3,0),"--")</f>
        <v>6441</v>
      </c>
      <c r="H39" s="174">
        <f t="shared" si="0"/>
        <v>0.76460113960113962</v>
      </c>
      <c r="I39" s="56"/>
      <c r="J39" s="56"/>
      <c r="K39" s="75"/>
      <c r="L39" s="75"/>
      <c r="M39" s="75"/>
      <c r="N39" s="75"/>
      <c r="O39" s="75"/>
      <c r="P39" s="56"/>
      <c r="Q39" s="56"/>
      <c r="R39" s="56"/>
      <c r="S39" s="56"/>
      <c r="T39" s="56"/>
      <c r="U39" s="74"/>
      <c r="V39" s="25"/>
    </row>
    <row r="40" spans="1:22" s="1" customFormat="1" ht="26.25" customHeight="1" x14ac:dyDescent="0.4">
      <c r="A40" s="25"/>
      <c r="B40" s="325" t="s">
        <v>288</v>
      </c>
      <c r="C40" s="326"/>
      <c r="D40" s="326"/>
      <c r="E40" s="398"/>
      <c r="F40" s="169">
        <f>IFERROR(VLOOKUP(MID(B40,4,3),MMWR_TRAD_AGG_NATIONAL[],2,0),"--")</f>
        <v>63389</v>
      </c>
      <c r="G40" s="170">
        <f>IFERROR(VLOOKUP(MID(B40,4,3),MMWR_TRAD_AGG_NATIONAL[],3,0),"--")</f>
        <v>48543</v>
      </c>
      <c r="H40" s="171">
        <f t="shared" si="0"/>
        <v>0.76579532726498289</v>
      </c>
      <c r="I40" s="56"/>
      <c r="J40" s="56"/>
      <c r="K40" s="56"/>
      <c r="L40" s="56"/>
      <c r="M40" s="56"/>
      <c r="N40" s="56"/>
      <c r="O40" s="56"/>
      <c r="P40" s="56"/>
      <c r="Q40" s="56"/>
      <c r="R40" s="56"/>
      <c r="S40" s="56"/>
      <c r="T40" s="56"/>
      <c r="U40" s="74"/>
      <c r="V40" s="25"/>
    </row>
    <row r="41" spans="1:22" s="1" customFormat="1" ht="26.25" customHeight="1" x14ac:dyDescent="0.4">
      <c r="A41" s="25"/>
      <c r="B41" s="325" t="s">
        <v>289</v>
      </c>
      <c r="C41" s="326"/>
      <c r="D41" s="326"/>
      <c r="E41" s="398"/>
      <c r="F41" s="169">
        <f>IFERROR(VLOOKUP(MID(B41,4,3),MMWR_TRAD_AGG_NATIONAL[],2,0),"--")</f>
        <v>959</v>
      </c>
      <c r="G41" s="170">
        <f>IFERROR(VLOOKUP(MID(B41,4,3),MMWR_TRAD_AGG_NATIONAL[],3,0),"--")</f>
        <v>349</v>
      </c>
      <c r="H41" s="171">
        <f t="shared" si="0"/>
        <v>0.36392075078206465</v>
      </c>
      <c r="I41" s="56"/>
      <c r="J41" s="56"/>
      <c r="K41" s="56"/>
      <c r="L41" s="56"/>
      <c r="M41" s="56"/>
      <c r="N41" s="56"/>
      <c r="O41" s="56"/>
      <c r="P41" s="56"/>
      <c r="Q41" s="56"/>
      <c r="R41" s="56"/>
      <c r="S41" s="56"/>
      <c r="T41" s="56"/>
      <c r="U41" s="74"/>
      <c r="V41" s="25"/>
    </row>
    <row r="42" spans="1:22" s="1" customFormat="1" ht="36" customHeight="1" x14ac:dyDescent="0.4">
      <c r="A42" s="25"/>
      <c r="B42" s="325" t="s">
        <v>290</v>
      </c>
      <c r="C42" s="326"/>
      <c r="D42" s="326"/>
      <c r="E42" s="398"/>
      <c r="F42" s="169">
        <f>IFERROR(VLOOKUP(MID(B42,4,3),MMWR_TRAD_AGG_NATIONAL[],2,0),"--")</f>
        <v>79385</v>
      </c>
      <c r="G42" s="170">
        <f>IFERROR(VLOOKUP(MID(B42,4,3),MMWR_TRAD_AGG_NATIONAL[],3,0),"--")</f>
        <v>47416</v>
      </c>
      <c r="H42" s="171">
        <f t="shared" si="0"/>
        <v>0.59729167978837316</v>
      </c>
      <c r="I42" s="56"/>
      <c r="J42" s="56"/>
      <c r="K42" s="56"/>
      <c r="L42" s="56"/>
      <c r="M42" s="56"/>
      <c r="N42" s="56"/>
      <c r="O42" s="56"/>
      <c r="P42" s="56"/>
      <c r="Q42" s="56"/>
      <c r="R42" s="56"/>
      <c r="S42" s="56"/>
      <c r="T42" s="56"/>
      <c r="U42" s="74"/>
      <c r="V42" s="25"/>
    </row>
    <row r="43" spans="1:22" s="1" customFormat="1" ht="33" customHeight="1" x14ac:dyDescent="0.4">
      <c r="A43" s="25"/>
      <c r="B43" s="325" t="s">
        <v>291</v>
      </c>
      <c r="C43" s="326"/>
      <c r="D43" s="326"/>
      <c r="E43" s="398"/>
      <c r="F43" s="169">
        <f>IFERROR(VLOOKUP(MID(B43,4,3),MMWR_TRAD_AGG_NATIONAL[],2,0),"--")</f>
        <v>17472</v>
      </c>
      <c r="G43" s="170">
        <f>IFERROR(VLOOKUP(MID(B43,4,3),MMWR_TRAD_AGG_NATIONAL[],3,0),"--")</f>
        <v>14378</v>
      </c>
      <c r="H43" s="171">
        <f t="shared" si="0"/>
        <v>0.82291666666666663</v>
      </c>
      <c r="I43" s="56"/>
      <c r="J43" s="56"/>
      <c r="K43" s="56"/>
      <c r="L43" s="56"/>
      <c r="M43" s="56"/>
      <c r="N43" s="56"/>
      <c r="O43" s="56"/>
      <c r="P43" s="56"/>
      <c r="Q43" s="56"/>
      <c r="R43" s="56"/>
      <c r="S43" s="56"/>
      <c r="T43" s="56"/>
      <c r="U43" s="74"/>
      <c r="V43" s="25"/>
    </row>
    <row r="44" spans="1:22" s="1" customFormat="1" ht="27" customHeight="1" thickBot="1" x14ac:dyDescent="0.45">
      <c r="A44" s="25"/>
      <c r="B44" s="327" t="s">
        <v>292</v>
      </c>
      <c r="C44" s="328"/>
      <c r="D44" s="328"/>
      <c r="E44" s="400"/>
      <c r="F44" s="175">
        <f>IFERROR(VLOOKUP(MID(B44,4,3),MMWR_TRAD_AGG_NATIONAL[],2,0),"--")</f>
        <v>479</v>
      </c>
      <c r="G44" s="176">
        <f>IFERROR(VLOOKUP(MID(B44,4,3),MMWR_TRAD_AGG_NATIONAL[],3,0),"--")</f>
        <v>390</v>
      </c>
      <c r="H44" s="177">
        <f t="shared" si="0"/>
        <v>0.81419624217119002</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8"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4" t="str">
        <f>UPPER("INVENTORY BY REGIONAL OFFICE "&amp;Transformation!B4)</f>
        <v>INVENTORY BY REGIONAL OFFICE AS OF: AUGUST 06, 2016</v>
      </c>
      <c r="D2" s="455"/>
      <c r="E2" s="455"/>
      <c r="F2" s="455"/>
      <c r="G2" s="455"/>
      <c r="H2" s="455"/>
      <c r="I2" s="455"/>
      <c r="J2" s="455"/>
      <c r="K2" s="455"/>
      <c r="L2" s="455"/>
      <c r="M2" s="455"/>
      <c r="N2" s="455"/>
      <c r="O2" s="455"/>
      <c r="P2" s="455"/>
      <c r="Q2" s="455"/>
      <c r="R2" s="455"/>
      <c r="S2" s="456"/>
      <c r="T2" s="25"/>
    </row>
    <row r="3" spans="1:20" x14ac:dyDescent="0.2">
      <c r="A3" s="25"/>
      <c r="B3" s="26"/>
      <c r="C3" s="457" t="s">
        <v>225</v>
      </c>
      <c r="D3" s="458"/>
      <c r="E3" s="459" t="s">
        <v>205</v>
      </c>
      <c r="F3" s="460"/>
      <c r="G3" s="461"/>
      <c r="H3" s="459" t="s">
        <v>7</v>
      </c>
      <c r="I3" s="460"/>
      <c r="J3" s="461"/>
      <c r="K3" s="459" t="s">
        <v>30</v>
      </c>
      <c r="L3" s="460"/>
      <c r="M3" s="461"/>
      <c r="N3" s="459" t="s">
        <v>8</v>
      </c>
      <c r="O3" s="460"/>
      <c r="P3" s="461"/>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487</v>
      </c>
      <c r="T4" s="91"/>
    </row>
    <row r="5" spans="1:20" ht="26.25" x14ac:dyDescent="0.4">
      <c r="A5" s="25"/>
      <c r="B5" s="26"/>
      <c r="C5" s="454" t="s">
        <v>485</v>
      </c>
      <c r="D5" s="455"/>
      <c r="E5" s="455"/>
      <c r="F5" s="455"/>
      <c r="G5" s="455"/>
      <c r="H5" s="455"/>
      <c r="I5" s="455"/>
      <c r="J5" s="455"/>
      <c r="K5" s="455"/>
      <c r="L5" s="455"/>
      <c r="M5" s="455"/>
      <c r="N5" s="455"/>
      <c r="O5" s="455"/>
      <c r="P5" s="455"/>
      <c r="Q5" s="455"/>
      <c r="R5" s="455"/>
      <c r="S5" s="456"/>
      <c r="T5" s="25"/>
    </row>
    <row r="6" spans="1:20" x14ac:dyDescent="0.2">
      <c r="A6" s="92"/>
      <c r="B6" s="93" t="s">
        <v>460</v>
      </c>
      <c r="C6" s="208">
        <f>IFERROR(VLOOKUP($B6,MMWR_TRAD_AGG_DISTRICT_COMP[],C$1,0),"ERROR")</f>
        <v>230326</v>
      </c>
      <c r="D6" s="186">
        <f>IFERROR(VLOOKUP($B6,MMWR_TRAD_AGG_DISTRICT_COMP[],D$1,0),"ERROR")</f>
        <v>369.72511570559999</v>
      </c>
      <c r="E6" s="194">
        <f>IFERROR(VLOOKUP($B6,MMWR_TRAD_AGG_DISTRICT_COMP[],E$1,0),"ERROR")</f>
        <v>344488</v>
      </c>
      <c r="F6" s="188">
        <f>IFERROR(VLOOKUP($B6,MMWR_TRAD_AGG_DISTRICT_COMP[],F$1,0),"ERROR")</f>
        <v>73668</v>
      </c>
      <c r="G6" s="211">
        <f t="shared" ref="G6:G69" si="0">IFERROR(F6/E6,"0%")</f>
        <v>0.21384779731079168</v>
      </c>
      <c r="H6" s="187">
        <f>IFERROR(VLOOKUP($B6,MMWR_TRAD_AGG_DISTRICT_COMP[],H$1,0),"ERROR")</f>
        <v>443553</v>
      </c>
      <c r="I6" s="188">
        <f>IFERROR(VLOOKUP($B6,MMWR_TRAD_AGG_DISTRICT_COMP[],I$1,0),"ERROR")</f>
        <v>217049</v>
      </c>
      <c r="J6" s="211">
        <f t="shared" ref="J6:J69" si="1">IFERROR(I6/H6,"0%")</f>
        <v>0.48934174720946538</v>
      </c>
      <c r="K6" s="187">
        <f>IFERROR(VLOOKUP($B6,MMWR_TRAD_AGG_DISTRICT_COMP[],K$1,0),"ERROR")</f>
        <v>129995</v>
      </c>
      <c r="L6" s="188">
        <f>IFERROR(VLOOKUP($B6,MMWR_TRAD_AGG_DISTRICT_COMP[],L$1,0),"ERROR")</f>
        <v>101220</v>
      </c>
      <c r="M6" s="211">
        <f t="shared" ref="M6:M69" si="2">IFERROR(L6/K6,"0%")</f>
        <v>0.778645332512789</v>
      </c>
      <c r="N6" s="187">
        <f>IFERROR(VLOOKUP($B6,MMWR_TRAD_AGG_DISTRICT_COMP[],N$1,0),"ERROR")</f>
        <v>171373</v>
      </c>
      <c r="O6" s="188">
        <f>IFERROR(VLOOKUP($B6,MMWR_TRAD_AGG_DISTRICT_COMP[],O$1,0),"ERROR")</f>
        <v>118148</v>
      </c>
      <c r="P6" s="211">
        <f t="shared" ref="P6:P69" si="3">IFERROR(O6/N6,"0%")</f>
        <v>0.68942015369982435</v>
      </c>
      <c r="Q6" s="200">
        <f>IFERROR(VLOOKUP($B6,MMWR_TRAD_AGG_DISTRICT_COMP[],Q$1,0),"ERROR")</f>
        <v>23494</v>
      </c>
      <c r="R6" s="200">
        <f>IFERROR(VLOOKUP($B6,MMWR_TRAD_AGG_DISTRICT_COMP[],R$1,0),"ERROR")</f>
        <v>4515</v>
      </c>
      <c r="S6" s="203">
        <f>S7+S25+S38+S49+S62+S70</f>
        <v>311797</v>
      </c>
      <c r="T6" s="25"/>
    </row>
    <row r="7" spans="1:20" x14ac:dyDescent="0.2">
      <c r="A7" s="92"/>
      <c r="B7" s="101" t="s">
        <v>368</v>
      </c>
      <c r="C7" s="212">
        <f>IFERROR(VLOOKUP($B7,MMWR_TRAD_AGG_DISTRICT_COMP[],C$1,0),"ERROR")</f>
        <v>62733</v>
      </c>
      <c r="D7" s="197">
        <f>IFERROR(VLOOKUP($B7,MMWR_TRAD_AGG_DISTRICT_COMP[],D$1,0),"ERROR")</f>
        <v>421.9889850637</v>
      </c>
      <c r="E7" s="213">
        <f>IFERROR(VLOOKUP($B7,MMWR_TRAD_AGG_DISTRICT_COMP[],E$1,0),"ERROR")</f>
        <v>80146</v>
      </c>
      <c r="F7" s="212">
        <f>IFERROR(VLOOKUP($B7,MMWR_TRAD_AGG_DISTRICT_COMP[],F$1,0),"ERROR")</f>
        <v>18063</v>
      </c>
      <c r="G7" s="214">
        <f t="shared" si="0"/>
        <v>0.22537618845606769</v>
      </c>
      <c r="H7" s="212">
        <f>IFERROR(VLOOKUP($B7,MMWR_TRAD_AGG_DISTRICT_COMP[],H$1,0),"ERROR")</f>
        <v>109773</v>
      </c>
      <c r="I7" s="212">
        <f>IFERROR(VLOOKUP($B7,MMWR_TRAD_AGG_DISTRICT_COMP[],I$1,0),"ERROR")</f>
        <v>58324</v>
      </c>
      <c r="J7" s="214">
        <f t="shared" si="1"/>
        <v>0.53131462199265755</v>
      </c>
      <c r="K7" s="212">
        <f>IFERROR(VLOOKUP($B7,MMWR_TRAD_AGG_DISTRICT_COMP[],K$1,0),"ERROR")</f>
        <v>36818</v>
      </c>
      <c r="L7" s="212">
        <f>IFERROR(VLOOKUP($B7,MMWR_TRAD_AGG_DISTRICT_COMP[],L$1,0),"ERROR")</f>
        <v>29192</v>
      </c>
      <c r="M7" s="214">
        <f t="shared" si="2"/>
        <v>0.79287305122494434</v>
      </c>
      <c r="N7" s="212">
        <f>IFERROR(VLOOKUP($B7,MMWR_TRAD_AGG_DISTRICT_COMP[],N$1,0),"ERROR")</f>
        <v>28965</v>
      </c>
      <c r="O7" s="212">
        <f>IFERROR(VLOOKUP($B7,MMWR_TRAD_AGG_DISTRICT_COMP[],O$1,0),"ERROR")</f>
        <v>23713</v>
      </c>
      <c r="P7" s="214">
        <f t="shared" si="3"/>
        <v>0.81867771448299675</v>
      </c>
      <c r="Q7" s="212">
        <f>IFERROR(VLOOKUP($B7,MMWR_TRAD_AGG_DISTRICT_COMP[],Q$1,0),"ERROR")</f>
        <v>14395</v>
      </c>
      <c r="R7" s="215">
        <f>IFERROR(VLOOKUP($B7,MMWR_TRAD_AGG_DISTRICT_COMP[],R$1,0),"ERROR")</f>
        <v>48</v>
      </c>
      <c r="S7" s="215">
        <f>IFERROR(VLOOKUP($B7,MMWR_APP_RO[],S$1,0),"ERROR")</f>
        <v>57067</v>
      </c>
      <c r="T7" s="25"/>
    </row>
    <row r="8" spans="1:20" x14ac:dyDescent="0.2">
      <c r="A8" s="107"/>
      <c r="B8" s="108" t="s">
        <v>33</v>
      </c>
      <c r="C8" s="209">
        <f>IFERROR(VLOOKUP($B8,MMWR_TRAD_AGG_RO_COMP[],C$1,0),"ERROR")</f>
        <v>7731</v>
      </c>
      <c r="D8" s="198">
        <f>IFERROR(VLOOKUP($B8,MMWR_TRAD_AGG_RO_COMP[],D$1,0),"ERROR")</f>
        <v>699.33229853839998</v>
      </c>
      <c r="E8" s="195">
        <f>IFERROR(VLOOKUP($B8,MMWR_TRAD_AGG_RO_COMP[],E$1,0),"ERROR")</f>
        <v>5488</v>
      </c>
      <c r="F8" s="191">
        <f>IFERROR(VLOOKUP($B8,MMWR_TRAD_AGG_RO_COMP[],F$1,0),"ERROR")</f>
        <v>1271</v>
      </c>
      <c r="G8" s="216">
        <f t="shared" si="0"/>
        <v>0.23159620991253643</v>
      </c>
      <c r="H8" s="190">
        <f>IFERROR(VLOOKUP($B8,MMWR_TRAD_AGG_RO_COMP[],H$1,0),"ERROR")</f>
        <v>10574</v>
      </c>
      <c r="I8" s="191">
        <f>IFERROR(VLOOKUP($B8,MMWR_TRAD_AGG_RO_COMP[],I$1,0),"ERROR")</f>
        <v>7399</v>
      </c>
      <c r="J8" s="216">
        <f t="shared" si="1"/>
        <v>0.69973519954605634</v>
      </c>
      <c r="K8" s="204">
        <f>IFERROR(VLOOKUP($B8,MMWR_TRAD_AGG_RO_COMP[],K$1,0),"ERROR")</f>
        <v>3420</v>
      </c>
      <c r="L8" s="205">
        <f>IFERROR(VLOOKUP($B8,MMWR_TRAD_AGG_RO_COMP[],L$1,0),"ERROR")</f>
        <v>3076</v>
      </c>
      <c r="M8" s="216">
        <f t="shared" si="2"/>
        <v>0.89941520467836256</v>
      </c>
      <c r="N8" s="204">
        <f>IFERROR(VLOOKUP($B8,MMWR_TRAD_AGG_RO_COMP[],N$1,0),"ERROR")</f>
        <v>1507</v>
      </c>
      <c r="O8" s="205">
        <f>IFERROR(VLOOKUP($B8,MMWR_TRAD_AGG_RO_COMP[],O$1,0),"ERROR")</f>
        <v>1217</v>
      </c>
      <c r="P8" s="216">
        <f t="shared" si="3"/>
        <v>0.80756469807564701</v>
      </c>
      <c r="Q8" s="201">
        <f>IFERROR(VLOOKUP($B8,MMWR_TRAD_AGG_RO_COMP[],Q$1,0),"ERROR")</f>
        <v>0</v>
      </c>
      <c r="R8" s="201">
        <f>IFERROR(VLOOKUP($B8,MMWR_TRAD_AGG_RO_COMP[],R$1,0),"ERROR")</f>
        <v>7</v>
      </c>
      <c r="S8" s="201">
        <f>IFERROR(VLOOKUP($B8,MMWR_APP_RO[],S$1,0),"ERROR")</f>
        <v>4839</v>
      </c>
      <c r="T8" s="25"/>
    </row>
    <row r="9" spans="1:20" x14ac:dyDescent="0.2">
      <c r="A9" s="107"/>
      <c r="B9" s="108" t="s">
        <v>35</v>
      </c>
      <c r="C9" s="209">
        <f>IFERROR(VLOOKUP($B9,MMWR_TRAD_AGG_RO_COMP[],C$1,0),"ERROR")</f>
        <v>3245</v>
      </c>
      <c r="D9" s="198">
        <f>IFERROR(VLOOKUP($B9,MMWR_TRAD_AGG_RO_COMP[],D$1,0),"ERROR")</f>
        <v>610.48844375960005</v>
      </c>
      <c r="E9" s="195">
        <f>IFERROR(VLOOKUP($B9,MMWR_TRAD_AGG_RO_COMP[],E$1,0),"ERROR")</f>
        <v>3238</v>
      </c>
      <c r="F9" s="191">
        <f>IFERROR(VLOOKUP($B9,MMWR_TRAD_AGG_RO_COMP[],F$1,0),"ERROR")</f>
        <v>666</v>
      </c>
      <c r="G9" s="216">
        <f t="shared" si="0"/>
        <v>0.20568252007411983</v>
      </c>
      <c r="H9" s="190">
        <f>IFERROR(VLOOKUP($B9,MMWR_TRAD_AGG_RO_COMP[],H$1,0),"ERROR")</f>
        <v>6663</v>
      </c>
      <c r="I9" s="191">
        <f>IFERROR(VLOOKUP($B9,MMWR_TRAD_AGG_RO_COMP[],I$1,0),"ERROR")</f>
        <v>3557</v>
      </c>
      <c r="J9" s="216">
        <f t="shared" si="1"/>
        <v>0.5338436139876932</v>
      </c>
      <c r="K9" s="204">
        <f>IFERROR(VLOOKUP($B9,MMWR_TRAD_AGG_RO_COMP[],K$1,0),"ERROR")</f>
        <v>2563</v>
      </c>
      <c r="L9" s="205">
        <f>IFERROR(VLOOKUP($B9,MMWR_TRAD_AGG_RO_COMP[],L$1,0),"ERROR")</f>
        <v>2094</v>
      </c>
      <c r="M9" s="216">
        <f t="shared" si="2"/>
        <v>0.81701131486539214</v>
      </c>
      <c r="N9" s="204">
        <f>IFERROR(VLOOKUP($B9,MMWR_TRAD_AGG_RO_COMP[],N$1,0),"ERROR")</f>
        <v>553</v>
      </c>
      <c r="O9" s="205">
        <f>IFERROR(VLOOKUP($B9,MMWR_TRAD_AGG_RO_COMP[],O$1,0),"ERROR")</f>
        <v>474</v>
      </c>
      <c r="P9" s="216">
        <f t="shared" si="3"/>
        <v>0.8571428571428571</v>
      </c>
      <c r="Q9" s="201">
        <f>IFERROR(VLOOKUP($B9,MMWR_TRAD_AGG_RO_COMP[],Q$1,0),"ERROR")</f>
        <v>0</v>
      </c>
      <c r="R9" s="201">
        <f>IFERROR(VLOOKUP($B9,MMWR_TRAD_AGG_RO_COMP[],R$1,0),"ERROR")</f>
        <v>4</v>
      </c>
      <c r="S9" s="201">
        <f>IFERROR(VLOOKUP($B9,MMWR_APP_RO[],S$1,0),"ERROR")</f>
        <v>3151</v>
      </c>
      <c r="T9" s="25"/>
    </row>
    <row r="10" spans="1:20" x14ac:dyDescent="0.2">
      <c r="A10" s="107"/>
      <c r="B10" s="108" t="s">
        <v>24</v>
      </c>
      <c r="C10" s="209">
        <f>IFERROR(VLOOKUP($B10,MMWR_TRAD_AGG_RO_COMP[],C$1,0),"ERROR")</f>
        <v>556</v>
      </c>
      <c r="D10" s="198">
        <f>IFERROR(VLOOKUP($B10,MMWR_TRAD_AGG_RO_COMP[],D$1,0),"ERROR")</f>
        <v>161.47482014389999</v>
      </c>
      <c r="E10" s="195">
        <f>IFERROR(VLOOKUP($B10,MMWR_TRAD_AGG_RO_COMP[],E$1,0),"ERROR")</f>
        <v>3793</v>
      </c>
      <c r="F10" s="191">
        <f>IFERROR(VLOOKUP($B10,MMWR_TRAD_AGG_RO_COMP[],F$1,0),"ERROR")</f>
        <v>738</v>
      </c>
      <c r="G10" s="216">
        <f t="shared" si="0"/>
        <v>0.1945689427893488</v>
      </c>
      <c r="H10" s="190">
        <f>IFERROR(VLOOKUP($B10,MMWR_TRAD_AGG_RO_COMP[],H$1,0),"ERROR")</f>
        <v>2918</v>
      </c>
      <c r="I10" s="191">
        <f>IFERROR(VLOOKUP($B10,MMWR_TRAD_AGG_RO_COMP[],I$1,0),"ERROR")</f>
        <v>903</v>
      </c>
      <c r="J10" s="216">
        <f t="shared" si="1"/>
        <v>0.30945853324194655</v>
      </c>
      <c r="K10" s="204">
        <f>IFERROR(VLOOKUP($B10,MMWR_TRAD_AGG_RO_COMP[],K$1,0),"ERROR")</f>
        <v>964</v>
      </c>
      <c r="L10" s="205">
        <f>IFERROR(VLOOKUP($B10,MMWR_TRAD_AGG_RO_COMP[],L$1,0),"ERROR")</f>
        <v>663</v>
      </c>
      <c r="M10" s="216">
        <f t="shared" si="2"/>
        <v>0.68775933609958506</v>
      </c>
      <c r="N10" s="204">
        <f>IFERROR(VLOOKUP($B10,MMWR_TRAD_AGG_RO_COMP[],N$1,0),"ERROR")</f>
        <v>315</v>
      </c>
      <c r="O10" s="205">
        <f>IFERROR(VLOOKUP($B10,MMWR_TRAD_AGG_RO_COMP[],O$1,0),"ERROR")</f>
        <v>157</v>
      </c>
      <c r="P10" s="216">
        <f t="shared" si="3"/>
        <v>0.49841269841269842</v>
      </c>
      <c r="Q10" s="201">
        <f>IFERROR(VLOOKUP($B10,MMWR_TRAD_AGG_RO_COMP[],Q$1,0),"ERROR")</f>
        <v>0</v>
      </c>
      <c r="R10" s="201">
        <f>IFERROR(VLOOKUP($B10,MMWR_TRAD_AGG_RO_COMP[],R$1,0),"ERROR")</f>
        <v>0</v>
      </c>
      <c r="S10" s="201">
        <f>IFERROR(VLOOKUP($B10,MMWR_APP_RO[],S$1,0),"ERROR")</f>
        <v>2105</v>
      </c>
      <c r="T10" s="25"/>
    </row>
    <row r="11" spans="1:20" x14ac:dyDescent="0.2">
      <c r="A11" s="107"/>
      <c r="B11" s="108" t="s">
        <v>44</v>
      </c>
      <c r="C11" s="209">
        <f>IFERROR(VLOOKUP($B11,MMWR_TRAD_AGG_RO_COMP[],C$1,0),"ERROR")</f>
        <v>551</v>
      </c>
      <c r="D11" s="198">
        <f>IFERROR(VLOOKUP($B11,MMWR_TRAD_AGG_RO_COMP[],D$1,0),"ERROR")</f>
        <v>292.77676951000001</v>
      </c>
      <c r="E11" s="195">
        <f>IFERROR(VLOOKUP($B11,MMWR_TRAD_AGG_RO_COMP[],E$1,0),"ERROR")</f>
        <v>1715</v>
      </c>
      <c r="F11" s="191">
        <f>IFERROR(VLOOKUP($B11,MMWR_TRAD_AGG_RO_COMP[],F$1,0),"ERROR")</f>
        <v>322</v>
      </c>
      <c r="G11" s="216">
        <f t="shared" si="0"/>
        <v>0.18775510204081633</v>
      </c>
      <c r="H11" s="190">
        <f>IFERROR(VLOOKUP($B11,MMWR_TRAD_AGG_RO_COMP[],H$1,0),"ERROR")</f>
        <v>2472</v>
      </c>
      <c r="I11" s="191">
        <f>IFERROR(VLOOKUP($B11,MMWR_TRAD_AGG_RO_COMP[],I$1,0),"ERROR")</f>
        <v>686</v>
      </c>
      <c r="J11" s="216">
        <f t="shared" si="1"/>
        <v>0.27750809061488674</v>
      </c>
      <c r="K11" s="204">
        <f>IFERROR(VLOOKUP($B11,MMWR_TRAD_AGG_RO_COMP[],K$1,0),"ERROR")</f>
        <v>439</v>
      </c>
      <c r="L11" s="205">
        <f>IFERROR(VLOOKUP($B11,MMWR_TRAD_AGG_RO_COMP[],L$1,0),"ERROR")</f>
        <v>260</v>
      </c>
      <c r="M11" s="216">
        <f t="shared" si="2"/>
        <v>0.592255125284738</v>
      </c>
      <c r="N11" s="204">
        <f>IFERROR(VLOOKUP($B11,MMWR_TRAD_AGG_RO_COMP[],N$1,0),"ERROR")</f>
        <v>837</v>
      </c>
      <c r="O11" s="205">
        <f>IFERROR(VLOOKUP($B11,MMWR_TRAD_AGG_RO_COMP[],O$1,0),"ERROR")</f>
        <v>695</v>
      </c>
      <c r="P11" s="216">
        <f t="shared" si="3"/>
        <v>0.83034647550776586</v>
      </c>
      <c r="Q11" s="201">
        <f>IFERROR(VLOOKUP($B11,MMWR_TRAD_AGG_RO_COMP[],Q$1,0),"ERROR")</f>
        <v>0</v>
      </c>
      <c r="R11" s="201">
        <f>IFERROR(VLOOKUP($B11,MMWR_TRAD_AGG_RO_COMP[],R$1,0),"ERROR")</f>
        <v>5</v>
      </c>
      <c r="S11" s="201">
        <f>IFERROR(VLOOKUP($B11,MMWR_APP_RO[],S$1,0),"ERROR")</f>
        <v>1384</v>
      </c>
      <c r="T11" s="25"/>
    </row>
    <row r="12" spans="1:20" x14ac:dyDescent="0.2">
      <c r="A12" s="107"/>
      <c r="B12" s="108" t="s">
        <v>47</v>
      </c>
      <c r="C12" s="209">
        <f>IFERROR(VLOOKUP($B12,MMWR_TRAD_AGG_RO_COMP[],C$1,0),"ERROR")</f>
        <v>1838</v>
      </c>
      <c r="D12" s="198">
        <f>IFERROR(VLOOKUP($B12,MMWR_TRAD_AGG_RO_COMP[],D$1,0),"ERROR")</f>
        <v>260.57780195869998</v>
      </c>
      <c r="E12" s="195">
        <f>IFERROR(VLOOKUP($B12,MMWR_TRAD_AGG_RO_COMP[],E$1,0),"ERROR")</f>
        <v>2257</v>
      </c>
      <c r="F12" s="191">
        <f>IFERROR(VLOOKUP($B12,MMWR_TRAD_AGG_RO_COMP[],F$1,0),"ERROR")</f>
        <v>396</v>
      </c>
      <c r="G12" s="216">
        <f t="shared" si="0"/>
        <v>0.17545414266725742</v>
      </c>
      <c r="H12" s="190">
        <f>IFERROR(VLOOKUP($B12,MMWR_TRAD_AGG_RO_COMP[],H$1,0),"ERROR")</f>
        <v>3501</v>
      </c>
      <c r="I12" s="191">
        <f>IFERROR(VLOOKUP($B12,MMWR_TRAD_AGG_RO_COMP[],I$1,0),"ERROR")</f>
        <v>1791</v>
      </c>
      <c r="J12" s="216">
        <f t="shared" si="1"/>
        <v>0.51156812339331614</v>
      </c>
      <c r="K12" s="204">
        <f>IFERROR(VLOOKUP($B12,MMWR_TRAD_AGG_RO_COMP[],K$1,0),"ERROR")</f>
        <v>466</v>
      </c>
      <c r="L12" s="205">
        <f>IFERROR(VLOOKUP($B12,MMWR_TRAD_AGG_RO_COMP[],L$1,0),"ERROR")</f>
        <v>374</v>
      </c>
      <c r="M12" s="216">
        <f t="shared" si="2"/>
        <v>0.80257510729613735</v>
      </c>
      <c r="N12" s="204">
        <f>IFERROR(VLOOKUP($B12,MMWR_TRAD_AGG_RO_COMP[],N$1,0),"ERROR")</f>
        <v>1330</v>
      </c>
      <c r="O12" s="205">
        <f>IFERROR(VLOOKUP($B12,MMWR_TRAD_AGG_RO_COMP[],O$1,0),"ERROR")</f>
        <v>970</v>
      </c>
      <c r="P12" s="216">
        <f t="shared" si="3"/>
        <v>0.72932330827067671</v>
      </c>
      <c r="Q12" s="201">
        <f>IFERROR(VLOOKUP($B12,MMWR_TRAD_AGG_RO_COMP[],Q$1,0),"ERROR")</f>
        <v>1</v>
      </c>
      <c r="R12" s="201">
        <f>IFERROR(VLOOKUP($B12,MMWR_TRAD_AGG_RO_COMP[],R$1,0),"ERROR")</f>
        <v>3</v>
      </c>
      <c r="S12" s="201">
        <f>IFERROR(VLOOKUP($B12,MMWR_APP_RO[],S$1,0),"ERROR")</f>
        <v>2580</v>
      </c>
      <c r="T12" s="25"/>
    </row>
    <row r="13" spans="1:20" x14ac:dyDescent="0.2">
      <c r="A13" s="107"/>
      <c r="B13" s="108" t="s">
        <v>54</v>
      </c>
      <c r="C13" s="209">
        <f>IFERROR(VLOOKUP($B13,MMWR_TRAD_AGG_RO_COMP[],C$1,0),"ERROR")</f>
        <v>943</v>
      </c>
      <c r="D13" s="198">
        <f>IFERROR(VLOOKUP($B13,MMWR_TRAD_AGG_RO_COMP[],D$1,0),"ERROR")</f>
        <v>255.4199363733</v>
      </c>
      <c r="E13" s="195">
        <f>IFERROR(VLOOKUP($B13,MMWR_TRAD_AGG_RO_COMP[],E$1,0),"ERROR")</f>
        <v>1216</v>
      </c>
      <c r="F13" s="191">
        <f>IFERROR(VLOOKUP($B13,MMWR_TRAD_AGG_RO_COMP[],F$1,0),"ERROR")</f>
        <v>186</v>
      </c>
      <c r="G13" s="216">
        <f t="shared" si="0"/>
        <v>0.15296052631578946</v>
      </c>
      <c r="H13" s="190">
        <f>IFERROR(VLOOKUP($B13,MMWR_TRAD_AGG_RO_COMP[],H$1,0),"ERROR")</f>
        <v>1819</v>
      </c>
      <c r="I13" s="191">
        <f>IFERROR(VLOOKUP($B13,MMWR_TRAD_AGG_RO_COMP[],I$1,0),"ERROR")</f>
        <v>758</v>
      </c>
      <c r="J13" s="216">
        <f t="shared" si="1"/>
        <v>0.41671247938427708</v>
      </c>
      <c r="K13" s="204">
        <f>IFERROR(VLOOKUP($B13,MMWR_TRAD_AGG_RO_COMP[],K$1,0),"ERROR")</f>
        <v>235</v>
      </c>
      <c r="L13" s="205">
        <f>IFERROR(VLOOKUP($B13,MMWR_TRAD_AGG_RO_COMP[],L$1,0),"ERROR")</f>
        <v>141</v>
      </c>
      <c r="M13" s="216">
        <f t="shared" si="2"/>
        <v>0.6</v>
      </c>
      <c r="N13" s="204">
        <f>IFERROR(VLOOKUP($B13,MMWR_TRAD_AGG_RO_COMP[],N$1,0),"ERROR")</f>
        <v>134</v>
      </c>
      <c r="O13" s="205">
        <f>IFERROR(VLOOKUP($B13,MMWR_TRAD_AGG_RO_COMP[],O$1,0),"ERROR")</f>
        <v>56</v>
      </c>
      <c r="P13" s="216">
        <f t="shared" si="3"/>
        <v>0.41791044776119401</v>
      </c>
      <c r="Q13" s="201">
        <f>IFERROR(VLOOKUP($B13,MMWR_TRAD_AGG_RO_COMP[],Q$1,0),"ERROR")</f>
        <v>0</v>
      </c>
      <c r="R13" s="201">
        <f>IFERROR(VLOOKUP($B13,MMWR_TRAD_AGG_RO_COMP[],R$1,0),"ERROR")</f>
        <v>1</v>
      </c>
      <c r="S13" s="201">
        <f>IFERROR(VLOOKUP($B13,MMWR_APP_RO[],S$1,0),"ERROR")</f>
        <v>572</v>
      </c>
      <c r="T13" s="25"/>
    </row>
    <row r="14" spans="1:20" x14ac:dyDescent="0.2">
      <c r="A14" s="107"/>
      <c r="B14" s="108" t="s">
        <v>60</v>
      </c>
      <c r="C14" s="209">
        <f>IFERROR(VLOOKUP($B14,MMWR_TRAD_AGG_RO_COMP[],C$1,0),"ERROR")</f>
        <v>2243</v>
      </c>
      <c r="D14" s="198">
        <f>IFERROR(VLOOKUP($B14,MMWR_TRAD_AGG_RO_COMP[],D$1,0),"ERROR")</f>
        <v>300.85198395010002</v>
      </c>
      <c r="E14" s="195">
        <f>IFERROR(VLOOKUP($B14,MMWR_TRAD_AGG_RO_COMP[],E$1,0),"ERROR")</f>
        <v>4685</v>
      </c>
      <c r="F14" s="191">
        <f>IFERROR(VLOOKUP($B14,MMWR_TRAD_AGG_RO_COMP[],F$1,0),"ERROR")</f>
        <v>1405</v>
      </c>
      <c r="G14" s="216">
        <f t="shared" si="0"/>
        <v>0.29989327641408753</v>
      </c>
      <c r="H14" s="190">
        <f>IFERROR(VLOOKUP($B14,MMWR_TRAD_AGG_RO_COMP[],H$1,0),"ERROR")</f>
        <v>5018</v>
      </c>
      <c r="I14" s="191">
        <f>IFERROR(VLOOKUP($B14,MMWR_TRAD_AGG_RO_COMP[],I$1,0),"ERROR")</f>
        <v>2003</v>
      </c>
      <c r="J14" s="216">
        <f t="shared" si="1"/>
        <v>0.39916301315265046</v>
      </c>
      <c r="K14" s="204">
        <f>IFERROR(VLOOKUP($B14,MMWR_TRAD_AGG_RO_COMP[],K$1,0),"ERROR")</f>
        <v>1959</v>
      </c>
      <c r="L14" s="205">
        <f>IFERROR(VLOOKUP($B14,MMWR_TRAD_AGG_RO_COMP[],L$1,0),"ERROR")</f>
        <v>1689</v>
      </c>
      <c r="M14" s="216">
        <f t="shared" si="2"/>
        <v>0.86217457886676874</v>
      </c>
      <c r="N14" s="204">
        <f>IFERROR(VLOOKUP($B14,MMWR_TRAD_AGG_RO_COMP[],N$1,0),"ERROR")</f>
        <v>4037</v>
      </c>
      <c r="O14" s="205">
        <f>IFERROR(VLOOKUP($B14,MMWR_TRAD_AGG_RO_COMP[],O$1,0),"ERROR")</f>
        <v>3043</v>
      </c>
      <c r="P14" s="216">
        <f t="shared" si="3"/>
        <v>0.7537775575922715</v>
      </c>
      <c r="Q14" s="201">
        <f>IFERROR(VLOOKUP($B14,MMWR_TRAD_AGG_RO_COMP[],Q$1,0),"ERROR")</f>
        <v>0</v>
      </c>
      <c r="R14" s="201">
        <f>IFERROR(VLOOKUP($B14,MMWR_TRAD_AGG_RO_COMP[],R$1,0),"ERROR")</f>
        <v>1</v>
      </c>
      <c r="S14" s="201">
        <f>IFERROR(VLOOKUP($B14,MMWR_APP_RO[],S$1,0),"ERROR")</f>
        <v>3333</v>
      </c>
      <c r="T14" s="25"/>
    </row>
    <row r="15" spans="1:20" x14ac:dyDescent="0.2">
      <c r="A15" s="107"/>
      <c r="B15" s="108" t="s">
        <v>61</v>
      </c>
      <c r="C15" s="209">
        <f>IFERROR(VLOOKUP($B15,MMWR_TRAD_AGG_RO_COMP[],C$1,0),"ERROR")</f>
        <v>444</v>
      </c>
      <c r="D15" s="198">
        <f>IFERROR(VLOOKUP($B15,MMWR_TRAD_AGG_RO_COMP[],D$1,0),"ERROR")</f>
        <v>234.0855855856</v>
      </c>
      <c r="E15" s="195">
        <f>IFERROR(VLOOKUP($B15,MMWR_TRAD_AGG_RO_COMP[],E$1,0),"ERROR")</f>
        <v>2753</v>
      </c>
      <c r="F15" s="191">
        <f>IFERROR(VLOOKUP($B15,MMWR_TRAD_AGG_RO_COMP[],F$1,0),"ERROR")</f>
        <v>711</v>
      </c>
      <c r="G15" s="216">
        <f t="shared" si="0"/>
        <v>0.25826371231383943</v>
      </c>
      <c r="H15" s="190">
        <f>IFERROR(VLOOKUP($B15,MMWR_TRAD_AGG_RO_COMP[],H$1,0),"ERROR")</f>
        <v>1669</v>
      </c>
      <c r="I15" s="191">
        <f>IFERROR(VLOOKUP($B15,MMWR_TRAD_AGG_RO_COMP[],I$1,0),"ERROR")</f>
        <v>360</v>
      </c>
      <c r="J15" s="216">
        <f t="shared" si="1"/>
        <v>0.21569802276812464</v>
      </c>
      <c r="K15" s="204">
        <f>IFERROR(VLOOKUP($B15,MMWR_TRAD_AGG_RO_COMP[],K$1,0),"ERROR")</f>
        <v>514</v>
      </c>
      <c r="L15" s="205">
        <f>IFERROR(VLOOKUP($B15,MMWR_TRAD_AGG_RO_COMP[],L$1,0),"ERROR")</f>
        <v>474</v>
      </c>
      <c r="M15" s="216">
        <f t="shared" si="2"/>
        <v>0.9221789883268483</v>
      </c>
      <c r="N15" s="204">
        <f>IFERROR(VLOOKUP($B15,MMWR_TRAD_AGG_RO_COMP[],N$1,0),"ERROR")</f>
        <v>1427</v>
      </c>
      <c r="O15" s="205">
        <f>IFERROR(VLOOKUP($B15,MMWR_TRAD_AGG_RO_COMP[],O$1,0),"ERROR")</f>
        <v>1205</v>
      </c>
      <c r="P15" s="216">
        <f t="shared" si="3"/>
        <v>0.84442887175893477</v>
      </c>
      <c r="Q15" s="201">
        <f>IFERROR(VLOOKUP($B15,MMWR_TRAD_AGG_RO_COMP[],Q$1,0),"ERROR")</f>
        <v>0</v>
      </c>
      <c r="R15" s="201">
        <f>IFERROR(VLOOKUP($B15,MMWR_TRAD_AGG_RO_COMP[],R$1,0),"ERROR")</f>
        <v>1</v>
      </c>
      <c r="S15" s="201">
        <f>IFERROR(VLOOKUP($B15,MMWR_APP_RO[],S$1,0),"ERROR")</f>
        <v>2448</v>
      </c>
      <c r="T15" s="25"/>
    </row>
    <row r="16" spans="1:20" x14ac:dyDescent="0.2">
      <c r="A16" s="107"/>
      <c r="B16" s="108" t="s">
        <v>63</v>
      </c>
      <c r="C16" s="209">
        <f>IFERROR(VLOOKUP($B16,MMWR_TRAD_AGG_RO_COMP[],C$1,0),"ERROR")</f>
        <v>4194</v>
      </c>
      <c r="D16" s="198">
        <f>IFERROR(VLOOKUP($B16,MMWR_TRAD_AGG_RO_COMP[],D$1,0),"ERROR")</f>
        <v>417.07200762989999</v>
      </c>
      <c r="E16" s="195">
        <f>IFERROR(VLOOKUP($B16,MMWR_TRAD_AGG_RO_COMP[],E$1,0),"ERROR")</f>
        <v>13766</v>
      </c>
      <c r="F16" s="191">
        <f>IFERROR(VLOOKUP($B16,MMWR_TRAD_AGG_RO_COMP[],F$1,0),"ERROR")</f>
        <v>3657</v>
      </c>
      <c r="G16" s="216">
        <f t="shared" si="0"/>
        <v>0.26565451111433969</v>
      </c>
      <c r="H16" s="190">
        <f>IFERROR(VLOOKUP($B16,MMWR_TRAD_AGG_RO_COMP[],H$1,0),"ERROR")</f>
        <v>8316</v>
      </c>
      <c r="I16" s="191">
        <f>IFERROR(VLOOKUP($B16,MMWR_TRAD_AGG_RO_COMP[],I$1,0),"ERROR")</f>
        <v>4354</v>
      </c>
      <c r="J16" s="216">
        <f t="shared" si="1"/>
        <v>0.52356902356902357</v>
      </c>
      <c r="K16" s="204">
        <f>IFERROR(VLOOKUP($B16,MMWR_TRAD_AGG_RO_COMP[],K$1,0),"ERROR")</f>
        <v>1735</v>
      </c>
      <c r="L16" s="205">
        <f>IFERROR(VLOOKUP($B16,MMWR_TRAD_AGG_RO_COMP[],L$1,0),"ERROR")</f>
        <v>1431</v>
      </c>
      <c r="M16" s="216">
        <f t="shared" si="2"/>
        <v>0.82478386167146978</v>
      </c>
      <c r="N16" s="204">
        <f>IFERROR(VLOOKUP($B16,MMWR_TRAD_AGG_RO_COMP[],N$1,0),"ERROR")</f>
        <v>6979</v>
      </c>
      <c r="O16" s="205">
        <f>IFERROR(VLOOKUP($B16,MMWR_TRAD_AGG_RO_COMP[],O$1,0),"ERROR")</f>
        <v>6359</v>
      </c>
      <c r="P16" s="216">
        <f t="shared" si="3"/>
        <v>0.91116205760137559</v>
      </c>
      <c r="Q16" s="201">
        <f>IFERROR(VLOOKUP($B16,MMWR_TRAD_AGG_RO_COMP[],Q$1,0),"ERROR")</f>
        <v>14386</v>
      </c>
      <c r="R16" s="201">
        <f>IFERROR(VLOOKUP($B16,MMWR_TRAD_AGG_RO_COMP[],R$1,0),"ERROR")</f>
        <v>0</v>
      </c>
      <c r="S16" s="201">
        <f>IFERROR(VLOOKUP($B16,MMWR_APP_RO[],S$1,0),"ERROR")</f>
        <v>5874</v>
      </c>
      <c r="T16" s="25"/>
    </row>
    <row r="17" spans="1:20" x14ac:dyDescent="0.2">
      <c r="A17" s="107"/>
      <c r="B17" s="108" t="s">
        <v>65</v>
      </c>
      <c r="C17" s="209">
        <f>IFERROR(VLOOKUP($B17,MMWR_TRAD_AGG_RO_COMP[],C$1,0),"ERROR")</f>
        <v>2949</v>
      </c>
      <c r="D17" s="198">
        <f>IFERROR(VLOOKUP($B17,MMWR_TRAD_AGG_RO_COMP[],D$1,0),"ERROR")</f>
        <v>374.05561207189999</v>
      </c>
      <c r="E17" s="195">
        <f>IFERROR(VLOOKUP($B17,MMWR_TRAD_AGG_RO_COMP[],E$1,0),"ERROR")</f>
        <v>4831</v>
      </c>
      <c r="F17" s="191">
        <f>IFERROR(VLOOKUP($B17,MMWR_TRAD_AGG_RO_COMP[],F$1,0),"ERROR")</f>
        <v>1498</v>
      </c>
      <c r="G17" s="216">
        <f t="shared" si="0"/>
        <v>0.31008072862761332</v>
      </c>
      <c r="H17" s="190">
        <f>IFERROR(VLOOKUP($B17,MMWR_TRAD_AGG_RO_COMP[],H$1,0),"ERROR")</f>
        <v>5568</v>
      </c>
      <c r="I17" s="191">
        <f>IFERROR(VLOOKUP($B17,MMWR_TRAD_AGG_RO_COMP[],I$1,0),"ERROR")</f>
        <v>2993</v>
      </c>
      <c r="J17" s="216">
        <f t="shared" si="1"/>
        <v>0.53753591954022983</v>
      </c>
      <c r="K17" s="204">
        <f>IFERROR(VLOOKUP($B17,MMWR_TRAD_AGG_RO_COMP[],K$1,0),"ERROR")</f>
        <v>572</v>
      </c>
      <c r="L17" s="205">
        <f>IFERROR(VLOOKUP($B17,MMWR_TRAD_AGG_RO_COMP[],L$1,0),"ERROR")</f>
        <v>458</v>
      </c>
      <c r="M17" s="216">
        <f t="shared" si="2"/>
        <v>0.80069930069930073</v>
      </c>
      <c r="N17" s="204">
        <f>IFERROR(VLOOKUP($B17,MMWR_TRAD_AGG_RO_COMP[],N$1,0),"ERROR")</f>
        <v>810</v>
      </c>
      <c r="O17" s="205">
        <f>IFERROR(VLOOKUP($B17,MMWR_TRAD_AGG_RO_COMP[],O$1,0),"ERROR")</f>
        <v>592</v>
      </c>
      <c r="P17" s="216">
        <f t="shared" si="3"/>
        <v>0.73086419753086418</v>
      </c>
      <c r="Q17" s="201">
        <f>IFERROR(VLOOKUP($B17,MMWR_TRAD_AGG_RO_COMP[],Q$1,0),"ERROR")</f>
        <v>0</v>
      </c>
      <c r="R17" s="201">
        <f>IFERROR(VLOOKUP($B17,MMWR_TRAD_AGG_RO_COMP[],R$1,0),"ERROR")</f>
        <v>1</v>
      </c>
      <c r="S17" s="201">
        <f>IFERROR(VLOOKUP($B17,MMWR_APP_RO[],S$1,0),"ERROR")</f>
        <v>4927</v>
      </c>
      <c r="T17" s="25"/>
    </row>
    <row r="18" spans="1:20" x14ac:dyDescent="0.2">
      <c r="A18" s="107"/>
      <c r="B18" s="108" t="s">
        <v>67</v>
      </c>
      <c r="C18" s="209">
        <f>IFERROR(VLOOKUP($B18,MMWR_TRAD_AGG_RO_COMP[],C$1,0),"ERROR")</f>
        <v>808</v>
      </c>
      <c r="D18" s="198">
        <f>IFERROR(VLOOKUP($B18,MMWR_TRAD_AGG_RO_COMP[],D$1,0),"ERROR")</f>
        <v>339.18688118810002</v>
      </c>
      <c r="E18" s="195">
        <f>IFERROR(VLOOKUP($B18,MMWR_TRAD_AGG_RO_COMP[],E$1,0),"ERROR")</f>
        <v>2560</v>
      </c>
      <c r="F18" s="191">
        <f>IFERROR(VLOOKUP($B18,MMWR_TRAD_AGG_RO_COMP[],F$1,0),"ERROR")</f>
        <v>352</v>
      </c>
      <c r="G18" s="216">
        <f t="shared" si="0"/>
        <v>0.13750000000000001</v>
      </c>
      <c r="H18" s="190">
        <f>IFERROR(VLOOKUP($B18,MMWR_TRAD_AGG_RO_COMP[],H$1,0),"ERROR")</f>
        <v>3163</v>
      </c>
      <c r="I18" s="191">
        <f>IFERROR(VLOOKUP($B18,MMWR_TRAD_AGG_RO_COMP[],I$1,0),"ERROR")</f>
        <v>843</v>
      </c>
      <c r="J18" s="216">
        <f t="shared" si="1"/>
        <v>0.26651912741068606</v>
      </c>
      <c r="K18" s="204">
        <f>IFERROR(VLOOKUP($B18,MMWR_TRAD_AGG_RO_COMP[],K$1,0),"ERROR")</f>
        <v>1464</v>
      </c>
      <c r="L18" s="205">
        <f>IFERROR(VLOOKUP($B18,MMWR_TRAD_AGG_RO_COMP[],L$1,0),"ERROR")</f>
        <v>1368</v>
      </c>
      <c r="M18" s="216">
        <f t="shared" si="2"/>
        <v>0.93442622950819676</v>
      </c>
      <c r="N18" s="204">
        <f>IFERROR(VLOOKUP($B18,MMWR_TRAD_AGG_RO_COMP[],N$1,0),"ERROR")</f>
        <v>437</v>
      </c>
      <c r="O18" s="205">
        <f>IFERROR(VLOOKUP($B18,MMWR_TRAD_AGG_RO_COMP[],O$1,0),"ERROR")</f>
        <v>257</v>
      </c>
      <c r="P18" s="216">
        <f t="shared" si="3"/>
        <v>0.58810068649885583</v>
      </c>
      <c r="Q18" s="201">
        <f>IFERROR(VLOOKUP($B18,MMWR_TRAD_AGG_RO_COMP[],Q$1,0),"ERROR")</f>
        <v>0</v>
      </c>
      <c r="R18" s="201">
        <f>IFERROR(VLOOKUP($B18,MMWR_TRAD_AGG_RO_COMP[],R$1,0),"ERROR")</f>
        <v>1</v>
      </c>
      <c r="S18" s="201">
        <f>IFERROR(VLOOKUP($B18,MMWR_APP_RO[],S$1,0),"ERROR")</f>
        <v>1119</v>
      </c>
      <c r="T18" s="25"/>
    </row>
    <row r="19" spans="1:20" x14ac:dyDescent="0.2">
      <c r="A19" s="107"/>
      <c r="B19" s="108" t="s">
        <v>69</v>
      </c>
      <c r="C19" s="209">
        <f>IFERROR(VLOOKUP($B19,MMWR_TRAD_AGG_RO_COMP[],C$1,0),"ERROR")</f>
        <v>14145</v>
      </c>
      <c r="D19" s="198">
        <f>IFERROR(VLOOKUP($B19,MMWR_TRAD_AGG_RO_COMP[],D$1,0),"ERROR")</f>
        <v>333.33736302580002</v>
      </c>
      <c r="E19" s="195">
        <f>IFERROR(VLOOKUP($B19,MMWR_TRAD_AGG_RO_COMP[],E$1,0),"ERROR")</f>
        <v>11822</v>
      </c>
      <c r="F19" s="191">
        <f>IFERROR(VLOOKUP($B19,MMWR_TRAD_AGG_RO_COMP[],F$1,0),"ERROR")</f>
        <v>2163</v>
      </c>
      <c r="G19" s="216">
        <f t="shared" si="0"/>
        <v>0.18296396548807309</v>
      </c>
      <c r="H19" s="190">
        <f>IFERROR(VLOOKUP($B19,MMWR_TRAD_AGG_RO_COMP[],H$1,0),"ERROR")</f>
        <v>19990</v>
      </c>
      <c r="I19" s="191">
        <f>IFERROR(VLOOKUP($B19,MMWR_TRAD_AGG_RO_COMP[],I$1,0),"ERROR")</f>
        <v>10219</v>
      </c>
      <c r="J19" s="216">
        <f t="shared" si="1"/>
        <v>0.5112056028014007</v>
      </c>
      <c r="K19" s="204">
        <f>IFERROR(VLOOKUP($B19,MMWR_TRAD_AGG_RO_COMP[],K$1,0),"ERROR")</f>
        <v>7808</v>
      </c>
      <c r="L19" s="205">
        <f>IFERROR(VLOOKUP($B19,MMWR_TRAD_AGG_RO_COMP[],L$1,0),"ERROR")</f>
        <v>6439</v>
      </c>
      <c r="M19" s="216">
        <f t="shared" si="2"/>
        <v>0.82466700819672134</v>
      </c>
      <c r="N19" s="204">
        <f>IFERROR(VLOOKUP($B19,MMWR_TRAD_AGG_RO_COMP[],N$1,0),"ERROR")</f>
        <v>4659</v>
      </c>
      <c r="O19" s="205">
        <f>IFERROR(VLOOKUP($B19,MMWR_TRAD_AGG_RO_COMP[],O$1,0),"ERROR")</f>
        <v>4058</v>
      </c>
      <c r="P19" s="216">
        <f t="shared" si="3"/>
        <v>0.8710023610216785</v>
      </c>
      <c r="Q19" s="201">
        <f>IFERROR(VLOOKUP($B19,MMWR_TRAD_AGG_RO_COMP[],Q$1,0),"ERROR")</f>
        <v>6</v>
      </c>
      <c r="R19" s="201">
        <f>IFERROR(VLOOKUP($B19,MMWR_TRAD_AGG_RO_COMP[],R$1,0),"ERROR")</f>
        <v>7</v>
      </c>
      <c r="S19" s="201">
        <f>IFERROR(VLOOKUP($B19,MMWR_APP_RO[],S$1,0),"ERROR")</f>
        <v>14792</v>
      </c>
      <c r="T19" s="25"/>
    </row>
    <row r="20" spans="1:20" x14ac:dyDescent="0.2">
      <c r="A20" s="107"/>
      <c r="B20" s="108" t="s">
        <v>78</v>
      </c>
      <c r="C20" s="209">
        <f>IFERROR(VLOOKUP($B20,MMWR_TRAD_AGG_RO_COMP[],C$1,0),"ERROR")</f>
        <v>1265</v>
      </c>
      <c r="D20" s="198">
        <f>IFERROR(VLOOKUP($B20,MMWR_TRAD_AGG_RO_COMP[],D$1,0),"ERROR")</f>
        <v>278.32411067189997</v>
      </c>
      <c r="E20" s="195">
        <f>IFERROR(VLOOKUP($B20,MMWR_TRAD_AGG_RO_COMP[],E$1,0),"ERROR")</f>
        <v>1434</v>
      </c>
      <c r="F20" s="191">
        <f>IFERROR(VLOOKUP($B20,MMWR_TRAD_AGG_RO_COMP[],F$1,0),"ERROR")</f>
        <v>167</v>
      </c>
      <c r="G20" s="216">
        <f t="shared" si="0"/>
        <v>0.11645746164574616</v>
      </c>
      <c r="H20" s="190">
        <f>IFERROR(VLOOKUP($B20,MMWR_TRAD_AGG_RO_COMP[],H$1,0),"ERROR")</f>
        <v>2431</v>
      </c>
      <c r="I20" s="191">
        <f>IFERROR(VLOOKUP($B20,MMWR_TRAD_AGG_RO_COMP[],I$1,0),"ERROR")</f>
        <v>1030</v>
      </c>
      <c r="J20" s="216">
        <f t="shared" si="1"/>
        <v>0.42369395310571784</v>
      </c>
      <c r="K20" s="204">
        <f>IFERROR(VLOOKUP($B20,MMWR_TRAD_AGG_RO_COMP[],K$1,0),"ERROR")</f>
        <v>858</v>
      </c>
      <c r="L20" s="205">
        <f>IFERROR(VLOOKUP($B20,MMWR_TRAD_AGG_RO_COMP[],L$1,0),"ERROR")</f>
        <v>666</v>
      </c>
      <c r="M20" s="216">
        <f t="shared" si="2"/>
        <v>0.77622377622377625</v>
      </c>
      <c r="N20" s="204">
        <f>IFERROR(VLOOKUP($B20,MMWR_TRAD_AGG_RO_COMP[],N$1,0),"ERROR")</f>
        <v>228</v>
      </c>
      <c r="O20" s="205">
        <f>IFERROR(VLOOKUP($B20,MMWR_TRAD_AGG_RO_COMP[],O$1,0),"ERROR")</f>
        <v>152</v>
      </c>
      <c r="P20" s="216">
        <f t="shared" si="3"/>
        <v>0.66666666666666663</v>
      </c>
      <c r="Q20" s="201">
        <f>IFERROR(VLOOKUP($B20,MMWR_TRAD_AGG_RO_COMP[],Q$1,0),"ERROR")</f>
        <v>1</v>
      </c>
      <c r="R20" s="201">
        <f>IFERROR(VLOOKUP($B20,MMWR_TRAD_AGG_RO_COMP[],R$1,0),"ERROR")</f>
        <v>0</v>
      </c>
      <c r="S20" s="201">
        <f>IFERROR(VLOOKUP($B20,MMWR_APP_RO[],S$1,0),"ERROR")</f>
        <v>984</v>
      </c>
      <c r="T20" s="25"/>
    </row>
    <row r="21" spans="1:20" x14ac:dyDescent="0.2">
      <c r="A21" s="107"/>
      <c r="B21" s="108" t="s">
        <v>429</v>
      </c>
      <c r="C21" s="209">
        <f>IFERROR(VLOOKUP($B21,MMWR_TRAD_AGG_RO_COMP[],C$1,0),"ERROR")</f>
        <v>5213</v>
      </c>
      <c r="D21" s="198">
        <f>IFERROR(VLOOKUP($B21,MMWR_TRAD_AGG_RO_COMP[],D$1,0),"ERROR")</f>
        <v>759.63264914640001</v>
      </c>
      <c r="E21" s="195">
        <f>IFERROR(VLOOKUP($B21,MMWR_TRAD_AGG_RO_COMP[],E$1,0),"ERROR")</f>
        <v>863</v>
      </c>
      <c r="F21" s="191">
        <f>IFERROR(VLOOKUP($B21,MMWR_TRAD_AGG_RO_COMP[],F$1,0),"ERROR")</f>
        <v>135</v>
      </c>
      <c r="G21" s="216">
        <f t="shared" si="0"/>
        <v>0.15643105446118191</v>
      </c>
      <c r="H21" s="190">
        <f>IFERROR(VLOOKUP($B21,MMWR_TRAD_AGG_RO_COMP[],H$1,0),"ERROR")</f>
        <v>5615</v>
      </c>
      <c r="I21" s="191">
        <f>IFERROR(VLOOKUP($B21,MMWR_TRAD_AGG_RO_COMP[],I$1,0),"ERROR")</f>
        <v>4278</v>
      </c>
      <c r="J21" s="216">
        <f t="shared" si="1"/>
        <v>0.76188780053428318</v>
      </c>
      <c r="K21" s="204">
        <f>IFERROR(VLOOKUP($B21,MMWR_TRAD_AGG_RO_COMP[],K$1,0),"ERROR")</f>
        <v>1054</v>
      </c>
      <c r="L21" s="205">
        <f>IFERROR(VLOOKUP($B21,MMWR_TRAD_AGG_RO_COMP[],L$1,0),"ERROR")</f>
        <v>723</v>
      </c>
      <c r="M21" s="216">
        <f t="shared" si="2"/>
        <v>0.68595825426944967</v>
      </c>
      <c r="N21" s="204">
        <f>IFERROR(VLOOKUP($B21,MMWR_TRAD_AGG_RO_COMP[],N$1,0),"ERROR")</f>
        <v>1134</v>
      </c>
      <c r="O21" s="205">
        <f>IFERROR(VLOOKUP($B21,MMWR_TRAD_AGG_RO_COMP[],O$1,0),"ERROR")</f>
        <v>1125</v>
      </c>
      <c r="P21" s="216">
        <f t="shared" si="3"/>
        <v>0.99206349206349209</v>
      </c>
      <c r="Q21" s="201">
        <f>IFERROR(VLOOKUP($B21,MMWR_TRAD_AGG_RO_COMP[],Q$1,0),"ERROR")</f>
        <v>0</v>
      </c>
      <c r="R21" s="201">
        <f>IFERROR(VLOOKUP($B21,MMWR_TRAD_AGG_RO_COMP[],R$1,0),"ERROR")</f>
        <v>0</v>
      </c>
      <c r="S21" s="201">
        <f>IFERROR(VLOOKUP($B21,MMWR_APP_RO[],S$1,0),"ERROR")</f>
        <v>36</v>
      </c>
      <c r="T21" s="25"/>
    </row>
    <row r="22" spans="1:20" x14ac:dyDescent="0.2">
      <c r="A22" s="107"/>
      <c r="B22" s="108" t="s">
        <v>135</v>
      </c>
      <c r="C22" s="209">
        <f>IFERROR(VLOOKUP($B22,MMWR_TRAD_AGG_RO_COMP[],C$1,0),"ERROR")</f>
        <v>476</v>
      </c>
      <c r="D22" s="198">
        <f>IFERROR(VLOOKUP($B22,MMWR_TRAD_AGG_RO_COMP[],D$1,0),"ERROR")</f>
        <v>342.43487394959999</v>
      </c>
      <c r="E22" s="195">
        <f>IFERROR(VLOOKUP($B22,MMWR_TRAD_AGG_RO_COMP[],E$1,0),"ERROR")</f>
        <v>497</v>
      </c>
      <c r="F22" s="191">
        <f>IFERROR(VLOOKUP($B22,MMWR_TRAD_AGG_RO_COMP[],F$1,0),"ERROR")</f>
        <v>118</v>
      </c>
      <c r="G22" s="216">
        <f t="shared" si="0"/>
        <v>0.23742454728370221</v>
      </c>
      <c r="H22" s="190">
        <f>IFERROR(VLOOKUP($B22,MMWR_TRAD_AGG_RO_COMP[],H$1,0),"ERROR")</f>
        <v>1054</v>
      </c>
      <c r="I22" s="191">
        <f>IFERROR(VLOOKUP($B22,MMWR_TRAD_AGG_RO_COMP[],I$1,0),"ERROR")</f>
        <v>437</v>
      </c>
      <c r="J22" s="216">
        <f t="shared" si="1"/>
        <v>0.41461100569259962</v>
      </c>
      <c r="K22" s="204">
        <f>IFERROR(VLOOKUP($B22,MMWR_TRAD_AGG_RO_COMP[],K$1,0),"ERROR")</f>
        <v>158</v>
      </c>
      <c r="L22" s="205">
        <f>IFERROR(VLOOKUP($B22,MMWR_TRAD_AGG_RO_COMP[],L$1,0),"ERROR")</f>
        <v>126</v>
      </c>
      <c r="M22" s="216">
        <f t="shared" si="2"/>
        <v>0.79746835443037978</v>
      </c>
      <c r="N22" s="204">
        <f>IFERROR(VLOOKUP($B22,MMWR_TRAD_AGG_RO_COMP[],N$1,0),"ERROR")</f>
        <v>190</v>
      </c>
      <c r="O22" s="205">
        <f>IFERROR(VLOOKUP($B22,MMWR_TRAD_AGG_RO_COMP[],O$1,0),"ERROR")</f>
        <v>109</v>
      </c>
      <c r="P22" s="216">
        <f t="shared" si="3"/>
        <v>0.5736842105263158</v>
      </c>
      <c r="Q22" s="201">
        <f>IFERROR(VLOOKUP($B22,MMWR_TRAD_AGG_RO_COMP[],Q$1,0),"ERROR")</f>
        <v>0</v>
      </c>
      <c r="R22" s="201">
        <f>IFERROR(VLOOKUP($B22,MMWR_TRAD_AGG_RO_COMP[],R$1,0),"ERROR")</f>
        <v>2</v>
      </c>
      <c r="S22" s="201">
        <f>IFERROR(VLOOKUP($B22,MMWR_APP_RO[],S$1,0),"ERROR")</f>
        <v>212</v>
      </c>
      <c r="T22" s="25"/>
    </row>
    <row r="23" spans="1:20" x14ac:dyDescent="0.2">
      <c r="A23" s="107"/>
      <c r="B23" s="108" t="s">
        <v>82</v>
      </c>
      <c r="C23" s="209">
        <f>IFERROR(VLOOKUP($B23,MMWR_TRAD_AGG_RO_COMP[],C$1,0),"ERROR")</f>
        <v>476</v>
      </c>
      <c r="D23" s="198">
        <f>IFERROR(VLOOKUP($B23,MMWR_TRAD_AGG_RO_COMP[],D$1,0),"ERROR")</f>
        <v>418.63655462179997</v>
      </c>
      <c r="E23" s="195">
        <f>IFERROR(VLOOKUP($B23,MMWR_TRAD_AGG_RO_COMP[],E$1,0),"ERROR")</f>
        <v>798</v>
      </c>
      <c r="F23" s="191">
        <f>IFERROR(VLOOKUP($B23,MMWR_TRAD_AGG_RO_COMP[],F$1,0),"ERROR")</f>
        <v>164</v>
      </c>
      <c r="G23" s="216">
        <f t="shared" si="0"/>
        <v>0.20551378446115287</v>
      </c>
      <c r="H23" s="190">
        <f>IFERROR(VLOOKUP($B23,MMWR_TRAD_AGG_RO_COMP[],H$1,0),"ERROR")</f>
        <v>808</v>
      </c>
      <c r="I23" s="191">
        <f>IFERROR(VLOOKUP($B23,MMWR_TRAD_AGG_RO_COMP[],I$1,0),"ERROR")</f>
        <v>387</v>
      </c>
      <c r="J23" s="216">
        <f t="shared" si="1"/>
        <v>0.47896039603960394</v>
      </c>
      <c r="K23" s="204">
        <f>IFERROR(VLOOKUP($B23,MMWR_TRAD_AGG_RO_COMP[],K$1,0),"ERROR")</f>
        <v>49</v>
      </c>
      <c r="L23" s="205">
        <f>IFERROR(VLOOKUP($B23,MMWR_TRAD_AGG_RO_COMP[],L$1,0),"ERROR")</f>
        <v>46</v>
      </c>
      <c r="M23" s="216">
        <f t="shared" si="2"/>
        <v>0.93877551020408168</v>
      </c>
      <c r="N23" s="204">
        <f>IFERROR(VLOOKUP($B23,MMWR_TRAD_AGG_RO_COMP[],N$1,0),"ERROR")</f>
        <v>81</v>
      </c>
      <c r="O23" s="205">
        <f>IFERROR(VLOOKUP($B23,MMWR_TRAD_AGG_RO_COMP[],O$1,0),"ERROR")</f>
        <v>47</v>
      </c>
      <c r="P23" s="216">
        <f t="shared" si="3"/>
        <v>0.58024691358024694</v>
      </c>
      <c r="Q23" s="201">
        <f>IFERROR(VLOOKUP($B23,MMWR_TRAD_AGG_RO_COMP[],Q$1,0),"ERROR")</f>
        <v>0</v>
      </c>
      <c r="R23" s="201">
        <f>IFERROR(VLOOKUP($B23,MMWR_TRAD_AGG_RO_COMP[],R$1,0),"ERROR")</f>
        <v>0</v>
      </c>
      <c r="S23" s="201">
        <f>IFERROR(VLOOKUP($B23,MMWR_APP_RO[],S$1,0),"ERROR")</f>
        <v>153</v>
      </c>
      <c r="T23" s="25"/>
    </row>
    <row r="24" spans="1:20" x14ac:dyDescent="0.2">
      <c r="A24" s="92"/>
      <c r="B24" s="116" t="s">
        <v>83</v>
      </c>
      <c r="C24" s="210">
        <f>IFERROR(VLOOKUP($B24,MMWR_TRAD_AGG_RO_COMP[],C$1,0),"ERROR")</f>
        <v>15656</v>
      </c>
      <c r="D24" s="199">
        <f>IFERROR(VLOOKUP($B24,MMWR_TRAD_AGG_RO_COMP[],D$1,0),"ERROR")</f>
        <v>307.84932294330002</v>
      </c>
      <c r="E24" s="196">
        <f>IFERROR(VLOOKUP($B24,MMWR_TRAD_AGG_RO_COMP[],E$1,0),"ERROR")</f>
        <v>18430</v>
      </c>
      <c r="F24" s="193">
        <f>IFERROR(VLOOKUP($B24,MMWR_TRAD_AGG_RO_COMP[],F$1,0),"ERROR")</f>
        <v>4114</v>
      </c>
      <c r="G24" s="217">
        <f t="shared" si="0"/>
        <v>0.22322300596852956</v>
      </c>
      <c r="H24" s="192">
        <f>IFERROR(VLOOKUP($B24,MMWR_TRAD_AGG_RO_COMP[],H$1,0),"ERROR")</f>
        <v>28194</v>
      </c>
      <c r="I24" s="193">
        <f>IFERROR(VLOOKUP($B24,MMWR_TRAD_AGG_RO_COMP[],I$1,0),"ERROR")</f>
        <v>16326</v>
      </c>
      <c r="J24" s="217">
        <f t="shared" si="1"/>
        <v>0.5790593743349649</v>
      </c>
      <c r="K24" s="206">
        <f>IFERROR(VLOOKUP($B24,MMWR_TRAD_AGG_RO_COMP[],K$1,0),"ERROR")</f>
        <v>12560</v>
      </c>
      <c r="L24" s="207">
        <f>IFERROR(VLOOKUP($B24,MMWR_TRAD_AGG_RO_COMP[],L$1,0),"ERROR")</f>
        <v>9164</v>
      </c>
      <c r="M24" s="217">
        <f t="shared" si="2"/>
        <v>0.72961783439490446</v>
      </c>
      <c r="N24" s="206">
        <f>IFERROR(VLOOKUP($B24,MMWR_TRAD_AGG_RO_COMP[],N$1,0),"ERROR")</f>
        <v>4307</v>
      </c>
      <c r="O24" s="207">
        <f>IFERROR(VLOOKUP($B24,MMWR_TRAD_AGG_RO_COMP[],O$1,0),"ERROR")</f>
        <v>3197</v>
      </c>
      <c r="P24" s="217">
        <f t="shared" si="3"/>
        <v>0.74228000928720683</v>
      </c>
      <c r="Q24" s="202">
        <f>IFERROR(VLOOKUP($B24,MMWR_TRAD_AGG_RO_COMP[],Q$1,0),"ERROR")</f>
        <v>1</v>
      </c>
      <c r="R24" s="202">
        <f>IFERROR(VLOOKUP($B24,MMWR_TRAD_AGG_RO_COMP[],R$1,0),"ERROR")</f>
        <v>15</v>
      </c>
      <c r="S24" s="201">
        <f>IFERROR(VLOOKUP($B24,MMWR_APP_RO[],S$1,0),"ERROR")</f>
        <v>8558</v>
      </c>
      <c r="T24" s="25"/>
    </row>
    <row r="25" spans="1:20" x14ac:dyDescent="0.2">
      <c r="A25" s="107"/>
      <c r="B25" s="101" t="s">
        <v>389</v>
      </c>
      <c r="C25" s="212">
        <f>IFERROR(VLOOKUP($B25,MMWR_TRAD_AGG_DISTRICT_COMP[],C$1,0),"ERROR")</f>
        <v>32029</v>
      </c>
      <c r="D25" s="197">
        <f>IFERROR(VLOOKUP($B25,MMWR_TRAD_AGG_DISTRICT_COMP[],D$1,0),"ERROR")</f>
        <v>321.4538699304</v>
      </c>
      <c r="E25" s="213">
        <f>IFERROR(VLOOKUP($B25,MMWR_TRAD_AGG_DISTRICT_COMP[],E$1,0),"ERROR")</f>
        <v>59765</v>
      </c>
      <c r="F25" s="218">
        <f>IFERROR(VLOOKUP($B25,MMWR_TRAD_AGG_DISTRICT_COMP[],F$1,0),"ERROR")</f>
        <v>11605</v>
      </c>
      <c r="G25" s="214">
        <f t="shared" si="0"/>
        <v>0.19417719400987199</v>
      </c>
      <c r="H25" s="218">
        <f>IFERROR(VLOOKUP($B25,MMWR_TRAD_AGG_DISTRICT_COMP[],H$1,0),"ERROR")</f>
        <v>73407</v>
      </c>
      <c r="I25" s="218">
        <f>IFERROR(VLOOKUP($B25,MMWR_TRAD_AGG_DISTRICT_COMP[],I$1,0),"ERROR")</f>
        <v>28593</v>
      </c>
      <c r="J25" s="214">
        <f t="shared" si="1"/>
        <v>0.38951326167804162</v>
      </c>
      <c r="K25" s="212">
        <f>IFERROR(VLOOKUP($B25,MMWR_TRAD_AGG_DISTRICT_COMP[],K$1,0),"ERROR")</f>
        <v>19188</v>
      </c>
      <c r="L25" s="212">
        <f>IFERROR(VLOOKUP($B25,MMWR_TRAD_AGG_DISTRICT_COMP[],L$1,0),"ERROR")</f>
        <v>14759</v>
      </c>
      <c r="M25" s="214">
        <f t="shared" si="2"/>
        <v>0.7691786533249948</v>
      </c>
      <c r="N25" s="212">
        <f>IFERROR(VLOOKUP($B25,MMWR_TRAD_AGG_DISTRICT_COMP[],N$1,0),"ERROR")</f>
        <v>12161</v>
      </c>
      <c r="O25" s="212">
        <f>IFERROR(VLOOKUP($B25,MMWR_TRAD_AGG_DISTRICT_COMP[],O$1,0),"ERROR")</f>
        <v>8435</v>
      </c>
      <c r="P25" s="214">
        <f t="shared" si="3"/>
        <v>0.6936107228024011</v>
      </c>
      <c r="Q25" s="212">
        <f>IFERROR(VLOOKUP($B25,MMWR_TRAD_AGG_DISTRICT_COMP[],Q$1,0),"ERROR")</f>
        <v>8365</v>
      </c>
      <c r="R25" s="215">
        <f>IFERROR(VLOOKUP($B25,MMWR_TRAD_AGG_DISTRICT_COMP[],R$1,0),"ERROR")</f>
        <v>1097</v>
      </c>
      <c r="S25" s="215">
        <f>IFERROR(VLOOKUP($B25,MMWR_APP_RO[],S$1,0),"ERROR")</f>
        <v>50788</v>
      </c>
      <c r="T25" s="25"/>
    </row>
    <row r="26" spans="1:20" x14ac:dyDescent="0.2">
      <c r="A26" s="107"/>
      <c r="B26" s="108" t="s">
        <v>37</v>
      </c>
      <c r="C26" s="209">
        <f>IFERROR(VLOOKUP($B26,MMWR_TRAD_AGG_RO_COMP[],C$1,0),"ERROR")</f>
        <v>4365</v>
      </c>
      <c r="D26" s="198">
        <f>IFERROR(VLOOKUP($B26,MMWR_TRAD_AGG_RO_COMP[],D$1,0),"ERROR")</f>
        <v>495.00710194729999</v>
      </c>
      <c r="E26" s="195">
        <f>IFERROR(VLOOKUP($B26,MMWR_TRAD_AGG_RO_COMP[],E$1,0),"ERROR")</f>
        <v>6415</v>
      </c>
      <c r="F26" s="191">
        <f>IFERROR(VLOOKUP($B26,MMWR_TRAD_AGG_RO_COMP[],F$1,0),"ERROR")</f>
        <v>1701</v>
      </c>
      <c r="G26" s="216">
        <f t="shared" si="0"/>
        <v>0.26515978176149652</v>
      </c>
      <c r="H26" s="190">
        <f>IFERROR(VLOOKUP($B26,MMWR_TRAD_AGG_RO_COMP[],H$1,0),"ERROR")</f>
        <v>7667</v>
      </c>
      <c r="I26" s="191">
        <f>IFERROR(VLOOKUP($B26,MMWR_TRAD_AGG_RO_COMP[],I$1,0),"ERROR")</f>
        <v>4481</v>
      </c>
      <c r="J26" s="216">
        <f t="shared" si="1"/>
        <v>0.58445284987609236</v>
      </c>
      <c r="K26" s="204">
        <f>IFERROR(VLOOKUP($B26,MMWR_TRAD_AGG_RO_COMP[],K$1,0),"ERROR")</f>
        <v>1742</v>
      </c>
      <c r="L26" s="205">
        <f>IFERROR(VLOOKUP($B26,MMWR_TRAD_AGG_RO_COMP[],L$1,0),"ERROR")</f>
        <v>1620</v>
      </c>
      <c r="M26" s="216">
        <f t="shared" si="2"/>
        <v>0.9299655568312285</v>
      </c>
      <c r="N26" s="204">
        <f>IFERROR(VLOOKUP($B26,MMWR_TRAD_AGG_RO_COMP[],N$1,0),"ERROR")</f>
        <v>1498</v>
      </c>
      <c r="O26" s="205">
        <f>IFERROR(VLOOKUP($B26,MMWR_TRAD_AGG_RO_COMP[],O$1,0),"ERROR")</f>
        <v>925</v>
      </c>
      <c r="P26" s="216">
        <f t="shared" si="3"/>
        <v>0.61748998664886512</v>
      </c>
      <c r="Q26" s="201">
        <f>IFERROR(VLOOKUP($B26,MMWR_TRAD_AGG_RO_COMP[],Q$1,0),"ERROR")</f>
        <v>0</v>
      </c>
      <c r="R26" s="201">
        <f>IFERROR(VLOOKUP($B26,MMWR_TRAD_AGG_RO_COMP[],R$1,0),"ERROR")</f>
        <v>217</v>
      </c>
      <c r="S26" s="201">
        <f>IFERROR(VLOOKUP($B26,MMWR_APP_RO[],S$1,0),"ERROR")</f>
        <v>8228</v>
      </c>
      <c r="T26" s="25"/>
    </row>
    <row r="27" spans="1:20" x14ac:dyDescent="0.2">
      <c r="A27" s="107"/>
      <c r="B27" s="108" t="s">
        <v>38</v>
      </c>
      <c r="C27" s="209">
        <f>IFERROR(VLOOKUP($B27,MMWR_TRAD_AGG_RO_COMP[],C$1,0),"ERROR")</f>
        <v>4155</v>
      </c>
      <c r="D27" s="198">
        <f>IFERROR(VLOOKUP($B27,MMWR_TRAD_AGG_RO_COMP[],D$1,0),"ERROR")</f>
        <v>380.46666666670001</v>
      </c>
      <c r="E27" s="195">
        <f>IFERROR(VLOOKUP($B27,MMWR_TRAD_AGG_RO_COMP[],E$1,0),"ERROR")</f>
        <v>7568</v>
      </c>
      <c r="F27" s="191">
        <f>IFERROR(VLOOKUP($B27,MMWR_TRAD_AGG_RO_COMP[],F$1,0),"ERROR")</f>
        <v>1531</v>
      </c>
      <c r="G27" s="216">
        <f t="shared" si="0"/>
        <v>0.20229915433403806</v>
      </c>
      <c r="H27" s="190">
        <f>IFERROR(VLOOKUP($B27,MMWR_TRAD_AGG_RO_COMP[],H$1,0),"ERROR")</f>
        <v>7914</v>
      </c>
      <c r="I27" s="191">
        <f>IFERROR(VLOOKUP($B27,MMWR_TRAD_AGG_RO_COMP[],I$1,0),"ERROR")</f>
        <v>3277</v>
      </c>
      <c r="J27" s="216">
        <f t="shared" si="1"/>
        <v>0.41407632044478138</v>
      </c>
      <c r="K27" s="204">
        <f>IFERROR(VLOOKUP($B27,MMWR_TRAD_AGG_RO_COMP[],K$1,0),"ERROR")</f>
        <v>1960</v>
      </c>
      <c r="L27" s="205">
        <f>IFERROR(VLOOKUP($B27,MMWR_TRAD_AGG_RO_COMP[],L$1,0),"ERROR")</f>
        <v>1766</v>
      </c>
      <c r="M27" s="216">
        <f t="shared" si="2"/>
        <v>0.90102040816326534</v>
      </c>
      <c r="N27" s="204">
        <f>IFERROR(VLOOKUP($B27,MMWR_TRAD_AGG_RO_COMP[],N$1,0),"ERROR")</f>
        <v>2942</v>
      </c>
      <c r="O27" s="205">
        <f>IFERROR(VLOOKUP($B27,MMWR_TRAD_AGG_RO_COMP[],O$1,0),"ERROR")</f>
        <v>2308</v>
      </c>
      <c r="P27" s="216">
        <f t="shared" si="3"/>
        <v>0.78450033990482659</v>
      </c>
      <c r="Q27" s="201">
        <f>IFERROR(VLOOKUP($B27,MMWR_TRAD_AGG_RO_COMP[],Q$1,0),"ERROR")</f>
        <v>1</v>
      </c>
      <c r="R27" s="201">
        <f>IFERROR(VLOOKUP($B27,MMWR_TRAD_AGG_RO_COMP[],R$1,0),"ERROR")</f>
        <v>331</v>
      </c>
      <c r="S27" s="201">
        <f>IFERROR(VLOOKUP($B27,MMWR_APP_RO[],S$1,0),"ERROR")</f>
        <v>12400</v>
      </c>
      <c r="T27" s="25"/>
    </row>
    <row r="28" spans="1:20" x14ac:dyDescent="0.2">
      <c r="A28" s="107"/>
      <c r="B28" s="108" t="s">
        <v>41</v>
      </c>
      <c r="C28" s="209">
        <f>IFERROR(VLOOKUP($B28,MMWR_TRAD_AGG_RO_COMP[],C$1,0),"ERROR")</f>
        <v>561</v>
      </c>
      <c r="D28" s="198">
        <f>IFERROR(VLOOKUP($B28,MMWR_TRAD_AGG_RO_COMP[],D$1,0),"ERROR")</f>
        <v>121.8092691622</v>
      </c>
      <c r="E28" s="195">
        <f>IFERROR(VLOOKUP($B28,MMWR_TRAD_AGG_RO_COMP[],E$1,0),"ERROR")</f>
        <v>2499</v>
      </c>
      <c r="F28" s="191">
        <f>IFERROR(VLOOKUP($B28,MMWR_TRAD_AGG_RO_COMP[],F$1,0),"ERROR")</f>
        <v>364</v>
      </c>
      <c r="G28" s="216">
        <f t="shared" si="0"/>
        <v>0.14565826330532214</v>
      </c>
      <c r="H28" s="190">
        <f>IFERROR(VLOOKUP($B28,MMWR_TRAD_AGG_RO_COMP[],H$1,0),"ERROR")</f>
        <v>2027</v>
      </c>
      <c r="I28" s="191">
        <f>IFERROR(VLOOKUP($B28,MMWR_TRAD_AGG_RO_COMP[],I$1,0),"ERROR")</f>
        <v>267</v>
      </c>
      <c r="J28" s="216">
        <f t="shared" si="1"/>
        <v>0.13172175629008387</v>
      </c>
      <c r="K28" s="204">
        <f>IFERROR(VLOOKUP($B28,MMWR_TRAD_AGG_RO_COMP[],K$1,0),"ERROR")</f>
        <v>157</v>
      </c>
      <c r="L28" s="205">
        <f>IFERROR(VLOOKUP($B28,MMWR_TRAD_AGG_RO_COMP[],L$1,0),"ERROR")</f>
        <v>91</v>
      </c>
      <c r="M28" s="216">
        <f t="shared" si="2"/>
        <v>0.57961783439490444</v>
      </c>
      <c r="N28" s="204">
        <f>IFERROR(VLOOKUP($B28,MMWR_TRAD_AGG_RO_COMP[],N$1,0),"ERROR")</f>
        <v>214</v>
      </c>
      <c r="O28" s="205">
        <f>IFERROR(VLOOKUP($B28,MMWR_TRAD_AGG_RO_COMP[],O$1,0),"ERROR")</f>
        <v>94</v>
      </c>
      <c r="P28" s="216">
        <f t="shared" si="3"/>
        <v>0.43925233644859812</v>
      </c>
      <c r="Q28" s="201">
        <f>IFERROR(VLOOKUP($B28,MMWR_TRAD_AGG_RO_COMP[],Q$1,0),"ERROR")</f>
        <v>0</v>
      </c>
      <c r="R28" s="201">
        <f>IFERROR(VLOOKUP($B28,MMWR_TRAD_AGG_RO_COMP[],R$1,0),"ERROR")</f>
        <v>9</v>
      </c>
      <c r="S28" s="201">
        <f>IFERROR(VLOOKUP($B28,MMWR_APP_RO[],S$1,0),"ERROR")</f>
        <v>1501</v>
      </c>
      <c r="T28" s="25"/>
    </row>
    <row r="29" spans="1:20" x14ac:dyDescent="0.2">
      <c r="A29" s="107"/>
      <c r="B29" s="108" t="s">
        <v>42</v>
      </c>
      <c r="C29" s="209">
        <f>IFERROR(VLOOKUP($B29,MMWR_TRAD_AGG_RO_COMP[],C$1,0),"ERROR")</f>
        <v>2514</v>
      </c>
      <c r="D29" s="198">
        <f>IFERROR(VLOOKUP($B29,MMWR_TRAD_AGG_RO_COMP[],D$1,0),"ERROR")</f>
        <v>394.22911694509997</v>
      </c>
      <c r="E29" s="195">
        <f>IFERROR(VLOOKUP($B29,MMWR_TRAD_AGG_RO_COMP[],E$1,0),"ERROR")</f>
        <v>7257</v>
      </c>
      <c r="F29" s="191">
        <f>IFERROR(VLOOKUP($B29,MMWR_TRAD_AGG_RO_COMP[],F$1,0),"ERROR")</f>
        <v>1746</v>
      </c>
      <c r="G29" s="216">
        <f t="shared" si="0"/>
        <v>0.24059528730880528</v>
      </c>
      <c r="H29" s="190">
        <f>IFERROR(VLOOKUP($B29,MMWR_TRAD_AGG_RO_COMP[],H$1,0),"ERROR")</f>
        <v>7760</v>
      </c>
      <c r="I29" s="191">
        <f>IFERROR(VLOOKUP($B29,MMWR_TRAD_AGG_RO_COMP[],I$1,0),"ERROR")</f>
        <v>3491</v>
      </c>
      <c r="J29" s="216">
        <f t="shared" si="1"/>
        <v>0.44987113402061857</v>
      </c>
      <c r="K29" s="204">
        <f>IFERROR(VLOOKUP($B29,MMWR_TRAD_AGG_RO_COMP[],K$1,0),"ERROR")</f>
        <v>2557</v>
      </c>
      <c r="L29" s="205">
        <f>IFERROR(VLOOKUP($B29,MMWR_TRAD_AGG_RO_COMP[],L$1,0),"ERROR")</f>
        <v>2320</v>
      </c>
      <c r="M29" s="216">
        <f t="shared" si="2"/>
        <v>0.90731325772389515</v>
      </c>
      <c r="N29" s="204">
        <f>IFERROR(VLOOKUP($B29,MMWR_TRAD_AGG_RO_COMP[],N$1,0),"ERROR")</f>
        <v>1119</v>
      </c>
      <c r="O29" s="205">
        <f>IFERROR(VLOOKUP($B29,MMWR_TRAD_AGG_RO_COMP[],O$1,0),"ERROR")</f>
        <v>533</v>
      </c>
      <c r="P29" s="216">
        <f t="shared" si="3"/>
        <v>0.47631814119749777</v>
      </c>
      <c r="Q29" s="201">
        <f>IFERROR(VLOOKUP($B29,MMWR_TRAD_AGG_RO_COMP[],Q$1,0),"ERROR")</f>
        <v>1</v>
      </c>
      <c r="R29" s="201">
        <f>IFERROR(VLOOKUP($B29,MMWR_TRAD_AGG_RO_COMP[],R$1,0),"ERROR")</f>
        <v>225</v>
      </c>
      <c r="S29" s="201">
        <f>IFERROR(VLOOKUP($B29,MMWR_APP_RO[],S$1,0),"ERROR")</f>
        <v>4855</v>
      </c>
      <c r="T29" s="25"/>
    </row>
    <row r="30" spans="1:20" x14ac:dyDescent="0.2">
      <c r="A30" s="107"/>
      <c r="B30" s="108" t="s">
        <v>43</v>
      </c>
      <c r="C30" s="209">
        <f>IFERROR(VLOOKUP($B30,MMWR_TRAD_AGG_RO_COMP[],C$1,0),"ERROR")</f>
        <v>258</v>
      </c>
      <c r="D30" s="198">
        <f>IFERROR(VLOOKUP($B30,MMWR_TRAD_AGG_RO_COMP[],D$1,0),"ERROR")</f>
        <v>80.418604651199999</v>
      </c>
      <c r="E30" s="195">
        <f>IFERROR(VLOOKUP($B30,MMWR_TRAD_AGG_RO_COMP[],E$1,0),"ERROR")</f>
        <v>1036</v>
      </c>
      <c r="F30" s="191">
        <f>IFERROR(VLOOKUP($B30,MMWR_TRAD_AGG_RO_COMP[],F$1,0),"ERROR")</f>
        <v>134</v>
      </c>
      <c r="G30" s="216">
        <f t="shared" si="0"/>
        <v>0.12934362934362933</v>
      </c>
      <c r="H30" s="190">
        <f>IFERROR(VLOOKUP($B30,MMWR_TRAD_AGG_RO_COMP[],H$1,0),"ERROR")</f>
        <v>1077</v>
      </c>
      <c r="I30" s="191">
        <f>IFERROR(VLOOKUP($B30,MMWR_TRAD_AGG_RO_COMP[],I$1,0),"ERROR")</f>
        <v>45</v>
      </c>
      <c r="J30" s="216">
        <f t="shared" si="1"/>
        <v>4.1782729805013928E-2</v>
      </c>
      <c r="K30" s="204">
        <f>IFERROR(VLOOKUP($B30,MMWR_TRAD_AGG_RO_COMP[],K$1,0),"ERROR")</f>
        <v>174</v>
      </c>
      <c r="L30" s="205">
        <f>IFERROR(VLOOKUP($B30,MMWR_TRAD_AGG_RO_COMP[],L$1,0),"ERROR")</f>
        <v>70</v>
      </c>
      <c r="M30" s="216">
        <f t="shared" si="2"/>
        <v>0.40229885057471265</v>
      </c>
      <c r="N30" s="204">
        <f>IFERROR(VLOOKUP($B30,MMWR_TRAD_AGG_RO_COMP[],N$1,0),"ERROR")</f>
        <v>68</v>
      </c>
      <c r="O30" s="205">
        <f>IFERROR(VLOOKUP($B30,MMWR_TRAD_AGG_RO_COMP[],O$1,0),"ERROR")</f>
        <v>45</v>
      </c>
      <c r="P30" s="216">
        <f t="shared" si="3"/>
        <v>0.66176470588235292</v>
      </c>
      <c r="Q30" s="201">
        <f>IFERROR(VLOOKUP($B30,MMWR_TRAD_AGG_RO_COMP[],Q$1,0),"ERROR")</f>
        <v>0</v>
      </c>
      <c r="R30" s="201">
        <f>IFERROR(VLOOKUP($B30,MMWR_TRAD_AGG_RO_COMP[],R$1,0),"ERROR")</f>
        <v>0</v>
      </c>
      <c r="S30" s="201">
        <f>IFERROR(VLOOKUP($B30,MMWR_APP_RO[],S$1,0),"ERROR")</f>
        <v>566</v>
      </c>
      <c r="T30" s="25"/>
    </row>
    <row r="31" spans="1:20" x14ac:dyDescent="0.2">
      <c r="A31" s="107"/>
      <c r="B31" s="108" t="s">
        <v>48</v>
      </c>
      <c r="C31" s="209">
        <f>IFERROR(VLOOKUP($B31,MMWR_TRAD_AGG_RO_COMP[],C$1,0),"ERROR")</f>
        <v>5320</v>
      </c>
      <c r="D31" s="198">
        <f>IFERROR(VLOOKUP($B31,MMWR_TRAD_AGG_RO_COMP[],D$1,0),"ERROR")</f>
        <v>537.88872180450005</v>
      </c>
      <c r="E31" s="195">
        <f>IFERROR(VLOOKUP($B31,MMWR_TRAD_AGG_RO_COMP[],E$1,0),"ERROR")</f>
        <v>4692</v>
      </c>
      <c r="F31" s="191">
        <f>IFERROR(VLOOKUP($B31,MMWR_TRAD_AGG_RO_COMP[],F$1,0),"ERROR")</f>
        <v>856</v>
      </c>
      <c r="G31" s="216">
        <f t="shared" si="0"/>
        <v>0.18243819266837169</v>
      </c>
      <c r="H31" s="190">
        <f>IFERROR(VLOOKUP($B31,MMWR_TRAD_AGG_RO_COMP[],H$1,0),"ERROR")</f>
        <v>10601</v>
      </c>
      <c r="I31" s="191">
        <f>IFERROR(VLOOKUP($B31,MMWR_TRAD_AGG_RO_COMP[],I$1,0),"ERROR")</f>
        <v>6508</v>
      </c>
      <c r="J31" s="216">
        <f t="shared" si="1"/>
        <v>0.61390434864635413</v>
      </c>
      <c r="K31" s="204">
        <f>IFERROR(VLOOKUP($B31,MMWR_TRAD_AGG_RO_COMP[],K$1,0),"ERROR")</f>
        <v>2231</v>
      </c>
      <c r="L31" s="205">
        <f>IFERROR(VLOOKUP($B31,MMWR_TRAD_AGG_RO_COMP[],L$1,0),"ERROR")</f>
        <v>1628</v>
      </c>
      <c r="M31" s="216">
        <f t="shared" si="2"/>
        <v>0.72971761541909452</v>
      </c>
      <c r="N31" s="204">
        <f>IFERROR(VLOOKUP($B31,MMWR_TRAD_AGG_RO_COMP[],N$1,0),"ERROR")</f>
        <v>2527</v>
      </c>
      <c r="O31" s="205">
        <f>IFERROR(VLOOKUP($B31,MMWR_TRAD_AGG_RO_COMP[],O$1,0),"ERROR")</f>
        <v>1931</v>
      </c>
      <c r="P31" s="216">
        <f t="shared" si="3"/>
        <v>0.76414721013058962</v>
      </c>
      <c r="Q31" s="201">
        <f>IFERROR(VLOOKUP($B31,MMWR_TRAD_AGG_RO_COMP[],Q$1,0),"ERROR")</f>
        <v>1</v>
      </c>
      <c r="R31" s="201">
        <f>IFERROR(VLOOKUP($B31,MMWR_TRAD_AGG_RO_COMP[],R$1,0),"ERROR")</f>
        <v>238</v>
      </c>
      <c r="S31" s="201">
        <f>IFERROR(VLOOKUP($B31,MMWR_APP_RO[],S$1,0),"ERROR")</f>
        <v>8082</v>
      </c>
      <c r="T31" s="25"/>
    </row>
    <row r="32" spans="1:20" x14ac:dyDescent="0.2">
      <c r="A32" s="107"/>
      <c r="B32" s="108" t="s">
        <v>50</v>
      </c>
      <c r="C32" s="209">
        <f>IFERROR(VLOOKUP($B32,MMWR_TRAD_AGG_RO_COMP[],C$1,0),"ERROR")</f>
        <v>1581</v>
      </c>
      <c r="D32" s="198">
        <f>IFERROR(VLOOKUP($B32,MMWR_TRAD_AGG_RO_COMP[],D$1,0),"ERROR")</f>
        <v>120.7678684377</v>
      </c>
      <c r="E32" s="195">
        <f>IFERROR(VLOOKUP($B32,MMWR_TRAD_AGG_RO_COMP[],E$1,0),"ERROR")</f>
        <v>1877</v>
      </c>
      <c r="F32" s="191">
        <f>IFERROR(VLOOKUP($B32,MMWR_TRAD_AGG_RO_COMP[],F$1,0),"ERROR")</f>
        <v>224</v>
      </c>
      <c r="G32" s="216">
        <f t="shared" si="0"/>
        <v>0.11933937133724028</v>
      </c>
      <c r="H32" s="190">
        <f>IFERROR(VLOOKUP($B32,MMWR_TRAD_AGG_RO_COMP[],H$1,0),"ERROR")</f>
        <v>3333</v>
      </c>
      <c r="I32" s="191">
        <f>IFERROR(VLOOKUP($B32,MMWR_TRAD_AGG_RO_COMP[],I$1,0),"ERROR")</f>
        <v>855</v>
      </c>
      <c r="J32" s="216">
        <f t="shared" si="1"/>
        <v>0.2565256525652565</v>
      </c>
      <c r="K32" s="204">
        <f>IFERROR(VLOOKUP($B32,MMWR_TRAD_AGG_RO_COMP[],K$1,0),"ERROR")</f>
        <v>724</v>
      </c>
      <c r="L32" s="205">
        <f>IFERROR(VLOOKUP($B32,MMWR_TRAD_AGG_RO_COMP[],L$1,0),"ERROR")</f>
        <v>462</v>
      </c>
      <c r="M32" s="216">
        <f t="shared" si="2"/>
        <v>0.63812154696132595</v>
      </c>
      <c r="N32" s="204">
        <f>IFERROR(VLOOKUP($B32,MMWR_TRAD_AGG_RO_COMP[],N$1,0),"ERROR")</f>
        <v>566</v>
      </c>
      <c r="O32" s="205">
        <f>IFERROR(VLOOKUP($B32,MMWR_TRAD_AGG_RO_COMP[],O$1,0),"ERROR")</f>
        <v>382</v>
      </c>
      <c r="P32" s="216">
        <f t="shared" si="3"/>
        <v>0.67491166077738518</v>
      </c>
      <c r="Q32" s="201">
        <f>IFERROR(VLOOKUP($B32,MMWR_TRAD_AGG_RO_COMP[],Q$1,0),"ERROR")</f>
        <v>1</v>
      </c>
      <c r="R32" s="201">
        <f>IFERROR(VLOOKUP($B32,MMWR_TRAD_AGG_RO_COMP[],R$1,0),"ERROR")</f>
        <v>18</v>
      </c>
      <c r="S32" s="201">
        <f>IFERROR(VLOOKUP($B32,MMWR_APP_RO[],S$1,0),"ERROR")</f>
        <v>1170</v>
      </c>
      <c r="T32" s="25"/>
    </row>
    <row r="33" spans="1:20" x14ac:dyDescent="0.2">
      <c r="A33" s="107"/>
      <c r="B33" s="108" t="s">
        <v>56</v>
      </c>
      <c r="C33" s="209">
        <f>IFERROR(VLOOKUP($B33,MMWR_TRAD_AGG_RO_COMP[],C$1,0),"ERROR")</f>
        <v>4708</v>
      </c>
      <c r="D33" s="198">
        <f>IFERROR(VLOOKUP($B33,MMWR_TRAD_AGG_RO_COMP[],D$1,0),"ERROR")</f>
        <v>160.55862361940001</v>
      </c>
      <c r="E33" s="195">
        <f>IFERROR(VLOOKUP($B33,MMWR_TRAD_AGG_RO_COMP[],E$1,0),"ERROR")</f>
        <v>6789</v>
      </c>
      <c r="F33" s="191">
        <f>IFERROR(VLOOKUP($B33,MMWR_TRAD_AGG_RO_COMP[],F$1,0),"ERROR")</f>
        <v>1166</v>
      </c>
      <c r="G33" s="216">
        <f t="shared" si="0"/>
        <v>0.17174841655619386</v>
      </c>
      <c r="H33" s="190">
        <f>IFERROR(VLOOKUP($B33,MMWR_TRAD_AGG_RO_COMP[],H$1,0),"ERROR")</f>
        <v>8682</v>
      </c>
      <c r="I33" s="191">
        <f>IFERROR(VLOOKUP($B33,MMWR_TRAD_AGG_RO_COMP[],I$1,0),"ERROR")</f>
        <v>2287</v>
      </c>
      <c r="J33" s="216">
        <f t="shared" si="1"/>
        <v>0.26341856715042616</v>
      </c>
      <c r="K33" s="204">
        <f>IFERROR(VLOOKUP($B33,MMWR_TRAD_AGG_RO_COMP[],K$1,0),"ERROR")</f>
        <v>985</v>
      </c>
      <c r="L33" s="205">
        <f>IFERROR(VLOOKUP($B33,MMWR_TRAD_AGG_RO_COMP[],L$1,0),"ERROR")</f>
        <v>664</v>
      </c>
      <c r="M33" s="216">
        <f t="shared" si="2"/>
        <v>0.67411167512690351</v>
      </c>
      <c r="N33" s="204">
        <f>IFERROR(VLOOKUP($B33,MMWR_TRAD_AGG_RO_COMP[],N$1,0),"ERROR")</f>
        <v>637</v>
      </c>
      <c r="O33" s="205">
        <f>IFERROR(VLOOKUP($B33,MMWR_TRAD_AGG_RO_COMP[],O$1,0),"ERROR")</f>
        <v>376</v>
      </c>
      <c r="P33" s="216">
        <f t="shared" si="3"/>
        <v>0.59026687598116168</v>
      </c>
      <c r="Q33" s="201">
        <f>IFERROR(VLOOKUP($B33,MMWR_TRAD_AGG_RO_COMP[],Q$1,0),"ERROR")</f>
        <v>8324</v>
      </c>
      <c r="R33" s="201">
        <f>IFERROR(VLOOKUP($B33,MMWR_TRAD_AGG_RO_COMP[],R$1,0),"ERROR")</f>
        <v>0</v>
      </c>
      <c r="S33" s="201">
        <f>IFERROR(VLOOKUP($B33,MMWR_APP_RO[],S$1,0),"ERROR")</f>
        <v>3083</v>
      </c>
      <c r="T33" s="25"/>
    </row>
    <row r="34" spans="1:20" x14ac:dyDescent="0.2">
      <c r="A34" s="107"/>
      <c r="B34" s="108" t="s">
        <v>74</v>
      </c>
      <c r="C34" s="209">
        <f>IFERROR(VLOOKUP($B34,MMWR_TRAD_AGG_RO_COMP[],C$1,0),"ERROR")</f>
        <v>303</v>
      </c>
      <c r="D34" s="198">
        <f>IFERROR(VLOOKUP($B34,MMWR_TRAD_AGG_RO_COMP[],D$1,0),"ERROR")</f>
        <v>83.7491749175</v>
      </c>
      <c r="E34" s="195">
        <f>IFERROR(VLOOKUP($B34,MMWR_TRAD_AGG_RO_COMP[],E$1,0),"ERROR")</f>
        <v>1377</v>
      </c>
      <c r="F34" s="191">
        <f>IFERROR(VLOOKUP($B34,MMWR_TRAD_AGG_RO_COMP[],F$1,0),"ERROR")</f>
        <v>241</v>
      </c>
      <c r="G34" s="216">
        <f t="shared" si="0"/>
        <v>0.17501815541031226</v>
      </c>
      <c r="H34" s="190">
        <f>IFERROR(VLOOKUP($B34,MMWR_TRAD_AGG_RO_COMP[],H$1,0),"ERROR")</f>
        <v>1133</v>
      </c>
      <c r="I34" s="191">
        <f>IFERROR(VLOOKUP($B34,MMWR_TRAD_AGG_RO_COMP[],I$1,0),"ERROR")</f>
        <v>81</v>
      </c>
      <c r="J34" s="216">
        <f t="shared" si="1"/>
        <v>7.1491615180935567E-2</v>
      </c>
      <c r="K34" s="204">
        <f>IFERROR(VLOOKUP($B34,MMWR_TRAD_AGG_RO_COMP[],K$1,0),"ERROR")</f>
        <v>389</v>
      </c>
      <c r="L34" s="205">
        <f>IFERROR(VLOOKUP($B34,MMWR_TRAD_AGG_RO_COMP[],L$1,0),"ERROR")</f>
        <v>131</v>
      </c>
      <c r="M34" s="216">
        <f t="shared" si="2"/>
        <v>0.33676092544987146</v>
      </c>
      <c r="N34" s="204">
        <f>IFERROR(VLOOKUP($B34,MMWR_TRAD_AGG_RO_COMP[],N$1,0),"ERROR")</f>
        <v>34</v>
      </c>
      <c r="O34" s="205">
        <f>IFERROR(VLOOKUP($B34,MMWR_TRAD_AGG_RO_COMP[],O$1,0),"ERROR")</f>
        <v>16</v>
      </c>
      <c r="P34" s="216">
        <f t="shared" si="3"/>
        <v>0.47058823529411764</v>
      </c>
      <c r="Q34" s="201">
        <f>IFERROR(VLOOKUP($B34,MMWR_TRAD_AGG_RO_COMP[],Q$1,0),"ERROR")</f>
        <v>0</v>
      </c>
      <c r="R34" s="201">
        <f>IFERROR(VLOOKUP($B34,MMWR_TRAD_AGG_RO_COMP[],R$1,0),"ERROR")</f>
        <v>0</v>
      </c>
      <c r="S34" s="201">
        <f>IFERROR(VLOOKUP($B34,MMWR_APP_RO[],S$1,0),"ERROR")</f>
        <v>224</v>
      </c>
      <c r="T34" s="25"/>
    </row>
    <row r="35" spans="1:20" x14ac:dyDescent="0.2">
      <c r="A35" s="107"/>
      <c r="B35" s="108" t="s">
        <v>75</v>
      </c>
      <c r="C35" s="209">
        <f>IFERROR(VLOOKUP($B35,MMWR_TRAD_AGG_RO_COMP[],C$1,0),"ERROR")</f>
        <v>3259</v>
      </c>
      <c r="D35" s="198">
        <f>IFERROR(VLOOKUP($B35,MMWR_TRAD_AGG_RO_COMP[],D$1,0),"ERROR")</f>
        <v>226.84320343659999</v>
      </c>
      <c r="E35" s="195">
        <f>IFERROR(VLOOKUP($B35,MMWR_TRAD_AGG_RO_COMP[],E$1,0),"ERROR")</f>
        <v>6356</v>
      </c>
      <c r="F35" s="191">
        <f>IFERROR(VLOOKUP($B35,MMWR_TRAD_AGG_RO_COMP[],F$1,0),"ERROR")</f>
        <v>1302</v>
      </c>
      <c r="G35" s="216">
        <f t="shared" si="0"/>
        <v>0.20484581497797358</v>
      </c>
      <c r="H35" s="190">
        <f>IFERROR(VLOOKUP($B35,MMWR_TRAD_AGG_RO_COMP[],H$1,0),"ERROR")</f>
        <v>6790</v>
      </c>
      <c r="I35" s="191">
        <f>IFERROR(VLOOKUP($B35,MMWR_TRAD_AGG_RO_COMP[],I$1,0),"ERROR")</f>
        <v>2910</v>
      </c>
      <c r="J35" s="216">
        <f t="shared" si="1"/>
        <v>0.42857142857142855</v>
      </c>
      <c r="K35" s="204">
        <f>IFERROR(VLOOKUP($B35,MMWR_TRAD_AGG_RO_COMP[],K$1,0),"ERROR")</f>
        <v>2092</v>
      </c>
      <c r="L35" s="205">
        <f>IFERROR(VLOOKUP($B35,MMWR_TRAD_AGG_RO_COMP[],L$1,0),"ERROR")</f>
        <v>1775</v>
      </c>
      <c r="M35" s="216">
        <f t="shared" si="2"/>
        <v>0.84847036328871894</v>
      </c>
      <c r="N35" s="204">
        <f>IFERROR(VLOOKUP($B35,MMWR_TRAD_AGG_RO_COMP[],N$1,0),"ERROR")</f>
        <v>1246</v>
      </c>
      <c r="O35" s="205">
        <f>IFERROR(VLOOKUP($B35,MMWR_TRAD_AGG_RO_COMP[],O$1,0),"ERROR")</f>
        <v>1017</v>
      </c>
      <c r="P35" s="216">
        <f t="shared" si="3"/>
        <v>0.8162118780096308</v>
      </c>
      <c r="Q35" s="201">
        <f>IFERROR(VLOOKUP($B35,MMWR_TRAD_AGG_RO_COMP[],Q$1,0),"ERROR")</f>
        <v>0</v>
      </c>
      <c r="R35" s="201">
        <f>IFERROR(VLOOKUP($B35,MMWR_TRAD_AGG_RO_COMP[],R$1,0),"ERROR")</f>
        <v>51</v>
      </c>
      <c r="S35" s="201">
        <f>IFERROR(VLOOKUP($B35,MMWR_APP_RO[],S$1,0),"ERROR")</f>
        <v>5749</v>
      </c>
      <c r="T35" s="25"/>
    </row>
    <row r="36" spans="1:20" x14ac:dyDescent="0.2">
      <c r="A36" s="28"/>
      <c r="B36" s="108" t="s">
        <v>76</v>
      </c>
      <c r="C36" s="219">
        <f>IFERROR(VLOOKUP($B36,MMWR_TRAD_AGG_RO_COMP[],C$1,0),"ERROR")</f>
        <v>3412</v>
      </c>
      <c r="D36" s="220">
        <f>IFERROR(VLOOKUP($B36,MMWR_TRAD_AGG_RO_COMP[],D$1,0),"ERROR")</f>
        <v>166.4202813599</v>
      </c>
      <c r="E36" s="221">
        <f>IFERROR(VLOOKUP($B36,MMWR_TRAD_AGG_RO_COMP[],E$1,0),"ERROR")</f>
        <v>11344</v>
      </c>
      <c r="F36" s="222">
        <f>IFERROR(VLOOKUP($B36,MMWR_TRAD_AGG_RO_COMP[],F$1,0),"ERROR")</f>
        <v>1947</v>
      </c>
      <c r="G36" s="223">
        <f t="shared" si="0"/>
        <v>0.17163258110014104</v>
      </c>
      <c r="H36" s="224">
        <f>IFERROR(VLOOKUP($B36,MMWR_TRAD_AGG_RO_COMP[],H$1,0),"ERROR")</f>
        <v>13272</v>
      </c>
      <c r="I36" s="222">
        <f>IFERROR(VLOOKUP($B36,MMWR_TRAD_AGG_RO_COMP[],I$1,0),"ERROR")</f>
        <v>3251</v>
      </c>
      <c r="J36" s="223">
        <f t="shared" si="1"/>
        <v>0.24495177817962627</v>
      </c>
      <c r="K36" s="225">
        <f>IFERROR(VLOOKUP($B36,MMWR_TRAD_AGG_RO_COMP[],K$1,0),"ERROR")</f>
        <v>5155</v>
      </c>
      <c r="L36" s="226">
        <f>IFERROR(VLOOKUP($B36,MMWR_TRAD_AGG_RO_COMP[],L$1,0),"ERROR")</f>
        <v>3724</v>
      </c>
      <c r="M36" s="223">
        <f t="shared" si="2"/>
        <v>0.72240543161978665</v>
      </c>
      <c r="N36" s="225">
        <f>IFERROR(VLOOKUP($B36,MMWR_TRAD_AGG_RO_COMP[],N$1,0),"ERROR")</f>
        <v>1083</v>
      </c>
      <c r="O36" s="226">
        <f>IFERROR(VLOOKUP($B36,MMWR_TRAD_AGG_RO_COMP[],O$1,0),"ERROR")</f>
        <v>681</v>
      </c>
      <c r="P36" s="223">
        <f t="shared" si="3"/>
        <v>0.62880886426592797</v>
      </c>
      <c r="Q36" s="227">
        <f>IFERROR(VLOOKUP($B36,MMWR_TRAD_AGG_RO_COMP[],Q$1,0),"ERROR")</f>
        <v>37</v>
      </c>
      <c r="R36" s="227">
        <f>IFERROR(VLOOKUP($B36,MMWR_TRAD_AGG_RO_COMP[],R$1,0),"ERROR")</f>
        <v>0</v>
      </c>
      <c r="S36" s="201">
        <f>IFERROR(VLOOKUP($B36,MMWR_APP_RO[],S$1,0),"ERROR")</f>
        <v>3595</v>
      </c>
      <c r="T36" s="28"/>
    </row>
    <row r="37" spans="1:20" x14ac:dyDescent="0.2">
      <c r="A37" s="28"/>
      <c r="B37" s="116" t="s">
        <v>81</v>
      </c>
      <c r="C37" s="228">
        <f>IFERROR(VLOOKUP($B37,MMWR_TRAD_AGG_RO_COMP[],C$1,0),"ERROR")</f>
        <v>1593</v>
      </c>
      <c r="D37" s="229">
        <f>IFERROR(VLOOKUP($B37,MMWR_TRAD_AGG_RO_COMP[],D$1,0),"ERROR")</f>
        <v>209.1839296924</v>
      </c>
      <c r="E37" s="230">
        <f>IFERROR(VLOOKUP($B37,MMWR_TRAD_AGG_RO_COMP[],E$1,0),"ERROR")</f>
        <v>2555</v>
      </c>
      <c r="F37" s="231">
        <f>IFERROR(VLOOKUP($B37,MMWR_TRAD_AGG_RO_COMP[],F$1,0),"ERROR")</f>
        <v>393</v>
      </c>
      <c r="G37" s="232">
        <f t="shared" si="0"/>
        <v>0.1538160469667319</v>
      </c>
      <c r="H37" s="233">
        <f>IFERROR(VLOOKUP($B37,MMWR_TRAD_AGG_RO_COMP[],H$1,0),"ERROR")</f>
        <v>3151</v>
      </c>
      <c r="I37" s="231">
        <f>IFERROR(VLOOKUP($B37,MMWR_TRAD_AGG_RO_COMP[],I$1,0),"ERROR")</f>
        <v>1140</v>
      </c>
      <c r="J37" s="232">
        <f t="shared" si="1"/>
        <v>0.36178990796572519</v>
      </c>
      <c r="K37" s="234">
        <f>IFERROR(VLOOKUP($B37,MMWR_TRAD_AGG_RO_COMP[],K$1,0),"ERROR")</f>
        <v>1022</v>
      </c>
      <c r="L37" s="235">
        <f>IFERROR(VLOOKUP($B37,MMWR_TRAD_AGG_RO_COMP[],L$1,0),"ERROR")</f>
        <v>508</v>
      </c>
      <c r="M37" s="232">
        <f t="shared" si="2"/>
        <v>0.49706457925636005</v>
      </c>
      <c r="N37" s="234">
        <f>IFERROR(VLOOKUP($B37,MMWR_TRAD_AGG_RO_COMP[],N$1,0),"ERROR")</f>
        <v>227</v>
      </c>
      <c r="O37" s="235">
        <f>IFERROR(VLOOKUP($B37,MMWR_TRAD_AGG_RO_COMP[],O$1,0),"ERROR")</f>
        <v>127</v>
      </c>
      <c r="P37" s="232">
        <f t="shared" si="3"/>
        <v>0.55947136563876654</v>
      </c>
      <c r="Q37" s="236">
        <f>IFERROR(VLOOKUP($B37,MMWR_TRAD_AGG_RO_COMP[],Q$1,0),"ERROR")</f>
        <v>0</v>
      </c>
      <c r="R37" s="236">
        <f>IFERROR(VLOOKUP($B37,MMWR_TRAD_AGG_RO_COMP[],R$1,0),"ERROR")</f>
        <v>8</v>
      </c>
      <c r="S37" s="201">
        <f>IFERROR(VLOOKUP($B37,MMWR_APP_RO[],S$1,0),"ERROR")</f>
        <v>1335</v>
      </c>
      <c r="T37" s="28"/>
    </row>
    <row r="38" spans="1:20" x14ac:dyDescent="0.2">
      <c r="A38" s="28"/>
      <c r="B38" s="101" t="s">
        <v>384</v>
      </c>
      <c r="C38" s="212">
        <f>IFERROR(VLOOKUP($B38,MMWR_TRAD_AGG_DISTRICT_COMP[],C$1,0),"ERROR")</f>
        <v>38306</v>
      </c>
      <c r="D38" s="197">
        <f>IFERROR(VLOOKUP($B38,MMWR_TRAD_AGG_DISTRICT_COMP[],D$1,0),"ERROR")</f>
        <v>333.79731634730001</v>
      </c>
      <c r="E38" s="213">
        <f>IFERROR(VLOOKUP($B38,MMWR_TRAD_AGG_DISTRICT_COMP[],E$1,0),"ERROR")</f>
        <v>65244</v>
      </c>
      <c r="F38" s="218">
        <f>IFERROR(VLOOKUP($B38,MMWR_TRAD_AGG_DISTRICT_COMP[],F$1,0),"ERROR")</f>
        <v>13331</v>
      </c>
      <c r="G38" s="214">
        <f t="shared" si="0"/>
        <v>0.20432530194347373</v>
      </c>
      <c r="H38" s="218">
        <f>IFERROR(VLOOKUP($B38,MMWR_TRAD_AGG_DISTRICT_COMP[],H$1,0),"ERROR")</f>
        <v>78329</v>
      </c>
      <c r="I38" s="218">
        <f>IFERROR(VLOOKUP($B38,MMWR_TRAD_AGG_DISTRICT_COMP[],I$1,0),"ERROR")</f>
        <v>35037</v>
      </c>
      <c r="J38" s="214">
        <f t="shared" si="1"/>
        <v>0.44730559562869437</v>
      </c>
      <c r="K38" s="212">
        <f>IFERROR(VLOOKUP($B38,MMWR_TRAD_AGG_DISTRICT_COMP[],K$1,0),"ERROR")</f>
        <v>21462</v>
      </c>
      <c r="L38" s="212">
        <f>IFERROR(VLOOKUP($B38,MMWR_TRAD_AGG_DISTRICT_COMP[],L$1,0),"ERROR")</f>
        <v>15575</v>
      </c>
      <c r="M38" s="214">
        <f t="shared" si="2"/>
        <v>0.72570123939986952</v>
      </c>
      <c r="N38" s="212">
        <f>IFERROR(VLOOKUP($B38,MMWR_TRAD_AGG_DISTRICT_COMP[],N$1,0),"ERROR")</f>
        <v>19610</v>
      </c>
      <c r="O38" s="212">
        <f>IFERROR(VLOOKUP($B38,MMWR_TRAD_AGG_DISTRICT_COMP[],O$1,0),"ERROR")</f>
        <v>11991</v>
      </c>
      <c r="P38" s="214">
        <f t="shared" si="3"/>
        <v>0.61147373788883219</v>
      </c>
      <c r="Q38" s="212">
        <f>IFERROR(VLOOKUP($B38,MMWR_TRAD_AGG_DISTRICT_COMP[],Q$1,0),"ERROR")</f>
        <v>56</v>
      </c>
      <c r="R38" s="215">
        <f>IFERROR(VLOOKUP($B38,MMWR_TRAD_AGG_DISTRICT_COMP[],R$1,0),"ERROR")</f>
        <v>1209</v>
      </c>
      <c r="S38" s="215">
        <f>IFERROR(VLOOKUP($B38,MMWR_APP_RO[],S$1,0),"ERROR")</f>
        <v>67538</v>
      </c>
      <c r="T38" s="28"/>
    </row>
    <row r="39" spans="1:20" x14ac:dyDescent="0.2">
      <c r="A39" s="28"/>
      <c r="B39" s="108" t="s">
        <v>36</v>
      </c>
      <c r="C39" s="219">
        <f>IFERROR(VLOOKUP($B39,MMWR_TRAD_AGG_RO_COMP[],C$1,0),"ERROR")</f>
        <v>203</v>
      </c>
      <c r="D39" s="220">
        <f>IFERROR(VLOOKUP($B39,MMWR_TRAD_AGG_RO_COMP[],D$1,0),"ERROR")</f>
        <v>288.79802955669999</v>
      </c>
      <c r="E39" s="221">
        <f>IFERROR(VLOOKUP($B39,MMWR_TRAD_AGG_RO_COMP[],E$1,0),"ERROR")</f>
        <v>702</v>
      </c>
      <c r="F39" s="222">
        <f>IFERROR(VLOOKUP($B39,MMWR_TRAD_AGG_RO_COMP[],F$1,0),"ERROR")</f>
        <v>72</v>
      </c>
      <c r="G39" s="223">
        <f t="shared" si="0"/>
        <v>0.10256410256410256</v>
      </c>
      <c r="H39" s="224">
        <f>IFERROR(VLOOKUP($B39,MMWR_TRAD_AGG_RO_COMP[],H$1,0),"ERROR")</f>
        <v>670</v>
      </c>
      <c r="I39" s="222">
        <f>IFERROR(VLOOKUP($B39,MMWR_TRAD_AGG_RO_COMP[],I$1,0),"ERROR")</f>
        <v>205</v>
      </c>
      <c r="J39" s="223">
        <f t="shared" si="1"/>
        <v>0.30597014925373134</v>
      </c>
      <c r="K39" s="225">
        <f>IFERROR(VLOOKUP($B39,MMWR_TRAD_AGG_RO_COMP[],K$1,0),"ERROR")</f>
        <v>166</v>
      </c>
      <c r="L39" s="226">
        <f>IFERROR(VLOOKUP($B39,MMWR_TRAD_AGG_RO_COMP[],L$1,0),"ERROR")</f>
        <v>95</v>
      </c>
      <c r="M39" s="223">
        <f t="shared" si="2"/>
        <v>0.57228915662650603</v>
      </c>
      <c r="N39" s="225">
        <f>IFERROR(VLOOKUP($B39,MMWR_TRAD_AGG_RO_COMP[],N$1,0),"ERROR")</f>
        <v>111</v>
      </c>
      <c r="O39" s="226">
        <f>IFERROR(VLOOKUP($B39,MMWR_TRAD_AGG_RO_COMP[],O$1,0),"ERROR")</f>
        <v>44</v>
      </c>
      <c r="P39" s="223">
        <f t="shared" si="3"/>
        <v>0.3963963963963964</v>
      </c>
      <c r="Q39" s="227">
        <f>IFERROR(VLOOKUP($B39,MMWR_TRAD_AGG_RO_COMP[],Q$1,0),"ERROR")</f>
        <v>2</v>
      </c>
      <c r="R39" s="227">
        <f>IFERROR(VLOOKUP($B39,MMWR_TRAD_AGG_RO_COMP[],R$1,0),"ERROR")</f>
        <v>4</v>
      </c>
      <c r="S39" s="201">
        <f>IFERROR(VLOOKUP($B39,MMWR_APP_RO[],S$1,0),"ERROR")</f>
        <v>305</v>
      </c>
      <c r="T39" s="28"/>
    </row>
    <row r="40" spans="1:20" x14ac:dyDescent="0.2">
      <c r="A40" s="28"/>
      <c r="B40" s="108" t="s">
        <v>40</v>
      </c>
      <c r="C40" s="219">
        <f>IFERROR(VLOOKUP($B40,MMWR_TRAD_AGG_RO_COMP[],C$1,0),"ERROR")</f>
        <v>4847</v>
      </c>
      <c r="D40" s="220">
        <f>IFERROR(VLOOKUP($B40,MMWR_TRAD_AGG_RO_COMP[],D$1,0),"ERROR")</f>
        <v>400.43222611919998</v>
      </c>
      <c r="E40" s="221">
        <f>IFERROR(VLOOKUP($B40,MMWR_TRAD_AGG_RO_COMP[],E$1,0),"ERROR")</f>
        <v>7157</v>
      </c>
      <c r="F40" s="222">
        <f>IFERROR(VLOOKUP($B40,MMWR_TRAD_AGG_RO_COMP[],F$1,0),"ERROR")</f>
        <v>2133</v>
      </c>
      <c r="G40" s="223">
        <f t="shared" si="0"/>
        <v>0.29802990079642311</v>
      </c>
      <c r="H40" s="224">
        <f>IFERROR(VLOOKUP($B40,MMWR_TRAD_AGG_RO_COMP[],H$1,0),"ERROR")</f>
        <v>9464</v>
      </c>
      <c r="I40" s="222">
        <f>IFERROR(VLOOKUP($B40,MMWR_TRAD_AGG_RO_COMP[],I$1,0),"ERROR")</f>
        <v>5029</v>
      </c>
      <c r="J40" s="223">
        <f t="shared" si="1"/>
        <v>0.53138207945900251</v>
      </c>
      <c r="K40" s="225">
        <f>IFERROR(VLOOKUP($B40,MMWR_TRAD_AGG_RO_COMP[],K$1,0),"ERROR")</f>
        <v>3873</v>
      </c>
      <c r="L40" s="226">
        <f>IFERROR(VLOOKUP($B40,MMWR_TRAD_AGG_RO_COMP[],L$1,0),"ERROR")</f>
        <v>3273</v>
      </c>
      <c r="M40" s="223">
        <f t="shared" si="2"/>
        <v>0.84508133230054217</v>
      </c>
      <c r="N40" s="225">
        <f>IFERROR(VLOOKUP($B40,MMWR_TRAD_AGG_RO_COMP[],N$1,0),"ERROR")</f>
        <v>657</v>
      </c>
      <c r="O40" s="226">
        <f>IFERROR(VLOOKUP($B40,MMWR_TRAD_AGG_RO_COMP[],O$1,0),"ERROR")</f>
        <v>480</v>
      </c>
      <c r="P40" s="223">
        <f t="shared" si="3"/>
        <v>0.73059360730593603</v>
      </c>
      <c r="Q40" s="227">
        <f>IFERROR(VLOOKUP($B40,MMWR_TRAD_AGG_RO_COMP[],Q$1,0),"ERROR")</f>
        <v>0</v>
      </c>
      <c r="R40" s="227">
        <f>IFERROR(VLOOKUP($B40,MMWR_TRAD_AGG_RO_COMP[],R$1,0),"ERROR")</f>
        <v>52</v>
      </c>
      <c r="S40" s="201">
        <f>IFERROR(VLOOKUP($B40,MMWR_APP_RO[],S$1,0),"ERROR")</f>
        <v>6418</v>
      </c>
      <c r="T40" s="28"/>
    </row>
    <row r="41" spans="1:20" x14ac:dyDescent="0.2">
      <c r="A41" s="28"/>
      <c r="B41" s="108" t="s">
        <v>181</v>
      </c>
      <c r="C41" s="219">
        <f>IFERROR(VLOOKUP($B41,MMWR_TRAD_AGG_RO_COMP[],C$1,0),"ERROR")</f>
        <v>330</v>
      </c>
      <c r="D41" s="220">
        <f>IFERROR(VLOOKUP($B41,MMWR_TRAD_AGG_RO_COMP[],D$1,0),"ERROR")</f>
        <v>168.896969697</v>
      </c>
      <c r="E41" s="221">
        <f>IFERROR(VLOOKUP($B41,MMWR_TRAD_AGG_RO_COMP[],E$1,0),"ERROR")</f>
        <v>643</v>
      </c>
      <c r="F41" s="222">
        <f>IFERROR(VLOOKUP($B41,MMWR_TRAD_AGG_RO_COMP[],F$1,0),"ERROR")</f>
        <v>52</v>
      </c>
      <c r="G41" s="223">
        <f t="shared" si="0"/>
        <v>8.0870917573872478E-2</v>
      </c>
      <c r="H41" s="224">
        <f>IFERROR(VLOOKUP($B41,MMWR_TRAD_AGG_RO_COMP[],H$1,0),"ERROR")</f>
        <v>1175</v>
      </c>
      <c r="I41" s="222">
        <f>IFERROR(VLOOKUP($B41,MMWR_TRAD_AGG_RO_COMP[],I$1,0),"ERROR")</f>
        <v>106</v>
      </c>
      <c r="J41" s="223">
        <f t="shared" si="1"/>
        <v>9.0212765957446803E-2</v>
      </c>
      <c r="K41" s="225">
        <f>IFERROR(VLOOKUP($B41,MMWR_TRAD_AGG_RO_COMP[],K$1,0),"ERROR")</f>
        <v>373</v>
      </c>
      <c r="L41" s="226">
        <f>IFERROR(VLOOKUP($B41,MMWR_TRAD_AGG_RO_COMP[],L$1,0),"ERROR")</f>
        <v>202</v>
      </c>
      <c r="M41" s="223">
        <f t="shared" si="2"/>
        <v>0.54155495978552282</v>
      </c>
      <c r="N41" s="225">
        <f>IFERROR(VLOOKUP($B41,MMWR_TRAD_AGG_RO_COMP[],N$1,0),"ERROR")</f>
        <v>225</v>
      </c>
      <c r="O41" s="226">
        <f>IFERROR(VLOOKUP($B41,MMWR_TRAD_AGG_RO_COMP[],O$1,0),"ERROR")</f>
        <v>120</v>
      </c>
      <c r="P41" s="223">
        <f t="shared" si="3"/>
        <v>0.53333333333333333</v>
      </c>
      <c r="Q41" s="227">
        <f>IFERROR(VLOOKUP($B41,MMWR_TRAD_AGG_RO_COMP[],Q$1,0),"ERROR")</f>
        <v>0</v>
      </c>
      <c r="R41" s="227">
        <f>IFERROR(VLOOKUP($B41,MMWR_TRAD_AGG_RO_COMP[],R$1,0),"ERROR")</f>
        <v>3</v>
      </c>
      <c r="S41" s="201">
        <f>IFERROR(VLOOKUP($B41,MMWR_APP_RO[],S$1,0),"ERROR")</f>
        <v>485</v>
      </c>
      <c r="T41" s="28"/>
    </row>
    <row r="42" spans="1:20" x14ac:dyDescent="0.2">
      <c r="A42" s="28"/>
      <c r="B42" s="108" t="s">
        <v>46</v>
      </c>
      <c r="C42" s="219">
        <f>IFERROR(VLOOKUP($B42,MMWR_TRAD_AGG_RO_COMP[],C$1,0),"ERROR")</f>
        <v>9787</v>
      </c>
      <c r="D42" s="220">
        <f>IFERROR(VLOOKUP($B42,MMWR_TRAD_AGG_RO_COMP[],D$1,0),"ERROR")</f>
        <v>369.45713701850002</v>
      </c>
      <c r="E42" s="221">
        <f>IFERROR(VLOOKUP($B42,MMWR_TRAD_AGG_RO_COMP[],E$1,0),"ERROR")</f>
        <v>17561</v>
      </c>
      <c r="F42" s="222">
        <f>IFERROR(VLOOKUP($B42,MMWR_TRAD_AGG_RO_COMP[],F$1,0),"ERROR")</f>
        <v>4232</v>
      </c>
      <c r="G42" s="223">
        <f t="shared" si="0"/>
        <v>0.24098855418256362</v>
      </c>
      <c r="H42" s="224">
        <f>IFERROR(VLOOKUP($B42,MMWR_TRAD_AGG_RO_COMP[],H$1,0),"ERROR")</f>
        <v>17625</v>
      </c>
      <c r="I42" s="222">
        <f>IFERROR(VLOOKUP($B42,MMWR_TRAD_AGG_RO_COMP[],I$1,0),"ERROR")</f>
        <v>9699</v>
      </c>
      <c r="J42" s="223">
        <f t="shared" si="1"/>
        <v>0.55029787234042549</v>
      </c>
      <c r="K42" s="225">
        <f>IFERROR(VLOOKUP($B42,MMWR_TRAD_AGG_RO_COMP[],K$1,0),"ERROR")</f>
        <v>3639</v>
      </c>
      <c r="L42" s="226">
        <f>IFERROR(VLOOKUP($B42,MMWR_TRAD_AGG_RO_COMP[],L$1,0),"ERROR")</f>
        <v>2962</v>
      </c>
      <c r="M42" s="223">
        <f t="shared" si="2"/>
        <v>0.81395987908766143</v>
      </c>
      <c r="N42" s="225">
        <f>IFERROR(VLOOKUP($B42,MMWR_TRAD_AGG_RO_COMP[],N$1,0),"ERROR")</f>
        <v>3475</v>
      </c>
      <c r="O42" s="226">
        <f>IFERROR(VLOOKUP($B42,MMWR_TRAD_AGG_RO_COMP[],O$1,0),"ERROR")</f>
        <v>2799</v>
      </c>
      <c r="P42" s="223">
        <f t="shared" si="3"/>
        <v>0.80546762589928056</v>
      </c>
      <c r="Q42" s="227">
        <f>IFERROR(VLOOKUP($B42,MMWR_TRAD_AGG_RO_COMP[],Q$1,0),"ERROR")</f>
        <v>1</v>
      </c>
      <c r="R42" s="227">
        <f>IFERROR(VLOOKUP($B42,MMWR_TRAD_AGG_RO_COMP[],R$1,0),"ERROR")</f>
        <v>251</v>
      </c>
      <c r="S42" s="201">
        <f>IFERROR(VLOOKUP($B42,MMWR_APP_RO[],S$1,0),"ERROR")</f>
        <v>19516</v>
      </c>
      <c r="T42" s="28"/>
    </row>
    <row r="43" spans="1:20" x14ac:dyDescent="0.2">
      <c r="A43" s="28"/>
      <c r="B43" s="108" t="s">
        <v>49</v>
      </c>
      <c r="C43" s="219">
        <f>IFERROR(VLOOKUP($B43,MMWR_TRAD_AGG_RO_COMP[],C$1,0),"ERROR")</f>
        <v>2676</v>
      </c>
      <c r="D43" s="220">
        <f>IFERROR(VLOOKUP($B43,MMWR_TRAD_AGG_RO_COMP[],D$1,0),"ERROR")</f>
        <v>402.75298953660001</v>
      </c>
      <c r="E43" s="221">
        <f>IFERROR(VLOOKUP($B43,MMWR_TRAD_AGG_RO_COMP[],E$1,0),"ERROR")</f>
        <v>4557</v>
      </c>
      <c r="F43" s="222">
        <f>IFERROR(VLOOKUP($B43,MMWR_TRAD_AGG_RO_COMP[],F$1,0),"ERROR")</f>
        <v>1433</v>
      </c>
      <c r="G43" s="223">
        <f t="shared" si="0"/>
        <v>0.31446126837831906</v>
      </c>
      <c r="H43" s="224">
        <f>IFERROR(VLOOKUP($B43,MMWR_TRAD_AGG_RO_COMP[],H$1,0),"ERROR")</f>
        <v>6586</v>
      </c>
      <c r="I43" s="222">
        <f>IFERROR(VLOOKUP($B43,MMWR_TRAD_AGG_RO_COMP[],I$1,0),"ERROR")</f>
        <v>3669</v>
      </c>
      <c r="J43" s="223">
        <f t="shared" si="1"/>
        <v>0.55709079866383238</v>
      </c>
      <c r="K43" s="225">
        <f>IFERROR(VLOOKUP($B43,MMWR_TRAD_AGG_RO_COMP[],K$1,0),"ERROR")</f>
        <v>2602</v>
      </c>
      <c r="L43" s="226">
        <f>IFERROR(VLOOKUP($B43,MMWR_TRAD_AGG_RO_COMP[],L$1,0),"ERROR")</f>
        <v>2032</v>
      </c>
      <c r="M43" s="223">
        <f t="shared" si="2"/>
        <v>0.7809377401998463</v>
      </c>
      <c r="N43" s="225">
        <f>IFERROR(VLOOKUP($B43,MMWR_TRAD_AGG_RO_COMP[],N$1,0),"ERROR")</f>
        <v>836</v>
      </c>
      <c r="O43" s="226">
        <f>IFERROR(VLOOKUP($B43,MMWR_TRAD_AGG_RO_COMP[],O$1,0),"ERROR")</f>
        <v>646</v>
      </c>
      <c r="P43" s="223">
        <f t="shared" si="3"/>
        <v>0.77272727272727271</v>
      </c>
      <c r="Q43" s="227">
        <f>IFERROR(VLOOKUP($B43,MMWR_TRAD_AGG_RO_COMP[],Q$1,0),"ERROR")</f>
        <v>46</v>
      </c>
      <c r="R43" s="227">
        <f>IFERROR(VLOOKUP($B43,MMWR_TRAD_AGG_RO_COMP[],R$1,0),"ERROR")</f>
        <v>291</v>
      </c>
      <c r="S43" s="201">
        <f>IFERROR(VLOOKUP($B43,MMWR_APP_RO[],S$1,0),"ERROR")</f>
        <v>4611</v>
      </c>
      <c r="T43" s="28"/>
    </row>
    <row r="44" spans="1:20" x14ac:dyDescent="0.2">
      <c r="A44" s="28"/>
      <c r="B44" s="108" t="s">
        <v>51</v>
      </c>
      <c r="C44" s="219">
        <f>IFERROR(VLOOKUP($B44,MMWR_TRAD_AGG_RO_COMP[],C$1,0),"ERROR")</f>
        <v>3191</v>
      </c>
      <c r="D44" s="220">
        <f>IFERROR(VLOOKUP($B44,MMWR_TRAD_AGG_RO_COMP[],D$1,0),"ERROR")</f>
        <v>260.66781573169999</v>
      </c>
      <c r="E44" s="221">
        <f>IFERROR(VLOOKUP($B44,MMWR_TRAD_AGG_RO_COMP[],E$1,0),"ERROR")</f>
        <v>3283</v>
      </c>
      <c r="F44" s="222">
        <f>IFERROR(VLOOKUP($B44,MMWR_TRAD_AGG_RO_COMP[],F$1,0),"ERROR")</f>
        <v>441</v>
      </c>
      <c r="G44" s="223">
        <f t="shared" si="0"/>
        <v>0.13432835820895522</v>
      </c>
      <c r="H44" s="224">
        <f>IFERROR(VLOOKUP($B44,MMWR_TRAD_AGG_RO_COMP[],H$1,0),"ERROR")</f>
        <v>7543</v>
      </c>
      <c r="I44" s="222">
        <f>IFERROR(VLOOKUP($B44,MMWR_TRAD_AGG_RO_COMP[],I$1,0),"ERROR")</f>
        <v>3088</v>
      </c>
      <c r="J44" s="223">
        <f t="shared" si="1"/>
        <v>0.40938618586769188</v>
      </c>
      <c r="K44" s="225">
        <f>IFERROR(VLOOKUP($B44,MMWR_TRAD_AGG_RO_COMP[],K$1,0),"ERROR")</f>
        <v>3622</v>
      </c>
      <c r="L44" s="226">
        <f>IFERROR(VLOOKUP($B44,MMWR_TRAD_AGG_RO_COMP[],L$1,0),"ERROR")</f>
        <v>2642</v>
      </c>
      <c r="M44" s="223">
        <f t="shared" si="2"/>
        <v>0.72943125345113202</v>
      </c>
      <c r="N44" s="225">
        <f>IFERROR(VLOOKUP($B44,MMWR_TRAD_AGG_RO_COMP[],N$1,0),"ERROR")</f>
        <v>1687</v>
      </c>
      <c r="O44" s="226">
        <f>IFERROR(VLOOKUP($B44,MMWR_TRAD_AGG_RO_COMP[],O$1,0),"ERROR")</f>
        <v>1117</v>
      </c>
      <c r="P44" s="223">
        <f t="shared" si="3"/>
        <v>0.66212211025489032</v>
      </c>
      <c r="Q44" s="227">
        <f>IFERROR(VLOOKUP($B44,MMWR_TRAD_AGG_RO_COMP[],Q$1,0),"ERROR")</f>
        <v>1</v>
      </c>
      <c r="R44" s="227">
        <f>IFERROR(VLOOKUP($B44,MMWR_TRAD_AGG_RO_COMP[],R$1,0),"ERROR")</f>
        <v>98</v>
      </c>
      <c r="S44" s="201">
        <f>IFERROR(VLOOKUP($B44,MMWR_APP_RO[],S$1,0),"ERROR")</f>
        <v>5288</v>
      </c>
      <c r="T44" s="28"/>
    </row>
    <row r="45" spans="1:20" x14ac:dyDescent="0.2">
      <c r="A45" s="28"/>
      <c r="B45" s="108" t="s">
        <v>27</v>
      </c>
      <c r="C45" s="219">
        <f>IFERROR(VLOOKUP($B45,MMWR_TRAD_AGG_RO_COMP[],C$1,0),"ERROR")</f>
        <v>1000</v>
      </c>
      <c r="D45" s="220">
        <f>IFERROR(VLOOKUP($B45,MMWR_TRAD_AGG_RO_COMP[],D$1,0),"ERROR")</f>
        <v>84.179000000000002</v>
      </c>
      <c r="E45" s="221">
        <f>IFERROR(VLOOKUP($B45,MMWR_TRAD_AGG_RO_COMP[],E$1,0),"ERROR")</f>
        <v>6061</v>
      </c>
      <c r="F45" s="222">
        <f>IFERROR(VLOOKUP($B45,MMWR_TRAD_AGG_RO_COMP[],F$1,0),"ERROR")</f>
        <v>552</v>
      </c>
      <c r="G45" s="223">
        <f t="shared" si="0"/>
        <v>9.1074080184787992E-2</v>
      </c>
      <c r="H45" s="224">
        <f>IFERROR(VLOOKUP($B45,MMWR_TRAD_AGG_RO_COMP[],H$1,0),"ERROR")</f>
        <v>5598</v>
      </c>
      <c r="I45" s="222">
        <f>IFERROR(VLOOKUP($B45,MMWR_TRAD_AGG_RO_COMP[],I$1,0),"ERROR")</f>
        <v>733</v>
      </c>
      <c r="J45" s="223">
        <f t="shared" si="1"/>
        <v>0.13093962129331904</v>
      </c>
      <c r="K45" s="225">
        <f>IFERROR(VLOOKUP($B45,MMWR_TRAD_AGG_RO_COMP[],K$1,0),"ERROR")</f>
        <v>933</v>
      </c>
      <c r="L45" s="226">
        <f>IFERROR(VLOOKUP($B45,MMWR_TRAD_AGG_RO_COMP[],L$1,0),"ERROR")</f>
        <v>422</v>
      </c>
      <c r="M45" s="223">
        <f t="shared" si="2"/>
        <v>0.45230439442658094</v>
      </c>
      <c r="N45" s="225">
        <f>IFERROR(VLOOKUP($B45,MMWR_TRAD_AGG_RO_COMP[],N$1,0),"ERROR")</f>
        <v>1559</v>
      </c>
      <c r="O45" s="226">
        <f>IFERROR(VLOOKUP($B45,MMWR_TRAD_AGG_RO_COMP[],O$1,0),"ERROR")</f>
        <v>1021</v>
      </c>
      <c r="P45" s="223">
        <f t="shared" si="3"/>
        <v>0.65490699166132138</v>
      </c>
      <c r="Q45" s="227">
        <f>IFERROR(VLOOKUP($B45,MMWR_TRAD_AGG_RO_COMP[],Q$1,0),"ERROR")</f>
        <v>1</v>
      </c>
      <c r="R45" s="227">
        <f>IFERROR(VLOOKUP($B45,MMWR_TRAD_AGG_RO_COMP[],R$1,0),"ERROR")</f>
        <v>15</v>
      </c>
      <c r="S45" s="201">
        <f>IFERROR(VLOOKUP($B45,MMWR_APP_RO[],S$1,0),"ERROR")</f>
        <v>3853</v>
      </c>
      <c r="T45" s="28"/>
    </row>
    <row r="46" spans="1:20" x14ac:dyDescent="0.2">
      <c r="A46" s="28"/>
      <c r="B46" s="108" t="s">
        <v>59</v>
      </c>
      <c r="C46" s="219">
        <f>IFERROR(VLOOKUP($B46,MMWR_TRAD_AGG_RO_COMP[],C$1,0),"ERROR")</f>
        <v>3499</v>
      </c>
      <c r="D46" s="220">
        <f>IFERROR(VLOOKUP($B46,MMWR_TRAD_AGG_RO_COMP[],D$1,0),"ERROR")</f>
        <v>434.74507002000001</v>
      </c>
      <c r="E46" s="221">
        <f>IFERROR(VLOOKUP($B46,MMWR_TRAD_AGG_RO_COMP[],E$1,0),"ERROR")</f>
        <v>4912</v>
      </c>
      <c r="F46" s="222">
        <f>IFERROR(VLOOKUP($B46,MMWR_TRAD_AGG_RO_COMP[],F$1,0),"ERROR")</f>
        <v>999</v>
      </c>
      <c r="G46" s="223">
        <f t="shared" si="0"/>
        <v>0.20337947882736157</v>
      </c>
      <c r="H46" s="224">
        <f>IFERROR(VLOOKUP($B46,MMWR_TRAD_AGG_RO_COMP[],H$1,0),"ERROR")</f>
        <v>6556</v>
      </c>
      <c r="I46" s="222">
        <f>IFERROR(VLOOKUP($B46,MMWR_TRAD_AGG_RO_COMP[],I$1,0),"ERROR")</f>
        <v>3166</v>
      </c>
      <c r="J46" s="223">
        <f t="shared" si="1"/>
        <v>0.48291641244661376</v>
      </c>
      <c r="K46" s="225">
        <f>IFERROR(VLOOKUP($B46,MMWR_TRAD_AGG_RO_COMP[],K$1,0),"ERROR")</f>
        <v>1239</v>
      </c>
      <c r="L46" s="226">
        <f>IFERROR(VLOOKUP($B46,MMWR_TRAD_AGG_RO_COMP[],L$1,0),"ERROR")</f>
        <v>867</v>
      </c>
      <c r="M46" s="223">
        <f t="shared" si="2"/>
        <v>0.69975786924939465</v>
      </c>
      <c r="N46" s="225">
        <f>IFERROR(VLOOKUP($B46,MMWR_TRAD_AGG_RO_COMP[],N$1,0),"ERROR")</f>
        <v>1930</v>
      </c>
      <c r="O46" s="226">
        <f>IFERROR(VLOOKUP($B46,MMWR_TRAD_AGG_RO_COMP[],O$1,0),"ERROR")</f>
        <v>1344</v>
      </c>
      <c r="P46" s="223">
        <f t="shared" si="3"/>
        <v>0.69637305699481866</v>
      </c>
      <c r="Q46" s="227">
        <f>IFERROR(VLOOKUP($B46,MMWR_TRAD_AGG_RO_COMP[],Q$1,0),"ERROR")</f>
        <v>2</v>
      </c>
      <c r="R46" s="227">
        <f>IFERROR(VLOOKUP($B46,MMWR_TRAD_AGG_RO_COMP[],R$1,0),"ERROR")</f>
        <v>274</v>
      </c>
      <c r="S46" s="201">
        <f>IFERROR(VLOOKUP($B46,MMWR_APP_RO[],S$1,0),"ERROR")</f>
        <v>5853</v>
      </c>
      <c r="T46" s="28"/>
    </row>
    <row r="47" spans="1:20" x14ac:dyDescent="0.2">
      <c r="A47" s="28"/>
      <c r="B47" s="108" t="s">
        <v>70</v>
      </c>
      <c r="C47" s="219">
        <f>IFERROR(VLOOKUP($B47,MMWR_TRAD_AGG_RO_COMP[],C$1,0),"ERROR")</f>
        <v>2943</v>
      </c>
      <c r="D47" s="220">
        <f>IFERROR(VLOOKUP($B47,MMWR_TRAD_AGG_RO_COMP[],D$1,0),"ERROR")</f>
        <v>239.1114509004</v>
      </c>
      <c r="E47" s="221">
        <f>IFERROR(VLOOKUP($B47,MMWR_TRAD_AGG_RO_COMP[],E$1,0),"ERROR")</f>
        <v>3293</v>
      </c>
      <c r="F47" s="222">
        <f>IFERROR(VLOOKUP($B47,MMWR_TRAD_AGG_RO_COMP[],F$1,0),"ERROR")</f>
        <v>443</v>
      </c>
      <c r="G47" s="223">
        <f t="shared" si="0"/>
        <v>0.13452778621317948</v>
      </c>
      <c r="H47" s="224">
        <f>IFERROR(VLOOKUP($B47,MMWR_TRAD_AGG_RO_COMP[],H$1,0),"ERROR")</f>
        <v>6512</v>
      </c>
      <c r="I47" s="222">
        <f>IFERROR(VLOOKUP($B47,MMWR_TRAD_AGG_RO_COMP[],I$1,0),"ERROR")</f>
        <v>2428</v>
      </c>
      <c r="J47" s="223">
        <f t="shared" si="1"/>
        <v>0.37285012285012287</v>
      </c>
      <c r="K47" s="225">
        <f>IFERROR(VLOOKUP($B47,MMWR_TRAD_AGG_RO_COMP[],K$1,0),"ERROR")</f>
        <v>1448</v>
      </c>
      <c r="L47" s="226">
        <f>IFERROR(VLOOKUP($B47,MMWR_TRAD_AGG_RO_COMP[],L$1,0),"ERROR")</f>
        <v>743</v>
      </c>
      <c r="M47" s="223">
        <f t="shared" si="2"/>
        <v>0.51312154696132595</v>
      </c>
      <c r="N47" s="225">
        <f>IFERROR(VLOOKUP($B47,MMWR_TRAD_AGG_RO_COMP[],N$1,0),"ERROR")</f>
        <v>476</v>
      </c>
      <c r="O47" s="226">
        <f>IFERROR(VLOOKUP($B47,MMWR_TRAD_AGG_RO_COMP[],O$1,0),"ERROR")</f>
        <v>237</v>
      </c>
      <c r="P47" s="223">
        <f t="shared" si="3"/>
        <v>0.49789915966386555</v>
      </c>
      <c r="Q47" s="227">
        <f>IFERROR(VLOOKUP($B47,MMWR_TRAD_AGG_RO_COMP[],Q$1,0),"ERROR")</f>
        <v>0</v>
      </c>
      <c r="R47" s="227">
        <f>IFERROR(VLOOKUP($B47,MMWR_TRAD_AGG_RO_COMP[],R$1,0),"ERROR")</f>
        <v>2</v>
      </c>
      <c r="S47" s="201">
        <f>IFERROR(VLOOKUP($B47,MMWR_APP_RO[],S$1,0),"ERROR")</f>
        <v>1022</v>
      </c>
      <c r="T47" s="28"/>
    </row>
    <row r="48" spans="1:20" x14ac:dyDescent="0.2">
      <c r="A48" s="28"/>
      <c r="B48" s="116" t="s">
        <v>79</v>
      </c>
      <c r="C48" s="228">
        <f>IFERROR(VLOOKUP($B48,MMWR_TRAD_AGG_RO_COMP[],C$1,0),"ERROR")</f>
        <v>9830</v>
      </c>
      <c r="D48" s="229">
        <f>IFERROR(VLOOKUP($B48,MMWR_TRAD_AGG_RO_COMP[],D$1,0),"ERROR")</f>
        <v>294.678636826</v>
      </c>
      <c r="E48" s="230">
        <f>IFERROR(VLOOKUP($B48,MMWR_TRAD_AGG_RO_COMP[],E$1,0),"ERROR")</f>
        <v>17075</v>
      </c>
      <c r="F48" s="231">
        <f>IFERROR(VLOOKUP($B48,MMWR_TRAD_AGG_RO_COMP[],F$1,0),"ERROR")</f>
        <v>2974</v>
      </c>
      <c r="G48" s="232">
        <f t="shared" si="0"/>
        <v>0.17417276720351391</v>
      </c>
      <c r="H48" s="233">
        <f>IFERROR(VLOOKUP($B48,MMWR_TRAD_AGG_RO_COMP[],H$1,0),"ERROR")</f>
        <v>16600</v>
      </c>
      <c r="I48" s="231">
        <f>IFERROR(VLOOKUP($B48,MMWR_TRAD_AGG_RO_COMP[],I$1,0),"ERROR")</f>
        <v>6914</v>
      </c>
      <c r="J48" s="232">
        <f t="shared" si="1"/>
        <v>0.41650602409638554</v>
      </c>
      <c r="K48" s="234">
        <f>IFERROR(VLOOKUP($B48,MMWR_TRAD_AGG_RO_COMP[],K$1,0),"ERROR")</f>
        <v>3567</v>
      </c>
      <c r="L48" s="235">
        <f>IFERROR(VLOOKUP($B48,MMWR_TRAD_AGG_RO_COMP[],L$1,0),"ERROR")</f>
        <v>2337</v>
      </c>
      <c r="M48" s="232">
        <f t="shared" si="2"/>
        <v>0.65517241379310343</v>
      </c>
      <c r="N48" s="234">
        <f>IFERROR(VLOOKUP($B48,MMWR_TRAD_AGG_RO_COMP[],N$1,0),"ERROR")</f>
        <v>8654</v>
      </c>
      <c r="O48" s="235">
        <f>IFERROR(VLOOKUP($B48,MMWR_TRAD_AGG_RO_COMP[],O$1,0),"ERROR")</f>
        <v>4183</v>
      </c>
      <c r="P48" s="232">
        <f t="shared" si="3"/>
        <v>0.48336029581696327</v>
      </c>
      <c r="Q48" s="236">
        <f>IFERROR(VLOOKUP($B48,MMWR_TRAD_AGG_RO_COMP[],Q$1,0),"ERROR")</f>
        <v>3</v>
      </c>
      <c r="R48" s="236">
        <f>IFERROR(VLOOKUP($B48,MMWR_TRAD_AGG_RO_COMP[],R$1,0),"ERROR")</f>
        <v>219</v>
      </c>
      <c r="S48" s="201">
        <f>IFERROR(VLOOKUP($B48,MMWR_APP_RO[],S$1,0),"ERROR")</f>
        <v>20187</v>
      </c>
      <c r="T48" s="28"/>
    </row>
    <row r="49" spans="1:20" x14ac:dyDescent="0.2">
      <c r="A49" s="28"/>
      <c r="B49" s="101" t="s">
        <v>403</v>
      </c>
      <c r="C49" s="212">
        <f>IFERROR(VLOOKUP($B49,MMWR_TRAD_AGG_DISTRICT_COMP[],C$1,0),"ERROR")</f>
        <v>42123</v>
      </c>
      <c r="D49" s="197">
        <f>IFERROR(VLOOKUP($B49,MMWR_TRAD_AGG_DISTRICT_COMP[],D$1,0),"ERROR")</f>
        <v>388.24580395509997</v>
      </c>
      <c r="E49" s="213">
        <f>IFERROR(VLOOKUP($B49,MMWR_TRAD_AGG_DISTRICT_COMP[],E$1,0),"ERROR")</f>
        <v>64913</v>
      </c>
      <c r="F49" s="218">
        <f>IFERROR(VLOOKUP($B49,MMWR_TRAD_AGG_DISTRICT_COMP[],F$1,0),"ERROR")</f>
        <v>12982</v>
      </c>
      <c r="G49" s="214">
        <f t="shared" si="0"/>
        <v>0.19999075685918075</v>
      </c>
      <c r="H49" s="218">
        <f>IFERROR(VLOOKUP($B49,MMWR_TRAD_AGG_DISTRICT_COMP[],H$1,0),"ERROR")</f>
        <v>85780</v>
      </c>
      <c r="I49" s="218">
        <f>IFERROR(VLOOKUP($B49,MMWR_TRAD_AGG_DISTRICT_COMP[],I$1,0),"ERROR")</f>
        <v>43170</v>
      </c>
      <c r="J49" s="214">
        <f t="shared" si="1"/>
        <v>0.50326416414082542</v>
      </c>
      <c r="K49" s="212">
        <f>IFERROR(VLOOKUP($B49,MMWR_TRAD_AGG_DISTRICT_COMP[],K$1,0),"ERROR")</f>
        <v>24704</v>
      </c>
      <c r="L49" s="212">
        <f>IFERROR(VLOOKUP($B49,MMWR_TRAD_AGG_DISTRICT_COMP[],L$1,0),"ERROR")</f>
        <v>18435</v>
      </c>
      <c r="M49" s="214">
        <f t="shared" si="2"/>
        <v>0.74623542746113991</v>
      </c>
      <c r="N49" s="212">
        <f>IFERROR(VLOOKUP($B49,MMWR_TRAD_AGG_DISTRICT_COMP[],N$1,0),"ERROR")</f>
        <v>18968</v>
      </c>
      <c r="O49" s="212">
        <f>IFERROR(VLOOKUP($B49,MMWR_TRAD_AGG_DISTRICT_COMP[],O$1,0),"ERROR")</f>
        <v>14666</v>
      </c>
      <c r="P49" s="214">
        <f t="shared" si="3"/>
        <v>0.77319696330662169</v>
      </c>
      <c r="Q49" s="212">
        <f>IFERROR(VLOOKUP($B49,MMWR_TRAD_AGG_DISTRICT_COMP[],Q$1,0),"ERROR")</f>
        <v>467</v>
      </c>
      <c r="R49" s="215">
        <f>IFERROR(VLOOKUP($B49,MMWR_TRAD_AGG_DISTRICT_COMP[],R$1,0),"ERROR")</f>
        <v>768</v>
      </c>
      <c r="S49" s="215">
        <f>IFERROR(VLOOKUP($B49,MMWR_APP_RO[],S$1,0),"ERROR")</f>
        <v>40373</v>
      </c>
      <c r="T49" s="28"/>
    </row>
    <row r="50" spans="1:20" x14ac:dyDescent="0.2">
      <c r="A50" s="28"/>
      <c r="B50" s="108" t="s">
        <v>31</v>
      </c>
      <c r="C50" s="219">
        <f>IFERROR(VLOOKUP($B50,MMWR_TRAD_AGG_RO_COMP[],C$1,0),"ERROR")</f>
        <v>596</v>
      </c>
      <c r="D50" s="220">
        <f>IFERROR(VLOOKUP($B50,MMWR_TRAD_AGG_RO_COMP[],D$1,0),"ERROR")</f>
        <v>167.02181208050001</v>
      </c>
      <c r="E50" s="221">
        <f>IFERROR(VLOOKUP($B50,MMWR_TRAD_AGG_RO_COMP[],E$1,0),"ERROR")</f>
        <v>2865</v>
      </c>
      <c r="F50" s="222">
        <f>IFERROR(VLOOKUP($B50,MMWR_TRAD_AGG_RO_COMP[],F$1,0),"ERROR")</f>
        <v>626</v>
      </c>
      <c r="G50" s="223">
        <f t="shared" si="0"/>
        <v>0.21849912739965097</v>
      </c>
      <c r="H50" s="224">
        <f>IFERROR(VLOOKUP($B50,MMWR_TRAD_AGG_RO_COMP[],H$1,0),"ERROR")</f>
        <v>1675</v>
      </c>
      <c r="I50" s="222">
        <f>IFERROR(VLOOKUP($B50,MMWR_TRAD_AGG_RO_COMP[],I$1,0),"ERROR")</f>
        <v>361</v>
      </c>
      <c r="J50" s="223">
        <f t="shared" si="1"/>
        <v>0.2155223880597015</v>
      </c>
      <c r="K50" s="225">
        <f>IFERROR(VLOOKUP($B50,MMWR_TRAD_AGG_RO_COMP[],K$1,0),"ERROR")</f>
        <v>302</v>
      </c>
      <c r="L50" s="226">
        <f>IFERROR(VLOOKUP($B50,MMWR_TRAD_AGG_RO_COMP[],L$1,0),"ERROR")</f>
        <v>137</v>
      </c>
      <c r="M50" s="223">
        <f t="shared" si="2"/>
        <v>0.45364238410596025</v>
      </c>
      <c r="N50" s="225">
        <f>IFERROR(VLOOKUP($B50,MMWR_TRAD_AGG_RO_COMP[],N$1,0),"ERROR")</f>
        <v>408</v>
      </c>
      <c r="O50" s="226">
        <f>IFERROR(VLOOKUP($B50,MMWR_TRAD_AGG_RO_COMP[],O$1,0),"ERROR")</f>
        <v>260</v>
      </c>
      <c r="P50" s="223">
        <f t="shared" si="3"/>
        <v>0.63725490196078427</v>
      </c>
      <c r="Q50" s="227">
        <f>IFERROR(VLOOKUP($B50,MMWR_TRAD_AGG_RO_COMP[],Q$1,0),"ERROR")</f>
        <v>0</v>
      </c>
      <c r="R50" s="227">
        <f>IFERROR(VLOOKUP($B50,MMWR_TRAD_AGG_RO_COMP[],R$1,0),"ERROR")</f>
        <v>9</v>
      </c>
      <c r="S50" s="201">
        <f>IFERROR(VLOOKUP($B50,MMWR_APP_RO[],S$1,0),"ERROR")</f>
        <v>1459</v>
      </c>
      <c r="T50" s="28"/>
    </row>
    <row r="51" spans="1:20" x14ac:dyDescent="0.2">
      <c r="A51" s="28"/>
      <c r="B51" s="108" t="s">
        <v>32</v>
      </c>
      <c r="C51" s="219">
        <f>IFERROR(VLOOKUP($B51,MMWR_TRAD_AGG_RO_COMP[],C$1,0),"ERROR")</f>
        <v>2041</v>
      </c>
      <c r="D51" s="220">
        <f>IFERROR(VLOOKUP($B51,MMWR_TRAD_AGG_RO_COMP[],D$1,0),"ERROR")</f>
        <v>512.17785399310003</v>
      </c>
      <c r="E51" s="221">
        <f>IFERROR(VLOOKUP($B51,MMWR_TRAD_AGG_RO_COMP[],E$1,0),"ERROR")</f>
        <v>1037</v>
      </c>
      <c r="F51" s="222">
        <f>IFERROR(VLOOKUP($B51,MMWR_TRAD_AGG_RO_COMP[],F$1,0),"ERROR")</f>
        <v>277</v>
      </c>
      <c r="G51" s="223">
        <f t="shared" si="0"/>
        <v>0.26711668273866923</v>
      </c>
      <c r="H51" s="224">
        <f>IFERROR(VLOOKUP($B51,MMWR_TRAD_AGG_RO_COMP[],H$1,0),"ERROR")</f>
        <v>3183</v>
      </c>
      <c r="I51" s="222">
        <f>IFERROR(VLOOKUP($B51,MMWR_TRAD_AGG_RO_COMP[],I$1,0),"ERROR")</f>
        <v>2199</v>
      </c>
      <c r="J51" s="223">
        <f t="shared" si="1"/>
        <v>0.69085768143261073</v>
      </c>
      <c r="K51" s="225">
        <f>IFERROR(VLOOKUP($B51,MMWR_TRAD_AGG_RO_COMP[],K$1,0),"ERROR")</f>
        <v>1592</v>
      </c>
      <c r="L51" s="226">
        <f>IFERROR(VLOOKUP($B51,MMWR_TRAD_AGG_RO_COMP[],L$1,0),"ERROR")</f>
        <v>1280</v>
      </c>
      <c r="M51" s="223">
        <f t="shared" si="2"/>
        <v>0.8040201005025126</v>
      </c>
      <c r="N51" s="225">
        <f>IFERROR(VLOOKUP($B51,MMWR_TRAD_AGG_RO_COMP[],N$1,0),"ERROR")</f>
        <v>178</v>
      </c>
      <c r="O51" s="226">
        <f>IFERROR(VLOOKUP($B51,MMWR_TRAD_AGG_RO_COMP[],O$1,0),"ERROR")</f>
        <v>139</v>
      </c>
      <c r="P51" s="223">
        <f t="shared" si="3"/>
        <v>0.7808988764044944</v>
      </c>
      <c r="Q51" s="227">
        <f>IFERROR(VLOOKUP($B51,MMWR_TRAD_AGG_RO_COMP[],Q$1,0),"ERROR")</f>
        <v>0</v>
      </c>
      <c r="R51" s="227">
        <f>IFERROR(VLOOKUP($B51,MMWR_TRAD_AGG_RO_COMP[],R$1,0),"ERROR")</f>
        <v>3</v>
      </c>
      <c r="S51" s="201">
        <f>IFERROR(VLOOKUP($B51,MMWR_APP_RO[],S$1,0),"ERROR")</f>
        <v>180</v>
      </c>
      <c r="T51" s="28"/>
    </row>
    <row r="52" spans="1:20" x14ac:dyDescent="0.2">
      <c r="A52" s="28"/>
      <c r="B52" s="108" t="s">
        <v>34</v>
      </c>
      <c r="C52" s="219">
        <f>IFERROR(VLOOKUP($B52,MMWR_TRAD_AGG_RO_COMP[],C$1,0),"ERROR")</f>
        <v>342</v>
      </c>
      <c r="D52" s="220">
        <f>IFERROR(VLOOKUP($B52,MMWR_TRAD_AGG_RO_COMP[],D$1,0),"ERROR")</f>
        <v>75.909356725099997</v>
      </c>
      <c r="E52" s="221">
        <f>IFERROR(VLOOKUP($B52,MMWR_TRAD_AGG_RO_COMP[],E$1,0),"ERROR")</f>
        <v>1697</v>
      </c>
      <c r="F52" s="222">
        <f>IFERROR(VLOOKUP($B52,MMWR_TRAD_AGG_RO_COMP[],F$1,0),"ERROR")</f>
        <v>446</v>
      </c>
      <c r="G52" s="223">
        <f t="shared" si="0"/>
        <v>0.26281673541543898</v>
      </c>
      <c r="H52" s="224">
        <f>IFERROR(VLOOKUP($B52,MMWR_TRAD_AGG_RO_COMP[],H$1,0),"ERROR")</f>
        <v>1194</v>
      </c>
      <c r="I52" s="222">
        <f>IFERROR(VLOOKUP($B52,MMWR_TRAD_AGG_RO_COMP[],I$1,0),"ERROR")</f>
        <v>111</v>
      </c>
      <c r="J52" s="223">
        <f t="shared" si="1"/>
        <v>9.2964824120603015E-2</v>
      </c>
      <c r="K52" s="225">
        <f>IFERROR(VLOOKUP($B52,MMWR_TRAD_AGG_RO_COMP[],K$1,0),"ERROR")</f>
        <v>171</v>
      </c>
      <c r="L52" s="226">
        <f>IFERROR(VLOOKUP($B52,MMWR_TRAD_AGG_RO_COMP[],L$1,0),"ERROR")</f>
        <v>33</v>
      </c>
      <c r="M52" s="223">
        <f t="shared" si="2"/>
        <v>0.19298245614035087</v>
      </c>
      <c r="N52" s="225">
        <f>IFERROR(VLOOKUP($B52,MMWR_TRAD_AGG_RO_COMP[],N$1,0),"ERROR")</f>
        <v>131</v>
      </c>
      <c r="O52" s="226">
        <f>IFERROR(VLOOKUP($B52,MMWR_TRAD_AGG_RO_COMP[],O$1,0),"ERROR")</f>
        <v>78</v>
      </c>
      <c r="P52" s="223">
        <f t="shared" si="3"/>
        <v>0.59541984732824427</v>
      </c>
      <c r="Q52" s="227">
        <f>IFERROR(VLOOKUP($B52,MMWR_TRAD_AGG_RO_COMP[],Q$1,0),"ERROR")</f>
        <v>0</v>
      </c>
      <c r="R52" s="227">
        <f>IFERROR(VLOOKUP($B52,MMWR_TRAD_AGG_RO_COMP[],R$1,0),"ERROR")</f>
        <v>4</v>
      </c>
      <c r="S52" s="201">
        <f>IFERROR(VLOOKUP($B52,MMWR_APP_RO[],S$1,0),"ERROR")</f>
        <v>781</v>
      </c>
      <c r="T52" s="28"/>
    </row>
    <row r="53" spans="1:20" x14ac:dyDescent="0.2">
      <c r="A53" s="28"/>
      <c r="B53" s="108" t="s">
        <v>45</v>
      </c>
      <c r="C53" s="219">
        <f>IFERROR(VLOOKUP($B53,MMWR_TRAD_AGG_RO_COMP[],C$1,0),"ERROR")</f>
        <v>1083</v>
      </c>
      <c r="D53" s="220">
        <f>IFERROR(VLOOKUP($B53,MMWR_TRAD_AGG_RO_COMP[],D$1,0),"ERROR")</f>
        <v>210.30193905819999</v>
      </c>
      <c r="E53" s="221">
        <f>IFERROR(VLOOKUP($B53,MMWR_TRAD_AGG_RO_COMP[],E$1,0),"ERROR")</f>
        <v>2533</v>
      </c>
      <c r="F53" s="222">
        <f>IFERROR(VLOOKUP($B53,MMWR_TRAD_AGG_RO_COMP[],F$1,0),"ERROR")</f>
        <v>400</v>
      </c>
      <c r="G53" s="223">
        <f t="shared" si="0"/>
        <v>0.15791551519936833</v>
      </c>
      <c r="H53" s="224">
        <f>IFERROR(VLOOKUP($B53,MMWR_TRAD_AGG_RO_COMP[],H$1,0),"ERROR")</f>
        <v>2204</v>
      </c>
      <c r="I53" s="222">
        <f>IFERROR(VLOOKUP($B53,MMWR_TRAD_AGG_RO_COMP[],I$1,0),"ERROR")</f>
        <v>646</v>
      </c>
      <c r="J53" s="223">
        <f t="shared" si="1"/>
        <v>0.29310344827586204</v>
      </c>
      <c r="K53" s="225">
        <f>IFERROR(VLOOKUP($B53,MMWR_TRAD_AGG_RO_COMP[],K$1,0),"ERROR")</f>
        <v>943</v>
      </c>
      <c r="L53" s="226">
        <f>IFERROR(VLOOKUP($B53,MMWR_TRAD_AGG_RO_COMP[],L$1,0),"ERROR")</f>
        <v>505</v>
      </c>
      <c r="M53" s="223">
        <f t="shared" si="2"/>
        <v>0.53552492046659594</v>
      </c>
      <c r="N53" s="225">
        <f>IFERROR(VLOOKUP($B53,MMWR_TRAD_AGG_RO_COMP[],N$1,0),"ERROR")</f>
        <v>206</v>
      </c>
      <c r="O53" s="226">
        <f>IFERROR(VLOOKUP($B53,MMWR_TRAD_AGG_RO_COMP[],O$1,0),"ERROR")</f>
        <v>101</v>
      </c>
      <c r="P53" s="223">
        <f t="shared" si="3"/>
        <v>0.49029126213592233</v>
      </c>
      <c r="Q53" s="227">
        <f>IFERROR(VLOOKUP($B53,MMWR_TRAD_AGG_RO_COMP[],Q$1,0),"ERROR")</f>
        <v>1</v>
      </c>
      <c r="R53" s="227">
        <f>IFERROR(VLOOKUP($B53,MMWR_TRAD_AGG_RO_COMP[],R$1,0),"ERROR")</f>
        <v>0</v>
      </c>
      <c r="S53" s="201">
        <f>IFERROR(VLOOKUP($B53,MMWR_APP_RO[],S$1,0),"ERROR")</f>
        <v>1307</v>
      </c>
      <c r="T53" s="28"/>
    </row>
    <row r="54" spans="1:20" x14ac:dyDescent="0.2">
      <c r="A54" s="28"/>
      <c r="B54" s="108" t="s">
        <v>52</v>
      </c>
      <c r="C54" s="219">
        <f>IFERROR(VLOOKUP($B54,MMWR_TRAD_AGG_RO_COMP[],C$1,0),"ERROR")</f>
        <v>5958</v>
      </c>
      <c r="D54" s="220">
        <f>IFERROR(VLOOKUP($B54,MMWR_TRAD_AGG_RO_COMP[],D$1,0),"ERROR")</f>
        <v>439.90651225239998</v>
      </c>
      <c r="E54" s="221">
        <f>IFERROR(VLOOKUP($B54,MMWR_TRAD_AGG_RO_COMP[],E$1,0),"ERROR")</f>
        <v>10920</v>
      </c>
      <c r="F54" s="222">
        <f>IFERROR(VLOOKUP($B54,MMWR_TRAD_AGG_RO_COMP[],F$1,0),"ERROR")</f>
        <v>2099</v>
      </c>
      <c r="G54" s="223">
        <f t="shared" si="0"/>
        <v>0.19221611721611723</v>
      </c>
      <c r="H54" s="224">
        <f>IFERROR(VLOOKUP($B54,MMWR_TRAD_AGG_RO_COMP[],H$1,0),"ERROR")</f>
        <v>10497</v>
      </c>
      <c r="I54" s="222">
        <f>IFERROR(VLOOKUP($B54,MMWR_TRAD_AGG_RO_COMP[],I$1,0),"ERROR")</f>
        <v>5372</v>
      </c>
      <c r="J54" s="223">
        <f t="shared" si="1"/>
        <v>0.51176526626655239</v>
      </c>
      <c r="K54" s="225">
        <f>IFERROR(VLOOKUP($B54,MMWR_TRAD_AGG_RO_COMP[],K$1,0),"ERROR")</f>
        <v>1033</v>
      </c>
      <c r="L54" s="226">
        <f>IFERROR(VLOOKUP($B54,MMWR_TRAD_AGG_RO_COMP[],L$1,0),"ERROR")</f>
        <v>869</v>
      </c>
      <c r="M54" s="223">
        <f t="shared" si="2"/>
        <v>0.84123910939012581</v>
      </c>
      <c r="N54" s="225">
        <f>IFERROR(VLOOKUP($B54,MMWR_TRAD_AGG_RO_COMP[],N$1,0),"ERROR")</f>
        <v>3980</v>
      </c>
      <c r="O54" s="226">
        <f>IFERROR(VLOOKUP($B54,MMWR_TRAD_AGG_RO_COMP[],O$1,0),"ERROR")</f>
        <v>3280</v>
      </c>
      <c r="P54" s="223">
        <f t="shared" si="3"/>
        <v>0.82412060301507539</v>
      </c>
      <c r="Q54" s="227">
        <f>IFERROR(VLOOKUP($B54,MMWR_TRAD_AGG_RO_COMP[],Q$1,0),"ERROR")</f>
        <v>4</v>
      </c>
      <c r="R54" s="227">
        <f>IFERROR(VLOOKUP($B54,MMWR_TRAD_AGG_RO_COMP[],R$1,0),"ERROR")</f>
        <v>36</v>
      </c>
      <c r="S54" s="201">
        <f>IFERROR(VLOOKUP($B54,MMWR_APP_RO[],S$1,0),"ERROR")</f>
        <v>4923</v>
      </c>
      <c r="T54" s="28"/>
    </row>
    <row r="55" spans="1:20" x14ac:dyDescent="0.2">
      <c r="A55" s="28"/>
      <c r="B55" s="108" t="s">
        <v>55</v>
      </c>
      <c r="C55" s="219">
        <f>IFERROR(VLOOKUP($B55,MMWR_TRAD_AGG_RO_COMP[],C$1,0),"ERROR")</f>
        <v>476</v>
      </c>
      <c r="D55" s="220">
        <f>IFERROR(VLOOKUP($B55,MMWR_TRAD_AGG_RO_COMP[],D$1,0),"ERROR")</f>
        <v>194.1617647059</v>
      </c>
      <c r="E55" s="221">
        <f>IFERROR(VLOOKUP($B55,MMWR_TRAD_AGG_RO_COMP[],E$1,0),"ERROR")</f>
        <v>857</v>
      </c>
      <c r="F55" s="222">
        <f>IFERROR(VLOOKUP($B55,MMWR_TRAD_AGG_RO_COMP[],F$1,0),"ERROR")</f>
        <v>250</v>
      </c>
      <c r="G55" s="223">
        <f t="shared" si="0"/>
        <v>0.29171528588098017</v>
      </c>
      <c r="H55" s="224">
        <f>IFERROR(VLOOKUP($B55,MMWR_TRAD_AGG_RO_COMP[],H$1,0),"ERROR")</f>
        <v>817</v>
      </c>
      <c r="I55" s="222">
        <f>IFERROR(VLOOKUP($B55,MMWR_TRAD_AGG_RO_COMP[],I$1,0),"ERROR")</f>
        <v>337</v>
      </c>
      <c r="J55" s="223">
        <f t="shared" si="1"/>
        <v>0.41248470012239902</v>
      </c>
      <c r="K55" s="225">
        <f>IFERROR(VLOOKUP($B55,MMWR_TRAD_AGG_RO_COMP[],K$1,0),"ERROR")</f>
        <v>380</v>
      </c>
      <c r="L55" s="226">
        <f>IFERROR(VLOOKUP($B55,MMWR_TRAD_AGG_RO_COMP[],L$1,0),"ERROR")</f>
        <v>316</v>
      </c>
      <c r="M55" s="223">
        <f t="shared" si="2"/>
        <v>0.83157894736842108</v>
      </c>
      <c r="N55" s="225">
        <f>IFERROR(VLOOKUP($B55,MMWR_TRAD_AGG_RO_COMP[],N$1,0),"ERROR")</f>
        <v>289</v>
      </c>
      <c r="O55" s="226">
        <f>IFERROR(VLOOKUP($B55,MMWR_TRAD_AGG_RO_COMP[],O$1,0),"ERROR")</f>
        <v>136</v>
      </c>
      <c r="P55" s="223">
        <f t="shared" si="3"/>
        <v>0.47058823529411764</v>
      </c>
      <c r="Q55" s="227">
        <f>IFERROR(VLOOKUP($B55,MMWR_TRAD_AGG_RO_COMP[],Q$1,0),"ERROR")</f>
        <v>457</v>
      </c>
      <c r="R55" s="227">
        <f>IFERROR(VLOOKUP($B55,MMWR_TRAD_AGG_RO_COMP[],R$1,0),"ERROR")</f>
        <v>133</v>
      </c>
      <c r="S55" s="201">
        <f>IFERROR(VLOOKUP($B55,MMWR_APP_RO[],S$1,0),"ERROR")</f>
        <v>813</v>
      </c>
      <c r="T55" s="28"/>
    </row>
    <row r="56" spans="1:20" x14ac:dyDescent="0.2">
      <c r="A56" s="28"/>
      <c r="B56" s="108" t="s">
        <v>62</v>
      </c>
      <c r="C56" s="219">
        <f>IFERROR(VLOOKUP($B56,MMWR_TRAD_AGG_RO_COMP[],C$1,0),"ERROR")</f>
        <v>6898</v>
      </c>
      <c r="D56" s="220">
        <f>IFERROR(VLOOKUP($B56,MMWR_TRAD_AGG_RO_COMP[],D$1,0),"ERROR")</f>
        <v>456.03203827200002</v>
      </c>
      <c r="E56" s="221">
        <f>IFERROR(VLOOKUP($B56,MMWR_TRAD_AGG_RO_COMP[],E$1,0),"ERROR")</f>
        <v>11328</v>
      </c>
      <c r="F56" s="222">
        <f>IFERROR(VLOOKUP($B56,MMWR_TRAD_AGG_RO_COMP[],F$1,0),"ERROR")</f>
        <v>2802</v>
      </c>
      <c r="G56" s="223">
        <f t="shared" si="0"/>
        <v>0.24735169491525424</v>
      </c>
      <c r="H56" s="224">
        <f>IFERROR(VLOOKUP($B56,MMWR_TRAD_AGG_RO_COMP[],H$1,0),"ERROR")</f>
        <v>12573</v>
      </c>
      <c r="I56" s="222">
        <f>IFERROR(VLOOKUP($B56,MMWR_TRAD_AGG_RO_COMP[],I$1,0),"ERROR")</f>
        <v>7854</v>
      </c>
      <c r="J56" s="223">
        <f t="shared" si="1"/>
        <v>0.62467191601049865</v>
      </c>
      <c r="K56" s="225">
        <f>IFERROR(VLOOKUP($B56,MMWR_TRAD_AGG_RO_COMP[],K$1,0),"ERROR")</f>
        <v>3770</v>
      </c>
      <c r="L56" s="226">
        <f>IFERROR(VLOOKUP($B56,MMWR_TRAD_AGG_RO_COMP[],L$1,0),"ERROR")</f>
        <v>3398</v>
      </c>
      <c r="M56" s="223">
        <f t="shared" si="2"/>
        <v>0.90132625994694959</v>
      </c>
      <c r="N56" s="225">
        <f>IFERROR(VLOOKUP($B56,MMWR_TRAD_AGG_RO_COMP[],N$1,0),"ERROR")</f>
        <v>2648</v>
      </c>
      <c r="O56" s="226">
        <f>IFERROR(VLOOKUP($B56,MMWR_TRAD_AGG_RO_COMP[],O$1,0),"ERROR")</f>
        <v>2113</v>
      </c>
      <c r="P56" s="223">
        <f t="shared" si="3"/>
        <v>0.79796072507552873</v>
      </c>
      <c r="Q56" s="227">
        <f>IFERROR(VLOOKUP($B56,MMWR_TRAD_AGG_RO_COMP[],Q$1,0),"ERROR")</f>
        <v>0</v>
      </c>
      <c r="R56" s="227">
        <f>IFERROR(VLOOKUP($B56,MMWR_TRAD_AGG_RO_COMP[],R$1,0),"ERROR")</f>
        <v>49</v>
      </c>
      <c r="S56" s="201">
        <f>IFERROR(VLOOKUP($B56,MMWR_APP_RO[],S$1,0),"ERROR")</f>
        <v>8247</v>
      </c>
      <c r="T56" s="28"/>
    </row>
    <row r="57" spans="1:20" x14ac:dyDescent="0.2">
      <c r="A57" s="28"/>
      <c r="B57" s="108" t="s">
        <v>64</v>
      </c>
      <c r="C57" s="219">
        <f>IFERROR(VLOOKUP($B57,MMWR_TRAD_AGG_RO_COMP[],C$1,0),"ERROR")</f>
        <v>2947</v>
      </c>
      <c r="D57" s="220">
        <f>IFERROR(VLOOKUP($B57,MMWR_TRAD_AGG_RO_COMP[],D$1,0),"ERROR")</f>
        <v>250.90397013910001</v>
      </c>
      <c r="E57" s="221">
        <f>IFERROR(VLOOKUP($B57,MMWR_TRAD_AGG_RO_COMP[],E$1,0),"ERROR")</f>
        <v>4909</v>
      </c>
      <c r="F57" s="222">
        <f>IFERROR(VLOOKUP($B57,MMWR_TRAD_AGG_RO_COMP[],F$1,0),"ERROR")</f>
        <v>662</v>
      </c>
      <c r="G57" s="223">
        <f t="shared" si="0"/>
        <v>0.13485434915461397</v>
      </c>
      <c r="H57" s="224">
        <f>IFERROR(VLOOKUP($B57,MMWR_TRAD_AGG_RO_COMP[],H$1,0),"ERROR")</f>
        <v>5903</v>
      </c>
      <c r="I57" s="222">
        <f>IFERROR(VLOOKUP($B57,MMWR_TRAD_AGG_RO_COMP[],I$1,0),"ERROR")</f>
        <v>1961</v>
      </c>
      <c r="J57" s="223">
        <f t="shared" si="1"/>
        <v>0.33220396408605796</v>
      </c>
      <c r="K57" s="225">
        <f>IFERROR(VLOOKUP($B57,MMWR_TRAD_AGG_RO_COMP[],K$1,0),"ERROR")</f>
        <v>1436</v>
      </c>
      <c r="L57" s="226">
        <f>IFERROR(VLOOKUP($B57,MMWR_TRAD_AGG_RO_COMP[],L$1,0),"ERROR")</f>
        <v>914</v>
      </c>
      <c r="M57" s="223">
        <f t="shared" si="2"/>
        <v>0.63649025069637888</v>
      </c>
      <c r="N57" s="225">
        <f>IFERROR(VLOOKUP($B57,MMWR_TRAD_AGG_RO_COMP[],N$1,0),"ERROR")</f>
        <v>1240</v>
      </c>
      <c r="O57" s="226">
        <f>IFERROR(VLOOKUP($B57,MMWR_TRAD_AGG_RO_COMP[],O$1,0),"ERROR")</f>
        <v>761</v>
      </c>
      <c r="P57" s="223">
        <f t="shared" si="3"/>
        <v>0.61370967741935489</v>
      </c>
      <c r="Q57" s="227">
        <f>IFERROR(VLOOKUP($B57,MMWR_TRAD_AGG_RO_COMP[],Q$1,0),"ERROR")</f>
        <v>0</v>
      </c>
      <c r="R57" s="227">
        <f>IFERROR(VLOOKUP($B57,MMWR_TRAD_AGG_RO_COMP[],R$1,0),"ERROR")</f>
        <v>82</v>
      </c>
      <c r="S57" s="201">
        <f>IFERROR(VLOOKUP($B57,MMWR_APP_RO[],S$1,0),"ERROR")</f>
        <v>6718</v>
      </c>
      <c r="T57" s="28"/>
    </row>
    <row r="58" spans="1:20" x14ac:dyDescent="0.2">
      <c r="A58" s="28"/>
      <c r="B58" s="108" t="s">
        <v>66</v>
      </c>
      <c r="C58" s="219">
        <f>IFERROR(VLOOKUP($B58,MMWR_TRAD_AGG_RO_COMP[],C$1,0),"ERROR")</f>
        <v>5282</v>
      </c>
      <c r="D58" s="220">
        <f>IFERROR(VLOOKUP($B58,MMWR_TRAD_AGG_RO_COMP[],D$1,0),"ERROR")</f>
        <v>387.05774327910001</v>
      </c>
      <c r="E58" s="221">
        <f>IFERROR(VLOOKUP($B58,MMWR_TRAD_AGG_RO_COMP[],E$1,0),"ERROR")</f>
        <v>4705</v>
      </c>
      <c r="F58" s="222">
        <f>IFERROR(VLOOKUP($B58,MMWR_TRAD_AGG_RO_COMP[],F$1,0),"ERROR")</f>
        <v>965</v>
      </c>
      <c r="G58" s="223">
        <f t="shared" si="0"/>
        <v>0.20510095642933049</v>
      </c>
      <c r="H58" s="224">
        <f>IFERROR(VLOOKUP($B58,MMWR_TRAD_AGG_RO_COMP[],H$1,0),"ERROR")</f>
        <v>8178</v>
      </c>
      <c r="I58" s="222">
        <f>IFERROR(VLOOKUP($B58,MMWR_TRAD_AGG_RO_COMP[],I$1,0),"ERROR")</f>
        <v>4555</v>
      </c>
      <c r="J58" s="223">
        <f t="shared" si="1"/>
        <v>0.5569821472242602</v>
      </c>
      <c r="K58" s="225">
        <f>IFERROR(VLOOKUP($B58,MMWR_TRAD_AGG_RO_COMP[],K$1,0),"ERROR")</f>
        <v>3237</v>
      </c>
      <c r="L58" s="226">
        <f>IFERROR(VLOOKUP($B58,MMWR_TRAD_AGG_RO_COMP[],L$1,0),"ERROR")</f>
        <v>2838</v>
      </c>
      <c r="M58" s="223">
        <f t="shared" si="2"/>
        <v>0.87673772011121409</v>
      </c>
      <c r="N58" s="225">
        <f>IFERROR(VLOOKUP($B58,MMWR_TRAD_AGG_RO_COMP[],N$1,0),"ERROR")</f>
        <v>2219</v>
      </c>
      <c r="O58" s="226">
        <f>IFERROR(VLOOKUP($B58,MMWR_TRAD_AGG_RO_COMP[],O$1,0),"ERROR")</f>
        <v>1705</v>
      </c>
      <c r="P58" s="223">
        <f t="shared" si="3"/>
        <v>0.76836412798557907</v>
      </c>
      <c r="Q58" s="227">
        <f>IFERROR(VLOOKUP($B58,MMWR_TRAD_AGG_RO_COMP[],Q$1,0),"ERROR")</f>
        <v>0</v>
      </c>
      <c r="R58" s="227">
        <f>IFERROR(VLOOKUP($B58,MMWR_TRAD_AGG_RO_COMP[],R$1,0),"ERROR")</f>
        <v>106</v>
      </c>
      <c r="S58" s="201">
        <f>IFERROR(VLOOKUP($B58,MMWR_APP_RO[],S$1,0),"ERROR")</f>
        <v>4646</v>
      </c>
      <c r="T58" s="28"/>
    </row>
    <row r="59" spans="1:20" x14ac:dyDescent="0.2">
      <c r="A59" s="28"/>
      <c r="B59" s="108" t="s">
        <v>68</v>
      </c>
      <c r="C59" s="219">
        <f>IFERROR(VLOOKUP($B59,MMWR_TRAD_AGG_RO_COMP[],C$1,0),"ERROR")</f>
        <v>2349</v>
      </c>
      <c r="D59" s="220">
        <f>IFERROR(VLOOKUP($B59,MMWR_TRAD_AGG_RO_COMP[],D$1,0),"ERROR")</f>
        <v>453.4614729672</v>
      </c>
      <c r="E59" s="221">
        <f>IFERROR(VLOOKUP($B59,MMWR_TRAD_AGG_RO_COMP[],E$1,0),"ERROR")</f>
        <v>3690</v>
      </c>
      <c r="F59" s="222">
        <f>IFERROR(VLOOKUP($B59,MMWR_TRAD_AGG_RO_COMP[],F$1,0),"ERROR")</f>
        <v>952</v>
      </c>
      <c r="G59" s="223">
        <f t="shared" si="0"/>
        <v>0.25799457994579944</v>
      </c>
      <c r="H59" s="224">
        <f>IFERROR(VLOOKUP($B59,MMWR_TRAD_AGG_RO_COMP[],H$1,0),"ERROR")</f>
        <v>3682</v>
      </c>
      <c r="I59" s="222">
        <f>IFERROR(VLOOKUP($B59,MMWR_TRAD_AGG_RO_COMP[],I$1,0),"ERROR")</f>
        <v>2124</v>
      </c>
      <c r="J59" s="223">
        <f t="shared" si="1"/>
        <v>0.57686040195545896</v>
      </c>
      <c r="K59" s="225">
        <f>IFERROR(VLOOKUP($B59,MMWR_TRAD_AGG_RO_COMP[],K$1,0),"ERROR")</f>
        <v>617</v>
      </c>
      <c r="L59" s="226">
        <f>IFERROR(VLOOKUP($B59,MMWR_TRAD_AGG_RO_COMP[],L$1,0),"ERROR")</f>
        <v>473</v>
      </c>
      <c r="M59" s="223">
        <f t="shared" si="2"/>
        <v>0.76661264181523503</v>
      </c>
      <c r="N59" s="225">
        <f>IFERROR(VLOOKUP($B59,MMWR_TRAD_AGG_RO_COMP[],N$1,0),"ERROR")</f>
        <v>1132</v>
      </c>
      <c r="O59" s="226">
        <f>IFERROR(VLOOKUP($B59,MMWR_TRAD_AGG_RO_COMP[],O$1,0),"ERROR")</f>
        <v>939</v>
      </c>
      <c r="P59" s="223">
        <f t="shared" si="3"/>
        <v>0.8295053003533569</v>
      </c>
      <c r="Q59" s="227">
        <f>IFERROR(VLOOKUP($B59,MMWR_TRAD_AGG_RO_COMP[],Q$1,0),"ERROR")</f>
        <v>0</v>
      </c>
      <c r="R59" s="227">
        <f>IFERROR(VLOOKUP($B59,MMWR_TRAD_AGG_RO_COMP[],R$1,0),"ERROR")</f>
        <v>126</v>
      </c>
      <c r="S59" s="201">
        <f>IFERROR(VLOOKUP($B59,MMWR_APP_RO[],S$1,0),"ERROR")</f>
        <v>2956</v>
      </c>
      <c r="T59" s="28"/>
    </row>
    <row r="60" spans="1:20" x14ac:dyDescent="0.2">
      <c r="A60" s="28"/>
      <c r="B60" s="108" t="s">
        <v>71</v>
      </c>
      <c r="C60" s="219">
        <f>IFERROR(VLOOKUP($B60,MMWR_TRAD_AGG_RO_COMP[],C$1,0),"ERROR")</f>
        <v>4870</v>
      </c>
      <c r="D60" s="220">
        <f>IFERROR(VLOOKUP($B60,MMWR_TRAD_AGG_RO_COMP[],D$1,0),"ERROR")</f>
        <v>337.19568788499998</v>
      </c>
      <c r="E60" s="221">
        <f>IFERROR(VLOOKUP($B60,MMWR_TRAD_AGG_RO_COMP[],E$1,0),"ERROR")</f>
        <v>12453</v>
      </c>
      <c r="F60" s="222">
        <f>IFERROR(VLOOKUP($B60,MMWR_TRAD_AGG_RO_COMP[],F$1,0),"ERROR")</f>
        <v>2075</v>
      </c>
      <c r="G60" s="223">
        <f t="shared" si="0"/>
        <v>0.16662651569902834</v>
      </c>
      <c r="H60" s="224">
        <f>IFERROR(VLOOKUP($B60,MMWR_TRAD_AGG_RO_COMP[],H$1,0),"ERROR")</f>
        <v>17770</v>
      </c>
      <c r="I60" s="222">
        <f>IFERROR(VLOOKUP($B60,MMWR_TRAD_AGG_RO_COMP[],I$1,0),"ERROR")</f>
        <v>8125</v>
      </c>
      <c r="J60" s="223">
        <f t="shared" si="1"/>
        <v>0.45723128868880136</v>
      </c>
      <c r="K60" s="225">
        <f>IFERROR(VLOOKUP($B60,MMWR_TRAD_AGG_RO_COMP[],K$1,0),"ERROR")</f>
        <v>6552</v>
      </c>
      <c r="L60" s="226">
        <f>IFERROR(VLOOKUP($B60,MMWR_TRAD_AGG_RO_COMP[],L$1,0),"ERROR")</f>
        <v>4541</v>
      </c>
      <c r="M60" s="223">
        <f t="shared" si="2"/>
        <v>0.69307081807081805</v>
      </c>
      <c r="N60" s="225">
        <f>IFERROR(VLOOKUP($B60,MMWR_TRAD_AGG_RO_COMP[],N$1,0),"ERROR")</f>
        <v>2299</v>
      </c>
      <c r="O60" s="226">
        <f>IFERROR(VLOOKUP($B60,MMWR_TRAD_AGG_RO_COMP[],O$1,0),"ERROR")</f>
        <v>1623</v>
      </c>
      <c r="P60" s="223">
        <f t="shared" si="3"/>
        <v>0.7059591126576773</v>
      </c>
      <c r="Q60" s="227">
        <f>IFERROR(VLOOKUP($B60,MMWR_TRAD_AGG_RO_COMP[],Q$1,0),"ERROR")</f>
        <v>0</v>
      </c>
      <c r="R60" s="227">
        <f>IFERROR(VLOOKUP($B60,MMWR_TRAD_AGG_RO_COMP[],R$1,0),"ERROR")</f>
        <v>61</v>
      </c>
      <c r="S60" s="201">
        <f>IFERROR(VLOOKUP($B60,MMWR_APP_RO[],S$1,0),"ERROR")</f>
        <v>3745</v>
      </c>
      <c r="T60" s="28"/>
    </row>
    <row r="61" spans="1:20" x14ac:dyDescent="0.2">
      <c r="A61" s="28"/>
      <c r="B61" s="116" t="s">
        <v>73</v>
      </c>
      <c r="C61" s="228">
        <f>IFERROR(VLOOKUP($B61,MMWR_TRAD_AGG_RO_COMP[],C$1,0),"ERROR")</f>
        <v>9281</v>
      </c>
      <c r="D61" s="229">
        <f>IFERROR(VLOOKUP($B61,MMWR_TRAD_AGG_RO_COMP[],D$1,0),"ERROR")</f>
        <v>388.44844305570001</v>
      </c>
      <c r="E61" s="230">
        <f>IFERROR(VLOOKUP($B61,MMWR_TRAD_AGG_RO_COMP[],E$1,0),"ERROR")</f>
        <v>7919</v>
      </c>
      <c r="F61" s="231">
        <f>IFERROR(VLOOKUP($B61,MMWR_TRAD_AGG_RO_COMP[],F$1,0),"ERROR")</f>
        <v>1428</v>
      </c>
      <c r="G61" s="232">
        <f t="shared" si="0"/>
        <v>0.18032579871195858</v>
      </c>
      <c r="H61" s="233">
        <f>IFERROR(VLOOKUP($B61,MMWR_TRAD_AGG_RO_COMP[],H$1,0),"ERROR")</f>
        <v>18104</v>
      </c>
      <c r="I61" s="231">
        <f>IFERROR(VLOOKUP($B61,MMWR_TRAD_AGG_RO_COMP[],I$1,0),"ERROR")</f>
        <v>9525</v>
      </c>
      <c r="J61" s="232">
        <f t="shared" si="1"/>
        <v>0.52612682280159084</v>
      </c>
      <c r="K61" s="234">
        <f>IFERROR(VLOOKUP($B61,MMWR_TRAD_AGG_RO_COMP[],K$1,0),"ERROR")</f>
        <v>4671</v>
      </c>
      <c r="L61" s="235">
        <f>IFERROR(VLOOKUP($B61,MMWR_TRAD_AGG_RO_COMP[],L$1,0),"ERROR")</f>
        <v>3131</v>
      </c>
      <c r="M61" s="232">
        <f t="shared" si="2"/>
        <v>0.67030614429458357</v>
      </c>
      <c r="N61" s="234">
        <f>IFERROR(VLOOKUP($B61,MMWR_TRAD_AGG_RO_COMP[],N$1,0),"ERROR")</f>
        <v>4238</v>
      </c>
      <c r="O61" s="235">
        <f>IFERROR(VLOOKUP($B61,MMWR_TRAD_AGG_RO_COMP[],O$1,0),"ERROR")</f>
        <v>3531</v>
      </c>
      <c r="P61" s="232">
        <f t="shared" si="3"/>
        <v>0.83317602642756017</v>
      </c>
      <c r="Q61" s="236">
        <f>IFERROR(VLOOKUP($B61,MMWR_TRAD_AGG_RO_COMP[],Q$1,0),"ERROR")</f>
        <v>5</v>
      </c>
      <c r="R61" s="236">
        <f>IFERROR(VLOOKUP($B61,MMWR_TRAD_AGG_RO_COMP[],R$1,0),"ERROR")</f>
        <v>159</v>
      </c>
      <c r="S61" s="201">
        <f>IFERROR(VLOOKUP($B61,MMWR_APP_RO[],S$1,0),"ERROR")</f>
        <v>4598</v>
      </c>
      <c r="T61" s="28"/>
    </row>
    <row r="62" spans="1:20" x14ac:dyDescent="0.2">
      <c r="A62" s="28"/>
      <c r="B62" s="101" t="s">
        <v>379</v>
      </c>
      <c r="C62" s="212">
        <f>IFERROR(VLOOKUP($B62,MMWR_TRAD_AGG_DISTRICT_COMP[],C$1,0),"ERROR")</f>
        <v>55056</v>
      </c>
      <c r="D62" s="197">
        <f>IFERROR(VLOOKUP($B62,MMWR_TRAD_AGG_DISTRICT_COMP[],D$1,0),"ERROR")</f>
        <v>349.06673205459998</v>
      </c>
      <c r="E62" s="213">
        <f>IFERROR(VLOOKUP($B62,MMWR_TRAD_AGG_DISTRICT_COMP[],E$1,0),"ERROR")</f>
        <v>74335</v>
      </c>
      <c r="F62" s="218">
        <f>IFERROR(VLOOKUP($B62,MMWR_TRAD_AGG_DISTRICT_COMP[],F$1,0),"ERROR")</f>
        <v>17619</v>
      </c>
      <c r="G62" s="214">
        <f t="shared" si="0"/>
        <v>0.23702159144413804</v>
      </c>
      <c r="H62" s="218">
        <f>IFERROR(VLOOKUP($B62,MMWR_TRAD_AGG_DISTRICT_COMP[],H$1,0),"ERROR")</f>
        <v>96023</v>
      </c>
      <c r="I62" s="218">
        <f>IFERROR(VLOOKUP($B62,MMWR_TRAD_AGG_DISTRICT_COMP[],I$1,0),"ERROR")</f>
        <v>51832</v>
      </c>
      <c r="J62" s="214">
        <f t="shared" si="1"/>
        <v>0.53978734261583161</v>
      </c>
      <c r="K62" s="212">
        <f>IFERROR(VLOOKUP($B62,MMWR_TRAD_AGG_DISTRICT_COMP[],K$1,0),"ERROR")</f>
        <v>27723</v>
      </c>
      <c r="L62" s="212">
        <f>IFERROR(VLOOKUP($B62,MMWR_TRAD_AGG_DISTRICT_COMP[],L$1,0),"ERROR")</f>
        <v>23205</v>
      </c>
      <c r="M62" s="214">
        <f t="shared" si="2"/>
        <v>0.8370306243912996</v>
      </c>
      <c r="N62" s="212">
        <f>IFERROR(VLOOKUP($B62,MMWR_TRAD_AGG_DISTRICT_COMP[],N$1,0),"ERROR")</f>
        <v>26255</v>
      </c>
      <c r="O62" s="212">
        <f>IFERROR(VLOOKUP($B62,MMWR_TRAD_AGG_DISTRICT_COMP[],O$1,0),"ERROR")</f>
        <v>19575</v>
      </c>
      <c r="P62" s="214">
        <f t="shared" si="3"/>
        <v>0.7455722719482003</v>
      </c>
      <c r="Q62" s="212">
        <f>IFERROR(VLOOKUP($B62,MMWR_TRAD_AGG_DISTRICT_COMP[],Q$1,0),"ERROR")</f>
        <v>211</v>
      </c>
      <c r="R62" s="215">
        <f>IFERROR(VLOOKUP($B62,MMWR_TRAD_AGG_DISTRICT_COMP[],R$1,0),"ERROR")</f>
        <v>1392</v>
      </c>
      <c r="S62" s="215">
        <f>IFERROR(VLOOKUP($B62,MMWR_APP_RO[],S$1,0),"ERROR")</f>
        <v>84642</v>
      </c>
      <c r="T62" s="28"/>
    </row>
    <row r="63" spans="1:20" x14ac:dyDescent="0.2">
      <c r="A63" s="28"/>
      <c r="B63" s="108" t="s">
        <v>25</v>
      </c>
      <c r="C63" s="219">
        <f>IFERROR(VLOOKUP($B63,MMWR_TRAD_AGG_RO_COMP[],C$1,0),"ERROR")</f>
        <v>11644</v>
      </c>
      <c r="D63" s="220">
        <f>IFERROR(VLOOKUP($B63,MMWR_TRAD_AGG_RO_COMP[],D$1,0),"ERROR")</f>
        <v>354.52662315359999</v>
      </c>
      <c r="E63" s="221">
        <f>IFERROR(VLOOKUP($B63,MMWR_TRAD_AGG_RO_COMP[],E$1,0),"ERROR")</f>
        <v>17931</v>
      </c>
      <c r="F63" s="222">
        <f>IFERROR(VLOOKUP($B63,MMWR_TRAD_AGG_RO_COMP[],F$1,0),"ERROR")</f>
        <v>4907</v>
      </c>
      <c r="G63" s="223">
        <f t="shared" si="0"/>
        <v>0.27366014165411856</v>
      </c>
      <c r="H63" s="224">
        <f>IFERROR(VLOOKUP($B63,MMWR_TRAD_AGG_RO_COMP[],H$1,0),"ERROR")</f>
        <v>21151</v>
      </c>
      <c r="I63" s="222">
        <f>IFERROR(VLOOKUP($B63,MMWR_TRAD_AGG_RO_COMP[],I$1,0),"ERROR")</f>
        <v>12005</v>
      </c>
      <c r="J63" s="223">
        <f t="shared" si="1"/>
        <v>0.56758545695238993</v>
      </c>
      <c r="K63" s="225">
        <f>IFERROR(VLOOKUP($B63,MMWR_TRAD_AGG_RO_COMP[],K$1,0),"ERROR")</f>
        <v>8403</v>
      </c>
      <c r="L63" s="226">
        <f>IFERROR(VLOOKUP($B63,MMWR_TRAD_AGG_RO_COMP[],L$1,0),"ERROR")</f>
        <v>6782</v>
      </c>
      <c r="M63" s="223">
        <f t="shared" si="2"/>
        <v>0.80709270498631436</v>
      </c>
      <c r="N63" s="225">
        <f>IFERROR(VLOOKUP($B63,MMWR_TRAD_AGG_RO_COMP[],N$1,0),"ERROR")</f>
        <v>5715</v>
      </c>
      <c r="O63" s="226">
        <f>IFERROR(VLOOKUP($B63,MMWR_TRAD_AGG_RO_COMP[],O$1,0),"ERROR")</f>
        <v>4746</v>
      </c>
      <c r="P63" s="223">
        <f t="shared" si="3"/>
        <v>0.83044619422572175</v>
      </c>
      <c r="Q63" s="227">
        <f>IFERROR(VLOOKUP($B63,MMWR_TRAD_AGG_RO_COMP[],Q$1,0),"ERROR")</f>
        <v>78</v>
      </c>
      <c r="R63" s="227">
        <f>IFERROR(VLOOKUP($B63,MMWR_TRAD_AGG_RO_COMP[],R$1,0),"ERROR")</f>
        <v>26</v>
      </c>
      <c r="S63" s="201">
        <f>IFERROR(VLOOKUP($B63,MMWR_APP_RO[],S$1,0),"ERROR")</f>
        <v>17944</v>
      </c>
      <c r="T63" s="28"/>
    </row>
    <row r="64" spans="1:20" x14ac:dyDescent="0.2">
      <c r="A64" s="28"/>
      <c r="B64" s="108" t="s">
        <v>39</v>
      </c>
      <c r="C64" s="219">
        <f>IFERROR(VLOOKUP($B64,MMWR_TRAD_AGG_RO_COMP[],C$1,0),"ERROR")</f>
        <v>7254</v>
      </c>
      <c r="D64" s="220">
        <f>IFERROR(VLOOKUP($B64,MMWR_TRAD_AGG_RO_COMP[],D$1,0),"ERROR")</f>
        <v>325.54204576789999</v>
      </c>
      <c r="E64" s="221">
        <f>IFERROR(VLOOKUP($B64,MMWR_TRAD_AGG_RO_COMP[],E$1,0),"ERROR")</f>
        <v>9616</v>
      </c>
      <c r="F64" s="222">
        <f>IFERROR(VLOOKUP($B64,MMWR_TRAD_AGG_RO_COMP[],F$1,0),"ERROR")</f>
        <v>2450</v>
      </c>
      <c r="G64" s="223">
        <f t="shared" si="0"/>
        <v>0.25478369384359401</v>
      </c>
      <c r="H64" s="224">
        <f>IFERROR(VLOOKUP($B64,MMWR_TRAD_AGG_RO_COMP[],H$1,0),"ERROR")</f>
        <v>13922</v>
      </c>
      <c r="I64" s="222">
        <f>IFERROR(VLOOKUP($B64,MMWR_TRAD_AGG_RO_COMP[],I$1,0),"ERROR")</f>
        <v>8081</v>
      </c>
      <c r="J64" s="223">
        <f t="shared" si="1"/>
        <v>0.58044821146387016</v>
      </c>
      <c r="K64" s="225">
        <f>IFERROR(VLOOKUP($B64,MMWR_TRAD_AGG_RO_COMP[],K$1,0),"ERROR")</f>
        <v>2869</v>
      </c>
      <c r="L64" s="226">
        <f>IFERROR(VLOOKUP($B64,MMWR_TRAD_AGG_RO_COMP[],L$1,0),"ERROR")</f>
        <v>2288</v>
      </c>
      <c r="M64" s="223">
        <f t="shared" si="2"/>
        <v>0.79749041477866855</v>
      </c>
      <c r="N64" s="225">
        <f>IFERROR(VLOOKUP($B64,MMWR_TRAD_AGG_RO_COMP[],N$1,0),"ERROR")</f>
        <v>1600</v>
      </c>
      <c r="O64" s="226">
        <f>IFERROR(VLOOKUP($B64,MMWR_TRAD_AGG_RO_COMP[],O$1,0),"ERROR")</f>
        <v>1068</v>
      </c>
      <c r="P64" s="223">
        <f t="shared" si="3"/>
        <v>0.66749999999999998</v>
      </c>
      <c r="Q64" s="227">
        <f>IFERROR(VLOOKUP($B64,MMWR_TRAD_AGG_RO_COMP[],Q$1,0),"ERROR")</f>
        <v>1</v>
      </c>
      <c r="R64" s="227">
        <f>IFERROR(VLOOKUP($B64,MMWR_TRAD_AGG_RO_COMP[],R$1,0),"ERROR")</f>
        <v>60</v>
      </c>
      <c r="S64" s="201">
        <f>IFERROR(VLOOKUP($B64,MMWR_APP_RO[],S$1,0),"ERROR")</f>
        <v>13049</v>
      </c>
      <c r="T64" s="28"/>
    </row>
    <row r="65" spans="1:20" x14ac:dyDescent="0.2">
      <c r="A65" s="28"/>
      <c r="B65" s="108" t="s">
        <v>53</v>
      </c>
      <c r="C65" s="219">
        <f>IFERROR(VLOOKUP($B65,MMWR_TRAD_AGG_RO_COMP[],C$1,0),"ERROR")</f>
        <v>6446</v>
      </c>
      <c r="D65" s="220">
        <f>IFERROR(VLOOKUP($B65,MMWR_TRAD_AGG_RO_COMP[],D$1,0),"ERROR")</f>
        <v>470.29739373249998</v>
      </c>
      <c r="E65" s="221">
        <f>IFERROR(VLOOKUP($B65,MMWR_TRAD_AGG_RO_COMP[],E$1,0),"ERROR")</f>
        <v>4178</v>
      </c>
      <c r="F65" s="222">
        <f>IFERROR(VLOOKUP($B65,MMWR_TRAD_AGG_RO_COMP[],F$1,0),"ERROR")</f>
        <v>962</v>
      </c>
      <c r="G65" s="223">
        <f t="shared" si="0"/>
        <v>0.23025370990904739</v>
      </c>
      <c r="H65" s="224">
        <f>IFERROR(VLOOKUP($B65,MMWR_TRAD_AGG_RO_COMP[],H$1,0),"ERROR")</f>
        <v>10035</v>
      </c>
      <c r="I65" s="222">
        <f>IFERROR(VLOOKUP($B65,MMWR_TRAD_AGG_RO_COMP[],I$1,0),"ERROR")</f>
        <v>6561</v>
      </c>
      <c r="J65" s="223">
        <f t="shared" si="1"/>
        <v>0.65381165919282513</v>
      </c>
      <c r="K65" s="225">
        <f>IFERROR(VLOOKUP($B65,MMWR_TRAD_AGG_RO_COMP[],K$1,0),"ERROR")</f>
        <v>3339</v>
      </c>
      <c r="L65" s="226">
        <f>IFERROR(VLOOKUP($B65,MMWR_TRAD_AGG_RO_COMP[],L$1,0),"ERROR")</f>
        <v>3151</v>
      </c>
      <c r="M65" s="223">
        <f t="shared" si="2"/>
        <v>0.94369571728062296</v>
      </c>
      <c r="N65" s="225">
        <f>IFERROR(VLOOKUP($B65,MMWR_TRAD_AGG_RO_COMP[],N$1,0),"ERROR")</f>
        <v>1697</v>
      </c>
      <c r="O65" s="226">
        <f>IFERROR(VLOOKUP($B65,MMWR_TRAD_AGG_RO_COMP[],O$1,0),"ERROR")</f>
        <v>1328</v>
      </c>
      <c r="P65" s="223">
        <f t="shared" si="3"/>
        <v>0.78255745433117263</v>
      </c>
      <c r="Q65" s="227">
        <f>IFERROR(VLOOKUP($B65,MMWR_TRAD_AGG_RO_COMP[],Q$1,0),"ERROR")</f>
        <v>123</v>
      </c>
      <c r="R65" s="227">
        <f>IFERROR(VLOOKUP($B65,MMWR_TRAD_AGG_RO_COMP[],R$1,0),"ERROR")</f>
        <v>314</v>
      </c>
      <c r="S65" s="201">
        <f>IFERROR(VLOOKUP($B65,MMWR_APP_RO[],S$1,0),"ERROR")</f>
        <v>2928</v>
      </c>
      <c r="T65" s="28"/>
    </row>
    <row r="66" spans="1:20" x14ac:dyDescent="0.2">
      <c r="A66" s="28"/>
      <c r="B66" s="108" t="s">
        <v>57</v>
      </c>
      <c r="C66" s="219">
        <f>IFERROR(VLOOKUP($B66,MMWR_TRAD_AGG_RO_COMP[],C$1,0),"ERROR")</f>
        <v>9933</v>
      </c>
      <c r="D66" s="220">
        <f>IFERROR(VLOOKUP($B66,MMWR_TRAD_AGG_RO_COMP[],D$1,0),"ERROR")</f>
        <v>348.87073391720003</v>
      </c>
      <c r="E66" s="221">
        <f>IFERROR(VLOOKUP($B66,MMWR_TRAD_AGG_RO_COMP[],E$1,0),"ERROR")</f>
        <v>7645</v>
      </c>
      <c r="F66" s="222">
        <f>IFERROR(VLOOKUP($B66,MMWR_TRAD_AGG_RO_COMP[],F$1,0),"ERROR")</f>
        <v>1882</v>
      </c>
      <c r="G66" s="223">
        <f t="shared" si="0"/>
        <v>0.24617396991497711</v>
      </c>
      <c r="H66" s="224">
        <f>IFERROR(VLOOKUP($B66,MMWR_TRAD_AGG_RO_COMP[],H$1,0),"ERROR")</f>
        <v>13857</v>
      </c>
      <c r="I66" s="222">
        <f>IFERROR(VLOOKUP($B66,MMWR_TRAD_AGG_RO_COMP[],I$1,0),"ERROR")</f>
        <v>8046</v>
      </c>
      <c r="J66" s="223">
        <f t="shared" si="1"/>
        <v>0.58064516129032262</v>
      </c>
      <c r="K66" s="225">
        <f>IFERROR(VLOOKUP($B66,MMWR_TRAD_AGG_RO_COMP[],K$1,0),"ERROR")</f>
        <v>4073</v>
      </c>
      <c r="L66" s="226">
        <f>IFERROR(VLOOKUP($B66,MMWR_TRAD_AGG_RO_COMP[],L$1,0),"ERROR")</f>
        <v>3726</v>
      </c>
      <c r="M66" s="223">
        <f t="shared" si="2"/>
        <v>0.914804812177756</v>
      </c>
      <c r="N66" s="225">
        <f>IFERROR(VLOOKUP($B66,MMWR_TRAD_AGG_RO_COMP[],N$1,0),"ERROR")</f>
        <v>1614</v>
      </c>
      <c r="O66" s="226">
        <f>IFERROR(VLOOKUP($B66,MMWR_TRAD_AGG_RO_COMP[],O$1,0),"ERROR")</f>
        <v>658</v>
      </c>
      <c r="P66" s="223">
        <f t="shared" si="3"/>
        <v>0.40768277571251549</v>
      </c>
      <c r="Q66" s="227">
        <f>IFERROR(VLOOKUP($B66,MMWR_TRAD_AGG_RO_COMP[],Q$1,0),"ERROR")</f>
        <v>1</v>
      </c>
      <c r="R66" s="227">
        <f>IFERROR(VLOOKUP($B66,MMWR_TRAD_AGG_RO_COMP[],R$1,0),"ERROR")</f>
        <v>418</v>
      </c>
      <c r="S66" s="201">
        <f>IFERROR(VLOOKUP($B66,MMWR_APP_RO[],S$1,0),"ERROR")</f>
        <v>9323</v>
      </c>
      <c r="T66" s="28"/>
    </row>
    <row r="67" spans="1:20" x14ac:dyDescent="0.2">
      <c r="A67" s="28"/>
      <c r="B67" s="108" t="s">
        <v>58</v>
      </c>
      <c r="C67" s="219">
        <f>IFERROR(VLOOKUP($B67,MMWR_TRAD_AGG_RO_COMP[],C$1,0),"ERROR")</f>
        <v>3378</v>
      </c>
      <c r="D67" s="220">
        <f>IFERROR(VLOOKUP($B67,MMWR_TRAD_AGG_RO_COMP[],D$1,0),"ERROR")</f>
        <v>284.82030787449997</v>
      </c>
      <c r="E67" s="221">
        <f>IFERROR(VLOOKUP($B67,MMWR_TRAD_AGG_RO_COMP[],E$1,0),"ERROR")</f>
        <v>9321</v>
      </c>
      <c r="F67" s="222">
        <f>IFERROR(VLOOKUP($B67,MMWR_TRAD_AGG_RO_COMP[],F$1,0),"ERROR")</f>
        <v>1549</v>
      </c>
      <c r="G67" s="223">
        <f t="shared" si="0"/>
        <v>0.1661838858491578</v>
      </c>
      <c r="H67" s="224">
        <f>IFERROR(VLOOKUP($B67,MMWR_TRAD_AGG_RO_COMP[],H$1,0),"ERROR")</f>
        <v>8967</v>
      </c>
      <c r="I67" s="222">
        <f>IFERROR(VLOOKUP($B67,MMWR_TRAD_AGG_RO_COMP[],I$1,0),"ERROR")</f>
        <v>2989</v>
      </c>
      <c r="J67" s="223">
        <f t="shared" si="1"/>
        <v>0.33333333333333331</v>
      </c>
      <c r="K67" s="225">
        <f>IFERROR(VLOOKUP($B67,MMWR_TRAD_AGG_RO_COMP[],K$1,0),"ERROR")</f>
        <v>3118</v>
      </c>
      <c r="L67" s="226">
        <f>IFERROR(VLOOKUP($B67,MMWR_TRAD_AGG_RO_COMP[],L$1,0),"ERROR")</f>
        <v>2489</v>
      </c>
      <c r="M67" s="223">
        <f t="shared" si="2"/>
        <v>0.79826812059012187</v>
      </c>
      <c r="N67" s="225">
        <f>IFERROR(VLOOKUP($B67,MMWR_TRAD_AGG_RO_COMP[],N$1,0),"ERROR")</f>
        <v>1448</v>
      </c>
      <c r="O67" s="226">
        <f>IFERROR(VLOOKUP($B67,MMWR_TRAD_AGG_RO_COMP[],O$1,0),"ERROR")</f>
        <v>1106</v>
      </c>
      <c r="P67" s="223">
        <f t="shared" si="3"/>
        <v>0.76381215469613262</v>
      </c>
      <c r="Q67" s="227">
        <f>IFERROR(VLOOKUP($B67,MMWR_TRAD_AGG_RO_COMP[],Q$1,0),"ERROR")</f>
        <v>1</v>
      </c>
      <c r="R67" s="227">
        <f>IFERROR(VLOOKUP($B67,MMWR_TRAD_AGG_RO_COMP[],R$1,0),"ERROR")</f>
        <v>286</v>
      </c>
      <c r="S67" s="201">
        <f>IFERROR(VLOOKUP($B67,MMWR_APP_RO[],S$1,0),"ERROR")</f>
        <v>6819</v>
      </c>
      <c r="T67" s="28"/>
    </row>
    <row r="68" spans="1:20" x14ac:dyDescent="0.2">
      <c r="A68" s="28"/>
      <c r="B68" s="108" t="s">
        <v>72</v>
      </c>
      <c r="C68" s="219">
        <f>IFERROR(VLOOKUP($B68,MMWR_TRAD_AGG_RO_COMP[],C$1,0),"ERROR")</f>
        <v>693</v>
      </c>
      <c r="D68" s="220">
        <f>IFERROR(VLOOKUP($B68,MMWR_TRAD_AGG_RO_COMP[],D$1,0),"ERROR")</f>
        <v>263.80519480520002</v>
      </c>
      <c r="E68" s="221">
        <f>IFERROR(VLOOKUP($B68,MMWR_TRAD_AGG_RO_COMP[],E$1,0),"ERROR")</f>
        <v>1819</v>
      </c>
      <c r="F68" s="222">
        <f>IFERROR(VLOOKUP($B68,MMWR_TRAD_AGG_RO_COMP[],F$1,0),"ERROR")</f>
        <v>607</v>
      </c>
      <c r="G68" s="223">
        <f t="shared" si="0"/>
        <v>0.33369983507421658</v>
      </c>
      <c r="H68" s="224">
        <f>IFERROR(VLOOKUP($B68,MMWR_TRAD_AGG_RO_COMP[],H$1,0),"ERROR")</f>
        <v>3461</v>
      </c>
      <c r="I68" s="222">
        <f>IFERROR(VLOOKUP($B68,MMWR_TRAD_AGG_RO_COMP[],I$1,0),"ERROR")</f>
        <v>945</v>
      </c>
      <c r="J68" s="223">
        <f t="shared" si="1"/>
        <v>0.27304247327362036</v>
      </c>
      <c r="K68" s="225">
        <f>IFERROR(VLOOKUP($B68,MMWR_TRAD_AGG_RO_COMP[],K$1,0),"ERROR")</f>
        <v>855</v>
      </c>
      <c r="L68" s="226">
        <f>IFERROR(VLOOKUP($B68,MMWR_TRAD_AGG_RO_COMP[],L$1,0),"ERROR")</f>
        <v>770</v>
      </c>
      <c r="M68" s="223">
        <f t="shared" si="2"/>
        <v>0.90058479532163738</v>
      </c>
      <c r="N68" s="225">
        <f>IFERROR(VLOOKUP($B68,MMWR_TRAD_AGG_RO_COMP[],N$1,0),"ERROR")</f>
        <v>785</v>
      </c>
      <c r="O68" s="226">
        <f>IFERROR(VLOOKUP($B68,MMWR_TRAD_AGG_RO_COMP[],O$1,0),"ERROR")</f>
        <v>663</v>
      </c>
      <c r="P68" s="223">
        <f t="shared" si="3"/>
        <v>0.84458598726114653</v>
      </c>
      <c r="Q68" s="227">
        <f>IFERROR(VLOOKUP($B68,MMWR_TRAD_AGG_RO_COMP[],Q$1,0),"ERROR")</f>
        <v>0</v>
      </c>
      <c r="R68" s="227">
        <f>IFERROR(VLOOKUP($B68,MMWR_TRAD_AGG_RO_COMP[],R$1,0),"ERROR")</f>
        <v>2</v>
      </c>
      <c r="S68" s="201">
        <f>IFERROR(VLOOKUP($B68,MMWR_APP_RO[],S$1,0),"ERROR")</f>
        <v>4997</v>
      </c>
      <c r="T68" s="28"/>
    </row>
    <row r="69" spans="1:20" x14ac:dyDescent="0.2">
      <c r="A69" s="28"/>
      <c r="B69" s="116" t="s">
        <v>77</v>
      </c>
      <c r="C69" s="228">
        <f>IFERROR(VLOOKUP($B69,MMWR_TRAD_AGG_RO_COMP[],C$1,0),"ERROR")</f>
        <v>15708</v>
      </c>
      <c r="D69" s="229">
        <f>IFERROR(VLOOKUP($B69,MMWR_TRAD_AGG_RO_COMP[],D$1,0),"ERROR")</f>
        <v>323.83613445380001</v>
      </c>
      <c r="E69" s="230">
        <f>IFERROR(VLOOKUP($B69,MMWR_TRAD_AGG_RO_COMP[],E$1,0),"ERROR")</f>
        <v>23825</v>
      </c>
      <c r="F69" s="231">
        <f>IFERROR(VLOOKUP($B69,MMWR_TRAD_AGG_RO_COMP[],F$1,0),"ERROR")</f>
        <v>5262</v>
      </c>
      <c r="G69" s="232">
        <f t="shared" si="0"/>
        <v>0.22086044071353619</v>
      </c>
      <c r="H69" s="233">
        <f>IFERROR(VLOOKUP($B69,MMWR_TRAD_AGG_RO_COMP[],H$1,0),"ERROR")</f>
        <v>24630</v>
      </c>
      <c r="I69" s="231">
        <f>IFERROR(VLOOKUP($B69,MMWR_TRAD_AGG_RO_COMP[],I$1,0),"ERROR")</f>
        <v>13205</v>
      </c>
      <c r="J69" s="232">
        <f t="shared" si="1"/>
        <v>0.53613479496548921</v>
      </c>
      <c r="K69" s="234">
        <f>IFERROR(VLOOKUP($B69,MMWR_TRAD_AGG_RO_COMP[],K$1,0),"ERROR")</f>
        <v>5066</v>
      </c>
      <c r="L69" s="235">
        <f>IFERROR(VLOOKUP($B69,MMWR_TRAD_AGG_RO_COMP[],L$1,0),"ERROR")</f>
        <v>3999</v>
      </c>
      <c r="M69" s="232">
        <f t="shared" si="2"/>
        <v>0.78938018160284251</v>
      </c>
      <c r="N69" s="234">
        <f>IFERROR(VLOOKUP($B69,MMWR_TRAD_AGG_RO_COMP[],N$1,0),"ERROR")</f>
        <v>13396</v>
      </c>
      <c r="O69" s="235">
        <f>IFERROR(VLOOKUP($B69,MMWR_TRAD_AGG_RO_COMP[],O$1,0),"ERROR")</f>
        <v>10006</v>
      </c>
      <c r="P69" s="232">
        <f t="shared" si="3"/>
        <v>0.74693938489101219</v>
      </c>
      <c r="Q69" s="236">
        <f>IFERROR(VLOOKUP($B69,MMWR_TRAD_AGG_RO_COMP[],Q$1,0),"ERROR")</f>
        <v>7</v>
      </c>
      <c r="R69" s="236">
        <f>IFERROR(VLOOKUP($B69,MMWR_TRAD_AGG_RO_COMP[],R$1,0),"ERROR")</f>
        <v>286</v>
      </c>
      <c r="S69" s="201">
        <f>IFERROR(VLOOKUP($B69,MMWR_APP_RO[],S$1,0),"ERROR")</f>
        <v>29582</v>
      </c>
      <c r="T69" s="28"/>
    </row>
    <row r="70" spans="1:20" x14ac:dyDescent="0.2">
      <c r="A70" s="28"/>
      <c r="B70" s="101" t="s">
        <v>8</v>
      </c>
      <c r="C70" s="212">
        <f>IFERROR(VLOOKUP($B70,MMWR_TRAD_AGG_RO_COMP[],C$1,0),"ERROR")</f>
        <v>79</v>
      </c>
      <c r="D70" s="197">
        <f>IFERROR(VLOOKUP($B70,MMWR_TRAD_AGG_RO_COMP[],D$1,0),"ERROR")</f>
        <v>380.88607594939998</v>
      </c>
      <c r="E70" s="213">
        <f>IFERROR(VLOOKUP($B70,MMWR_TRAD_AGG_RO_COMP[],E$1,0),"ERROR")</f>
        <v>85</v>
      </c>
      <c r="F70" s="218">
        <f>IFERROR(VLOOKUP($B70,MMWR_TRAD_AGG_RO_COMP[],F$1,0),"ERROR")</f>
        <v>68</v>
      </c>
      <c r="G70" s="214">
        <f>IFERROR(F70/E70,"0%")</f>
        <v>0.8</v>
      </c>
      <c r="H70" s="218">
        <f>IFERROR(VLOOKUP($B70,MMWR_TRAD_AGG_RO_COMP[],H$1,0),"ERROR")</f>
        <v>241</v>
      </c>
      <c r="I70" s="218">
        <f>IFERROR(VLOOKUP($B70,MMWR_TRAD_AGG_RO_COMP[],I$1,0),"ERROR")</f>
        <v>93</v>
      </c>
      <c r="J70" s="214">
        <f>IFERROR(I70/H70,"0%")</f>
        <v>0.38589211618257263</v>
      </c>
      <c r="K70" s="212">
        <f>IFERROR(VLOOKUP($B70,MMWR_TRAD_AGG_RO_COMP[],K$1,0),"ERROR")</f>
        <v>100</v>
      </c>
      <c r="L70" s="212">
        <f>IFERROR(VLOOKUP($B70,MMWR_TRAD_AGG_RO_COMP[],L$1,0),"ERROR")</f>
        <v>54</v>
      </c>
      <c r="M70" s="214">
        <f>IFERROR(L70/K70,"0%")</f>
        <v>0.54</v>
      </c>
      <c r="N70" s="212">
        <f>IFERROR(VLOOKUP($B70,MMWR_TRAD_AGG_RO_COMP[],N$1,0),"ERROR")</f>
        <v>65414</v>
      </c>
      <c r="O70" s="212">
        <f>IFERROR(VLOOKUP($B70,MMWR_TRAD_AGG_RO_COMP[],O$1,0),"ERROR")</f>
        <v>39768</v>
      </c>
      <c r="P70" s="214">
        <f>IFERROR(O70/N70,"0%")</f>
        <v>0.60794325373773195</v>
      </c>
      <c r="Q70" s="212">
        <f>IFERROR(VLOOKUP($B70,MMWR_TRAD_AGG_RO_COMP[],Q$1,0),"ERROR")</f>
        <v>0</v>
      </c>
      <c r="R70" s="215">
        <f>IFERROR(VLOOKUP($B70,MMWR_TRAD_AGG_RO_COMP[],R$1,0),"ERROR")</f>
        <v>1</v>
      </c>
      <c r="S70" s="215">
        <f>IFERROR(VLOOKUP($B70,MMWR_APP_RO[],S$1,0),"ERROR")</f>
        <v>11389</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4" t="s">
        <v>486</v>
      </c>
      <c r="D72" s="455"/>
      <c r="E72" s="455"/>
      <c r="F72" s="455"/>
      <c r="G72" s="455"/>
      <c r="H72" s="455"/>
      <c r="I72" s="455"/>
      <c r="J72" s="455"/>
      <c r="K72" s="455"/>
      <c r="L72" s="455"/>
      <c r="M72" s="455"/>
      <c r="N72" s="455"/>
      <c r="O72" s="455"/>
      <c r="P72" s="455"/>
      <c r="Q72" s="455"/>
      <c r="R72" s="455"/>
      <c r="S72" s="456"/>
      <c r="T72" s="28"/>
    </row>
    <row r="73" spans="1:20" x14ac:dyDescent="0.2">
      <c r="A73" s="25"/>
      <c r="B73" s="117"/>
      <c r="C73" s="457" t="s">
        <v>225</v>
      </c>
      <c r="D73" s="458"/>
      <c r="E73" s="459" t="s">
        <v>205</v>
      </c>
      <c r="F73" s="460"/>
      <c r="G73" s="461"/>
      <c r="H73" s="459" t="s">
        <v>7</v>
      </c>
      <c r="I73" s="460"/>
      <c r="J73" s="461"/>
      <c r="K73" s="459" t="s">
        <v>30</v>
      </c>
      <c r="L73" s="460"/>
      <c r="M73" s="461"/>
      <c r="N73" s="459" t="s">
        <v>8</v>
      </c>
      <c r="O73" s="460"/>
      <c r="P73" s="461"/>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487</v>
      </c>
      <c r="T74" s="28"/>
    </row>
    <row r="75" spans="1:20" x14ac:dyDescent="0.2">
      <c r="A75" s="25"/>
      <c r="B75" s="101" t="s">
        <v>461</v>
      </c>
      <c r="C75" s="237">
        <f>IFERROR(VLOOKUP($B75,MMWR_TRAD_AGG_RO_PEN[],C$1,0),"ERROR")</f>
        <v>22164</v>
      </c>
      <c r="D75" s="238">
        <f>IFERROR(VLOOKUP($B75,MMWR_TRAD_AGG_RO_PEN[],D$1,0),"ERROR")</f>
        <v>90.334280815699998</v>
      </c>
      <c r="E75" s="237">
        <f>IFERROR(VLOOKUP($B75,MMWR_TRAD_AGG_RO_PEN[],E$1,0),"ERROR")</f>
        <v>29958</v>
      </c>
      <c r="F75" s="237">
        <f>IFERROR(VLOOKUP($B75,MMWR_TRAD_AGG_RO_PEN[],F$1,0),"ERROR")</f>
        <v>4015</v>
      </c>
      <c r="G75" s="239">
        <f>IFERROR(F75/E75,"0%")</f>
        <v>0.13402096268108685</v>
      </c>
      <c r="H75" s="237">
        <f>IFERROR(VLOOKUP($B75,MMWR_TRAD_AGG_RO_PEN[],H$1,0),"ERROR")</f>
        <v>32500</v>
      </c>
      <c r="I75" s="237">
        <f>IFERROR(VLOOKUP($B75,MMWR_TRAD_AGG_RO_PEN[],I$1,0),"ERROR")</f>
        <v>7621</v>
      </c>
      <c r="J75" s="239">
        <f>IFERROR(I75/H75,"0%")</f>
        <v>0.23449230769230769</v>
      </c>
      <c r="K75" s="237">
        <f>IFERROR(VLOOKUP($B75,MMWR_TRAD_AGG_RO_PEN[],K$1,0),"ERROR")</f>
        <v>249</v>
      </c>
      <c r="L75" s="237">
        <f>IFERROR(VLOOKUP($B75,MMWR_TRAD_AGG_RO_PEN[],L$1,0),"ERROR")</f>
        <v>235</v>
      </c>
      <c r="M75" s="239">
        <f>IFERROR(L75/K75,"0%")</f>
        <v>0.94377510040160639</v>
      </c>
      <c r="N75" s="237">
        <f>IFERROR(VLOOKUP($B75,MMWR_TRAD_AGG_RO_PEN[],N$1,0),"ERROR")</f>
        <v>1705</v>
      </c>
      <c r="O75" s="237">
        <f>IFERROR(VLOOKUP($B75,MMWR_TRAD_AGG_RO_PEN[],O$1,0),"ERROR")</f>
        <v>545</v>
      </c>
      <c r="P75" s="239">
        <f>IFERROR(O75/N75,"0%")</f>
        <v>0.31964809384164222</v>
      </c>
      <c r="Q75" s="237">
        <f>IFERROR(VLOOKUP($B75,MMWR_TRAD_AGG_RO_PEN[],Q$1,0),"ERROR")</f>
        <v>11872</v>
      </c>
      <c r="R75" s="240">
        <f>IFERROR(VLOOKUP($B75,MMWR_TRAD_AGG_RO_PEN[],R$1,0),"ERROR")</f>
        <v>5982</v>
      </c>
      <c r="S75" s="240">
        <f>IFERROR(VLOOKUP($B75,MMWR_APP_RO[],S$1,0),"ERROR")</f>
        <v>4972</v>
      </c>
      <c r="T75" s="28"/>
    </row>
    <row r="76" spans="1:20" x14ac:dyDescent="0.2">
      <c r="A76" s="107"/>
      <c r="B76" s="122" t="s">
        <v>210</v>
      </c>
      <c r="C76" s="241">
        <f>IFERROR(VLOOKUP($B76,MMWR_TRAD_AGG_RO_PEN[],C$1,0),"ERROR")</f>
        <v>13775</v>
      </c>
      <c r="D76" s="242">
        <f>IFERROR(VLOOKUP($B76,MMWR_TRAD_AGG_RO_PEN[],D$1,0),"ERROR")</f>
        <v>106.16072595279999</v>
      </c>
      <c r="E76" s="241">
        <f>IFERROR(VLOOKUP($B76,MMWR_TRAD_AGG_RO_PEN[],E$1,0),"ERROR")</f>
        <v>15656</v>
      </c>
      <c r="F76" s="241">
        <f>IFERROR(VLOOKUP($B76,MMWR_TRAD_AGG_RO_PEN[],F$1,0),"ERROR")</f>
        <v>2667</v>
      </c>
      <c r="G76" s="223">
        <f>IFERROR(F76/E76,"0%")</f>
        <v>0.17035002554931017</v>
      </c>
      <c r="H76" s="241">
        <f>IFERROR(VLOOKUP($B76,MMWR_TRAD_AGG_RO_PEN[],H$1,0),"ERROR")</f>
        <v>16640</v>
      </c>
      <c r="I76" s="241">
        <f>IFERROR(VLOOKUP($B76,MMWR_TRAD_AGG_RO_PEN[],I$1,0),"ERROR")</f>
        <v>5498</v>
      </c>
      <c r="J76" s="223">
        <f>IFERROR(I76/H76,"0%")</f>
        <v>0.33040865384615387</v>
      </c>
      <c r="K76" s="241">
        <f>IFERROR(VLOOKUP($B76,MMWR_TRAD_AGG_RO_PEN[],K$1,0),"ERROR")</f>
        <v>16</v>
      </c>
      <c r="L76" s="241">
        <f>IFERROR(VLOOKUP($B76,MMWR_TRAD_AGG_RO_PEN[],L$1,0),"ERROR")</f>
        <v>16</v>
      </c>
      <c r="M76" s="223">
        <f>IFERROR(L76/K76,"0%")</f>
        <v>1</v>
      </c>
      <c r="N76" s="241">
        <f>IFERROR(VLOOKUP($B76,MMWR_TRAD_AGG_RO_PEN[],N$1,0),"ERROR")</f>
        <v>622</v>
      </c>
      <c r="O76" s="241">
        <f>IFERROR(VLOOKUP($B76,MMWR_TRAD_AGG_RO_PEN[],O$1,0),"ERROR")</f>
        <v>191</v>
      </c>
      <c r="P76" s="223">
        <f>IFERROR(O76/N76,"0%")</f>
        <v>0.30707395498392281</v>
      </c>
      <c r="Q76" s="241">
        <f>IFERROR(VLOOKUP($B76,MMWR_TRAD_AGG_RO_PEN[],Q$1,0),"ERROR")</f>
        <v>2050</v>
      </c>
      <c r="R76" s="241">
        <f>IFERROR(VLOOKUP($B76,MMWR_TRAD_AGG_RO_PEN[],R$1,0),"ERROR")</f>
        <v>3089</v>
      </c>
      <c r="S76" s="243">
        <f>IFERROR(VLOOKUP($B76,MMWR_APP_RO[],S$1,0),"ERROR")</f>
        <v>1693</v>
      </c>
      <c r="T76" s="28"/>
    </row>
    <row r="77" spans="1:20" x14ac:dyDescent="0.2">
      <c r="A77" s="107"/>
      <c r="B77" s="122" t="s">
        <v>209</v>
      </c>
      <c r="C77" s="241">
        <f>IFERROR(VLOOKUP($B77,MMWR_TRAD_AGG_RO_PEN[],C$1,0),"ERROR")</f>
        <v>4287</v>
      </c>
      <c r="D77" s="242">
        <f>IFERROR(VLOOKUP($B77,MMWR_TRAD_AGG_RO_PEN[],D$1,0),"ERROR")</f>
        <v>62.747609050599998</v>
      </c>
      <c r="E77" s="241">
        <f>IFERROR(VLOOKUP($B77,MMWR_TRAD_AGG_RO_PEN[],E$1,0),"ERROR")</f>
        <v>7831</v>
      </c>
      <c r="F77" s="241">
        <f>IFERROR(VLOOKUP($B77,MMWR_TRAD_AGG_RO_PEN[],F$1,0),"ERROR")</f>
        <v>964</v>
      </c>
      <c r="G77" s="223">
        <f>IFERROR(F77/E77,"0%")</f>
        <v>0.12310049802068701</v>
      </c>
      <c r="H77" s="241">
        <f>IFERROR(VLOOKUP($B77,MMWR_TRAD_AGG_RO_PEN[],H$1,0),"ERROR")</f>
        <v>6459</v>
      </c>
      <c r="I77" s="241">
        <f>IFERROR(VLOOKUP($B77,MMWR_TRAD_AGG_RO_PEN[],I$1,0),"ERROR")</f>
        <v>517</v>
      </c>
      <c r="J77" s="223">
        <f>IFERROR(I77/H77,"0%")</f>
        <v>8.0043350363833407E-2</v>
      </c>
      <c r="K77" s="241">
        <f>IFERROR(VLOOKUP($B77,MMWR_TRAD_AGG_RO_PEN[],K$1,0),"ERROR")</f>
        <v>3</v>
      </c>
      <c r="L77" s="241">
        <f>IFERROR(VLOOKUP($B77,MMWR_TRAD_AGG_RO_PEN[],L$1,0),"ERROR")</f>
        <v>3</v>
      </c>
      <c r="M77" s="223">
        <f>IFERROR(L77/K77,"0%")</f>
        <v>1</v>
      </c>
      <c r="N77" s="241">
        <f>IFERROR(VLOOKUP($B77,MMWR_TRAD_AGG_RO_PEN[],N$1,0),"ERROR")</f>
        <v>586</v>
      </c>
      <c r="O77" s="241">
        <f>IFERROR(VLOOKUP($B77,MMWR_TRAD_AGG_RO_PEN[],O$1,0),"ERROR")</f>
        <v>134</v>
      </c>
      <c r="P77" s="223">
        <f>IFERROR(O77/N77,"0%")</f>
        <v>0.22866894197952217</v>
      </c>
      <c r="Q77" s="241">
        <f>IFERROR(VLOOKUP($B77,MMWR_TRAD_AGG_RO_PEN[],Q$1,0),"ERROR")</f>
        <v>1172</v>
      </c>
      <c r="R77" s="241">
        <f>IFERROR(VLOOKUP($B77,MMWR_TRAD_AGG_RO_PEN[],R$1,0),"ERROR")</f>
        <v>982</v>
      </c>
      <c r="S77" s="243">
        <f>IFERROR(VLOOKUP($B77,MMWR_APP_RO[],S$1,0),"ERROR")</f>
        <v>2297</v>
      </c>
      <c r="T77" s="28"/>
    </row>
    <row r="78" spans="1:20" x14ac:dyDescent="0.2">
      <c r="A78" s="107"/>
      <c r="B78" s="122" t="s">
        <v>212</v>
      </c>
      <c r="C78" s="241">
        <f>IFERROR(VLOOKUP($B78,MMWR_TRAD_AGG_RO_PEN[],C$1,0),"ERROR")</f>
        <v>4102</v>
      </c>
      <c r="D78" s="242">
        <f>IFERROR(VLOOKUP($B78,MMWR_TRAD_AGG_RO_PEN[],D$1,0),"ERROR")</f>
        <v>66.018039980500006</v>
      </c>
      <c r="E78" s="241">
        <f>IFERROR(VLOOKUP($B78,MMWR_TRAD_AGG_RO_PEN[],E$1,0),"ERROR")</f>
        <v>6104</v>
      </c>
      <c r="F78" s="241">
        <f>IFERROR(VLOOKUP($B78,MMWR_TRAD_AGG_RO_PEN[],F$1,0),"ERROR")</f>
        <v>243</v>
      </c>
      <c r="G78" s="223">
        <f>IFERROR(F78/E78,"0%")</f>
        <v>3.9809960681520318E-2</v>
      </c>
      <c r="H78" s="241">
        <f>IFERROR(VLOOKUP($B78,MMWR_TRAD_AGG_RO_PEN[],H$1,0),"ERROR")</f>
        <v>6056</v>
      </c>
      <c r="I78" s="241">
        <f>IFERROR(VLOOKUP($B78,MMWR_TRAD_AGG_RO_PEN[],I$1,0),"ERROR")</f>
        <v>516</v>
      </c>
      <c r="J78" s="223">
        <f>IFERROR(I78/H78,"0%")</f>
        <v>8.5204755614266839E-2</v>
      </c>
      <c r="K78" s="241">
        <f>IFERROR(VLOOKUP($B78,MMWR_TRAD_AGG_RO_PEN[],K$1,0),"ERROR")</f>
        <v>30</v>
      </c>
      <c r="L78" s="241">
        <f>IFERROR(VLOOKUP($B78,MMWR_TRAD_AGG_RO_PEN[],L$1,0),"ERROR")</f>
        <v>17</v>
      </c>
      <c r="M78" s="223">
        <f>IFERROR(L78/K78,"0%")</f>
        <v>0.56666666666666665</v>
      </c>
      <c r="N78" s="241">
        <f>IFERROR(VLOOKUP($B78,MMWR_TRAD_AGG_RO_PEN[],N$1,0),"ERROR")</f>
        <v>306</v>
      </c>
      <c r="O78" s="241">
        <f>IFERROR(VLOOKUP($B78,MMWR_TRAD_AGG_RO_PEN[],O$1,0),"ERROR")</f>
        <v>102</v>
      </c>
      <c r="P78" s="223">
        <f>IFERROR(O78/N78,"0%")</f>
        <v>0.33333333333333331</v>
      </c>
      <c r="Q78" s="241">
        <f>IFERROR(VLOOKUP($B78,MMWR_TRAD_AGG_RO_PEN[],Q$1,0),"ERROR")</f>
        <v>8643</v>
      </c>
      <c r="R78" s="241">
        <f>IFERROR(VLOOKUP($B78,MMWR_TRAD_AGG_RO_PEN[],R$1,0),"ERROR")</f>
        <v>1911</v>
      </c>
      <c r="S78" s="243">
        <f>IFERROR(VLOOKUP($B78,MMWR_APP_RO[],S$1,0),"ERROR")</f>
        <v>982</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367</v>
      </c>
      <c r="F79" s="218">
        <f>IFERROR(VLOOKUP($B79,MMWR_TRAD_AGG_RO_PEN[],F$1,0),"ERROR")</f>
        <v>141</v>
      </c>
      <c r="G79" s="214">
        <f>IFERROR(F79/E79,"0%")</f>
        <v>0.38419618528610355</v>
      </c>
      <c r="H79" s="218">
        <f>IFERROR(VLOOKUP($B79,MMWR_TRAD_AGG_RO_PEN[],H$1,0),"ERROR")</f>
        <v>3345</v>
      </c>
      <c r="I79" s="218">
        <f>IFERROR(VLOOKUP($B79,MMWR_TRAD_AGG_RO_PEN[],I$1,0),"ERROR")</f>
        <v>1090</v>
      </c>
      <c r="J79" s="214">
        <f>IFERROR(I79/H79,"0%")</f>
        <v>0.32585949177877427</v>
      </c>
      <c r="K79" s="218">
        <f>IFERROR(VLOOKUP($B79,MMWR_TRAD_AGG_RO_PEN[],K$1,0),"ERROR")</f>
        <v>200</v>
      </c>
      <c r="L79" s="218">
        <f>IFERROR(VLOOKUP($B79,MMWR_TRAD_AGG_RO_PEN[],L$1,0),"ERROR")</f>
        <v>199</v>
      </c>
      <c r="M79" s="214">
        <f>IFERROR(L79/K79,"0%")</f>
        <v>0.995</v>
      </c>
      <c r="N79" s="218">
        <f>IFERROR(VLOOKUP($B79,MMWR_TRAD_AGG_RO_PEN[],N$1,0),"ERROR")</f>
        <v>191</v>
      </c>
      <c r="O79" s="218">
        <f>IFERROR(VLOOKUP($B79,MMWR_TRAD_AGG_RO_PEN[],O$1,0),"ERROR")</f>
        <v>118</v>
      </c>
      <c r="P79" s="214">
        <f>IFERROR(O79/N79,"0%")</f>
        <v>0.61780104712041883</v>
      </c>
      <c r="Q79" s="218">
        <f>IFERROR(VLOOKUP($B79,MMWR_TRAD_AGG_RO_PEN[],Q$1,0),"ERROR")</f>
        <v>7</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4" t="str">
        <f>UPPER("INVENTORY BY STATE "&amp;Transformation!B4)</f>
        <v>INVENTORY BY STATE AS OF: AUGUST 06, 2016</v>
      </c>
      <c r="D2" s="455"/>
      <c r="E2" s="455"/>
      <c r="F2" s="455"/>
      <c r="G2" s="455"/>
      <c r="H2" s="455"/>
      <c r="I2" s="455"/>
      <c r="J2" s="455"/>
      <c r="K2" s="455"/>
      <c r="L2" s="455"/>
      <c r="M2" s="455"/>
      <c r="N2" s="455"/>
      <c r="O2" s="455"/>
      <c r="P2" s="455"/>
      <c r="Q2" s="455"/>
      <c r="R2" s="455"/>
      <c r="S2" s="456"/>
      <c r="T2" s="28"/>
    </row>
    <row r="3" spans="1:20" s="123" customFormat="1" x14ac:dyDescent="0.2">
      <c r="A3" s="25"/>
      <c r="B3" s="26"/>
      <c r="C3" s="462" t="s">
        <v>225</v>
      </c>
      <c r="D3" s="462"/>
      <c r="E3" s="459" t="s">
        <v>205</v>
      </c>
      <c r="F3" s="460"/>
      <c r="G3" s="461"/>
      <c r="H3" s="459" t="s">
        <v>7</v>
      </c>
      <c r="I3" s="460"/>
      <c r="J3" s="461"/>
      <c r="K3" s="459" t="s">
        <v>30</v>
      </c>
      <c r="L3" s="460"/>
      <c r="M3" s="461"/>
      <c r="N3" s="459" t="s">
        <v>8</v>
      </c>
      <c r="O3" s="460"/>
      <c r="P3" s="461"/>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487</v>
      </c>
      <c r="T4" s="28"/>
    </row>
    <row r="5" spans="1:20" s="123" customFormat="1" ht="26.25" x14ac:dyDescent="0.4">
      <c r="A5" s="25"/>
      <c r="B5" s="124"/>
      <c r="C5" s="454" t="s">
        <v>485</v>
      </c>
      <c r="D5" s="455"/>
      <c r="E5" s="455"/>
      <c r="F5" s="455"/>
      <c r="G5" s="455"/>
      <c r="H5" s="455"/>
      <c r="I5" s="455"/>
      <c r="J5" s="455"/>
      <c r="K5" s="455"/>
      <c r="L5" s="455"/>
      <c r="M5" s="455"/>
      <c r="N5" s="455"/>
      <c r="O5" s="455"/>
      <c r="P5" s="455"/>
      <c r="Q5" s="455"/>
      <c r="R5" s="455"/>
      <c r="S5" s="456"/>
      <c r="T5" s="28"/>
    </row>
    <row r="6" spans="1:20" s="123" customFormat="1" x14ac:dyDescent="0.2">
      <c r="A6" s="92"/>
      <c r="B6" s="125" t="s">
        <v>460</v>
      </c>
      <c r="C6" s="94">
        <f>IFERROR(VLOOKUP($B6,MMWR_TRAD_AGG_ST_DISTRICT_COMP[],C$1,0),"ERROR")</f>
        <v>230326</v>
      </c>
      <c r="D6" s="95">
        <f>IFERROR(VLOOKUP($B6,MMWR_TRAD_AGG_ST_DISTRICT_COMP[],D$1,0),"ERROR")</f>
        <v>369.72511570559999</v>
      </c>
      <c r="E6" s="96">
        <f>IFERROR(VLOOKUP($B6,MMWR_TRAD_AGG_ST_DISTRICT_COMP[],E$1,0),"ERROR")</f>
        <v>344488</v>
      </c>
      <c r="F6" s="97">
        <f>IFERROR(VLOOKUP($B6,MMWR_TRAD_AGG_ST_DISTRICT_COMP[],F$1,0),"ERROR")</f>
        <v>73668</v>
      </c>
      <c r="G6" s="98">
        <f t="shared" ref="G6:G37" si="0">IFERROR(F6/E6,"0%")</f>
        <v>0.21384779731079168</v>
      </c>
      <c r="H6" s="96">
        <f>IFERROR(VLOOKUP($B6,MMWR_TRAD_AGG_ST_DISTRICT_COMP[],H$1,0),"ERROR")</f>
        <v>443553</v>
      </c>
      <c r="I6" s="97">
        <f>IFERROR(VLOOKUP($B6,MMWR_TRAD_AGG_ST_DISTRICT_COMP[],I$1,0),"ERROR")</f>
        <v>217049</v>
      </c>
      <c r="J6" s="99">
        <f t="shared" ref="J6:J37" si="1">IFERROR(I6/H6,"0%")</f>
        <v>0.48934174720946538</v>
      </c>
      <c r="K6" s="96">
        <f>IFERROR(VLOOKUP($B6,MMWR_TRAD_AGG_ST_DISTRICT_COMP[],K$1,0),"ERROR")</f>
        <v>129995</v>
      </c>
      <c r="L6" s="97">
        <f>IFERROR(VLOOKUP($B6,MMWR_TRAD_AGG_ST_DISTRICT_COMP[],L$1,0),"ERROR")</f>
        <v>101220</v>
      </c>
      <c r="M6" s="99">
        <f t="shared" ref="M6:M37" si="2">IFERROR(L6/K6,"0%")</f>
        <v>0.778645332512789</v>
      </c>
      <c r="N6" s="96">
        <f>IFERROR(VLOOKUP($B6,MMWR_TRAD_AGG_ST_DISTRICT_COMP[],N$1,0),"ERROR")</f>
        <v>171373</v>
      </c>
      <c r="O6" s="97">
        <f>IFERROR(VLOOKUP($B6,MMWR_TRAD_AGG_ST_DISTRICT_COMP[],O$1,0),"ERROR")</f>
        <v>118148</v>
      </c>
      <c r="P6" s="99">
        <f t="shared" ref="P6:P37" si="3">IFERROR(O6/N6,"0%")</f>
        <v>0.68942015369982435</v>
      </c>
      <c r="Q6" s="100">
        <f>IFERROR(VLOOKUP($B6,MMWR_TRAD_AGG_ST_DISTRICT_COMP[],Q$1,0),"ERROR")</f>
        <v>23494</v>
      </c>
      <c r="R6" s="100">
        <f>IFERROR(VLOOKUP($B6,MMWR_TRAD_AGG_ST_DISTRICT_COMP[],R$1,0),"ERROR")</f>
        <v>4515</v>
      </c>
      <c r="S6" s="100">
        <f>S7+S23+S36+S46+S56+S64</f>
        <v>307553</v>
      </c>
      <c r="T6" s="28"/>
    </row>
    <row r="7" spans="1:20" s="123" customFormat="1" x14ac:dyDescent="0.2">
      <c r="A7" s="92"/>
      <c r="B7" s="126" t="s">
        <v>368</v>
      </c>
      <c r="C7" s="102">
        <f>IF(SUM(C8:C22)&lt;&gt;VLOOKUP($B7,MMWR_TRAD_AGG_ST_DISTRICT_COMP[],C$1,0),"ERROR",
VLOOKUP($B7,MMWR_TRAD_AGG_ST_DISTRICT_COMP[],C$1,0))</f>
        <v>55692</v>
      </c>
      <c r="D7" s="103">
        <f>IFERROR(VLOOKUP($B7,MMWR_TRAD_AGG_ST_DISTRICT_COMP[],D$1,0),"ERROR")</f>
        <v>391.73913668030002</v>
      </c>
      <c r="E7" s="102">
        <f>IF(SUM(E8:E22)&lt;&gt;VLOOKUP($B7,MMWR_TRAD_AGG_ST_DISTRICT_COMP[],E$1,0),"ERROR",
VLOOKUP($B7,MMWR_TRAD_AGG_ST_DISTRICT_COMP[],E$1,0))</f>
        <v>74648</v>
      </c>
      <c r="F7" s="102">
        <f>IFERROR(VLOOKUP($B7,MMWR_TRAD_AGG_ST_DISTRICT_COMP[],F$1,0),"ERROR")</f>
        <v>16703</v>
      </c>
      <c r="G7" s="104">
        <f t="shared" si="0"/>
        <v>0.22375683206515914</v>
      </c>
      <c r="H7" s="102">
        <f>IF(SUM(H8:H22)&lt;&gt;VLOOKUP($B7,MMWR_TRAD_AGG_ST_DISTRICT_COMP[],H$1,0),"ERROR",
VLOOKUP($B7,MMWR_TRAD_AGG_ST_DISTRICT_COMP[],H$1,0))</f>
        <v>102274</v>
      </c>
      <c r="I7" s="102">
        <f>IF(SUM(I8:I22)&lt;&gt;VLOOKUP($B7,MMWR_TRAD_AGG_ST_DISTRICT_COMP[],I$1,0),"ERROR",
VLOOKUP($B7,MMWR_TRAD_AGG_ST_DISTRICT_COMP[],I$1,0))</f>
        <v>50710</v>
      </c>
      <c r="J7" s="105">
        <f t="shared" si="1"/>
        <v>0.49582494084518058</v>
      </c>
      <c r="K7" s="102">
        <f>IF(SUM(K8:K22)&lt;&gt;VLOOKUP($B7,MMWR_TRAD_AGG_ST_DISTRICT_COMP[],K$1,0),"ERROR",
VLOOKUP($B7,MMWR_TRAD_AGG_ST_DISTRICT_COMP[],K$1,0))</f>
        <v>34442</v>
      </c>
      <c r="L7" s="102">
        <f>IF(SUM(L8:L22)&lt;&gt;VLOOKUP($B7,MMWR_TRAD_AGG_ST_DISTRICT_COMP[],L$1,0),"ERROR",
VLOOKUP($B7,MMWR_TRAD_AGG_ST_DISTRICT_COMP[],L$1,0))</f>
        <v>27645</v>
      </c>
      <c r="M7" s="105">
        <f t="shared" si="2"/>
        <v>0.80265373671679929</v>
      </c>
      <c r="N7" s="102">
        <f>IF(SUM(N8:N22)&lt;&gt;VLOOKUP($B7,MMWR_TRAD_AGG_ST_DISTRICT_COMP[],N$1,0),"ERROR",
VLOOKUP($B7,MMWR_TRAD_AGG_ST_DISTRICT_COMP[],N$1,0))</f>
        <v>39807</v>
      </c>
      <c r="O7" s="102">
        <f>IF(SUM(O8:O22)&lt;&gt;VLOOKUP($B7,MMWR_TRAD_AGG_ST_DISTRICT_COMP[],O$1,0),"ERROR",
VLOOKUP($B7,MMWR_TRAD_AGG_ST_DISTRICT_COMP[],O$1,0))</f>
        <v>29159</v>
      </c>
      <c r="P7" s="105">
        <f t="shared" si="3"/>
        <v>0.73250935765066449</v>
      </c>
      <c r="Q7" s="102">
        <f>IF(SUM(Q8:Q22)&lt;&gt;VLOOKUP($B7,MMWR_TRAD_AGG_ST_DISTRICT_COMP[],Q$1,0),"ERROR",
VLOOKUP($B7,MMWR_TRAD_AGG_ST_DISTRICT_COMP[],Q$1,0))</f>
        <v>9724</v>
      </c>
      <c r="R7" s="106">
        <f>IFERROR(VLOOKUP($B7,MMWR_TRAD_AGG_ST_DISTRICT_COMP[],R$1,0),"ERROR")</f>
        <v>138</v>
      </c>
      <c r="S7" s="106">
        <f>SUM(S8:S22)</f>
        <v>56799</v>
      </c>
      <c r="T7" s="28"/>
    </row>
    <row r="8" spans="1:20" s="123" customFormat="1" x14ac:dyDescent="0.2">
      <c r="A8" s="107"/>
      <c r="B8" s="127" t="s">
        <v>372</v>
      </c>
      <c r="C8" s="109">
        <f>IFERROR(VLOOKUP($B8,MMWR_TRAD_AGG_STATE_COMP[],C$1,0),"ERROR")</f>
        <v>690</v>
      </c>
      <c r="D8" s="110">
        <f>IFERROR(VLOOKUP($B8,MMWR_TRAD_AGG_STATE_COMP[],D$1,0),"ERROR")</f>
        <v>284.21304347829999</v>
      </c>
      <c r="E8" s="111">
        <f>IFERROR(VLOOKUP($B8,MMWR_TRAD_AGG_STATE_COMP[],E$1,0),"ERROR")</f>
        <v>1850</v>
      </c>
      <c r="F8" s="112">
        <f>IFERROR(VLOOKUP($B8,MMWR_TRAD_AGG_STATE_COMP[],F$1,0),"ERROR")</f>
        <v>320</v>
      </c>
      <c r="G8" s="113">
        <f t="shared" si="0"/>
        <v>0.17297297297297298</v>
      </c>
      <c r="H8" s="111">
        <f>IFERROR(VLOOKUP($B8,MMWR_TRAD_AGG_STATE_COMP[],H$1,0),"ERROR")</f>
        <v>2594</v>
      </c>
      <c r="I8" s="112">
        <f>IFERROR(VLOOKUP($B8,MMWR_TRAD_AGG_STATE_COMP[],I$1,0),"ERROR")</f>
        <v>760</v>
      </c>
      <c r="J8" s="114">
        <f t="shared" si="1"/>
        <v>0.29298380878951424</v>
      </c>
      <c r="K8" s="111">
        <f>IFERROR(VLOOKUP($B8,MMWR_TRAD_AGG_STATE_COMP[],K$1,0),"ERROR")</f>
        <v>582</v>
      </c>
      <c r="L8" s="112">
        <f>IFERROR(VLOOKUP($B8,MMWR_TRAD_AGG_STATE_COMP[],L$1,0),"ERROR")</f>
        <v>376</v>
      </c>
      <c r="M8" s="114">
        <f t="shared" si="2"/>
        <v>0.64604810996563578</v>
      </c>
      <c r="N8" s="111">
        <f>IFERROR(VLOOKUP($B8,MMWR_TRAD_AGG_STATE_COMP[],N$1,0),"ERROR")</f>
        <v>1123</v>
      </c>
      <c r="O8" s="112">
        <f>IFERROR(VLOOKUP($B8,MMWR_TRAD_AGG_STATE_COMP[],O$1,0),"ERROR")</f>
        <v>855</v>
      </c>
      <c r="P8" s="114">
        <f t="shared" si="3"/>
        <v>0.76135351736420298</v>
      </c>
      <c r="Q8" s="115">
        <f>IFERROR(VLOOKUP($B8,MMWR_TRAD_AGG_STATE_COMP[],Q$1,0),"ERROR")</f>
        <v>305</v>
      </c>
      <c r="R8" s="115">
        <f>IFERROR(VLOOKUP($B8,MMWR_TRAD_AGG_STATE_COMP[],R$1,0),"ERROR")</f>
        <v>5</v>
      </c>
      <c r="S8" s="115">
        <f>IFERROR(VLOOKUP($B8,MMWR_APP_STATE_COMP[],S$1,0),"ERROR")</f>
        <v>1369</v>
      </c>
      <c r="T8" s="28"/>
    </row>
    <row r="9" spans="1:20" s="123" customFormat="1" x14ac:dyDescent="0.2">
      <c r="A9" s="107"/>
      <c r="B9" s="127" t="s">
        <v>422</v>
      </c>
      <c r="C9" s="109">
        <f>IFERROR(VLOOKUP($B9,MMWR_TRAD_AGG_STATE_COMP[],C$1,0),"ERROR")</f>
        <v>648</v>
      </c>
      <c r="D9" s="110">
        <f>IFERROR(VLOOKUP($B9,MMWR_TRAD_AGG_STATE_COMP[],D$1,0),"ERROR")</f>
        <v>400.75771604940002</v>
      </c>
      <c r="E9" s="111">
        <f>IFERROR(VLOOKUP($B9,MMWR_TRAD_AGG_STATE_COMP[],E$1,0),"ERROR")</f>
        <v>1003</v>
      </c>
      <c r="F9" s="112">
        <f>IFERROR(VLOOKUP($B9,MMWR_TRAD_AGG_STATE_COMP[],F$1,0),"ERROR")</f>
        <v>217</v>
      </c>
      <c r="G9" s="113">
        <f t="shared" si="0"/>
        <v>0.21635094715852443</v>
      </c>
      <c r="H9" s="111">
        <f>IFERROR(VLOOKUP($B9,MMWR_TRAD_AGG_STATE_COMP[],H$1,0),"ERROR")</f>
        <v>1271</v>
      </c>
      <c r="I9" s="112">
        <f>IFERROR(VLOOKUP($B9,MMWR_TRAD_AGG_STATE_COMP[],I$1,0),"ERROR")</f>
        <v>584</v>
      </c>
      <c r="J9" s="114">
        <f t="shared" si="1"/>
        <v>0.45948072383949645</v>
      </c>
      <c r="K9" s="111">
        <f>IFERROR(VLOOKUP($B9,MMWR_TRAD_AGG_STATE_COMP[],K$1,0),"ERROR")</f>
        <v>263</v>
      </c>
      <c r="L9" s="112">
        <f>IFERROR(VLOOKUP($B9,MMWR_TRAD_AGG_STATE_COMP[],L$1,0),"ERROR")</f>
        <v>187</v>
      </c>
      <c r="M9" s="114">
        <f t="shared" si="2"/>
        <v>0.71102661596958172</v>
      </c>
      <c r="N9" s="111">
        <f>IFERROR(VLOOKUP($B9,MMWR_TRAD_AGG_STATE_COMP[],N$1,0),"ERROR")</f>
        <v>393</v>
      </c>
      <c r="O9" s="112">
        <f>IFERROR(VLOOKUP($B9,MMWR_TRAD_AGG_STATE_COMP[],O$1,0),"ERROR")</f>
        <v>243</v>
      </c>
      <c r="P9" s="114">
        <f t="shared" si="3"/>
        <v>0.61832061068702293</v>
      </c>
      <c r="Q9" s="115">
        <f>IFERROR(VLOOKUP($B9,MMWR_TRAD_AGG_STATE_COMP[],Q$1,0),"ERROR")</f>
        <v>80</v>
      </c>
      <c r="R9" s="115">
        <f>IFERROR(VLOOKUP($B9,MMWR_TRAD_AGG_STATE_COMP[],R$1,0),"ERROR")</f>
        <v>0</v>
      </c>
      <c r="S9" s="115">
        <f>IFERROR(VLOOKUP($B9,MMWR_APP_STATE_COMP[],S$1,0),"ERROR")</f>
        <v>632</v>
      </c>
      <c r="T9" s="28"/>
    </row>
    <row r="10" spans="1:20" s="123" customFormat="1" x14ac:dyDescent="0.2">
      <c r="A10" s="107"/>
      <c r="B10" s="127" t="s">
        <v>413</v>
      </c>
      <c r="C10" s="109">
        <f>IFERROR(VLOOKUP($B10,MMWR_TRAD_AGG_STATE_COMP[],C$1,0),"ERROR")</f>
        <v>406</v>
      </c>
      <c r="D10" s="110">
        <f>IFERROR(VLOOKUP($B10,MMWR_TRAD_AGG_STATE_COMP[],D$1,0),"ERROR")</f>
        <v>580.59852216750005</v>
      </c>
      <c r="E10" s="111">
        <f>IFERROR(VLOOKUP($B10,MMWR_TRAD_AGG_STATE_COMP[],E$1,0),"ERROR")</f>
        <v>465</v>
      </c>
      <c r="F10" s="112">
        <f>IFERROR(VLOOKUP($B10,MMWR_TRAD_AGG_STATE_COMP[],F$1,0),"ERROR")</f>
        <v>97</v>
      </c>
      <c r="G10" s="113">
        <f t="shared" si="0"/>
        <v>0.2086021505376344</v>
      </c>
      <c r="H10" s="111">
        <f>IFERROR(VLOOKUP($B10,MMWR_TRAD_AGG_STATE_COMP[],H$1,0),"ERROR")</f>
        <v>751</v>
      </c>
      <c r="I10" s="112">
        <f>IFERROR(VLOOKUP($B10,MMWR_TRAD_AGG_STATE_COMP[],I$1,0),"ERROR")</f>
        <v>374</v>
      </c>
      <c r="J10" s="114">
        <f t="shared" si="1"/>
        <v>0.49800266311584551</v>
      </c>
      <c r="K10" s="111">
        <f>IFERROR(VLOOKUP($B10,MMWR_TRAD_AGG_STATE_COMP[],K$1,0),"ERROR")</f>
        <v>198</v>
      </c>
      <c r="L10" s="112">
        <f>IFERROR(VLOOKUP($B10,MMWR_TRAD_AGG_STATE_COMP[],L$1,0),"ERROR")</f>
        <v>167</v>
      </c>
      <c r="M10" s="114">
        <f t="shared" si="2"/>
        <v>0.84343434343434343</v>
      </c>
      <c r="N10" s="111">
        <f>IFERROR(VLOOKUP($B10,MMWR_TRAD_AGG_STATE_COMP[],N$1,0),"ERROR")</f>
        <v>373</v>
      </c>
      <c r="O10" s="112">
        <f>IFERROR(VLOOKUP($B10,MMWR_TRAD_AGG_STATE_COMP[],O$1,0),"ERROR")</f>
        <v>288</v>
      </c>
      <c r="P10" s="114">
        <f t="shared" si="3"/>
        <v>0.77211796246648789</v>
      </c>
      <c r="Q10" s="115">
        <f>IFERROR(VLOOKUP($B10,MMWR_TRAD_AGG_STATE_COMP[],Q$1,0),"ERROR")</f>
        <v>29</v>
      </c>
      <c r="R10" s="115">
        <f>IFERROR(VLOOKUP($B10,MMWR_TRAD_AGG_STATE_COMP[],R$1,0),"ERROR")</f>
        <v>0</v>
      </c>
      <c r="S10" s="115">
        <f>IFERROR(VLOOKUP($B10,MMWR_APP_STATE_COMP[],S$1,0),"ERROR")</f>
        <v>603</v>
      </c>
      <c r="T10" s="28"/>
    </row>
    <row r="11" spans="1:20" s="123" customFormat="1" x14ac:dyDescent="0.2">
      <c r="A11" s="107"/>
      <c r="B11" s="127" t="s">
        <v>415</v>
      </c>
      <c r="C11" s="109">
        <f>IFERROR(VLOOKUP($B11,MMWR_TRAD_AGG_STATE_COMP[],C$1,0),"ERROR")</f>
        <v>1074</v>
      </c>
      <c r="D11" s="110">
        <f>IFERROR(VLOOKUP($B11,MMWR_TRAD_AGG_STATE_COMP[],D$1,0),"ERROR")</f>
        <v>307.80540037240002</v>
      </c>
      <c r="E11" s="111">
        <f>IFERROR(VLOOKUP($B11,MMWR_TRAD_AGG_STATE_COMP[],E$1,0),"ERROR")</f>
        <v>1254</v>
      </c>
      <c r="F11" s="112">
        <f>IFERROR(VLOOKUP($B11,MMWR_TRAD_AGG_STATE_COMP[],F$1,0),"ERROR")</f>
        <v>171</v>
      </c>
      <c r="G11" s="113">
        <f t="shared" si="0"/>
        <v>0.13636363636363635</v>
      </c>
      <c r="H11" s="111">
        <f>IFERROR(VLOOKUP($B11,MMWR_TRAD_AGG_STATE_COMP[],H$1,0),"ERROR")</f>
        <v>2048</v>
      </c>
      <c r="I11" s="112">
        <f>IFERROR(VLOOKUP($B11,MMWR_TRAD_AGG_STATE_COMP[],I$1,0),"ERROR")</f>
        <v>872</v>
      </c>
      <c r="J11" s="114">
        <f t="shared" si="1"/>
        <v>0.42578125</v>
      </c>
      <c r="K11" s="111">
        <f>IFERROR(VLOOKUP($B11,MMWR_TRAD_AGG_STATE_COMP[],K$1,0),"ERROR")</f>
        <v>841</v>
      </c>
      <c r="L11" s="112">
        <f>IFERROR(VLOOKUP($B11,MMWR_TRAD_AGG_STATE_COMP[],L$1,0),"ERROR")</f>
        <v>666</v>
      </c>
      <c r="M11" s="114">
        <f t="shared" si="2"/>
        <v>0.79191438763376931</v>
      </c>
      <c r="N11" s="111">
        <f>IFERROR(VLOOKUP($B11,MMWR_TRAD_AGG_STATE_COMP[],N$1,0),"ERROR")</f>
        <v>464</v>
      </c>
      <c r="O11" s="112">
        <f>IFERROR(VLOOKUP($B11,MMWR_TRAD_AGG_STATE_COMP[],O$1,0),"ERROR")</f>
        <v>296</v>
      </c>
      <c r="P11" s="114">
        <f t="shared" si="3"/>
        <v>0.63793103448275867</v>
      </c>
      <c r="Q11" s="115">
        <f>IFERROR(VLOOKUP($B11,MMWR_TRAD_AGG_STATE_COMP[],Q$1,0),"ERROR")</f>
        <v>402</v>
      </c>
      <c r="R11" s="115">
        <f>IFERROR(VLOOKUP($B11,MMWR_TRAD_AGG_STATE_COMP[],R$1,0),"ERROR")</f>
        <v>2</v>
      </c>
      <c r="S11" s="115">
        <f>IFERROR(VLOOKUP($B11,MMWR_APP_STATE_COMP[],S$1,0),"ERROR")</f>
        <v>502</v>
      </c>
      <c r="T11" s="28"/>
    </row>
    <row r="12" spans="1:20" s="123" customFormat="1" x14ac:dyDescent="0.2">
      <c r="A12" s="107"/>
      <c r="B12" s="127" t="s">
        <v>375</v>
      </c>
      <c r="C12" s="109">
        <f>IFERROR(VLOOKUP($B12,MMWR_TRAD_AGG_STATE_COMP[],C$1,0),"ERROR")</f>
        <v>7916</v>
      </c>
      <c r="D12" s="110">
        <f>IFERROR(VLOOKUP($B12,MMWR_TRAD_AGG_STATE_COMP[],D$1,0),"ERROR")</f>
        <v>634.98155634160003</v>
      </c>
      <c r="E12" s="111">
        <f>IFERROR(VLOOKUP($B12,MMWR_TRAD_AGG_STATE_COMP[],E$1,0),"ERROR")</f>
        <v>6425</v>
      </c>
      <c r="F12" s="112">
        <f>IFERROR(VLOOKUP($B12,MMWR_TRAD_AGG_STATE_COMP[],F$1,0),"ERROR")</f>
        <v>1453</v>
      </c>
      <c r="G12" s="113">
        <f t="shared" si="0"/>
        <v>0.22614785992217898</v>
      </c>
      <c r="H12" s="111">
        <f>IFERROR(VLOOKUP($B12,MMWR_TRAD_AGG_STATE_COMP[],H$1,0),"ERROR")</f>
        <v>12262</v>
      </c>
      <c r="I12" s="112">
        <f>IFERROR(VLOOKUP($B12,MMWR_TRAD_AGG_STATE_COMP[],I$1,0),"ERROR")</f>
        <v>7588</v>
      </c>
      <c r="J12" s="114">
        <f t="shared" si="1"/>
        <v>0.61882237807861684</v>
      </c>
      <c r="K12" s="111">
        <f>IFERROR(VLOOKUP($B12,MMWR_TRAD_AGG_STATE_COMP[],K$1,0),"ERROR")</f>
        <v>4288</v>
      </c>
      <c r="L12" s="112">
        <f>IFERROR(VLOOKUP($B12,MMWR_TRAD_AGG_STATE_COMP[],L$1,0),"ERROR")</f>
        <v>3704</v>
      </c>
      <c r="M12" s="114">
        <f t="shared" si="2"/>
        <v>0.86380597014925375</v>
      </c>
      <c r="N12" s="111">
        <f>IFERROR(VLOOKUP($B12,MMWR_TRAD_AGG_STATE_COMP[],N$1,0),"ERROR")</f>
        <v>3275</v>
      </c>
      <c r="O12" s="112">
        <f>IFERROR(VLOOKUP($B12,MMWR_TRAD_AGG_STATE_COMP[],O$1,0),"ERROR")</f>
        <v>2334</v>
      </c>
      <c r="P12" s="114">
        <f t="shared" si="3"/>
        <v>0.71267175572519081</v>
      </c>
      <c r="Q12" s="115">
        <f>IFERROR(VLOOKUP($B12,MMWR_TRAD_AGG_STATE_COMP[],Q$1,0),"ERROR")</f>
        <v>524</v>
      </c>
      <c r="R12" s="115">
        <f>IFERROR(VLOOKUP($B12,MMWR_TRAD_AGG_STATE_COMP[],R$1,0),"ERROR")</f>
        <v>6</v>
      </c>
      <c r="S12" s="115">
        <f>IFERROR(VLOOKUP($B12,MMWR_APP_STATE_COMP[],S$1,0),"ERROR")</f>
        <v>5706</v>
      </c>
      <c r="T12" s="28"/>
    </row>
    <row r="13" spans="1:20" s="123" customFormat="1" x14ac:dyDescent="0.2">
      <c r="A13" s="107"/>
      <c r="B13" s="127" t="s">
        <v>370</v>
      </c>
      <c r="C13" s="109">
        <f>IFERROR(VLOOKUP($B13,MMWR_TRAD_AGG_STATE_COMP[],C$1,0),"ERROR")</f>
        <v>3348</v>
      </c>
      <c r="D13" s="110">
        <f>IFERROR(VLOOKUP($B13,MMWR_TRAD_AGG_STATE_COMP[],D$1,0),"ERROR")</f>
        <v>558.97968936680002</v>
      </c>
      <c r="E13" s="111">
        <f>IFERROR(VLOOKUP($B13,MMWR_TRAD_AGG_STATE_COMP[],E$1,0),"ERROR")</f>
        <v>4401</v>
      </c>
      <c r="F13" s="112">
        <f>IFERROR(VLOOKUP($B13,MMWR_TRAD_AGG_STATE_COMP[],F$1,0),"ERROR")</f>
        <v>897</v>
      </c>
      <c r="G13" s="113">
        <f t="shared" si="0"/>
        <v>0.20381731424676211</v>
      </c>
      <c r="H13" s="111">
        <f>IFERROR(VLOOKUP($B13,MMWR_TRAD_AGG_STATE_COMP[],H$1,0),"ERROR")</f>
        <v>7548</v>
      </c>
      <c r="I13" s="112">
        <f>IFERROR(VLOOKUP($B13,MMWR_TRAD_AGG_STATE_COMP[],I$1,0),"ERROR")</f>
        <v>3675</v>
      </c>
      <c r="J13" s="114">
        <f t="shared" si="1"/>
        <v>0.48688394276629571</v>
      </c>
      <c r="K13" s="111">
        <f>IFERROR(VLOOKUP($B13,MMWR_TRAD_AGG_STATE_COMP[],K$1,0),"ERROR")</f>
        <v>2609</v>
      </c>
      <c r="L13" s="112">
        <f>IFERROR(VLOOKUP($B13,MMWR_TRAD_AGG_STATE_COMP[],L$1,0),"ERROR")</f>
        <v>2143</v>
      </c>
      <c r="M13" s="114">
        <f t="shared" si="2"/>
        <v>0.82138750479110767</v>
      </c>
      <c r="N13" s="111">
        <f>IFERROR(VLOOKUP($B13,MMWR_TRAD_AGG_STATE_COMP[],N$1,0),"ERROR")</f>
        <v>1279</v>
      </c>
      <c r="O13" s="112">
        <f>IFERROR(VLOOKUP($B13,MMWR_TRAD_AGG_STATE_COMP[],O$1,0),"ERROR")</f>
        <v>939</v>
      </c>
      <c r="P13" s="114">
        <f t="shared" si="3"/>
        <v>0.73416731821735726</v>
      </c>
      <c r="Q13" s="115">
        <f>IFERROR(VLOOKUP($B13,MMWR_TRAD_AGG_STATE_COMP[],Q$1,0),"ERROR")</f>
        <v>829</v>
      </c>
      <c r="R13" s="115">
        <f>IFERROR(VLOOKUP($B13,MMWR_TRAD_AGG_STATE_COMP[],R$1,0),"ERROR")</f>
        <v>13</v>
      </c>
      <c r="S13" s="115">
        <f>IFERROR(VLOOKUP($B13,MMWR_APP_STATE_COMP[],S$1,0),"ERROR")</f>
        <v>3342</v>
      </c>
      <c r="T13" s="28"/>
    </row>
    <row r="14" spans="1:20" s="123" customFormat="1" x14ac:dyDescent="0.2">
      <c r="A14" s="107"/>
      <c r="B14" s="127" t="s">
        <v>414</v>
      </c>
      <c r="C14" s="109">
        <f>IFERROR(VLOOKUP($B14,MMWR_TRAD_AGG_STATE_COMP[],C$1,0),"ERROR")</f>
        <v>984</v>
      </c>
      <c r="D14" s="110">
        <f>IFERROR(VLOOKUP($B14,MMWR_TRAD_AGG_STATE_COMP[],D$1,0),"ERROR")</f>
        <v>254.92174796750001</v>
      </c>
      <c r="E14" s="111">
        <f>IFERROR(VLOOKUP($B14,MMWR_TRAD_AGG_STATE_COMP[],E$1,0),"ERROR")</f>
        <v>1314</v>
      </c>
      <c r="F14" s="112">
        <f>IFERROR(VLOOKUP($B14,MMWR_TRAD_AGG_STATE_COMP[],F$1,0),"ERROR")</f>
        <v>216</v>
      </c>
      <c r="G14" s="113">
        <f t="shared" si="0"/>
        <v>0.16438356164383561</v>
      </c>
      <c r="H14" s="111">
        <f>IFERROR(VLOOKUP($B14,MMWR_TRAD_AGG_STATE_COMP[],H$1,0),"ERROR")</f>
        <v>2013</v>
      </c>
      <c r="I14" s="112">
        <f>IFERROR(VLOOKUP($B14,MMWR_TRAD_AGG_STATE_COMP[],I$1,0),"ERROR")</f>
        <v>838</v>
      </c>
      <c r="J14" s="114">
        <f t="shared" si="1"/>
        <v>0.41629408842523596</v>
      </c>
      <c r="K14" s="111">
        <f>IFERROR(VLOOKUP($B14,MMWR_TRAD_AGG_STATE_COMP[],K$1,0),"ERROR")</f>
        <v>380</v>
      </c>
      <c r="L14" s="112">
        <f>IFERROR(VLOOKUP($B14,MMWR_TRAD_AGG_STATE_COMP[],L$1,0),"ERROR")</f>
        <v>260</v>
      </c>
      <c r="M14" s="114">
        <f t="shared" si="2"/>
        <v>0.68421052631578949</v>
      </c>
      <c r="N14" s="111">
        <f>IFERROR(VLOOKUP($B14,MMWR_TRAD_AGG_STATE_COMP[],N$1,0),"ERROR")</f>
        <v>348</v>
      </c>
      <c r="O14" s="112">
        <f>IFERROR(VLOOKUP($B14,MMWR_TRAD_AGG_STATE_COMP[],O$1,0),"ERROR")</f>
        <v>194</v>
      </c>
      <c r="P14" s="114">
        <f t="shared" si="3"/>
        <v>0.55747126436781613</v>
      </c>
      <c r="Q14" s="115">
        <f>IFERROR(VLOOKUP($B14,MMWR_TRAD_AGG_STATE_COMP[],Q$1,0),"ERROR")</f>
        <v>207</v>
      </c>
      <c r="R14" s="115">
        <f>IFERROR(VLOOKUP($B14,MMWR_TRAD_AGG_STATE_COMP[],R$1,0),"ERROR")</f>
        <v>4</v>
      </c>
      <c r="S14" s="115">
        <f>IFERROR(VLOOKUP($B14,MMWR_APP_STATE_COMP[],S$1,0),"ERROR")</f>
        <v>599</v>
      </c>
      <c r="T14" s="28"/>
    </row>
    <row r="15" spans="1:20" s="123" customFormat="1" x14ac:dyDescent="0.2">
      <c r="A15" s="107"/>
      <c r="B15" s="127" t="s">
        <v>373</v>
      </c>
      <c r="C15" s="109">
        <f>IFERROR(VLOOKUP($B15,MMWR_TRAD_AGG_STATE_COMP[],C$1,0),"ERROR")</f>
        <v>1534</v>
      </c>
      <c r="D15" s="110">
        <f>IFERROR(VLOOKUP($B15,MMWR_TRAD_AGG_STATE_COMP[],D$1,0),"ERROR")</f>
        <v>327.89439374189999</v>
      </c>
      <c r="E15" s="111">
        <f>IFERROR(VLOOKUP($B15,MMWR_TRAD_AGG_STATE_COMP[],E$1,0),"ERROR")</f>
        <v>4554</v>
      </c>
      <c r="F15" s="112">
        <f>IFERROR(VLOOKUP($B15,MMWR_TRAD_AGG_STATE_COMP[],F$1,0),"ERROR")</f>
        <v>1219</v>
      </c>
      <c r="G15" s="113">
        <f t="shared" si="0"/>
        <v>0.26767676767676768</v>
      </c>
      <c r="H15" s="111">
        <f>IFERROR(VLOOKUP($B15,MMWR_TRAD_AGG_STATE_COMP[],H$1,0),"ERROR")</f>
        <v>4220</v>
      </c>
      <c r="I15" s="112">
        <f>IFERROR(VLOOKUP($B15,MMWR_TRAD_AGG_STATE_COMP[],I$1,0),"ERROR")</f>
        <v>1598</v>
      </c>
      <c r="J15" s="114">
        <f t="shared" si="1"/>
        <v>0.37867298578199055</v>
      </c>
      <c r="K15" s="111">
        <f>IFERROR(VLOOKUP($B15,MMWR_TRAD_AGG_STATE_COMP[],K$1,0),"ERROR")</f>
        <v>1349</v>
      </c>
      <c r="L15" s="112">
        <f>IFERROR(VLOOKUP($B15,MMWR_TRAD_AGG_STATE_COMP[],L$1,0),"ERROR")</f>
        <v>1130</v>
      </c>
      <c r="M15" s="114">
        <f t="shared" si="2"/>
        <v>0.83765752409191996</v>
      </c>
      <c r="N15" s="111">
        <f>IFERROR(VLOOKUP($B15,MMWR_TRAD_AGG_STATE_COMP[],N$1,0),"ERROR")</f>
        <v>2451</v>
      </c>
      <c r="O15" s="112">
        <f>IFERROR(VLOOKUP($B15,MMWR_TRAD_AGG_STATE_COMP[],O$1,0),"ERROR")</f>
        <v>1810</v>
      </c>
      <c r="P15" s="114">
        <f t="shared" si="3"/>
        <v>0.73847409220726234</v>
      </c>
      <c r="Q15" s="115">
        <f>IFERROR(VLOOKUP($B15,MMWR_TRAD_AGG_STATE_COMP[],Q$1,0),"ERROR")</f>
        <v>846</v>
      </c>
      <c r="R15" s="115">
        <f>IFERROR(VLOOKUP($B15,MMWR_TRAD_AGG_STATE_COMP[],R$1,0),"ERROR")</f>
        <v>5</v>
      </c>
      <c r="S15" s="115">
        <f>IFERROR(VLOOKUP($B15,MMWR_APP_STATE_COMP[],S$1,0),"ERROR")</f>
        <v>3827</v>
      </c>
      <c r="T15" s="28"/>
    </row>
    <row r="16" spans="1:20" s="123" customFormat="1" x14ac:dyDescent="0.2">
      <c r="A16" s="107"/>
      <c r="B16" s="127" t="s">
        <v>60</v>
      </c>
      <c r="C16" s="109">
        <f>IFERROR(VLOOKUP($B16,MMWR_TRAD_AGG_STATE_COMP[],C$1,0),"ERROR")</f>
        <v>3384</v>
      </c>
      <c r="D16" s="110">
        <f>IFERROR(VLOOKUP($B16,MMWR_TRAD_AGG_STATE_COMP[],D$1,0),"ERROR")</f>
        <v>284.7041962175</v>
      </c>
      <c r="E16" s="111">
        <f>IFERROR(VLOOKUP($B16,MMWR_TRAD_AGG_STATE_COMP[],E$1,0),"ERROR")</f>
        <v>9234</v>
      </c>
      <c r="F16" s="112">
        <f>IFERROR(VLOOKUP($B16,MMWR_TRAD_AGG_STATE_COMP[],F$1,0),"ERROR")</f>
        <v>2208</v>
      </c>
      <c r="G16" s="113">
        <f t="shared" si="0"/>
        <v>0.23911630929174787</v>
      </c>
      <c r="H16" s="111">
        <f>IFERROR(VLOOKUP($B16,MMWR_TRAD_AGG_STATE_COMP[],H$1,0),"ERROR")</f>
        <v>9272</v>
      </c>
      <c r="I16" s="112">
        <f>IFERROR(VLOOKUP($B16,MMWR_TRAD_AGG_STATE_COMP[],I$1,0),"ERROR")</f>
        <v>3575</v>
      </c>
      <c r="J16" s="114">
        <f t="shared" si="1"/>
        <v>0.38556945642795515</v>
      </c>
      <c r="K16" s="111">
        <f>IFERROR(VLOOKUP($B16,MMWR_TRAD_AGG_STATE_COMP[],K$1,0),"ERROR")</f>
        <v>3197</v>
      </c>
      <c r="L16" s="112">
        <f>IFERROR(VLOOKUP($B16,MMWR_TRAD_AGG_STATE_COMP[],L$1,0),"ERROR")</f>
        <v>2533</v>
      </c>
      <c r="M16" s="114">
        <f t="shared" si="2"/>
        <v>0.79230528620581797</v>
      </c>
      <c r="N16" s="111">
        <f>IFERROR(VLOOKUP($B16,MMWR_TRAD_AGG_STATE_COMP[],N$1,0),"ERROR")</f>
        <v>6137</v>
      </c>
      <c r="O16" s="112">
        <f>IFERROR(VLOOKUP($B16,MMWR_TRAD_AGG_STATE_COMP[],O$1,0),"ERROR")</f>
        <v>4347</v>
      </c>
      <c r="P16" s="114">
        <f t="shared" si="3"/>
        <v>0.70832654391396443</v>
      </c>
      <c r="Q16" s="115">
        <f>IFERROR(VLOOKUP($B16,MMWR_TRAD_AGG_STATE_COMP[],Q$1,0),"ERROR")</f>
        <v>1746</v>
      </c>
      <c r="R16" s="115">
        <f>IFERROR(VLOOKUP($B16,MMWR_TRAD_AGG_STATE_COMP[],R$1,0),"ERROR")</f>
        <v>10</v>
      </c>
      <c r="S16" s="115">
        <f>IFERROR(VLOOKUP($B16,MMWR_APP_STATE_COMP[],S$1,0),"ERROR")</f>
        <v>5476</v>
      </c>
      <c r="T16" s="28"/>
    </row>
    <row r="17" spans="1:20" s="123" customFormat="1" x14ac:dyDescent="0.2">
      <c r="A17" s="107"/>
      <c r="B17" s="127" t="s">
        <v>381</v>
      </c>
      <c r="C17" s="109">
        <f>IFERROR(VLOOKUP($B17,MMWR_TRAD_AGG_STATE_COMP[],C$1,0),"ERROR")</f>
        <v>13148</v>
      </c>
      <c r="D17" s="110">
        <f>IFERROR(VLOOKUP($B17,MMWR_TRAD_AGG_STATE_COMP[],D$1,0),"ERROR")</f>
        <v>350.32058107699999</v>
      </c>
      <c r="E17" s="111">
        <f>IFERROR(VLOOKUP($B17,MMWR_TRAD_AGG_STATE_COMP[],E$1,0),"ERROR")</f>
        <v>17842</v>
      </c>
      <c r="F17" s="112">
        <f>IFERROR(VLOOKUP($B17,MMWR_TRAD_AGG_STATE_COMP[],F$1,0),"ERROR")</f>
        <v>4119</v>
      </c>
      <c r="G17" s="113">
        <f t="shared" si="0"/>
        <v>0.23085976908418337</v>
      </c>
      <c r="H17" s="111">
        <f>IFERROR(VLOOKUP($B17,MMWR_TRAD_AGG_STATE_COMP[],H$1,0),"ERROR")</f>
        <v>20621</v>
      </c>
      <c r="I17" s="112">
        <f>IFERROR(VLOOKUP($B17,MMWR_TRAD_AGG_STATE_COMP[],I$1,0),"ERROR")</f>
        <v>11624</v>
      </c>
      <c r="J17" s="114">
        <f t="shared" si="1"/>
        <v>0.56369720188157701</v>
      </c>
      <c r="K17" s="111">
        <f>IFERROR(VLOOKUP($B17,MMWR_TRAD_AGG_STATE_COMP[],K$1,0),"ERROR")</f>
        <v>8972</v>
      </c>
      <c r="L17" s="112">
        <f>IFERROR(VLOOKUP($B17,MMWR_TRAD_AGG_STATE_COMP[],L$1,0),"ERROR")</f>
        <v>7112</v>
      </c>
      <c r="M17" s="114">
        <f t="shared" si="2"/>
        <v>0.79268836379848417</v>
      </c>
      <c r="N17" s="111">
        <f>IFERROR(VLOOKUP($B17,MMWR_TRAD_AGG_STATE_COMP[],N$1,0),"ERROR")</f>
        <v>7569</v>
      </c>
      <c r="O17" s="112">
        <f>IFERROR(VLOOKUP($B17,MMWR_TRAD_AGG_STATE_COMP[],O$1,0),"ERROR")</f>
        <v>5200</v>
      </c>
      <c r="P17" s="114">
        <f t="shared" si="3"/>
        <v>0.68701281543136483</v>
      </c>
      <c r="Q17" s="115">
        <f>IFERROR(VLOOKUP($B17,MMWR_TRAD_AGG_STATE_COMP[],Q$1,0),"ERROR")</f>
        <v>1285</v>
      </c>
      <c r="R17" s="115">
        <f>IFERROR(VLOOKUP($B17,MMWR_TRAD_AGG_STATE_COMP[],R$1,0),"ERROR")</f>
        <v>43</v>
      </c>
      <c r="S17" s="115">
        <f>IFERROR(VLOOKUP($B17,MMWR_APP_STATE_COMP[],S$1,0),"ERROR")</f>
        <v>9415</v>
      </c>
      <c r="T17" s="28"/>
    </row>
    <row r="18" spans="1:20" s="123" customFormat="1" x14ac:dyDescent="0.2">
      <c r="A18" s="107"/>
      <c r="B18" s="127" t="s">
        <v>374</v>
      </c>
      <c r="C18" s="109">
        <f>IFERROR(VLOOKUP($B18,MMWR_TRAD_AGG_STATE_COMP[],C$1,0),"ERROR")</f>
        <v>5026</v>
      </c>
      <c r="D18" s="110">
        <f>IFERROR(VLOOKUP($B18,MMWR_TRAD_AGG_STATE_COMP[],D$1,0),"ERROR")</f>
        <v>376.50457620370003</v>
      </c>
      <c r="E18" s="111">
        <f>IFERROR(VLOOKUP($B18,MMWR_TRAD_AGG_STATE_COMP[],E$1,0),"ERROR")</f>
        <v>9758</v>
      </c>
      <c r="F18" s="112">
        <f>IFERROR(VLOOKUP($B18,MMWR_TRAD_AGG_STATE_COMP[],F$1,0),"ERROR")</f>
        <v>2846</v>
      </c>
      <c r="G18" s="113">
        <f t="shared" si="0"/>
        <v>0.29165812666530028</v>
      </c>
      <c r="H18" s="111">
        <f>IFERROR(VLOOKUP($B18,MMWR_TRAD_AGG_STATE_COMP[],H$1,0),"ERROR")</f>
        <v>11392</v>
      </c>
      <c r="I18" s="112">
        <f>IFERROR(VLOOKUP($B18,MMWR_TRAD_AGG_STATE_COMP[],I$1,0),"ERROR")</f>
        <v>5445</v>
      </c>
      <c r="J18" s="114">
        <f t="shared" si="1"/>
        <v>0.47796699438202245</v>
      </c>
      <c r="K18" s="111">
        <f>IFERROR(VLOOKUP($B18,MMWR_TRAD_AGG_STATE_COMP[],K$1,0),"ERROR")</f>
        <v>2396</v>
      </c>
      <c r="L18" s="112">
        <f>IFERROR(VLOOKUP($B18,MMWR_TRAD_AGG_STATE_COMP[],L$1,0),"ERROR")</f>
        <v>1984</v>
      </c>
      <c r="M18" s="114">
        <f t="shared" si="2"/>
        <v>0.82804674457429051</v>
      </c>
      <c r="N18" s="111">
        <f>IFERROR(VLOOKUP($B18,MMWR_TRAD_AGG_STATE_COMP[],N$1,0),"ERROR")</f>
        <v>6468</v>
      </c>
      <c r="O18" s="112">
        <f>IFERROR(VLOOKUP($B18,MMWR_TRAD_AGG_STATE_COMP[],O$1,0),"ERROR")</f>
        <v>5260</v>
      </c>
      <c r="P18" s="114">
        <f t="shared" si="3"/>
        <v>0.81323438466295606</v>
      </c>
      <c r="Q18" s="115">
        <f>IFERROR(VLOOKUP($B18,MMWR_TRAD_AGG_STATE_COMP[],Q$1,0),"ERROR")</f>
        <v>1677</v>
      </c>
      <c r="R18" s="115">
        <f>IFERROR(VLOOKUP($B18,MMWR_TRAD_AGG_STATE_COMP[],R$1,0),"ERROR")</f>
        <v>16</v>
      </c>
      <c r="S18" s="115">
        <f>IFERROR(VLOOKUP($B18,MMWR_APP_STATE_COMP[],S$1,0),"ERROR")</f>
        <v>7229</v>
      </c>
      <c r="T18" s="28"/>
    </row>
    <row r="19" spans="1:20" s="123" customFormat="1" x14ac:dyDescent="0.2">
      <c r="A19" s="107"/>
      <c r="B19" s="127" t="s">
        <v>371</v>
      </c>
      <c r="C19" s="109">
        <f>IFERROR(VLOOKUP($B19,MMWR_TRAD_AGG_STATE_COMP[],C$1,0),"ERROR")</f>
        <v>234</v>
      </c>
      <c r="D19" s="110">
        <f>IFERROR(VLOOKUP($B19,MMWR_TRAD_AGG_STATE_COMP[],D$1,0),"ERROR")</f>
        <v>241.01709401709999</v>
      </c>
      <c r="E19" s="111">
        <f>IFERROR(VLOOKUP($B19,MMWR_TRAD_AGG_STATE_COMP[],E$1,0),"ERROR")</f>
        <v>921</v>
      </c>
      <c r="F19" s="112">
        <f>IFERROR(VLOOKUP($B19,MMWR_TRAD_AGG_STATE_COMP[],F$1,0),"ERROR")</f>
        <v>170</v>
      </c>
      <c r="G19" s="113">
        <f t="shared" si="0"/>
        <v>0.18458197611292074</v>
      </c>
      <c r="H19" s="111">
        <f>IFERROR(VLOOKUP($B19,MMWR_TRAD_AGG_STATE_COMP[],H$1,0),"ERROR")</f>
        <v>1019</v>
      </c>
      <c r="I19" s="112">
        <f>IFERROR(VLOOKUP($B19,MMWR_TRAD_AGG_STATE_COMP[],I$1,0),"ERROR")</f>
        <v>246</v>
      </c>
      <c r="J19" s="114">
        <f t="shared" si="1"/>
        <v>0.24141315014720313</v>
      </c>
      <c r="K19" s="111">
        <f>IFERROR(VLOOKUP($B19,MMWR_TRAD_AGG_STATE_COMP[],K$1,0),"ERROR")</f>
        <v>218</v>
      </c>
      <c r="L19" s="112">
        <f>IFERROR(VLOOKUP($B19,MMWR_TRAD_AGG_STATE_COMP[],L$1,0),"ERROR")</f>
        <v>164</v>
      </c>
      <c r="M19" s="114">
        <f t="shared" si="2"/>
        <v>0.75229357798165142</v>
      </c>
      <c r="N19" s="111">
        <f>IFERROR(VLOOKUP($B19,MMWR_TRAD_AGG_STATE_COMP[],N$1,0),"ERROR")</f>
        <v>227</v>
      </c>
      <c r="O19" s="112">
        <f>IFERROR(VLOOKUP($B19,MMWR_TRAD_AGG_STATE_COMP[],O$1,0),"ERROR")</f>
        <v>131</v>
      </c>
      <c r="P19" s="114">
        <f t="shared" si="3"/>
        <v>0.5770925110132159</v>
      </c>
      <c r="Q19" s="115">
        <f>IFERROR(VLOOKUP($B19,MMWR_TRAD_AGG_STATE_COMP[],Q$1,0),"ERROR")</f>
        <v>198</v>
      </c>
      <c r="R19" s="115">
        <f>IFERROR(VLOOKUP($B19,MMWR_TRAD_AGG_STATE_COMP[],R$1,0),"ERROR")</f>
        <v>3</v>
      </c>
      <c r="S19" s="115">
        <f>IFERROR(VLOOKUP($B19,MMWR_APP_STATE_COMP[],S$1,0),"ERROR")</f>
        <v>298</v>
      </c>
      <c r="T19" s="28"/>
    </row>
    <row r="20" spans="1:20" s="123" customFormat="1" x14ac:dyDescent="0.2">
      <c r="A20" s="107"/>
      <c r="B20" s="127" t="s">
        <v>416</v>
      </c>
      <c r="C20" s="109">
        <f>IFERROR(VLOOKUP($B20,MMWR_TRAD_AGG_STATE_COMP[],C$1,0),"ERROR")</f>
        <v>412</v>
      </c>
      <c r="D20" s="110">
        <f>IFERROR(VLOOKUP($B20,MMWR_TRAD_AGG_STATE_COMP[],D$1,0),"ERROR")</f>
        <v>335.604368932</v>
      </c>
      <c r="E20" s="111">
        <f>IFERROR(VLOOKUP($B20,MMWR_TRAD_AGG_STATE_COMP[],E$1,0),"ERROR")</f>
        <v>532</v>
      </c>
      <c r="F20" s="112">
        <f>IFERROR(VLOOKUP($B20,MMWR_TRAD_AGG_STATE_COMP[],F$1,0),"ERROR")</f>
        <v>125</v>
      </c>
      <c r="G20" s="113">
        <f t="shared" si="0"/>
        <v>0.23496240601503759</v>
      </c>
      <c r="H20" s="111">
        <f>IFERROR(VLOOKUP($B20,MMWR_TRAD_AGG_STATE_COMP[],H$1,0),"ERROR")</f>
        <v>1054</v>
      </c>
      <c r="I20" s="112">
        <f>IFERROR(VLOOKUP($B20,MMWR_TRAD_AGG_STATE_COMP[],I$1,0),"ERROR")</f>
        <v>414</v>
      </c>
      <c r="J20" s="114">
        <f t="shared" si="1"/>
        <v>0.39278937381404172</v>
      </c>
      <c r="K20" s="111">
        <f>IFERROR(VLOOKUP($B20,MMWR_TRAD_AGG_STATE_COMP[],K$1,0),"ERROR")</f>
        <v>240</v>
      </c>
      <c r="L20" s="112">
        <f>IFERROR(VLOOKUP($B20,MMWR_TRAD_AGG_STATE_COMP[],L$1,0),"ERROR")</f>
        <v>185</v>
      </c>
      <c r="M20" s="114">
        <f t="shared" si="2"/>
        <v>0.77083333333333337</v>
      </c>
      <c r="N20" s="111">
        <f>IFERROR(VLOOKUP($B20,MMWR_TRAD_AGG_STATE_COMP[],N$1,0),"ERROR")</f>
        <v>192</v>
      </c>
      <c r="O20" s="112">
        <f>IFERROR(VLOOKUP($B20,MMWR_TRAD_AGG_STATE_COMP[],O$1,0),"ERROR")</f>
        <v>109</v>
      </c>
      <c r="P20" s="114">
        <f t="shared" si="3"/>
        <v>0.56770833333333337</v>
      </c>
      <c r="Q20" s="115">
        <f>IFERROR(VLOOKUP($B20,MMWR_TRAD_AGG_STATE_COMP[],Q$1,0),"ERROR")</f>
        <v>78</v>
      </c>
      <c r="R20" s="115">
        <f>IFERROR(VLOOKUP($B20,MMWR_TRAD_AGG_STATE_COMP[],R$1,0),"ERROR")</f>
        <v>2</v>
      </c>
      <c r="S20" s="115">
        <f>IFERROR(VLOOKUP($B20,MMWR_APP_STATE_COMP[],S$1,0),"ERROR")</f>
        <v>116</v>
      </c>
      <c r="T20" s="28"/>
    </row>
    <row r="21" spans="1:20" s="123" customFormat="1" x14ac:dyDescent="0.2">
      <c r="A21" s="107"/>
      <c r="B21" s="127" t="s">
        <v>377</v>
      </c>
      <c r="C21" s="109">
        <f>IFERROR(VLOOKUP($B21,MMWR_TRAD_AGG_STATE_COMP[],C$1,0),"ERROR")</f>
        <v>14974</v>
      </c>
      <c r="D21" s="110">
        <f>IFERROR(VLOOKUP($B21,MMWR_TRAD_AGG_STATE_COMP[],D$1,0),"ERROR")</f>
        <v>329.52537732069999</v>
      </c>
      <c r="E21" s="111">
        <f>IFERROR(VLOOKUP($B21,MMWR_TRAD_AGG_STATE_COMP[],E$1,0),"ERROR")</f>
        <v>12607</v>
      </c>
      <c r="F21" s="112">
        <f>IFERROR(VLOOKUP($B21,MMWR_TRAD_AGG_STATE_COMP[],F$1,0),"ERROR")</f>
        <v>2196</v>
      </c>
      <c r="G21" s="113">
        <f t="shared" si="0"/>
        <v>0.17418894265090823</v>
      </c>
      <c r="H21" s="111">
        <f>IFERROR(VLOOKUP($B21,MMWR_TRAD_AGG_STATE_COMP[],H$1,0),"ERROR")</f>
        <v>22741</v>
      </c>
      <c r="I21" s="112">
        <f>IFERROR(VLOOKUP($B21,MMWR_TRAD_AGG_STATE_COMP[],I$1,0),"ERROR")</f>
        <v>11284</v>
      </c>
      <c r="J21" s="114">
        <f t="shared" si="1"/>
        <v>0.49619629743634847</v>
      </c>
      <c r="K21" s="111">
        <f>IFERROR(VLOOKUP($B21,MMWR_TRAD_AGG_STATE_COMP[],K$1,0),"ERROR")</f>
        <v>8422</v>
      </c>
      <c r="L21" s="112">
        <f>IFERROR(VLOOKUP($B21,MMWR_TRAD_AGG_STATE_COMP[],L$1,0),"ERROR")</f>
        <v>6673</v>
      </c>
      <c r="M21" s="114">
        <f t="shared" si="2"/>
        <v>0.79232961291854664</v>
      </c>
      <c r="N21" s="111">
        <f>IFERROR(VLOOKUP($B21,MMWR_TRAD_AGG_STATE_COMP[],N$1,0),"ERROR")</f>
        <v>7934</v>
      </c>
      <c r="O21" s="112">
        <f>IFERROR(VLOOKUP($B21,MMWR_TRAD_AGG_STATE_COMP[],O$1,0),"ERROR")</f>
        <v>6067</v>
      </c>
      <c r="P21" s="114">
        <f t="shared" si="3"/>
        <v>0.76468364003024958</v>
      </c>
      <c r="Q21" s="115">
        <f>IFERROR(VLOOKUP($B21,MMWR_TRAD_AGG_STATE_COMP[],Q$1,0),"ERROR")</f>
        <v>1119</v>
      </c>
      <c r="R21" s="115">
        <f>IFERROR(VLOOKUP($B21,MMWR_TRAD_AGG_STATE_COMP[],R$1,0),"ERROR")</f>
        <v>24</v>
      </c>
      <c r="S21" s="115">
        <f>IFERROR(VLOOKUP($B21,MMWR_APP_STATE_COMP[],S$1,0),"ERROR")</f>
        <v>15241</v>
      </c>
      <c r="T21" s="28"/>
    </row>
    <row r="22" spans="1:20" s="123" customFormat="1" x14ac:dyDescent="0.2">
      <c r="A22" s="107"/>
      <c r="B22" s="127" t="s">
        <v>378</v>
      </c>
      <c r="C22" s="109">
        <f>IFERROR(VLOOKUP($B22,MMWR_TRAD_AGG_STATE_COMP[],C$1,0),"ERROR")</f>
        <v>1914</v>
      </c>
      <c r="D22" s="110">
        <f>IFERROR(VLOOKUP($B22,MMWR_TRAD_AGG_STATE_COMP[],D$1,0),"ERROR")</f>
        <v>288.44043887150002</v>
      </c>
      <c r="E22" s="111">
        <f>IFERROR(VLOOKUP($B22,MMWR_TRAD_AGG_STATE_COMP[],E$1,0),"ERROR")</f>
        <v>2488</v>
      </c>
      <c r="F22" s="112">
        <f>IFERROR(VLOOKUP($B22,MMWR_TRAD_AGG_STATE_COMP[],F$1,0),"ERROR")</f>
        <v>449</v>
      </c>
      <c r="G22" s="113">
        <f t="shared" si="0"/>
        <v>0.18046623794212219</v>
      </c>
      <c r="H22" s="111">
        <f>IFERROR(VLOOKUP($B22,MMWR_TRAD_AGG_STATE_COMP[],H$1,0),"ERROR")</f>
        <v>3468</v>
      </c>
      <c r="I22" s="112">
        <f>IFERROR(VLOOKUP($B22,MMWR_TRAD_AGG_STATE_COMP[],I$1,0),"ERROR")</f>
        <v>1833</v>
      </c>
      <c r="J22" s="114">
        <f t="shared" si="1"/>
        <v>0.52854671280276821</v>
      </c>
      <c r="K22" s="111">
        <f>IFERROR(VLOOKUP($B22,MMWR_TRAD_AGG_STATE_COMP[],K$1,0),"ERROR")</f>
        <v>487</v>
      </c>
      <c r="L22" s="112">
        <f>IFERROR(VLOOKUP($B22,MMWR_TRAD_AGG_STATE_COMP[],L$1,0),"ERROR")</f>
        <v>361</v>
      </c>
      <c r="M22" s="114">
        <f t="shared" si="2"/>
        <v>0.74127310061601648</v>
      </c>
      <c r="N22" s="111">
        <f>IFERROR(VLOOKUP($B22,MMWR_TRAD_AGG_STATE_COMP[],N$1,0),"ERROR")</f>
        <v>1574</v>
      </c>
      <c r="O22" s="112">
        <f>IFERROR(VLOOKUP($B22,MMWR_TRAD_AGG_STATE_COMP[],O$1,0),"ERROR")</f>
        <v>1086</v>
      </c>
      <c r="P22" s="114">
        <f t="shared" si="3"/>
        <v>0.68996188055908514</v>
      </c>
      <c r="Q22" s="115">
        <f>IFERROR(VLOOKUP($B22,MMWR_TRAD_AGG_STATE_COMP[],Q$1,0),"ERROR")</f>
        <v>399</v>
      </c>
      <c r="R22" s="115">
        <f>IFERROR(VLOOKUP($B22,MMWR_TRAD_AGG_STATE_COMP[],R$1,0),"ERROR")</f>
        <v>5</v>
      </c>
      <c r="S22" s="115">
        <f>IFERROR(VLOOKUP($B22,MMWR_APP_STATE_COMP[],S$1,0),"ERROR")</f>
        <v>2444</v>
      </c>
      <c r="T22" s="28"/>
    </row>
    <row r="23" spans="1:20" s="123" customFormat="1" x14ac:dyDescent="0.2">
      <c r="A23" s="107"/>
      <c r="B23" s="126" t="s">
        <v>389</v>
      </c>
      <c r="C23" s="102">
        <f>IF(SUM(C24:C35)&lt;&gt;VLOOKUP($B23,MMWR_TRAD_AGG_ST_DISTRICT_COMP[],C$1,0),"ERROR",
VLOOKUP($B23,MMWR_TRAD_AGG_ST_DISTRICT_COMP[],C$1,0))</f>
        <v>29180</v>
      </c>
      <c r="D23" s="103">
        <f>IFERROR(VLOOKUP($B23,MMWR_TRAD_AGG_ST_DISTRICT_COMP[],D$1,0),"ERROR")</f>
        <v>379.14345442080003</v>
      </c>
      <c r="E23" s="102">
        <f>IF(SUM(E24:E35)&lt;&gt;VLOOKUP($B23,MMWR_TRAD_AGG_ST_DISTRICT_COMP[],E$1,0),"ERROR",
VLOOKUP($B23,MMWR_TRAD_AGG_ST_DISTRICT_COMP[],E$1,0))</f>
        <v>53610</v>
      </c>
      <c r="F23" s="102">
        <f>IF(SUM(F24:F35)&lt;&gt;VLOOKUP($B23,MMWR_TRAD_AGG_ST_DISTRICT_COMP[],F$1,0),"ERROR",
VLOOKUP($B23,MMWR_TRAD_AGG_ST_DISTRICT_COMP[],F$1,0))</f>
        <v>10553</v>
      </c>
      <c r="G23" s="104">
        <f t="shared" si="0"/>
        <v>0.19684760305913077</v>
      </c>
      <c r="H23" s="102">
        <f>IF(SUM(H24:H35)&lt;&gt;VLOOKUP($B23,MMWR_TRAD_AGG_ST_DISTRICT_COMP[],H$1,0),"ERROR",
VLOOKUP($B23,MMWR_TRAD_AGG_ST_DISTRICT_COMP[],H$1,0))</f>
        <v>65200</v>
      </c>
      <c r="I23" s="102">
        <f>IF(SUM(I24:I35)&lt;&gt;VLOOKUP($B23,MMWR_TRAD_AGG_ST_DISTRICT_COMP[],I$1,0),"ERROR",
VLOOKUP($B23,MMWR_TRAD_AGG_ST_DISTRICT_COMP[],I$1,0))</f>
        <v>27138</v>
      </c>
      <c r="J23" s="105">
        <f t="shared" si="1"/>
        <v>0.41622699386503065</v>
      </c>
      <c r="K23" s="102">
        <f>IF(SUM(K24:K35)&lt;&gt;VLOOKUP($B23,MMWR_TRAD_AGG_ST_DISTRICT_COMP[],K$1,0),"ERROR",
VLOOKUP($B23,MMWR_TRAD_AGG_ST_DISTRICT_COMP[],K$1,0))</f>
        <v>17152</v>
      </c>
      <c r="L23" s="102">
        <f>IF(SUM(L24:L35)&lt;&gt;VLOOKUP($B23,MMWR_TRAD_AGG_ST_DISTRICT_COMP[],L$1,0),"ERROR",
VLOOKUP($B23,MMWR_TRAD_AGG_ST_DISTRICT_COMP[],L$1,0))</f>
        <v>13418</v>
      </c>
      <c r="M23" s="105">
        <f t="shared" si="2"/>
        <v>0.78229944029850751</v>
      </c>
      <c r="N23" s="102">
        <f>IF(SUM(N24:N35)&lt;&gt;VLOOKUP($B23,MMWR_TRAD_AGG_ST_DISTRICT_COMP[],N$1,0),"ERROR",
VLOOKUP($B23,MMWR_TRAD_AGG_ST_DISTRICT_COMP[],N$1,0))</f>
        <v>22780</v>
      </c>
      <c r="O23" s="102">
        <f>IF(SUM(O24:O35)&lt;&gt;VLOOKUP($B23,MMWR_TRAD_AGG_ST_DISTRICT_COMP[],O$1,0),"ERROR",
VLOOKUP($B23,MMWR_TRAD_AGG_ST_DISTRICT_COMP[],O$1,0))</f>
        <v>15291</v>
      </c>
      <c r="P23" s="105">
        <f t="shared" si="3"/>
        <v>0.67124670763827921</v>
      </c>
      <c r="Q23" s="102">
        <f>IF(SUM(Q24:Q35)&lt;&gt;VLOOKUP($B23,MMWR_TRAD_AGG_ST_DISTRICT_COMP[],Q$1,0),"ERROR",
VLOOKUP($B23,MMWR_TRAD_AGG_ST_DISTRICT_COMP[],Q$1,0))</f>
        <v>5323</v>
      </c>
      <c r="R23" s="102">
        <f>IF(SUM(R24:R35)&lt;&gt;VLOOKUP($B23,MMWR_TRAD_AGG_ST_DISTRICT_COMP[],R$1,0),"ERROR",
VLOOKUP($B23,MMWR_TRAD_AGG_ST_DISTRICT_COMP[],R$1,0))</f>
        <v>1137</v>
      </c>
      <c r="S23" s="106">
        <f>SUM(S24:S35)</f>
        <v>49883</v>
      </c>
      <c r="T23" s="28"/>
    </row>
    <row r="24" spans="1:20" s="123" customFormat="1" x14ac:dyDescent="0.2">
      <c r="A24" s="92"/>
      <c r="B24" s="127" t="s">
        <v>393</v>
      </c>
      <c r="C24" s="109">
        <f>IFERROR(VLOOKUP($B24,MMWR_TRAD_AGG_STATE_COMP[],C$1,0),"ERROR")</f>
        <v>5198</v>
      </c>
      <c r="D24" s="110">
        <f>IFERROR(VLOOKUP($B24,MMWR_TRAD_AGG_STATE_COMP[],D$1,0),"ERROR")</f>
        <v>449.36937283570001</v>
      </c>
      <c r="E24" s="111">
        <f>IFERROR(VLOOKUP($B24,MMWR_TRAD_AGG_STATE_COMP[],E$1,0),"ERROR")</f>
        <v>7846</v>
      </c>
      <c r="F24" s="112">
        <f>IFERROR(VLOOKUP($B24,MMWR_TRAD_AGG_STATE_COMP[],F$1,0),"ERROR")</f>
        <v>1860</v>
      </c>
      <c r="G24" s="113">
        <f t="shared" si="0"/>
        <v>0.23706347183278104</v>
      </c>
      <c r="H24" s="111">
        <f>IFERROR(VLOOKUP($B24,MMWR_TRAD_AGG_STATE_COMP[],H$1,0),"ERROR")</f>
        <v>9514</v>
      </c>
      <c r="I24" s="112">
        <f>IFERROR(VLOOKUP($B24,MMWR_TRAD_AGG_STATE_COMP[],I$1,0),"ERROR")</f>
        <v>5142</v>
      </c>
      <c r="J24" s="114">
        <f t="shared" si="1"/>
        <v>0.54046668068110149</v>
      </c>
      <c r="K24" s="111">
        <f>IFERROR(VLOOKUP($B24,MMWR_TRAD_AGG_STATE_COMP[],K$1,0),"ERROR")</f>
        <v>2281</v>
      </c>
      <c r="L24" s="112">
        <f>IFERROR(VLOOKUP($B24,MMWR_TRAD_AGG_STATE_COMP[],L$1,0),"ERROR")</f>
        <v>2002</v>
      </c>
      <c r="M24" s="114">
        <f t="shared" si="2"/>
        <v>0.87768522577816743</v>
      </c>
      <c r="N24" s="111">
        <f>IFERROR(VLOOKUP($B24,MMWR_TRAD_AGG_STATE_COMP[],N$1,0),"ERROR")</f>
        <v>3300</v>
      </c>
      <c r="O24" s="112">
        <f>IFERROR(VLOOKUP($B24,MMWR_TRAD_AGG_STATE_COMP[],O$1,0),"ERROR")</f>
        <v>2059</v>
      </c>
      <c r="P24" s="114">
        <f t="shared" si="3"/>
        <v>0.6239393939393939</v>
      </c>
      <c r="Q24" s="115">
        <f>IFERROR(VLOOKUP($B24,MMWR_TRAD_AGG_STATE_COMP[],Q$1,0),"ERROR")</f>
        <v>932</v>
      </c>
      <c r="R24" s="115">
        <f>IFERROR(VLOOKUP($B24,MMWR_TRAD_AGG_STATE_COMP[],R$1,0),"ERROR")</f>
        <v>219</v>
      </c>
      <c r="S24" s="115">
        <f>IFERROR(VLOOKUP($B24,MMWR_APP_STATE_COMP[],S$1,0),"ERROR")</f>
        <v>8375</v>
      </c>
      <c r="T24" s="28"/>
    </row>
    <row r="25" spans="1:20" s="123" customFormat="1" x14ac:dyDescent="0.2">
      <c r="A25" s="107"/>
      <c r="B25" s="127" t="s">
        <v>391</v>
      </c>
      <c r="C25" s="109">
        <f>IFERROR(VLOOKUP($B25,MMWR_TRAD_AGG_STATE_COMP[],C$1,0),"ERROR")</f>
        <v>4316</v>
      </c>
      <c r="D25" s="110">
        <f>IFERROR(VLOOKUP($B25,MMWR_TRAD_AGG_STATE_COMP[],D$1,0),"ERROR")</f>
        <v>618.55676552360001</v>
      </c>
      <c r="E25" s="111">
        <f>IFERROR(VLOOKUP($B25,MMWR_TRAD_AGG_STATE_COMP[],E$1,0),"ERROR")</f>
        <v>5120</v>
      </c>
      <c r="F25" s="112">
        <f>IFERROR(VLOOKUP($B25,MMWR_TRAD_AGG_STATE_COMP[],F$1,0),"ERROR")</f>
        <v>932</v>
      </c>
      <c r="G25" s="113">
        <f t="shared" si="0"/>
        <v>0.18203125000000001</v>
      </c>
      <c r="H25" s="111">
        <f>IFERROR(VLOOKUP($B25,MMWR_TRAD_AGG_STATE_COMP[],H$1,0),"ERROR")</f>
        <v>9136</v>
      </c>
      <c r="I25" s="112">
        <f>IFERROR(VLOOKUP($B25,MMWR_TRAD_AGG_STATE_COMP[],I$1,0),"ERROR")</f>
        <v>5102</v>
      </c>
      <c r="J25" s="114">
        <f t="shared" si="1"/>
        <v>0.55845008756567427</v>
      </c>
      <c r="K25" s="111">
        <f>IFERROR(VLOOKUP($B25,MMWR_TRAD_AGG_STATE_COMP[],K$1,0),"ERROR")</f>
        <v>2703</v>
      </c>
      <c r="L25" s="112">
        <f>IFERROR(VLOOKUP($B25,MMWR_TRAD_AGG_STATE_COMP[],L$1,0),"ERROR")</f>
        <v>2297</v>
      </c>
      <c r="M25" s="114">
        <f t="shared" si="2"/>
        <v>0.84979652238253789</v>
      </c>
      <c r="N25" s="111">
        <f>IFERROR(VLOOKUP($B25,MMWR_TRAD_AGG_STATE_COMP[],N$1,0),"ERROR")</f>
        <v>3010</v>
      </c>
      <c r="O25" s="112">
        <f>IFERROR(VLOOKUP($B25,MMWR_TRAD_AGG_STATE_COMP[],O$1,0),"ERROR")</f>
        <v>2271</v>
      </c>
      <c r="P25" s="114">
        <f t="shared" si="3"/>
        <v>0.75448504983388709</v>
      </c>
      <c r="Q25" s="115">
        <f>IFERROR(VLOOKUP($B25,MMWR_TRAD_AGG_STATE_COMP[],Q$1,0),"ERROR")</f>
        <v>691</v>
      </c>
      <c r="R25" s="115">
        <f>IFERROR(VLOOKUP($B25,MMWR_TRAD_AGG_STATE_COMP[],R$1,0),"ERROR")</f>
        <v>236</v>
      </c>
      <c r="S25" s="115">
        <f>IFERROR(VLOOKUP($B25,MMWR_APP_STATE_COMP[],S$1,0),"ERROR")</f>
        <v>8138</v>
      </c>
      <c r="T25" s="28"/>
    </row>
    <row r="26" spans="1:20" s="123" customFormat="1" x14ac:dyDescent="0.2">
      <c r="A26" s="107"/>
      <c r="B26" s="127" t="s">
        <v>398</v>
      </c>
      <c r="C26" s="109">
        <f>IFERROR(VLOOKUP($B26,MMWR_TRAD_AGG_STATE_COMP[],C$1,0),"ERROR")</f>
        <v>815</v>
      </c>
      <c r="D26" s="110">
        <f>IFERROR(VLOOKUP($B26,MMWR_TRAD_AGG_STATE_COMP[],D$1,0),"ERROR")</f>
        <v>186.87975460120001</v>
      </c>
      <c r="E26" s="111">
        <f>IFERROR(VLOOKUP($B26,MMWR_TRAD_AGG_STATE_COMP[],E$1,0),"ERROR")</f>
        <v>2761</v>
      </c>
      <c r="F26" s="112">
        <f>IFERROR(VLOOKUP($B26,MMWR_TRAD_AGG_STATE_COMP[],F$1,0),"ERROR")</f>
        <v>401</v>
      </c>
      <c r="G26" s="113">
        <f t="shared" si="0"/>
        <v>0.14523723288663529</v>
      </c>
      <c r="H26" s="111">
        <f>IFERROR(VLOOKUP($B26,MMWR_TRAD_AGG_STATE_COMP[],H$1,0),"ERROR")</f>
        <v>2426</v>
      </c>
      <c r="I26" s="112">
        <f>IFERROR(VLOOKUP($B26,MMWR_TRAD_AGG_STATE_COMP[],I$1,0),"ERROR")</f>
        <v>439</v>
      </c>
      <c r="J26" s="114">
        <f t="shared" si="1"/>
        <v>0.18095630667765869</v>
      </c>
      <c r="K26" s="111">
        <f>IFERROR(VLOOKUP($B26,MMWR_TRAD_AGG_STATE_COMP[],K$1,0),"ERROR")</f>
        <v>338</v>
      </c>
      <c r="L26" s="112">
        <f>IFERROR(VLOOKUP($B26,MMWR_TRAD_AGG_STATE_COMP[],L$1,0),"ERROR")</f>
        <v>214</v>
      </c>
      <c r="M26" s="114">
        <f t="shared" si="2"/>
        <v>0.63313609467455623</v>
      </c>
      <c r="N26" s="111">
        <f>IFERROR(VLOOKUP($B26,MMWR_TRAD_AGG_STATE_COMP[],N$1,0),"ERROR")</f>
        <v>567</v>
      </c>
      <c r="O26" s="112">
        <f>IFERROR(VLOOKUP($B26,MMWR_TRAD_AGG_STATE_COMP[],O$1,0),"ERROR")</f>
        <v>329</v>
      </c>
      <c r="P26" s="114">
        <f t="shared" si="3"/>
        <v>0.58024691358024694</v>
      </c>
      <c r="Q26" s="115">
        <f>IFERROR(VLOOKUP($B26,MMWR_TRAD_AGG_STATE_COMP[],Q$1,0),"ERROR")</f>
        <v>3</v>
      </c>
      <c r="R26" s="115">
        <f>IFERROR(VLOOKUP($B26,MMWR_TRAD_AGG_STATE_COMP[],R$1,0),"ERROR")</f>
        <v>10</v>
      </c>
      <c r="S26" s="115">
        <f>IFERROR(VLOOKUP($B26,MMWR_APP_STATE_COMP[],S$1,0),"ERROR")</f>
        <v>1529</v>
      </c>
      <c r="T26" s="28"/>
    </row>
    <row r="27" spans="1:20" s="123" customFormat="1" x14ac:dyDescent="0.2">
      <c r="A27" s="107"/>
      <c r="B27" s="127" t="s">
        <v>421</v>
      </c>
      <c r="C27" s="109">
        <f>IFERROR(VLOOKUP($B27,MMWR_TRAD_AGG_STATE_COMP[],C$1,0),"ERROR")</f>
        <v>1664</v>
      </c>
      <c r="D27" s="110">
        <f>IFERROR(VLOOKUP($B27,MMWR_TRAD_AGG_STATE_COMP[],D$1,0),"ERROR")</f>
        <v>227.2103365385</v>
      </c>
      <c r="E27" s="111">
        <f>IFERROR(VLOOKUP($B27,MMWR_TRAD_AGG_STATE_COMP[],E$1,0),"ERROR")</f>
        <v>2382</v>
      </c>
      <c r="F27" s="112">
        <f>IFERROR(VLOOKUP($B27,MMWR_TRAD_AGG_STATE_COMP[],F$1,0),"ERROR")</f>
        <v>385</v>
      </c>
      <c r="G27" s="113">
        <f t="shared" si="0"/>
        <v>0.1616288832913518</v>
      </c>
      <c r="H27" s="111">
        <f>IFERROR(VLOOKUP($B27,MMWR_TRAD_AGG_STATE_COMP[],H$1,0),"ERROR")</f>
        <v>3358</v>
      </c>
      <c r="I27" s="112">
        <f>IFERROR(VLOOKUP($B27,MMWR_TRAD_AGG_STATE_COMP[],I$1,0),"ERROR")</f>
        <v>1277</v>
      </c>
      <c r="J27" s="114">
        <f t="shared" si="1"/>
        <v>0.38028588445503275</v>
      </c>
      <c r="K27" s="111">
        <f>IFERROR(VLOOKUP($B27,MMWR_TRAD_AGG_STATE_COMP[],K$1,0),"ERROR")</f>
        <v>1079</v>
      </c>
      <c r="L27" s="112">
        <f>IFERROR(VLOOKUP($B27,MMWR_TRAD_AGG_STATE_COMP[],L$1,0),"ERROR")</f>
        <v>579</v>
      </c>
      <c r="M27" s="114">
        <f t="shared" si="2"/>
        <v>0.53660797034291008</v>
      </c>
      <c r="N27" s="111">
        <f>IFERROR(VLOOKUP($B27,MMWR_TRAD_AGG_STATE_COMP[],N$1,0),"ERROR")</f>
        <v>848</v>
      </c>
      <c r="O27" s="112">
        <f>IFERROR(VLOOKUP($B27,MMWR_TRAD_AGG_STATE_COMP[],O$1,0),"ERROR")</f>
        <v>517</v>
      </c>
      <c r="P27" s="114">
        <f t="shared" si="3"/>
        <v>0.60966981132075471</v>
      </c>
      <c r="Q27" s="115">
        <f>IFERROR(VLOOKUP($B27,MMWR_TRAD_AGG_STATE_COMP[],Q$1,0),"ERROR")</f>
        <v>4</v>
      </c>
      <c r="R27" s="115">
        <f>IFERROR(VLOOKUP($B27,MMWR_TRAD_AGG_STATE_COMP[],R$1,0),"ERROR")</f>
        <v>15</v>
      </c>
      <c r="S27" s="115">
        <f>IFERROR(VLOOKUP($B27,MMWR_APP_STATE_COMP[],S$1,0),"ERROR")</f>
        <v>1363</v>
      </c>
      <c r="T27" s="28"/>
    </row>
    <row r="28" spans="1:20" s="123" customFormat="1" x14ac:dyDescent="0.2">
      <c r="A28" s="107"/>
      <c r="B28" s="127" t="s">
        <v>394</v>
      </c>
      <c r="C28" s="109">
        <f>IFERROR(VLOOKUP($B28,MMWR_TRAD_AGG_STATE_COMP[],C$1,0),"ERROR")</f>
        <v>3025</v>
      </c>
      <c r="D28" s="110">
        <f>IFERROR(VLOOKUP($B28,MMWR_TRAD_AGG_STATE_COMP[],D$1,0),"ERROR")</f>
        <v>371.13421487599999</v>
      </c>
      <c r="E28" s="111">
        <f>IFERROR(VLOOKUP($B28,MMWR_TRAD_AGG_STATE_COMP[],E$1,0),"ERROR")</f>
        <v>7878</v>
      </c>
      <c r="F28" s="112">
        <f>IFERROR(VLOOKUP($B28,MMWR_TRAD_AGG_STATE_COMP[],F$1,0),"ERROR")</f>
        <v>1881</v>
      </c>
      <c r="G28" s="113">
        <f t="shared" si="0"/>
        <v>0.23876618431073876</v>
      </c>
      <c r="H28" s="111">
        <f>IFERROR(VLOOKUP($B28,MMWR_TRAD_AGG_STATE_COMP[],H$1,0),"ERROR")</f>
        <v>7814</v>
      </c>
      <c r="I28" s="112">
        <f>IFERROR(VLOOKUP($B28,MMWR_TRAD_AGG_STATE_COMP[],I$1,0),"ERROR")</f>
        <v>3704</v>
      </c>
      <c r="J28" s="114">
        <f t="shared" si="1"/>
        <v>0.47402098797030973</v>
      </c>
      <c r="K28" s="111">
        <f>IFERROR(VLOOKUP($B28,MMWR_TRAD_AGG_STATE_COMP[],K$1,0),"ERROR")</f>
        <v>2128</v>
      </c>
      <c r="L28" s="112">
        <f>IFERROR(VLOOKUP($B28,MMWR_TRAD_AGG_STATE_COMP[],L$1,0),"ERROR")</f>
        <v>1809</v>
      </c>
      <c r="M28" s="114">
        <f t="shared" si="2"/>
        <v>0.85009398496240607</v>
      </c>
      <c r="N28" s="111">
        <f>IFERROR(VLOOKUP($B28,MMWR_TRAD_AGG_STATE_COMP[],N$1,0),"ERROR")</f>
        <v>2835</v>
      </c>
      <c r="O28" s="112">
        <f>IFERROR(VLOOKUP($B28,MMWR_TRAD_AGG_STATE_COMP[],O$1,0),"ERROR")</f>
        <v>1616</v>
      </c>
      <c r="P28" s="114">
        <f t="shared" si="3"/>
        <v>0.57001763668430339</v>
      </c>
      <c r="Q28" s="115">
        <f>IFERROR(VLOOKUP($B28,MMWR_TRAD_AGG_STATE_COMP[],Q$1,0),"ERROR")</f>
        <v>1010</v>
      </c>
      <c r="R28" s="115">
        <f>IFERROR(VLOOKUP($B28,MMWR_TRAD_AGG_STATE_COMP[],R$1,0),"ERROR")</f>
        <v>231</v>
      </c>
      <c r="S28" s="115">
        <f>IFERROR(VLOOKUP($B28,MMWR_APP_STATE_COMP[],S$1,0),"ERROR")</f>
        <v>5003</v>
      </c>
      <c r="T28" s="28"/>
    </row>
    <row r="29" spans="1:20" s="123" customFormat="1" x14ac:dyDescent="0.2">
      <c r="A29" s="107"/>
      <c r="B29" s="127" t="s">
        <v>400</v>
      </c>
      <c r="C29" s="109">
        <f>IFERROR(VLOOKUP($B29,MMWR_TRAD_AGG_STATE_COMP[],C$1,0),"ERROR")</f>
        <v>1482</v>
      </c>
      <c r="D29" s="110">
        <f>IFERROR(VLOOKUP($B29,MMWR_TRAD_AGG_STATE_COMP[],D$1,0),"ERROR")</f>
        <v>176.70310391359999</v>
      </c>
      <c r="E29" s="111">
        <f>IFERROR(VLOOKUP($B29,MMWR_TRAD_AGG_STATE_COMP[],E$1,0),"ERROR")</f>
        <v>5196</v>
      </c>
      <c r="F29" s="112">
        <f>IFERROR(VLOOKUP($B29,MMWR_TRAD_AGG_STATE_COMP[],F$1,0),"ERROR")</f>
        <v>747</v>
      </c>
      <c r="G29" s="113">
        <f t="shared" si="0"/>
        <v>0.14376443418013857</v>
      </c>
      <c r="H29" s="111">
        <f>IFERROR(VLOOKUP($B29,MMWR_TRAD_AGG_STATE_COMP[],H$1,0),"ERROR")</f>
        <v>5356</v>
      </c>
      <c r="I29" s="112">
        <f>IFERROR(VLOOKUP($B29,MMWR_TRAD_AGG_STATE_COMP[],I$1,0),"ERROR")</f>
        <v>890</v>
      </c>
      <c r="J29" s="114">
        <f t="shared" si="1"/>
        <v>0.16616878267363705</v>
      </c>
      <c r="K29" s="111">
        <f>IFERROR(VLOOKUP($B29,MMWR_TRAD_AGG_STATE_COMP[],K$1,0),"ERROR")</f>
        <v>1105</v>
      </c>
      <c r="L29" s="112">
        <f>IFERROR(VLOOKUP($B29,MMWR_TRAD_AGG_STATE_COMP[],L$1,0),"ERROR")</f>
        <v>569</v>
      </c>
      <c r="M29" s="114">
        <f t="shared" si="2"/>
        <v>0.51493212669683253</v>
      </c>
      <c r="N29" s="111">
        <f>IFERROR(VLOOKUP($B29,MMWR_TRAD_AGG_STATE_COMP[],N$1,0),"ERROR")</f>
        <v>1167</v>
      </c>
      <c r="O29" s="112">
        <f>IFERROR(VLOOKUP($B29,MMWR_TRAD_AGG_STATE_COMP[],O$1,0),"ERROR")</f>
        <v>708</v>
      </c>
      <c r="P29" s="114">
        <f t="shared" si="3"/>
        <v>0.60668380462724936</v>
      </c>
      <c r="Q29" s="115">
        <f>IFERROR(VLOOKUP($B29,MMWR_TRAD_AGG_STATE_COMP[],Q$1,0),"ERROR")</f>
        <v>9</v>
      </c>
      <c r="R29" s="115">
        <f>IFERROR(VLOOKUP($B29,MMWR_TRAD_AGG_STATE_COMP[],R$1,0),"ERROR")</f>
        <v>5</v>
      </c>
      <c r="S29" s="115">
        <f>IFERROR(VLOOKUP($B29,MMWR_APP_STATE_COMP[],S$1,0),"ERROR")</f>
        <v>2035</v>
      </c>
      <c r="T29" s="28"/>
    </row>
    <row r="30" spans="1:20" s="123" customFormat="1" x14ac:dyDescent="0.2">
      <c r="A30" s="107"/>
      <c r="B30" s="127" t="s">
        <v>396</v>
      </c>
      <c r="C30" s="109">
        <f>IFERROR(VLOOKUP($B30,MMWR_TRAD_AGG_STATE_COMP[],C$1,0),"ERROR")</f>
        <v>3627</v>
      </c>
      <c r="D30" s="110">
        <f>IFERROR(VLOOKUP($B30,MMWR_TRAD_AGG_STATE_COMP[],D$1,0),"ERROR")</f>
        <v>240.01902398679999</v>
      </c>
      <c r="E30" s="111">
        <f>IFERROR(VLOOKUP($B30,MMWR_TRAD_AGG_STATE_COMP[],E$1,0),"ERROR")</f>
        <v>6419</v>
      </c>
      <c r="F30" s="112">
        <f>IFERROR(VLOOKUP($B30,MMWR_TRAD_AGG_STATE_COMP[],F$1,0),"ERROR")</f>
        <v>1363</v>
      </c>
      <c r="G30" s="113">
        <f t="shared" si="0"/>
        <v>0.21233837046268889</v>
      </c>
      <c r="H30" s="111">
        <f>IFERROR(VLOOKUP($B30,MMWR_TRAD_AGG_STATE_COMP[],H$1,0),"ERROR")</f>
        <v>7627</v>
      </c>
      <c r="I30" s="112">
        <f>IFERROR(VLOOKUP($B30,MMWR_TRAD_AGG_STATE_COMP[],I$1,0),"ERROR")</f>
        <v>3254</v>
      </c>
      <c r="J30" s="114">
        <f t="shared" si="1"/>
        <v>0.42664219221187888</v>
      </c>
      <c r="K30" s="111">
        <f>IFERROR(VLOOKUP($B30,MMWR_TRAD_AGG_STATE_COMP[],K$1,0),"ERROR")</f>
        <v>2442</v>
      </c>
      <c r="L30" s="112">
        <f>IFERROR(VLOOKUP($B30,MMWR_TRAD_AGG_STATE_COMP[],L$1,0),"ERROR")</f>
        <v>2031</v>
      </c>
      <c r="M30" s="114">
        <f t="shared" si="2"/>
        <v>0.83169533169533172</v>
      </c>
      <c r="N30" s="111">
        <f>IFERROR(VLOOKUP($B30,MMWR_TRAD_AGG_STATE_COMP[],N$1,0),"ERROR")</f>
        <v>4598</v>
      </c>
      <c r="O30" s="112">
        <f>IFERROR(VLOOKUP($B30,MMWR_TRAD_AGG_STATE_COMP[],O$1,0),"ERROR")</f>
        <v>3399</v>
      </c>
      <c r="P30" s="114">
        <f t="shared" si="3"/>
        <v>0.73923444976076558</v>
      </c>
      <c r="Q30" s="115">
        <f>IFERROR(VLOOKUP($B30,MMWR_TRAD_AGG_STATE_COMP[],Q$1,0),"ERROR")</f>
        <v>908</v>
      </c>
      <c r="R30" s="115">
        <f>IFERROR(VLOOKUP($B30,MMWR_TRAD_AGG_STATE_COMP[],R$1,0),"ERROR")</f>
        <v>62</v>
      </c>
      <c r="S30" s="115">
        <f>IFERROR(VLOOKUP($B30,MMWR_APP_STATE_COMP[],S$1,0),"ERROR")</f>
        <v>6097</v>
      </c>
      <c r="T30" s="28"/>
    </row>
    <row r="31" spans="1:20" s="123" customFormat="1" x14ac:dyDescent="0.2">
      <c r="A31" s="107"/>
      <c r="B31" s="127" t="s">
        <v>399</v>
      </c>
      <c r="C31" s="109">
        <f>IFERROR(VLOOKUP($B31,MMWR_TRAD_AGG_STATE_COMP[],C$1,0),"ERROR")</f>
        <v>777</v>
      </c>
      <c r="D31" s="110">
        <f>IFERROR(VLOOKUP($B31,MMWR_TRAD_AGG_STATE_COMP[],D$1,0),"ERROR")</f>
        <v>176.0025740026</v>
      </c>
      <c r="E31" s="111">
        <f>IFERROR(VLOOKUP($B31,MMWR_TRAD_AGG_STATE_COMP[],E$1,0),"ERROR")</f>
        <v>1925</v>
      </c>
      <c r="F31" s="112">
        <f>IFERROR(VLOOKUP($B31,MMWR_TRAD_AGG_STATE_COMP[],F$1,0),"ERROR")</f>
        <v>238</v>
      </c>
      <c r="G31" s="113">
        <f t="shared" si="0"/>
        <v>0.12363636363636364</v>
      </c>
      <c r="H31" s="111">
        <f>IFERROR(VLOOKUP($B31,MMWR_TRAD_AGG_STATE_COMP[],H$1,0),"ERROR")</f>
        <v>2234</v>
      </c>
      <c r="I31" s="112">
        <f>IFERROR(VLOOKUP($B31,MMWR_TRAD_AGG_STATE_COMP[],I$1,0),"ERROR")</f>
        <v>454</v>
      </c>
      <c r="J31" s="114">
        <f t="shared" si="1"/>
        <v>0.20322291853178157</v>
      </c>
      <c r="K31" s="111">
        <f>IFERROR(VLOOKUP($B31,MMWR_TRAD_AGG_STATE_COMP[],K$1,0),"ERROR")</f>
        <v>711</v>
      </c>
      <c r="L31" s="112">
        <f>IFERROR(VLOOKUP($B31,MMWR_TRAD_AGG_STATE_COMP[],L$1,0),"ERROR")</f>
        <v>452</v>
      </c>
      <c r="M31" s="114">
        <f t="shared" si="2"/>
        <v>0.63572433192686362</v>
      </c>
      <c r="N31" s="111">
        <f>IFERROR(VLOOKUP($B31,MMWR_TRAD_AGG_STATE_COMP[],N$1,0),"ERROR")</f>
        <v>702</v>
      </c>
      <c r="O31" s="112">
        <f>IFERROR(VLOOKUP($B31,MMWR_TRAD_AGG_STATE_COMP[],O$1,0),"ERROR")</f>
        <v>361</v>
      </c>
      <c r="P31" s="114">
        <f t="shared" si="3"/>
        <v>0.51424501424501423</v>
      </c>
      <c r="Q31" s="115">
        <f>IFERROR(VLOOKUP($B31,MMWR_TRAD_AGG_STATE_COMP[],Q$1,0),"ERROR")</f>
        <v>5</v>
      </c>
      <c r="R31" s="115">
        <f>IFERROR(VLOOKUP($B31,MMWR_TRAD_AGG_STATE_COMP[],R$1,0),"ERROR")</f>
        <v>14</v>
      </c>
      <c r="S31" s="115">
        <f>IFERROR(VLOOKUP($B31,MMWR_APP_STATE_COMP[],S$1,0),"ERROR")</f>
        <v>1032</v>
      </c>
      <c r="T31" s="28"/>
    </row>
    <row r="32" spans="1:20" s="123" customFormat="1" x14ac:dyDescent="0.2">
      <c r="A32" s="107"/>
      <c r="B32" s="127" t="s">
        <v>418</v>
      </c>
      <c r="C32" s="109">
        <f>IFERROR(VLOOKUP($B32,MMWR_TRAD_AGG_STATE_COMP[],C$1,0),"ERROR")</f>
        <v>238</v>
      </c>
      <c r="D32" s="110">
        <f>IFERROR(VLOOKUP($B32,MMWR_TRAD_AGG_STATE_COMP[],D$1,0),"ERROR")</f>
        <v>149.90336134450001</v>
      </c>
      <c r="E32" s="111">
        <f>IFERROR(VLOOKUP($B32,MMWR_TRAD_AGG_STATE_COMP[],E$1,0),"ERROR")</f>
        <v>589</v>
      </c>
      <c r="F32" s="112">
        <f>IFERROR(VLOOKUP($B32,MMWR_TRAD_AGG_STATE_COMP[],F$1,0),"ERROR")</f>
        <v>88</v>
      </c>
      <c r="G32" s="113">
        <f t="shared" si="0"/>
        <v>0.14940577249575551</v>
      </c>
      <c r="H32" s="111">
        <f>IFERROR(VLOOKUP($B32,MMWR_TRAD_AGG_STATE_COMP[],H$1,0),"ERROR")</f>
        <v>885</v>
      </c>
      <c r="I32" s="112">
        <f>IFERROR(VLOOKUP($B32,MMWR_TRAD_AGG_STATE_COMP[],I$1,0),"ERROR")</f>
        <v>111</v>
      </c>
      <c r="J32" s="114">
        <f t="shared" si="1"/>
        <v>0.12542372881355932</v>
      </c>
      <c r="K32" s="111">
        <f>IFERROR(VLOOKUP($B32,MMWR_TRAD_AGG_STATE_COMP[],K$1,0),"ERROR")</f>
        <v>161</v>
      </c>
      <c r="L32" s="112">
        <f>IFERROR(VLOOKUP($B32,MMWR_TRAD_AGG_STATE_COMP[],L$1,0),"ERROR")</f>
        <v>76</v>
      </c>
      <c r="M32" s="114">
        <f t="shared" si="2"/>
        <v>0.47204968944099379</v>
      </c>
      <c r="N32" s="111">
        <f>IFERROR(VLOOKUP($B32,MMWR_TRAD_AGG_STATE_COMP[],N$1,0),"ERROR")</f>
        <v>153</v>
      </c>
      <c r="O32" s="112">
        <f>IFERROR(VLOOKUP($B32,MMWR_TRAD_AGG_STATE_COMP[],O$1,0),"ERROR")</f>
        <v>96</v>
      </c>
      <c r="P32" s="114">
        <f t="shared" si="3"/>
        <v>0.62745098039215685</v>
      </c>
      <c r="Q32" s="115">
        <f>IFERROR(VLOOKUP($B32,MMWR_TRAD_AGG_STATE_COMP[],Q$1,0),"ERROR")</f>
        <v>1</v>
      </c>
      <c r="R32" s="115">
        <f>IFERROR(VLOOKUP($B32,MMWR_TRAD_AGG_STATE_COMP[],R$1,0),"ERROR")</f>
        <v>2</v>
      </c>
      <c r="S32" s="115">
        <f>IFERROR(VLOOKUP($B32,MMWR_APP_STATE_COMP[],S$1,0),"ERROR")</f>
        <v>450</v>
      </c>
      <c r="T32" s="28"/>
    </row>
    <row r="33" spans="1:20" s="123" customFormat="1" x14ac:dyDescent="0.2">
      <c r="A33" s="107"/>
      <c r="B33" s="127" t="s">
        <v>390</v>
      </c>
      <c r="C33" s="109">
        <f>IFERROR(VLOOKUP($B33,MMWR_TRAD_AGG_STATE_COMP[],C$1,0),"ERROR")</f>
        <v>4677</v>
      </c>
      <c r="D33" s="110">
        <f>IFERROR(VLOOKUP($B33,MMWR_TRAD_AGG_STATE_COMP[],D$1,0),"ERROR")</f>
        <v>508.32178747059999</v>
      </c>
      <c r="E33" s="111">
        <f>IFERROR(VLOOKUP($B33,MMWR_TRAD_AGG_STATE_COMP[],E$1,0),"ERROR")</f>
        <v>8384</v>
      </c>
      <c r="F33" s="112">
        <f>IFERROR(VLOOKUP($B33,MMWR_TRAD_AGG_STATE_COMP[],F$1,0),"ERROR")</f>
        <v>1740</v>
      </c>
      <c r="G33" s="113">
        <f t="shared" si="0"/>
        <v>0.20753816793893129</v>
      </c>
      <c r="H33" s="111">
        <f>IFERROR(VLOOKUP($B33,MMWR_TRAD_AGG_STATE_COMP[],H$1,0),"ERROR")</f>
        <v>9724</v>
      </c>
      <c r="I33" s="112">
        <f>IFERROR(VLOOKUP($B33,MMWR_TRAD_AGG_STATE_COMP[],I$1,0),"ERROR")</f>
        <v>4560</v>
      </c>
      <c r="J33" s="114">
        <f t="shared" si="1"/>
        <v>0.46894282188399833</v>
      </c>
      <c r="K33" s="111">
        <f>IFERROR(VLOOKUP($B33,MMWR_TRAD_AGG_STATE_COMP[],K$1,0),"ERROR")</f>
        <v>2957</v>
      </c>
      <c r="L33" s="112">
        <f>IFERROR(VLOOKUP($B33,MMWR_TRAD_AGG_STATE_COMP[],L$1,0),"ERROR")</f>
        <v>2622</v>
      </c>
      <c r="M33" s="114">
        <f t="shared" si="2"/>
        <v>0.88670950287453498</v>
      </c>
      <c r="N33" s="111">
        <f>IFERROR(VLOOKUP($B33,MMWR_TRAD_AGG_STATE_COMP[],N$1,0),"ERROR")</f>
        <v>4366</v>
      </c>
      <c r="O33" s="112">
        <f>IFERROR(VLOOKUP($B33,MMWR_TRAD_AGG_STATE_COMP[],O$1,0),"ERROR")</f>
        <v>3177</v>
      </c>
      <c r="P33" s="114">
        <f t="shared" si="3"/>
        <v>0.72766834631241406</v>
      </c>
      <c r="Q33" s="115">
        <f>IFERROR(VLOOKUP($B33,MMWR_TRAD_AGG_STATE_COMP[],Q$1,0),"ERROR")</f>
        <v>1111</v>
      </c>
      <c r="R33" s="115">
        <f>IFERROR(VLOOKUP($B33,MMWR_TRAD_AGG_STATE_COMP[],R$1,0),"ERROR")</f>
        <v>337</v>
      </c>
      <c r="S33" s="115">
        <f>IFERROR(VLOOKUP($B33,MMWR_APP_STATE_COMP[],S$1,0),"ERROR")</f>
        <v>12492</v>
      </c>
      <c r="T33" s="28"/>
    </row>
    <row r="34" spans="1:20" s="123" customFormat="1" x14ac:dyDescent="0.2">
      <c r="A34" s="107"/>
      <c r="B34" s="127" t="s">
        <v>419</v>
      </c>
      <c r="C34" s="109">
        <f>IFERROR(VLOOKUP($B34,MMWR_TRAD_AGG_STATE_COMP[],C$1,0),"ERROR")</f>
        <v>337</v>
      </c>
      <c r="D34" s="110">
        <f>IFERROR(VLOOKUP($B34,MMWR_TRAD_AGG_STATE_COMP[],D$1,0),"ERROR")</f>
        <v>161.0652818991</v>
      </c>
      <c r="E34" s="111">
        <f>IFERROR(VLOOKUP($B34,MMWR_TRAD_AGG_STATE_COMP[],E$1,0),"ERROR")</f>
        <v>1057</v>
      </c>
      <c r="F34" s="112">
        <f>IFERROR(VLOOKUP($B34,MMWR_TRAD_AGG_STATE_COMP[],F$1,0),"ERROR")</f>
        <v>256</v>
      </c>
      <c r="G34" s="113">
        <f t="shared" si="0"/>
        <v>0.24219489120151372</v>
      </c>
      <c r="H34" s="111">
        <f>IFERROR(VLOOKUP($B34,MMWR_TRAD_AGG_STATE_COMP[],H$1,0),"ERROR")</f>
        <v>1170</v>
      </c>
      <c r="I34" s="112">
        <f>IFERROR(VLOOKUP($B34,MMWR_TRAD_AGG_STATE_COMP[],I$1,0),"ERROR")</f>
        <v>149</v>
      </c>
      <c r="J34" s="114">
        <f t="shared" si="1"/>
        <v>0.12735042735042734</v>
      </c>
      <c r="K34" s="111">
        <f>IFERROR(VLOOKUP($B34,MMWR_TRAD_AGG_STATE_COMP[],K$1,0),"ERROR")</f>
        <v>327</v>
      </c>
      <c r="L34" s="112">
        <f>IFERROR(VLOOKUP($B34,MMWR_TRAD_AGG_STATE_COMP[],L$1,0),"ERROR")</f>
        <v>129</v>
      </c>
      <c r="M34" s="114">
        <f t="shared" si="2"/>
        <v>0.39449541284403672</v>
      </c>
      <c r="N34" s="111">
        <f>IFERROR(VLOOKUP($B34,MMWR_TRAD_AGG_STATE_COMP[],N$1,0),"ERROR")</f>
        <v>181</v>
      </c>
      <c r="O34" s="112">
        <f>IFERROR(VLOOKUP($B34,MMWR_TRAD_AGG_STATE_COMP[],O$1,0),"ERROR")</f>
        <v>101</v>
      </c>
      <c r="P34" s="114">
        <f t="shared" si="3"/>
        <v>0.55801104972375692</v>
      </c>
      <c r="Q34" s="115">
        <f>IFERROR(VLOOKUP($B34,MMWR_TRAD_AGG_STATE_COMP[],Q$1,0),"ERROR")</f>
        <v>3</v>
      </c>
      <c r="R34" s="115">
        <f>IFERROR(VLOOKUP($B34,MMWR_TRAD_AGG_STATE_COMP[],R$1,0),"ERROR")</f>
        <v>0</v>
      </c>
      <c r="S34" s="115">
        <f>IFERROR(VLOOKUP($B34,MMWR_APP_STATE_COMP[],S$1,0),"ERROR")</f>
        <v>197</v>
      </c>
      <c r="T34" s="28"/>
    </row>
    <row r="35" spans="1:20" s="123" customFormat="1" x14ac:dyDescent="0.2">
      <c r="A35" s="107"/>
      <c r="B35" s="127" t="s">
        <v>395</v>
      </c>
      <c r="C35" s="109">
        <f>IFERROR(VLOOKUP($B35,MMWR_TRAD_AGG_STATE_COMP[],C$1,0),"ERROR")</f>
        <v>3024</v>
      </c>
      <c r="D35" s="110">
        <f>IFERROR(VLOOKUP($B35,MMWR_TRAD_AGG_STATE_COMP[],D$1,0),"ERROR")</f>
        <v>220.9897486772</v>
      </c>
      <c r="E35" s="111">
        <f>IFERROR(VLOOKUP($B35,MMWR_TRAD_AGG_STATE_COMP[],E$1,0),"ERROR")</f>
        <v>4053</v>
      </c>
      <c r="F35" s="112">
        <f>IFERROR(VLOOKUP($B35,MMWR_TRAD_AGG_STATE_COMP[],F$1,0),"ERROR")</f>
        <v>662</v>
      </c>
      <c r="G35" s="113">
        <f t="shared" si="0"/>
        <v>0.16333580064150013</v>
      </c>
      <c r="H35" s="111">
        <f>IFERROR(VLOOKUP($B35,MMWR_TRAD_AGG_STATE_COMP[],H$1,0),"ERROR")</f>
        <v>5956</v>
      </c>
      <c r="I35" s="112">
        <f>IFERROR(VLOOKUP($B35,MMWR_TRAD_AGG_STATE_COMP[],I$1,0),"ERROR")</f>
        <v>2056</v>
      </c>
      <c r="J35" s="114">
        <f t="shared" si="1"/>
        <v>0.34519811954331764</v>
      </c>
      <c r="K35" s="111">
        <f>IFERROR(VLOOKUP($B35,MMWR_TRAD_AGG_STATE_COMP[],K$1,0),"ERROR")</f>
        <v>920</v>
      </c>
      <c r="L35" s="112">
        <f>IFERROR(VLOOKUP($B35,MMWR_TRAD_AGG_STATE_COMP[],L$1,0),"ERROR")</f>
        <v>638</v>
      </c>
      <c r="M35" s="114">
        <f t="shared" si="2"/>
        <v>0.69347826086956521</v>
      </c>
      <c r="N35" s="111">
        <f>IFERROR(VLOOKUP($B35,MMWR_TRAD_AGG_STATE_COMP[],N$1,0),"ERROR")</f>
        <v>1053</v>
      </c>
      <c r="O35" s="112">
        <f>IFERROR(VLOOKUP($B35,MMWR_TRAD_AGG_STATE_COMP[],O$1,0),"ERROR")</f>
        <v>657</v>
      </c>
      <c r="P35" s="114">
        <f t="shared" si="3"/>
        <v>0.62393162393162394</v>
      </c>
      <c r="Q35" s="115">
        <f>IFERROR(VLOOKUP($B35,MMWR_TRAD_AGG_STATE_COMP[],Q$1,0),"ERROR")</f>
        <v>646</v>
      </c>
      <c r="R35" s="115">
        <f>IFERROR(VLOOKUP($B35,MMWR_TRAD_AGG_STATE_COMP[],R$1,0),"ERROR")</f>
        <v>6</v>
      </c>
      <c r="S35" s="115">
        <f>IFERROR(VLOOKUP($B35,MMWR_APP_STATE_COMP[],S$1,0),"ERROR")</f>
        <v>3172</v>
      </c>
      <c r="T35" s="28"/>
    </row>
    <row r="36" spans="1:20" s="123" customFormat="1" x14ac:dyDescent="0.2">
      <c r="A36" s="28"/>
      <c r="B36" s="126" t="s">
        <v>384</v>
      </c>
      <c r="C36" s="102">
        <f>IF(SUM(C37:C45)&lt;&gt;VLOOKUP($B36,MMWR_TRAD_AGG_ST_DISTRICT_COMP[],C$1,0),"ERROR",
VLOOKUP($B36,MMWR_TRAD_AGG_ST_DISTRICT_COMP[],C$1,0))</f>
        <v>40497</v>
      </c>
      <c r="D36" s="103">
        <f>IFERROR(VLOOKUP($B36,MMWR_TRAD_AGG_ST_DISTRICT_COMP[],D$1,0),"ERROR")</f>
        <v>332.10101982859999</v>
      </c>
      <c r="E36" s="102">
        <f>IFERROR(VLOOKUP($B36,MMWR_TRAD_AGG_ST_DISTRICT_COMP[],E$1,0),"ERROR")</f>
        <v>67106</v>
      </c>
      <c r="F36" s="102">
        <f>IFERROR(VLOOKUP($B36,MMWR_TRAD_AGG_ST_DISTRICT_COMP[],F$1,0),"ERROR")</f>
        <v>13179</v>
      </c>
      <c r="G36" s="104">
        <f t="shared" si="0"/>
        <v>0.19639078472863827</v>
      </c>
      <c r="H36" s="102">
        <f>IFERROR(VLOOKUP($B36,MMWR_TRAD_AGG_ST_DISTRICT_COMP[],H$1,0),"ERROR")</f>
        <v>80571</v>
      </c>
      <c r="I36" s="102">
        <f>IFERROR(VLOOKUP($B36,MMWR_TRAD_AGG_ST_DISTRICT_COMP[],I$1,0),"ERROR")</f>
        <v>36075</v>
      </c>
      <c r="J36" s="105">
        <f t="shared" si="1"/>
        <v>0.44774174330714522</v>
      </c>
      <c r="K36" s="102">
        <f>IFERROR(VLOOKUP($B36,MMWR_TRAD_AGG_ST_DISTRICT_COMP[],K$1,0),"ERROR")</f>
        <v>21621</v>
      </c>
      <c r="L36" s="102">
        <f>IFERROR(VLOOKUP($B36,MMWR_TRAD_AGG_ST_DISTRICT_COMP[],L$1,0),"ERROR")</f>
        <v>15709</v>
      </c>
      <c r="M36" s="105">
        <f t="shared" si="2"/>
        <v>0.72656213866148656</v>
      </c>
      <c r="N36" s="102">
        <f>IFERROR(VLOOKUP($B36,MMWR_TRAD_AGG_ST_DISTRICT_COMP[],N$1,0),"ERROR")</f>
        <v>33176</v>
      </c>
      <c r="O36" s="102">
        <f>IFERROR(VLOOKUP($B36,MMWR_TRAD_AGG_ST_DISTRICT_COMP[],O$1,0),"ERROR")</f>
        <v>20305</v>
      </c>
      <c r="P36" s="105">
        <f t="shared" si="3"/>
        <v>0.61203882324571979</v>
      </c>
      <c r="Q36" s="102">
        <f>IFERROR(VLOOKUP($B36,MMWR_TRAD_AGG_ST_DISTRICT_COMP[],Q$1,0),"ERROR")</f>
        <v>1262</v>
      </c>
      <c r="R36" s="106">
        <f>IFERROR(VLOOKUP($B36,MMWR_TRAD_AGG_ST_DISTRICT_COMP[],R$1,0),"ERROR")</f>
        <v>1158</v>
      </c>
      <c r="S36" s="106">
        <f>SUM(S37:S45)</f>
        <v>70176</v>
      </c>
      <c r="T36" s="28"/>
    </row>
    <row r="37" spans="1:20" s="123" customFormat="1" x14ac:dyDescent="0.2">
      <c r="A37" s="28"/>
      <c r="B37" s="127" t="s">
        <v>410</v>
      </c>
      <c r="C37" s="109">
        <f>IFERROR(VLOOKUP($B37,MMWR_TRAD_AGG_STATE_COMP[],C$1,0),"ERROR")</f>
        <v>3266</v>
      </c>
      <c r="D37" s="110">
        <f>IFERROR(VLOOKUP($B37,MMWR_TRAD_AGG_STATE_COMP[],D$1,0),"ERROR")</f>
        <v>269.97060624620002</v>
      </c>
      <c r="E37" s="111">
        <f>IFERROR(VLOOKUP($B37,MMWR_TRAD_AGG_STATE_COMP[],E$1,0),"ERROR")</f>
        <v>3528</v>
      </c>
      <c r="F37" s="112">
        <f>IFERROR(VLOOKUP($B37,MMWR_TRAD_AGG_STATE_COMP[],F$1,0),"ERROR")</f>
        <v>523</v>
      </c>
      <c r="G37" s="113">
        <f t="shared" si="0"/>
        <v>0.14824263038548752</v>
      </c>
      <c r="H37" s="111">
        <f>IFERROR(VLOOKUP($B37,MMWR_TRAD_AGG_STATE_COMP[],H$1,0),"ERROR")</f>
        <v>6225</v>
      </c>
      <c r="I37" s="112">
        <f>IFERROR(VLOOKUP($B37,MMWR_TRAD_AGG_STATE_COMP[],I$1,0),"ERROR")</f>
        <v>2543</v>
      </c>
      <c r="J37" s="114">
        <f t="shared" si="1"/>
        <v>0.40851405622489961</v>
      </c>
      <c r="K37" s="111">
        <f>IFERROR(VLOOKUP($B37,MMWR_TRAD_AGG_STATE_COMP[],K$1,0),"ERROR")</f>
        <v>2283</v>
      </c>
      <c r="L37" s="112">
        <f>IFERROR(VLOOKUP($B37,MMWR_TRAD_AGG_STATE_COMP[],L$1,0),"ERROR")</f>
        <v>1613</v>
      </c>
      <c r="M37" s="114">
        <f t="shared" si="2"/>
        <v>0.70652650021901009</v>
      </c>
      <c r="N37" s="111">
        <f>IFERROR(VLOOKUP($B37,MMWR_TRAD_AGG_STATE_COMP[],N$1,0),"ERROR")</f>
        <v>2745</v>
      </c>
      <c r="O37" s="112">
        <f>IFERROR(VLOOKUP($B37,MMWR_TRAD_AGG_STATE_COMP[],O$1,0),"ERROR")</f>
        <v>1761</v>
      </c>
      <c r="P37" s="114">
        <f t="shared" si="3"/>
        <v>0.64153005464480872</v>
      </c>
      <c r="Q37" s="115">
        <f>IFERROR(VLOOKUP($B37,MMWR_TRAD_AGG_STATE_COMP[],Q$1,0),"ERROR")</f>
        <v>432</v>
      </c>
      <c r="R37" s="115">
        <f>IFERROR(VLOOKUP($B37,MMWR_TRAD_AGG_STATE_COMP[],R$1,0),"ERROR")</f>
        <v>103</v>
      </c>
      <c r="S37" s="115">
        <f>IFERROR(VLOOKUP($B37,MMWR_APP_STATE_COMP[],S$1,0),"ERROR")</f>
        <v>5339</v>
      </c>
      <c r="T37" s="28"/>
    </row>
    <row r="38" spans="1:20" s="123" customFormat="1" x14ac:dyDescent="0.2">
      <c r="A38" s="28"/>
      <c r="B38" s="127" t="s">
        <v>402</v>
      </c>
      <c r="C38" s="109">
        <f>IFERROR(VLOOKUP($B38,MMWR_TRAD_AGG_STATE_COMP[],C$1,0),"ERROR")</f>
        <v>5163</v>
      </c>
      <c r="D38" s="110">
        <f>IFERROR(VLOOKUP($B38,MMWR_TRAD_AGG_STATE_COMP[],D$1,0),"ERROR")</f>
        <v>371.0433856285</v>
      </c>
      <c r="E38" s="111">
        <f>IFERROR(VLOOKUP($B38,MMWR_TRAD_AGG_STATE_COMP[],E$1,0),"ERROR")</f>
        <v>6241</v>
      </c>
      <c r="F38" s="112">
        <f>IFERROR(VLOOKUP($B38,MMWR_TRAD_AGG_STATE_COMP[],F$1,0),"ERROR")</f>
        <v>1318</v>
      </c>
      <c r="G38" s="113">
        <f t="shared" ref="G38:G64" si="4">IFERROR(F38/E38,"0%")</f>
        <v>0.21118410511136035</v>
      </c>
      <c r="H38" s="111">
        <f>IFERROR(VLOOKUP($B38,MMWR_TRAD_AGG_STATE_COMP[],H$1,0),"ERROR")</f>
        <v>10177</v>
      </c>
      <c r="I38" s="112">
        <f>IFERROR(VLOOKUP($B38,MMWR_TRAD_AGG_STATE_COMP[],I$1,0),"ERROR")</f>
        <v>4936</v>
      </c>
      <c r="J38" s="114">
        <f t="shared" ref="J38:J64" si="5">IFERROR(I38/H38,"0%")</f>
        <v>0.48501523042153877</v>
      </c>
      <c r="K38" s="111">
        <f>IFERROR(VLOOKUP($B38,MMWR_TRAD_AGG_STATE_COMP[],K$1,0),"ERROR")</f>
        <v>4001</v>
      </c>
      <c r="L38" s="112">
        <f>IFERROR(VLOOKUP($B38,MMWR_TRAD_AGG_STATE_COMP[],L$1,0),"ERROR")</f>
        <v>3278</v>
      </c>
      <c r="M38" s="114">
        <f t="shared" ref="M38:M64" si="6">IFERROR(L38/K38,"0%")</f>
        <v>0.81929517620594849</v>
      </c>
      <c r="N38" s="111">
        <f>IFERROR(VLOOKUP($B38,MMWR_TRAD_AGG_STATE_COMP[],N$1,0),"ERROR")</f>
        <v>1796</v>
      </c>
      <c r="O38" s="112">
        <f>IFERROR(VLOOKUP($B38,MMWR_TRAD_AGG_STATE_COMP[],O$1,0),"ERROR")</f>
        <v>1202</v>
      </c>
      <c r="P38" s="114">
        <f t="shared" ref="P38:P64" si="7">IFERROR(O38/N38,"0%")</f>
        <v>0.66926503340757237</v>
      </c>
      <c r="Q38" s="115">
        <f>IFERROR(VLOOKUP($B38,MMWR_TRAD_AGG_STATE_COMP[],Q$1,0),"ERROR")</f>
        <v>5</v>
      </c>
      <c r="R38" s="115">
        <f>IFERROR(VLOOKUP($B38,MMWR_TRAD_AGG_STATE_COMP[],R$1,0),"ERROR")</f>
        <v>58</v>
      </c>
      <c r="S38" s="115">
        <f>IFERROR(VLOOKUP($B38,MMWR_APP_STATE_COMP[],S$1,0),"ERROR")</f>
        <v>6703</v>
      </c>
      <c r="T38" s="28"/>
    </row>
    <row r="39" spans="1:20" s="123" customFormat="1" x14ac:dyDescent="0.2">
      <c r="A39" s="28"/>
      <c r="B39" s="127" t="s">
        <v>386</v>
      </c>
      <c r="C39" s="109">
        <f>IFERROR(VLOOKUP($B39,MMWR_TRAD_AGG_STATE_COMP[],C$1,0),"ERROR")</f>
        <v>3895</v>
      </c>
      <c r="D39" s="110">
        <f>IFERROR(VLOOKUP($B39,MMWR_TRAD_AGG_STATE_COMP[],D$1,0),"ERROR")</f>
        <v>407.34916559689998</v>
      </c>
      <c r="E39" s="111">
        <f>IFERROR(VLOOKUP($B39,MMWR_TRAD_AGG_STATE_COMP[],E$1,0),"ERROR")</f>
        <v>5533</v>
      </c>
      <c r="F39" s="112">
        <f>IFERROR(VLOOKUP($B39,MMWR_TRAD_AGG_STATE_COMP[],F$1,0),"ERROR")</f>
        <v>1083</v>
      </c>
      <c r="G39" s="113">
        <f t="shared" si="4"/>
        <v>0.19573468281221759</v>
      </c>
      <c r="H39" s="111">
        <f>IFERROR(VLOOKUP($B39,MMWR_TRAD_AGG_STATE_COMP[],H$1,0),"ERROR")</f>
        <v>7524</v>
      </c>
      <c r="I39" s="112">
        <f>IFERROR(VLOOKUP($B39,MMWR_TRAD_AGG_STATE_COMP[],I$1,0),"ERROR")</f>
        <v>3578</v>
      </c>
      <c r="J39" s="114">
        <f t="shared" si="5"/>
        <v>0.47554492291334399</v>
      </c>
      <c r="K39" s="111">
        <f>IFERROR(VLOOKUP($B39,MMWR_TRAD_AGG_STATE_COMP[],K$1,0),"ERROR")</f>
        <v>1684</v>
      </c>
      <c r="L39" s="112">
        <f>IFERROR(VLOOKUP($B39,MMWR_TRAD_AGG_STATE_COMP[],L$1,0),"ERROR")</f>
        <v>1191</v>
      </c>
      <c r="M39" s="114">
        <f t="shared" si="6"/>
        <v>0.70724465558194771</v>
      </c>
      <c r="N39" s="111">
        <f>IFERROR(VLOOKUP($B39,MMWR_TRAD_AGG_STATE_COMP[],N$1,0),"ERROR")</f>
        <v>3104</v>
      </c>
      <c r="O39" s="112">
        <f>IFERROR(VLOOKUP($B39,MMWR_TRAD_AGG_STATE_COMP[],O$1,0),"ERROR")</f>
        <v>2060</v>
      </c>
      <c r="P39" s="114">
        <f t="shared" si="7"/>
        <v>0.66365979381443296</v>
      </c>
      <c r="Q39" s="115">
        <f>IFERROR(VLOOKUP($B39,MMWR_TRAD_AGG_STATE_COMP[],Q$1,0),"ERROR")</f>
        <v>346</v>
      </c>
      <c r="R39" s="115">
        <f>IFERROR(VLOOKUP($B39,MMWR_TRAD_AGG_STATE_COMP[],R$1,0),"ERROR")</f>
        <v>273</v>
      </c>
      <c r="S39" s="115">
        <f>IFERROR(VLOOKUP($B39,MMWR_APP_STATE_COMP[],S$1,0),"ERROR")</f>
        <v>6038</v>
      </c>
      <c r="T39" s="28"/>
    </row>
    <row r="40" spans="1:20" s="123" customFormat="1" x14ac:dyDescent="0.2">
      <c r="A40" s="28"/>
      <c r="B40" s="127" t="s">
        <v>388</v>
      </c>
      <c r="C40" s="109">
        <f>IFERROR(VLOOKUP($B40,MMWR_TRAD_AGG_STATE_COMP[],C$1,0),"ERROR")</f>
        <v>3085</v>
      </c>
      <c r="D40" s="110">
        <f>IFERROR(VLOOKUP($B40,MMWR_TRAD_AGG_STATE_COMP[],D$1,0),"ERROR")</f>
        <v>392.78184764989999</v>
      </c>
      <c r="E40" s="111">
        <f>IFERROR(VLOOKUP($B40,MMWR_TRAD_AGG_STATE_COMP[],E$1,0),"ERROR")</f>
        <v>4830</v>
      </c>
      <c r="F40" s="112">
        <f>IFERROR(VLOOKUP($B40,MMWR_TRAD_AGG_STATE_COMP[],F$1,0),"ERROR")</f>
        <v>1452</v>
      </c>
      <c r="G40" s="113">
        <f t="shared" si="4"/>
        <v>0.30062111801242236</v>
      </c>
      <c r="H40" s="111">
        <f>IFERROR(VLOOKUP($B40,MMWR_TRAD_AGG_STATE_COMP[],H$1,0),"ERROR")</f>
        <v>6805</v>
      </c>
      <c r="I40" s="112">
        <f>IFERROR(VLOOKUP($B40,MMWR_TRAD_AGG_STATE_COMP[],I$1,0),"ERROR")</f>
        <v>3707</v>
      </c>
      <c r="J40" s="114">
        <f t="shared" si="5"/>
        <v>0.54474650991917706</v>
      </c>
      <c r="K40" s="111">
        <f>IFERROR(VLOOKUP($B40,MMWR_TRAD_AGG_STATE_COMP[],K$1,0),"ERROR")</f>
        <v>1899</v>
      </c>
      <c r="L40" s="112">
        <f>IFERROR(VLOOKUP($B40,MMWR_TRAD_AGG_STATE_COMP[],L$1,0),"ERROR")</f>
        <v>1370</v>
      </c>
      <c r="M40" s="114">
        <f t="shared" si="6"/>
        <v>0.72143233280674035</v>
      </c>
      <c r="N40" s="111">
        <f>IFERROR(VLOOKUP($B40,MMWR_TRAD_AGG_STATE_COMP[],N$1,0),"ERROR")</f>
        <v>1807</v>
      </c>
      <c r="O40" s="112">
        <f>IFERROR(VLOOKUP($B40,MMWR_TRAD_AGG_STATE_COMP[],O$1,0),"ERROR")</f>
        <v>1221</v>
      </c>
      <c r="P40" s="114">
        <f t="shared" si="7"/>
        <v>0.67570558937465408</v>
      </c>
      <c r="Q40" s="115">
        <f>IFERROR(VLOOKUP($B40,MMWR_TRAD_AGG_STATE_COMP[],Q$1,0),"ERROR")</f>
        <v>448</v>
      </c>
      <c r="R40" s="115">
        <f>IFERROR(VLOOKUP($B40,MMWR_TRAD_AGG_STATE_COMP[],R$1,0),"ERROR")</f>
        <v>250</v>
      </c>
      <c r="S40" s="115">
        <f>IFERROR(VLOOKUP($B40,MMWR_APP_STATE_COMP[],S$1,0),"ERROR")</f>
        <v>4900</v>
      </c>
      <c r="T40" s="28"/>
    </row>
    <row r="41" spans="1:20" s="123" customFormat="1" x14ac:dyDescent="0.2">
      <c r="A41" s="28"/>
      <c r="B41" s="127" t="s">
        <v>417</v>
      </c>
      <c r="C41" s="109">
        <f>IFERROR(VLOOKUP($B41,MMWR_TRAD_AGG_STATE_COMP[],C$1,0),"ERROR")</f>
        <v>439</v>
      </c>
      <c r="D41" s="110">
        <f>IFERROR(VLOOKUP($B41,MMWR_TRAD_AGG_STATE_COMP[],D$1,0),"ERROR")</f>
        <v>223.8132118451</v>
      </c>
      <c r="E41" s="111">
        <f>IFERROR(VLOOKUP($B41,MMWR_TRAD_AGG_STATE_COMP[],E$1,0),"ERROR")</f>
        <v>735</v>
      </c>
      <c r="F41" s="112">
        <f>IFERROR(VLOOKUP($B41,MMWR_TRAD_AGG_STATE_COMP[],F$1,0),"ERROR")</f>
        <v>63</v>
      </c>
      <c r="G41" s="113">
        <f t="shared" si="4"/>
        <v>8.5714285714285715E-2</v>
      </c>
      <c r="H41" s="111">
        <f>IFERROR(VLOOKUP($B41,MMWR_TRAD_AGG_STATE_COMP[],H$1,0),"ERROR")</f>
        <v>1300</v>
      </c>
      <c r="I41" s="112">
        <f>IFERROR(VLOOKUP($B41,MMWR_TRAD_AGG_STATE_COMP[],I$1,0),"ERROR")</f>
        <v>283</v>
      </c>
      <c r="J41" s="114">
        <f t="shared" si="5"/>
        <v>0.21769230769230768</v>
      </c>
      <c r="K41" s="111">
        <f>IFERROR(VLOOKUP($B41,MMWR_TRAD_AGG_STATE_COMP[],K$1,0),"ERROR")</f>
        <v>358</v>
      </c>
      <c r="L41" s="112">
        <f>IFERROR(VLOOKUP($B41,MMWR_TRAD_AGG_STATE_COMP[],L$1,0),"ERROR")</f>
        <v>214</v>
      </c>
      <c r="M41" s="114">
        <f t="shared" si="6"/>
        <v>0.5977653631284916</v>
      </c>
      <c r="N41" s="111">
        <f>IFERROR(VLOOKUP($B41,MMWR_TRAD_AGG_STATE_COMP[],N$1,0),"ERROR")</f>
        <v>445</v>
      </c>
      <c r="O41" s="112">
        <f>IFERROR(VLOOKUP($B41,MMWR_TRAD_AGG_STATE_COMP[],O$1,0),"ERROR")</f>
        <v>250</v>
      </c>
      <c r="P41" s="114">
        <f t="shared" si="7"/>
        <v>0.5617977528089888</v>
      </c>
      <c r="Q41" s="115">
        <f>IFERROR(VLOOKUP($B41,MMWR_TRAD_AGG_STATE_COMP[],Q$1,0),"ERROR")</f>
        <v>1</v>
      </c>
      <c r="R41" s="115">
        <f>IFERROR(VLOOKUP($B41,MMWR_TRAD_AGG_STATE_COMP[],R$1,0),"ERROR")</f>
        <v>5</v>
      </c>
      <c r="S41" s="115">
        <f>IFERROR(VLOOKUP($B41,MMWR_APP_STATE_COMP[],S$1,0),"ERROR")</f>
        <v>334</v>
      </c>
      <c r="T41" s="28"/>
    </row>
    <row r="42" spans="1:20" s="123" customFormat="1" x14ac:dyDescent="0.2">
      <c r="A42" s="28"/>
      <c r="B42" s="127" t="s">
        <v>411</v>
      </c>
      <c r="C42" s="109">
        <f>IFERROR(VLOOKUP($B42,MMWR_TRAD_AGG_STATE_COMP[],C$1,0),"ERROR")</f>
        <v>1422</v>
      </c>
      <c r="D42" s="110">
        <f>IFERROR(VLOOKUP($B42,MMWR_TRAD_AGG_STATE_COMP[],D$1,0),"ERROR")</f>
        <v>169.2812939522</v>
      </c>
      <c r="E42" s="111">
        <f>IFERROR(VLOOKUP($B42,MMWR_TRAD_AGG_STATE_COMP[],E$1,0),"ERROR")</f>
        <v>6364</v>
      </c>
      <c r="F42" s="112">
        <f>IFERROR(VLOOKUP($B42,MMWR_TRAD_AGG_STATE_COMP[],F$1,0),"ERROR")</f>
        <v>634</v>
      </c>
      <c r="G42" s="113">
        <f t="shared" si="4"/>
        <v>9.9622878692646133E-2</v>
      </c>
      <c r="H42" s="111">
        <f>IFERROR(VLOOKUP($B42,MMWR_TRAD_AGG_STATE_COMP[],H$1,0),"ERROR")</f>
        <v>4660</v>
      </c>
      <c r="I42" s="112">
        <f>IFERROR(VLOOKUP($B42,MMWR_TRAD_AGG_STATE_COMP[],I$1,0),"ERROR")</f>
        <v>693</v>
      </c>
      <c r="J42" s="114">
        <f t="shared" si="5"/>
        <v>0.14871244635193134</v>
      </c>
      <c r="K42" s="111">
        <f>IFERROR(VLOOKUP($B42,MMWR_TRAD_AGG_STATE_COMP[],K$1,0),"ERROR")</f>
        <v>1026</v>
      </c>
      <c r="L42" s="112">
        <f>IFERROR(VLOOKUP($B42,MMWR_TRAD_AGG_STATE_COMP[],L$1,0),"ERROR")</f>
        <v>539</v>
      </c>
      <c r="M42" s="114">
        <f t="shared" si="6"/>
        <v>0.52534113060428855</v>
      </c>
      <c r="N42" s="111">
        <f>IFERROR(VLOOKUP($B42,MMWR_TRAD_AGG_STATE_COMP[],N$1,0),"ERROR")</f>
        <v>2933</v>
      </c>
      <c r="O42" s="112">
        <f>IFERROR(VLOOKUP($B42,MMWR_TRAD_AGG_STATE_COMP[],O$1,0),"ERROR")</f>
        <v>1849</v>
      </c>
      <c r="P42" s="114">
        <f t="shared" si="7"/>
        <v>0.63041254688032733</v>
      </c>
      <c r="Q42" s="115">
        <f>IFERROR(VLOOKUP($B42,MMWR_TRAD_AGG_STATE_COMP[],Q$1,0),"ERROR")</f>
        <v>6</v>
      </c>
      <c r="R42" s="115">
        <f>IFERROR(VLOOKUP($B42,MMWR_TRAD_AGG_STATE_COMP[],R$1,0),"ERROR")</f>
        <v>19</v>
      </c>
      <c r="S42" s="115">
        <f>IFERROR(VLOOKUP($B42,MMWR_APP_STATE_COMP[],S$1,0),"ERROR")</f>
        <v>4214</v>
      </c>
      <c r="T42" s="28"/>
    </row>
    <row r="43" spans="1:20" s="123" customFormat="1" x14ac:dyDescent="0.2">
      <c r="A43" s="28"/>
      <c r="B43" s="127" t="s">
        <v>409</v>
      </c>
      <c r="C43" s="109">
        <f>IFERROR(VLOOKUP($B43,MMWR_TRAD_AGG_STATE_COMP[],C$1,0),"ERROR")</f>
        <v>22255</v>
      </c>
      <c r="D43" s="110">
        <f>IFERROR(VLOOKUP($B43,MMWR_TRAD_AGG_STATE_COMP[],D$1,0),"ERROR")</f>
        <v>326.66982700519998</v>
      </c>
      <c r="E43" s="111">
        <f>IFERROR(VLOOKUP($B43,MMWR_TRAD_AGG_STATE_COMP[],E$1,0),"ERROR")</f>
        <v>37267</v>
      </c>
      <c r="F43" s="112">
        <f>IFERROR(VLOOKUP($B43,MMWR_TRAD_AGG_STATE_COMP[],F$1,0),"ERROR")</f>
        <v>7586</v>
      </c>
      <c r="G43" s="113">
        <f t="shared" si="4"/>
        <v>0.20355810770923338</v>
      </c>
      <c r="H43" s="111">
        <f>IFERROR(VLOOKUP($B43,MMWR_TRAD_AGG_STATE_COMP[],H$1,0),"ERROR")</f>
        <v>41024</v>
      </c>
      <c r="I43" s="112">
        <f>IFERROR(VLOOKUP($B43,MMWR_TRAD_AGG_STATE_COMP[],I$1,0),"ERROR")</f>
        <v>19551</v>
      </c>
      <c r="J43" s="114">
        <f t="shared" si="5"/>
        <v>0.47657468798751951</v>
      </c>
      <c r="K43" s="111">
        <f>IFERROR(VLOOKUP($B43,MMWR_TRAD_AGG_STATE_COMP[],K$1,0),"ERROR")</f>
        <v>9575</v>
      </c>
      <c r="L43" s="112">
        <f>IFERROR(VLOOKUP($B43,MMWR_TRAD_AGG_STATE_COMP[],L$1,0),"ERROR")</f>
        <v>7060</v>
      </c>
      <c r="M43" s="114">
        <f t="shared" si="6"/>
        <v>0.73733681462140988</v>
      </c>
      <c r="N43" s="111">
        <f>IFERROR(VLOOKUP($B43,MMWR_TRAD_AGG_STATE_COMP[],N$1,0),"ERROR")</f>
        <v>19579</v>
      </c>
      <c r="O43" s="112">
        <f>IFERROR(VLOOKUP($B43,MMWR_TRAD_AGG_STATE_COMP[],O$1,0),"ERROR")</f>
        <v>11532</v>
      </c>
      <c r="P43" s="114">
        <f t="shared" si="7"/>
        <v>0.5889984166709229</v>
      </c>
      <c r="Q43" s="115">
        <f>IFERROR(VLOOKUP($B43,MMWR_TRAD_AGG_STATE_COMP[],Q$1,0),"ERROR")</f>
        <v>21</v>
      </c>
      <c r="R43" s="115">
        <f>IFERROR(VLOOKUP($B43,MMWR_TRAD_AGG_STATE_COMP[],R$1,0),"ERROR")</f>
        <v>444</v>
      </c>
      <c r="S43" s="115">
        <f>IFERROR(VLOOKUP($B43,MMWR_APP_STATE_COMP[],S$1,0),"ERROR")</f>
        <v>41908</v>
      </c>
      <c r="T43" s="28"/>
    </row>
    <row r="44" spans="1:20" s="123" customFormat="1" x14ac:dyDescent="0.2">
      <c r="A44" s="28"/>
      <c r="B44" s="127" t="s">
        <v>405</v>
      </c>
      <c r="C44" s="109">
        <f>IFERROR(VLOOKUP($B44,MMWR_TRAD_AGG_STATE_COMP[],C$1,0),"ERROR")</f>
        <v>678</v>
      </c>
      <c r="D44" s="110">
        <f>IFERROR(VLOOKUP($B44,MMWR_TRAD_AGG_STATE_COMP[],D$1,0),"ERROR")</f>
        <v>223.592920354</v>
      </c>
      <c r="E44" s="111">
        <f>IFERROR(VLOOKUP($B44,MMWR_TRAD_AGG_STATE_COMP[],E$1,0),"ERROR")</f>
        <v>1858</v>
      </c>
      <c r="F44" s="112">
        <f>IFERROR(VLOOKUP($B44,MMWR_TRAD_AGG_STATE_COMP[],F$1,0),"ERROR")</f>
        <v>446</v>
      </c>
      <c r="G44" s="113">
        <f t="shared" si="4"/>
        <v>0.24004305705059203</v>
      </c>
      <c r="H44" s="111">
        <f>IFERROR(VLOOKUP($B44,MMWR_TRAD_AGG_STATE_COMP[],H$1,0),"ERROR")</f>
        <v>2035</v>
      </c>
      <c r="I44" s="112">
        <f>IFERROR(VLOOKUP($B44,MMWR_TRAD_AGG_STATE_COMP[],I$1,0),"ERROR")</f>
        <v>467</v>
      </c>
      <c r="J44" s="114">
        <f t="shared" si="5"/>
        <v>0.22948402948402949</v>
      </c>
      <c r="K44" s="111">
        <f>IFERROR(VLOOKUP($B44,MMWR_TRAD_AGG_STATE_COMP[],K$1,0),"ERROR")</f>
        <v>578</v>
      </c>
      <c r="L44" s="112">
        <f>IFERROR(VLOOKUP($B44,MMWR_TRAD_AGG_STATE_COMP[],L$1,0),"ERROR")</f>
        <v>305</v>
      </c>
      <c r="M44" s="114">
        <f t="shared" si="6"/>
        <v>0.52768166089965396</v>
      </c>
      <c r="N44" s="111">
        <f>IFERROR(VLOOKUP($B44,MMWR_TRAD_AGG_STATE_COMP[],N$1,0),"ERROR")</f>
        <v>576</v>
      </c>
      <c r="O44" s="112">
        <f>IFERROR(VLOOKUP($B44,MMWR_TRAD_AGG_STATE_COMP[],O$1,0),"ERROR")</f>
        <v>315</v>
      </c>
      <c r="P44" s="114">
        <f t="shared" si="7"/>
        <v>0.546875</v>
      </c>
      <c r="Q44" s="115">
        <f>IFERROR(VLOOKUP($B44,MMWR_TRAD_AGG_STATE_COMP[],Q$1,0),"ERROR")</f>
        <v>1</v>
      </c>
      <c r="R44" s="115">
        <f>IFERROR(VLOOKUP($B44,MMWR_TRAD_AGG_STATE_COMP[],R$1,0),"ERROR")</f>
        <v>5</v>
      </c>
      <c r="S44" s="115">
        <f>IFERROR(VLOOKUP($B44,MMWR_APP_STATE_COMP[],S$1,0),"ERROR")</f>
        <v>543</v>
      </c>
      <c r="T44" s="28"/>
    </row>
    <row r="45" spans="1:20" s="123" customFormat="1" x14ac:dyDescent="0.2">
      <c r="A45" s="28"/>
      <c r="B45" s="127" t="s">
        <v>420</v>
      </c>
      <c r="C45" s="109">
        <f>IFERROR(VLOOKUP($B45,MMWR_TRAD_AGG_STATE_COMP[],C$1,0),"ERROR")</f>
        <v>294</v>
      </c>
      <c r="D45" s="110">
        <f>IFERROR(VLOOKUP($B45,MMWR_TRAD_AGG_STATE_COMP[],D$1,0),"ERROR")</f>
        <v>315.34693877550001</v>
      </c>
      <c r="E45" s="111">
        <f>IFERROR(VLOOKUP($B45,MMWR_TRAD_AGG_STATE_COMP[],E$1,0),"ERROR")</f>
        <v>750</v>
      </c>
      <c r="F45" s="112">
        <f>IFERROR(VLOOKUP($B45,MMWR_TRAD_AGG_STATE_COMP[],F$1,0),"ERROR")</f>
        <v>74</v>
      </c>
      <c r="G45" s="113">
        <f t="shared" si="4"/>
        <v>9.8666666666666666E-2</v>
      </c>
      <c r="H45" s="111">
        <f>IFERROR(VLOOKUP($B45,MMWR_TRAD_AGG_STATE_COMP[],H$1,0),"ERROR")</f>
        <v>821</v>
      </c>
      <c r="I45" s="112">
        <f>IFERROR(VLOOKUP($B45,MMWR_TRAD_AGG_STATE_COMP[],I$1,0),"ERROR")</f>
        <v>317</v>
      </c>
      <c r="J45" s="114">
        <f t="shared" si="5"/>
        <v>0.38611449451887941</v>
      </c>
      <c r="K45" s="111">
        <f>IFERROR(VLOOKUP($B45,MMWR_TRAD_AGG_STATE_COMP[],K$1,0),"ERROR")</f>
        <v>217</v>
      </c>
      <c r="L45" s="112">
        <f>IFERROR(VLOOKUP($B45,MMWR_TRAD_AGG_STATE_COMP[],L$1,0),"ERROR")</f>
        <v>139</v>
      </c>
      <c r="M45" s="114">
        <f t="shared" si="6"/>
        <v>0.64055299539170507</v>
      </c>
      <c r="N45" s="111">
        <f>IFERROR(VLOOKUP($B45,MMWR_TRAD_AGG_STATE_COMP[],N$1,0),"ERROR")</f>
        <v>191</v>
      </c>
      <c r="O45" s="112">
        <f>IFERROR(VLOOKUP($B45,MMWR_TRAD_AGG_STATE_COMP[],O$1,0),"ERROR")</f>
        <v>115</v>
      </c>
      <c r="P45" s="114">
        <f t="shared" si="7"/>
        <v>0.60209424083769636</v>
      </c>
      <c r="Q45" s="115">
        <f>IFERROR(VLOOKUP($B45,MMWR_TRAD_AGG_STATE_COMP[],Q$1,0),"ERROR")</f>
        <v>2</v>
      </c>
      <c r="R45" s="115">
        <f>IFERROR(VLOOKUP($B45,MMWR_TRAD_AGG_STATE_COMP[],R$1,0),"ERROR")</f>
        <v>1</v>
      </c>
      <c r="S45" s="115">
        <f>IFERROR(VLOOKUP($B45,MMWR_APP_STATE_COMP[],S$1,0),"ERROR")</f>
        <v>197</v>
      </c>
      <c r="T45" s="28"/>
    </row>
    <row r="46" spans="1:20" s="123" customFormat="1" x14ac:dyDescent="0.2">
      <c r="A46" s="28"/>
      <c r="B46" s="126" t="s">
        <v>403</v>
      </c>
      <c r="C46" s="102">
        <f>IFERROR(VLOOKUP($B46,MMWR_TRAD_AGG_ST_DISTRICT_COMP[],C$1,0),"ERROR")</f>
        <v>42879</v>
      </c>
      <c r="D46" s="103">
        <f>IFERROR(VLOOKUP($B46,MMWR_TRAD_AGG_ST_DISTRICT_COMP[],D$1,0),"ERROR")</f>
        <v>398.68618671140001</v>
      </c>
      <c r="E46" s="102">
        <f>IFERROR(VLOOKUP($B46,MMWR_TRAD_AGG_ST_DISTRICT_COMP[],E$1,0),"ERROR")</f>
        <v>64260</v>
      </c>
      <c r="F46" s="102">
        <f>IFERROR(VLOOKUP($B46,MMWR_TRAD_AGG_ST_DISTRICT_COMP[],F$1,0),"ERROR")</f>
        <v>12888</v>
      </c>
      <c r="G46" s="104">
        <f t="shared" si="4"/>
        <v>0.20056022408963586</v>
      </c>
      <c r="H46" s="102">
        <f>IFERROR(VLOOKUP($B46,MMWR_TRAD_AGG_ST_DISTRICT_COMP[],H$1,0),"ERROR")</f>
        <v>83671</v>
      </c>
      <c r="I46" s="102">
        <f>IFERROR(VLOOKUP($B46,MMWR_TRAD_AGG_ST_DISTRICT_COMP[],I$1,0),"ERROR")</f>
        <v>42722</v>
      </c>
      <c r="J46" s="105">
        <f t="shared" si="5"/>
        <v>0.51059506878129823</v>
      </c>
      <c r="K46" s="102">
        <f>IFERROR(VLOOKUP($B46,MMWR_TRAD_AGG_ST_DISTRICT_COMP[],K$1,0),"ERROR")</f>
        <v>24474</v>
      </c>
      <c r="L46" s="102">
        <f>IFERROR(VLOOKUP($B46,MMWR_TRAD_AGG_ST_DISTRICT_COMP[],L$1,0),"ERROR")</f>
        <v>18401</v>
      </c>
      <c r="M46" s="105">
        <f t="shared" si="6"/>
        <v>0.75185911579635534</v>
      </c>
      <c r="N46" s="102">
        <f>IFERROR(VLOOKUP($B46,MMWR_TRAD_AGG_ST_DISTRICT_COMP[],N$1,0),"ERROR")</f>
        <v>31392</v>
      </c>
      <c r="O46" s="102">
        <f>IFERROR(VLOOKUP($B46,MMWR_TRAD_AGG_ST_DISTRICT_COMP[],O$1,0),"ERROR")</f>
        <v>22368</v>
      </c>
      <c r="P46" s="105">
        <f t="shared" si="7"/>
        <v>0.71253822629969421</v>
      </c>
      <c r="Q46" s="102">
        <f>IFERROR(VLOOKUP($B46,MMWR_TRAD_AGG_ST_DISTRICT_COMP[],Q$1,0),"ERROR")</f>
        <v>105</v>
      </c>
      <c r="R46" s="106">
        <f>IFERROR(VLOOKUP($B46,MMWR_TRAD_AGG_ST_DISTRICT_COMP[],R$1,0),"ERROR")</f>
        <v>668</v>
      </c>
      <c r="S46" s="106">
        <f>SUM(S47:S55)</f>
        <v>41314</v>
      </c>
      <c r="T46" s="28"/>
    </row>
    <row r="47" spans="1:20" s="123" customFormat="1" x14ac:dyDescent="0.2">
      <c r="A47" s="28"/>
      <c r="B47" s="127" t="s">
        <v>423</v>
      </c>
      <c r="C47" s="109">
        <f>IFERROR(VLOOKUP($B47,MMWR_TRAD_AGG_STATE_COMP[],C$1,0),"ERROR")</f>
        <v>1817</v>
      </c>
      <c r="D47" s="110">
        <f>IFERROR(VLOOKUP($B47,MMWR_TRAD_AGG_STATE_COMP[],D$1,0),"ERROR")</f>
        <v>501.41056686849998</v>
      </c>
      <c r="E47" s="111">
        <f>IFERROR(VLOOKUP($B47,MMWR_TRAD_AGG_STATE_COMP[],E$1,0),"ERROR")</f>
        <v>1080</v>
      </c>
      <c r="F47" s="112">
        <f>IFERROR(VLOOKUP($B47,MMWR_TRAD_AGG_STATE_COMP[],F$1,0),"ERROR")</f>
        <v>278</v>
      </c>
      <c r="G47" s="113">
        <f t="shared" si="4"/>
        <v>0.25740740740740742</v>
      </c>
      <c r="H47" s="111">
        <f>IFERROR(VLOOKUP($B47,MMWR_TRAD_AGG_STATE_COMP[],H$1,0),"ERROR")</f>
        <v>3067</v>
      </c>
      <c r="I47" s="112">
        <f>IFERROR(VLOOKUP($B47,MMWR_TRAD_AGG_STATE_COMP[],I$1,0),"ERROR")</f>
        <v>1992</v>
      </c>
      <c r="J47" s="114">
        <f t="shared" si="5"/>
        <v>0.64949462014998371</v>
      </c>
      <c r="K47" s="111">
        <f>IFERROR(VLOOKUP($B47,MMWR_TRAD_AGG_STATE_COMP[],K$1,0),"ERROR")</f>
        <v>1436</v>
      </c>
      <c r="L47" s="112">
        <f>IFERROR(VLOOKUP($B47,MMWR_TRAD_AGG_STATE_COMP[],L$1,0),"ERROR")</f>
        <v>1128</v>
      </c>
      <c r="M47" s="114">
        <f t="shared" si="6"/>
        <v>0.78551532033426186</v>
      </c>
      <c r="N47" s="111">
        <f>IFERROR(VLOOKUP($B47,MMWR_TRAD_AGG_STATE_COMP[],N$1,0),"ERROR")</f>
        <v>367</v>
      </c>
      <c r="O47" s="112">
        <f>IFERROR(VLOOKUP($B47,MMWR_TRAD_AGG_STATE_COMP[],O$1,0),"ERROR")</f>
        <v>253</v>
      </c>
      <c r="P47" s="114">
        <f t="shared" si="7"/>
        <v>0.68937329700272476</v>
      </c>
      <c r="Q47" s="115">
        <f>IFERROR(VLOOKUP($B47,MMWR_TRAD_AGG_STATE_COMP[],Q$1,0),"ERROR")</f>
        <v>0</v>
      </c>
      <c r="R47" s="115">
        <f>IFERROR(VLOOKUP($B47,MMWR_TRAD_AGG_STATE_COMP[],R$1,0),"ERROR")</f>
        <v>3</v>
      </c>
      <c r="S47" s="115">
        <f>IFERROR(VLOOKUP($B47,MMWR_APP_STATE_COMP[],S$1,0),"ERROR")</f>
        <v>250</v>
      </c>
      <c r="T47" s="28"/>
    </row>
    <row r="48" spans="1:20" s="123" customFormat="1" x14ac:dyDescent="0.2">
      <c r="A48" s="28"/>
      <c r="B48" s="127" t="s">
        <v>425</v>
      </c>
      <c r="C48" s="109">
        <f>IFERROR(VLOOKUP($B48,MMWR_TRAD_AGG_STATE_COMP[],C$1,0),"ERROR")</f>
        <v>3784</v>
      </c>
      <c r="D48" s="110">
        <f>IFERROR(VLOOKUP($B48,MMWR_TRAD_AGG_STATE_COMP[],D$1,0),"ERROR")</f>
        <v>280.43155391120001</v>
      </c>
      <c r="E48" s="111">
        <f>IFERROR(VLOOKUP($B48,MMWR_TRAD_AGG_STATE_COMP[],E$1,0),"ERROR")</f>
        <v>5668</v>
      </c>
      <c r="F48" s="112">
        <f>IFERROR(VLOOKUP($B48,MMWR_TRAD_AGG_STATE_COMP[],F$1,0),"ERROR")</f>
        <v>959</v>
      </c>
      <c r="G48" s="113">
        <f t="shared" si="4"/>
        <v>0.1691954834156669</v>
      </c>
      <c r="H48" s="111">
        <f>IFERROR(VLOOKUP($B48,MMWR_TRAD_AGG_STATE_COMP[],H$1,0),"ERROR")</f>
        <v>7544</v>
      </c>
      <c r="I48" s="112">
        <f>IFERROR(VLOOKUP($B48,MMWR_TRAD_AGG_STATE_COMP[],I$1,0),"ERROR")</f>
        <v>3069</v>
      </c>
      <c r="J48" s="114">
        <f t="shared" si="5"/>
        <v>0.40681336161187698</v>
      </c>
      <c r="K48" s="111">
        <f>IFERROR(VLOOKUP($B48,MMWR_TRAD_AGG_STATE_COMP[],K$1,0),"ERROR")</f>
        <v>2066</v>
      </c>
      <c r="L48" s="112">
        <f>IFERROR(VLOOKUP($B48,MMWR_TRAD_AGG_STATE_COMP[],L$1,0),"ERROR")</f>
        <v>1407</v>
      </c>
      <c r="M48" s="114">
        <f t="shared" si="6"/>
        <v>0.681026137463698</v>
      </c>
      <c r="N48" s="111">
        <f>IFERROR(VLOOKUP($B48,MMWR_TRAD_AGG_STATE_COMP[],N$1,0),"ERROR")</f>
        <v>2608</v>
      </c>
      <c r="O48" s="112">
        <f>IFERROR(VLOOKUP($B48,MMWR_TRAD_AGG_STATE_COMP[],O$1,0),"ERROR")</f>
        <v>1702</v>
      </c>
      <c r="P48" s="114">
        <f t="shared" si="7"/>
        <v>0.65260736196319014</v>
      </c>
      <c r="Q48" s="115">
        <f>IFERROR(VLOOKUP($B48,MMWR_TRAD_AGG_STATE_COMP[],Q$1,0),"ERROR")</f>
        <v>8</v>
      </c>
      <c r="R48" s="115">
        <f>IFERROR(VLOOKUP($B48,MMWR_TRAD_AGG_STATE_COMP[],R$1,0),"ERROR")</f>
        <v>92</v>
      </c>
      <c r="S48" s="115">
        <f>IFERROR(VLOOKUP($B48,MMWR_APP_STATE_COMP[],S$1,0),"ERROR")</f>
        <v>6940</v>
      </c>
      <c r="T48" s="28"/>
    </row>
    <row r="49" spans="1:20" s="123" customFormat="1" x14ac:dyDescent="0.2">
      <c r="A49" s="28"/>
      <c r="B49" s="127" t="s">
        <v>406</v>
      </c>
      <c r="C49" s="109">
        <f>IFERROR(VLOOKUP($B49,MMWR_TRAD_AGG_STATE_COMP[],C$1,0),"ERROR")</f>
        <v>18414</v>
      </c>
      <c r="D49" s="110">
        <f>IFERROR(VLOOKUP($B49,MMWR_TRAD_AGG_STATE_COMP[],D$1,0),"ERROR")</f>
        <v>439.23807972200001</v>
      </c>
      <c r="E49" s="111">
        <f>IFERROR(VLOOKUP($B49,MMWR_TRAD_AGG_STATE_COMP[],E$1,0),"ERROR")</f>
        <v>34295</v>
      </c>
      <c r="F49" s="112">
        <f>IFERROR(VLOOKUP($B49,MMWR_TRAD_AGG_STATE_COMP[],F$1,0),"ERROR")</f>
        <v>6900</v>
      </c>
      <c r="G49" s="113">
        <f t="shared" si="4"/>
        <v>0.201195509549497</v>
      </c>
      <c r="H49" s="111">
        <f>IFERROR(VLOOKUP($B49,MMWR_TRAD_AGG_STATE_COMP[],H$1,0),"ERROR")</f>
        <v>38152</v>
      </c>
      <c r="I49" s="112">
        <f>IFERROR(VLOOKUP($B49,MMWR_TRAD_AGG_STATE_COMP[],I$1,0),"ERROR")</f>
        <v>19851</v>
      </c>
      <c r="J49" s="114">
        <f t="shared" si="5"/>
        <v>0.52031348291046342</v>
      </c>
      <c r="K49" s="111">
        <f>IFERROR(VLOOKUP($B49,MMWR_TRAD_AGG_STATE_COMP[],K$1,0),"ERROR")</f>
        <v>10473</v>
      </c>
      <c r="L49" s="112">
        <f>IFERROR(VLOOKUP($B49,MMWR_TRAD_AGG_STATE_COMP[],L$1,0),"ERROR")</f>
        <v>8256</v>
      </c>
      <c r="M49" s="114">
        <f t="shared" si="6"/>
        <v>0.78831280435405326</v>
      </c>
      <c r="N49" s="111">
        <f>IFERROR(VLOOKUP($B49,MMWR_TRAD_AGG_STATE_COMP[],N$1,0),"ERROR")</f>
        <v>15290</v>
      </c>
      <c r="O49" s="112">
        <f>IFERROR(VLOOKUP($B49,MMWR_TRAD_AGG_STATE_COMP[],O$1,0),"ERROR")</f>
        <v>10862</v>
      </c>
      <c r="P49" s="114">
        <f t="shared" si="7"/>
        <v>0.71039895356442118</v>
      </c>
      <c r="Q49" s="115">
        <f>IFERROR(VLOOKUP($B49,MMWR_TRAD_AGG_STATE_COMP[],Q$1,0),"ERROR")</f>
        <v>60</v>
      </c>
      <c r="R49" s="115">
        <f>IFERROR(VLOOKUP($B49,MMWR_TRAD_AGG_STATE_COMP[],R$1,0),"ERROR")</f>
        <v>163</v>
      </c>
      <c r="S49" s="115">
        <f>IFERROR(VLOOKUP($B49,MMWR_APP_STATE_COMP[],S$1,0),"ERROR")</f>
        <v>17942</v>
      </c>
      <c r="T49" s="28"/>
    </row>
    <row r="50" spans="1:20" s="123" customFormat="1" x14ac:dyDescent="0.2">
      <c r="A50" s="28"/>
      <c r="B50" s="127" t="s">
        <v>427</v>
      </c>
      <c r="C50" s="109">
        <f>IFERROR(VLOOKUP($B50,MMWR_TRAD_AGG_STATE_COMP[],C$1,0),"ERROR")</f>
        <v>996</v>
      </c>
      <c r="D50" s="110">
        <f>IFERROR(VLOOKUP($B50,MMWR_TRAD_AGG_STATE_COMP[],D$1,0),"ERROR")</f>
        <v>253.2168674699</v>
      </c>
      <c r="E50" s="111">
        <f>IFERROR(VLOOKUP($B50,MMWR_TRAD_AGG_STATE_COMP[],E$1,0),"ERROR")</f>
        <v>2116</v>
      </c>
      <c r="F50" s="112">
        <f>IFERROR(VLOOKUP($B50,MMWR_TRAD_AGG_STATE_COMP[],F$1,0),"ERROR")</f>
        <v>312</v>
      </c>
      <c r="G50" s="113">
        <f t="shared" si="4"/>
        <v>0.14744801512287334</v>
      </c>
      <c r="H50" s="111">
        <f>IFERROR(VLOOKUP($B50,MMWR_TRAD_AGG_STATE_COMP[],H$1,0),"ERROR")</f>
        <v>2161</v>
      </c>
      <c r="I50" s="112">
        <f>IFERROR(VLOOKUP($B50,MMWR_TRAD_AGG_STATE_COMP[],I$1,0),"ERROR")</f>
        <v>756</v>
      </c>
      <c r="J50" s="114">
        <f t="shared" si="5"/>
        <v>0.34983803794539564</v>
      </c>
      <c r="K50" s="111">
        <f>IFERROR(VLOOKUP($B50,MMWR_TRAD_AGG_STATE_COMP[],K$1,0),"ERROR")</f>
        <v>1075</v>
      </c>
      <c r="L50" s="112">
        <f>IFERROR(VLOOKUP($B50,MMWR_TRAD_AGG_STATE_COMP[],L$1,0),"ERROR")</f>
        <v>611</v>
      </c>
      <c r="M50" s="114">
        <f t="shared" si="6"/>
        <v>0.56837209302325586</v>
      </c>
      <c r="N50" s="111">
        <f>IFERROR(VLOOKUP($B50,MMWR_TRAD_AGG_STATE_COMP[],N$1,0),"ERROR")</f>
        <v>640</v>
      </c>
      <c r="O50" s="112">
        <f>IFERROR(VLOOKUP($B50,MMWR_TRAD_AGG_STATE_COMP[],O$1,0),"ERROR")</f>
        <v>385</v>
      </c>
      <c r="P50" s="114">
        <f t="shared" si="7"/>
        <v>0.6015625</v>
      </c>
      <c r="Q50" s="115">
        <f>IFERROR(VLOOKUP($B50,MMWR_TRAD_AGG_STATE_COMP[],Q$1,0),"ERROR")</f>
        <v>2</v>
      </c>
      <c r="R50" s="115">
        <f>IFERROR(VLOOKUP($B50,MMWR_TRAD_AGG_STATE_COMP[],R$1,0),"ERROR")</f>
        <v>4</v>
      </c>
      <c r="S50" s="115">
        <f>IFERROR(VLOOKUP($B50,MMWR_APP_STATE_COMP[],S$1,0),"ERROR")</f>
        <v>1114</v>
      </c>
      <c r="T50" s="28"/>
    </row>
    <row r="51" spans="1:20" s="123" customFormat="1" x14ac:dyDescent="0.2">
      <c r="A51" s="28"/>
      <c r="B51" s="127" t="s">
        <v>407</v>
      </c>
      <c r="C51" s="109">
        <f>IFERROR(VLOOKUP($B51,MMWR_TRAD_AGG_STATE_COMP[],C$1,0),"ERROR")</f>
        <v>622</v>
      </c>
      <c r="D51" s="110">
        <f>IFERROR(VLOOKUP($B51,MMWR_TRAD_AGG_STATE_COMP[],D$1,0),"ERROR")</f>
        <v>206.0418006431</v>
      </c>
      <c r="E51" s="111">
        <f>IFERROR(VLOOKUP($B51,MMWR_TRAD_AGG_STATE_COMP[],E$1,0),"ERROR")</f>
        <v>1851</v>
      </c>
      <c r="F51" s="112">
        <f>IFERROR(VLOOKUP($B51,MMWR_TRAD_AGG_STATE_COMP[],F$1,0),"ERROR")</f>
        <v>477</v>
      </c>
      <c r="G51" s="113">
        <f t="shared" si="4"/>
        <v>0.25769854132901132</v>
      </c>
      <c r="H51" s="111">
        <f>IFERROR(VLOOKUP($B51,MMWR_TRAD_AGG_STATE_COMP[],H$1,0),"ERROR")</f>
        <v>1645</v>
      </c>
      <c r="I51" s="112">
        <f>IFERROR(VLOOKUP($B51,MMWR_TRAD_AGG_STATE_COMP[],I$1,0),"ERROR")</f>
        <v>405</v>
      </c>
      <c r="J51" s="114">
        <f t="shared" si="5"/>
        <v>0.24620060790273557</v>
      </c>
      <c r="K51" s="111">
        <f>IFERROR(VLOOKUP($B51,MMWR_TRAD_AGG_STATE_COMP[],K$1,0),"ERROR")</f>
        <v>354</v>
      </c>
      <c r="L51" s="112">
        <f>IFERROR(VLOOKUP($B51,MMWR_TRAD_AGG_STATE_COMP[],L$1,0),"ERROR")</f>
        <v>171</v>
      </c>
      <c r="M51" s="114">
        <f t="shared" si="6"/>
        <v>0.48305084745762711</v>
      </c>
      <c r="N51" s="111">
        <f>IFERROR(VLOOKUP($B51,MMWR_TRAD_AGG_STATE_COMP[],N$1,0),"ERROR")</f>
        <v>469</v>
      </c>
      <c r="O51" s="112">
        <f>IFERROR(VLOOKUP($B51,MMWR_TRAD_AGG_STATE_COMP[],O$1,0),"ERROR")</f>
        <v>295</v>
      </c>
      <c r="P51" s="114">
        <f t="shared" si="7"/>
        <v>0.62899786780383793</v>
      </c>
      <c r="Q51" s="115">
        <f>IFERROR(VLOOKUP($B51,MMWR_TRAD_AGG_STATE_COMP[],Q$1,0),"ERROR")</f>
        <v>1</v>
      </c>
      <c r="R51" s="115">
        <f>IFERROR(VLOOKUP($B51,MMWR_TRAD_AGG_STATE_COMP[],R$1,0),"ERROR")</f>
        <v>6</v>
      </c>
      <c r="S51" s="115">
        <f>IFERROR(VLOOKUP($B51,MMWR_APP_STATE_COMP[],S$1,0),"ERROR")</f>
        <v>864</v>
      </c>
      <c r="T51" s="28"/>
    </row>
    <row r="52" spans="1:20" s="123" customFormat="1" x14ac:dyDescent="0.2">
      <c r="A52" s="28"/>
      <c r="B52" s="127" t="s">
        <v>412</v>
      </c>
      <c r="C52" s="109">
        <f>IFERROR(VLOOKUP($B52,MMWR_TRAD_AGG_STATE_COMP[],C$1,0),"ERROR")</f>
        <v>2697</v>
      </c>
      <c r="D52" s="110">
        <f>IFERROR(VLOOKUP($B52,MMWR_TRAD_AGG_STATE_COMP[],D$1,0),"ERROR")</f>
        <v>434.15202076380001</v>
      </c>
      <c r="E52" s="111">
        <f>IFERROR(VLOOKUP($B52,MMWR_TRAD_AGG_STATE_COMP[],E$1,0),"ERROR")</f>
        <v>4134</v>
      </c>
      <c r="F52" s="112">
        <f>IFERROR(VLOOKUP($B52,MMWR_TRAD_AGG_STATE_COMP[],F$1,0),"ERROR")</f>
        <v>995</v>
      </c>
      <c r="G52" s="113">
        <f t="shared" si="4"/>
        <v>0.24068698597000485</v>
      </c>
      <c r="H52" s="111">
        <f>IFERROR(VLOOKUP($B52,MMWR_TRAD_AGG_STATE_COMP[],H$1,0),"ERROR")</f>
        <v>4474</v>
      </c>
      <c r="I52" s="112">
        <f>IFERROR(VLOOKUP($B52,MMWR_TRAD_AGG_STATE_COMP[],I$1,0),"ERROR")</f>
        <v>2546</v>
      </c>
      <c r="J52" s="114">
        <f t="shared" si="5"/>
        <v>0.56906571300849351</v>
      </c>
      <c r="K52" s="111">
        <f>IFERROR(VLOOKUP($B52,MMWR_TRAD_AGG_STATE_COMP[],K$1,0),"ERROR")</f>
        <v>1050</v>
      </c>
      <c r="L52" s="112">
        <f>IFERROR(VLOOKUP($B52,MMWR_TRAD_AGG_STATE_COMP[],L$1,0),"ERROR")</f>
        <v>806</v>
      </c>
      <c r="M52" s="114">
        <f t="shared" si="6"/>
        <v>0.76761904761904765</v>
      </c>
      <c r="N52" s="111">
        <f>IFERROR(VLOOKUP($B52,MMWR_TRAD_AGG_STATE_COMP[],N$1,0),"ERROR")</f>
        <v>1937</v>
      </c>
      <c r="O52" s="112">
        <f>IFERROR(VLOOKUP($B52,MMWR_TRAD_AGG_STATE_COMP[],O$1,0),"ERROR")</f>
        <v>1472</v>
      </c>
      <c r="P52" s="114">
        <f t="shared" si="7"/>
        <v>0.75993804852865254</v>
      </c>
      <c r="Q52" s="115">
        <f>IFERROR(VLOOKUP($B52,MMWR_TRAD_AGG_STATE_COMP[],Q$1,0),"ERROR")</f>
        <v>3</v>
      </c>
      <c r="R52" s="115">
        <f>IFERROR(VLOOKUP($B52,MMWR_TRAD_AGG_STATE_COMP[],R$1,0),"ERROR")</f>
        <v>125</v>
      </c>
      <c r="S52" s="115">
        <f>IFERROR(VLOOKUP($B52,MMWR_APP_STATE_COMP[],S$1,0),"ERROR")</f>
        <v>2999</v>
      </c>
      <c r="T52" s="28"/>
    </row>
    <row r="53" spans="1:20" s="123" customFormat="1" x14ac:dyDescent="0.2">
      <c r="A53" s="28"/>
      <c r="B53" s="127" t="s">
        <v>404</v>
      </c>
      <c r="C53" s="109">
        <f>IFERROR(VLOOKUP($B53,MMWR_TRAD_AGG_STATE_COMP[],C$1,0),"ERROR")</f>
        <v>805</v>
      </c>
      <c r="D53" s="110">
        <f>IFERROR(VLOOKUP($B53,MMWR_TRAD_AGG_STATE_COMP[],D$1,0),"ERROR")</f>
        <v>242.0944099379</v>
      </c>
      <c r="E53" s="111">
        <f>IFERROR(VLOOKUP($B53,MMWR_TRAD_AGG_STATE_COMP[],E$1,0),"ERROR")</f>
        <v>2788</v>
      </c>
      <c r="F53" s="112">
        <f>IFERROR(VLOOKUP($B53,MMWR_TRAD_AGG_STATE_COMP[],F$1,0),"ERROR")</f>
        <v>630</v>
      </c>
      <c r="G53" s="113">
        <f t="shared" si="4"/>
        <v>0.2259684361549498</v>
      </c>
      <c r="H53" s="111">
        <f>IFERROR(VLOOKUP($B53,MMWR_TRAD_AGG_STATE_COMP[],H$1,0),"ERROR")</f>
        <v>2049</v>
      </c>
      <c r="I53" s="112">
        <f>IFERROR(VLOOKUP($B53,MMWR_TRAD_AGG_STATE_COMP[],I$1,0),"ERROR")</f>
        <v>673</v>
      </c>
      <c r="J53" s="114">
        <f t="shared" si="5"/>
        <v>0.32845290385553927</v>
      </c>
      <c r="K53" s="111">
        <f>IFERROR(VLOOKUP($B53,MMWR_TRAD_AGG_STATE_COMP[],K$1,0),"ERROR")</f>
        <v>542</v>
      </c>
      <c r="L53" s="112">
        <f>IFERROR(VLOOKUP($B53,MMWR_TRAD_AGG_STATE_COMP[],L$1,0),"ERROR")</f>
        <v>331</v>
      </c>
      <c r="M53" s="114">
        <f t="shared" si="6"/>
        <v>0.61070110701107017</v>
      </c>
      <c r="N53" s="111">
        <f>IFERROR(VLOOKUP($B53,MMWR_TRAD_AGG_STATE_COMP[],N$1,0),"ERROR")</f>
        <v>981</v>
      </c>
      <c r="O53" s="112">
        <f>IFERROR(VLOOKUP($B53,MMWR_TRAD_AGG_STATE_COMP[],O$1,0),"ERROR")</f>
        <v>588</v>
      </c>
      <c r="P53" s="114">
        <f t="shared" si="7"/>
        <v>0.59938837920489296</v>
      </c>
      <c r="Q53" s="115">
        <f>IFERROR(VLOOKUP($B53,MMWR_TRAD_AGG_STATE_COMP[],Q$1,0),"ERROR")</f>
        <v>7</v>
      </c>
      <c r="R53" s="115">
        <f>IFERROR(VLOOKUP($B53,MMWR_TRAD_AGG_STATE_COMP[],R$1,0),"ERROR")</f>
        <v>12</v>
      </c>
      <c r="S53" s="115">
        <f>IFERROR(VLOOKUP($B53,MMWR_APP_STATE_COMP[],S$1,0),"ERROR")</f>
        <v>1628</v>
      </c>
      <c r="T53" s="28"/>
    </row>
    <row r="54" spans="1:20" s="123" customFormat="1" x14ac:dyDescent="0.2">
      <c r="A54" s="28"/>
      <c r="B54" s="127" t="s">
        <v>408</v>
      </c>
      <c r="C54" s="109">
        <f>IFERROR(VLOOKUP($B54,MMWR_TRAD_AGG_STATE_COMP[],C$1,0),"ERROR")</f>
        <v>5214</v>
      </c>
      <c r="D54" s="110">
        <f>IFERROR(VLOOKUP($B54,MMWR_TRAD_AGG_STATE_COMP[],D$1,0),"ERROR")</f>
        <v>393.07211354050003</v>
      </c>
      <c r="E54" s="111">
        <f>IFERROR(VLOOKUP($B54,MMWR_TRAD_AGG_STATE_COMP[],E$1,0),"ERROR")</f>
        <v>4837</v>
      </c>
      <c r="F54" s="112">
        <f>IFERROR(VLOOKUP($B54,MMWR_TRAD_AGG_STATE_COMP[],F$1,0),"ERROR")</f>
        <v>939</v>
      </c>
      <c r="G54" s="113">
        <f t="shared" si="4"/>
        <v>0.19412859210254291</v>
      </c>
      <c r="H54" s="111">
        <f>IFERROR(VLOOKUP($B54,MMWR_TRAD_AGG_STATE_COMP[],H$1,0),"ERROR")</f>
        <v>8905</v>
      </c>
      <c r="I54" s="112">
        <f>IFERROR(VLOOKUP($B54,MMWR_TRAD_AGG_STATE_COMP[],I$1,0),"ERROR")</f>
        <v>4767</v>
      </c>
      <c r="J54" s="114">
        <f t="shared" si="5"/>
        <v>0.53531723750701854</v>
      </c>
      <c r="K54" s="111">
        <f>IFERROR(VLOOKUP($B54,MMWR_TRAD_AGG_STATE_COMP[],K$1,0),"ERROR")</f>
        <v>3332</v>
      </c>
      <c r="L54" s="112">
        <f>IFERROR(VLOOKUP($B54,MMWR_TRAD_AGG_STATE_COMP[],L$1,0),"ERROR")</f>
        <v>2840</v>
      </c>
      <c r="M54" s="114">
        <f t="shared" si="6"/>
        <v>0.85234093637454977</v>
      </c>
      <c r="N54" s="111">
        <f>IFERROR(VLOOKUP($B54,MMWR_TRAD_AGG_STATE_COMP[],N$1,0),"ERROR")</f>
        <v>3212</v>
      </c>
      <c r="O54" s="112">
        <f>IFERROR(VLOOKUP($B54,MMWR_TRAD_AGG_STATE_COMP[],O$1,0),"ERROR")</f>
        <v>2318</v>
      </c>
      <c r="P54" s="114">
        <f t="shared" si="7"/>
        <v>0.72166874221668742</v>
      </c>
      <c r="Q54" s="115">
        <f>IFERROR(VLOOKUP($B54,MMWR_TRAD_AGG_STATE_COMP[],Q$1,0),"ERROR")</f>
        <v>8</v>
      </c>
      <c r="R54" s="115">
        <f>IFERROR(VLOOKUP($B54,MMWR_TRAD_AGG_STATE_COMP[],R$1,0),"ERROR")</f>
        <v>108</v>
      </c>
      <c r="S54" s="115">
        <f>IFERROR(VLOOKUP($B54,MMWR_APP_STATE_COMP[],S$1,0),"ERROR")</f>
        <v>4733</v>
      </c>
      <c r="T54" s="28"/>
    </row>
    <row r="55" spans="1:20" s="123" customFormat="1" x14ac:dyDescent="0.2">
      <c r="A55" s="28"/>
      <c r="B55" s="127" t="s">
        <v>80</v>
      </c>
      <c r="C55" s="109">
        <f>IFERROR(VLOOKUP($B55,MMWR_TRAD_AGG_STATE_COMP[],C$1,0),"ERROR")</f>
        <v>8530</v>
      </c>
      <c r="D55" s="110">
        <f>IFERROR(VLOOKUP($B55,MMWR_TRAD_AGG_STATE_COMP[],D$1,0),"ERROR")</f>
        <v>379.75205158260002</v>
      </c>
      <c r="E55" s="111">
        <f>IFERROR(VLOOKUP($B55,MMWR_TRAD_AGG_STATE_COMP[],E$1,0),"ERROR")</f>
        <v>7491</v>
      </c>
      <c r="F55" s="112">
        <f>IFERROR(VLOOKUP($B55,MMWR_TRAD_AGG_STATE_COMP[],F$1,0),"ERROR")</f>
        <v>1398</v>
      </c>
      <c r="G55" s="113">
        <f t="shared" si="4"/>
        <v>0.18662394873848617</v>
      </c>
      <c r="H55" s="111">
        <f>IFERROR(VLOOKUP($B55,MMWR_TRAD_AGG_STATE_COMP[],H$1,0),"ERROR")</f>
        <v>15674</v>
      </c>
      <c r="I55" s="112">
        <f>IFERROR(VLOOKUP($B55,MMWR_TRAD_AGG_STATE_COMP[],I$1,0),"ERROR")</f>
        <v>8663</v>
      </c>
      <c r="J55" s="114">
        <f t="shared" si="5"/>
        <v>0.55269873676151593</v>
      </c>
      <c r="K55" s="111">
        <f>IFERROR(VLOOKUP($B55,MMWR_TRAD_AGG_STATE_COMP[],K$1,0),"ERROR")</f>
        <v>4146</v>
      </c>
      <c r="L55" s="112">
        <f>IFERROR(VLOOKUP($B55,MMWR_TRAD_AGG_STATE_COMP[],L$1,0),"ERROR")</f>
        <v>2851</v>
      </c>
      <c r="M55" s="114">
        <f t="shared" si="6"/>
        <v>0.68765074770863488</v>
      </c>
      <c r="N55" s="111">
        <f>IFERROR(VLOOKUP($B55,MMWR_TRAD_AGG_STATE_COMP[],N$1,0),"ERROR")</f>
        <v>5888</v>
      </c>
      <c r="O55" s="112">
        <f>IFERROR(VLOOKUP($B55,MMWR_TRAD_AGG_STATE_COMP[],O$1,0),"ERROR")</f>
        <v>4493</v>
      </c>
      <c r="P55" s="114">
        <f t="shared" si="7"/>
        <v>0.76307744565217395</v>
      </c>
      <c r="Q55" s="115">
        <f>IFERROR(VLOOKUP($B55,MMWR_TRAD_AGG_STATE_COMP[],Q$1,0),"ERROR")</f>
        <v>16</v>
      </c>
      <c r="R55" s="115">
        <f>IFERROR(VLOOKUP($B55,MMWR_TRAD_AGG_STATE_COMP[],R$1,0),"ERROR")</f>
        <v>155</v>
      </c>
      <c r="S55" s="115">
        <f>IFERROR(VLOOKUP($B55,MMWR_APP_STATE_COMP[],S$1,0),"ERROR")</f>
        <v>4844</v>
      </c>
      <c r="T55" s="28"/>
    </row>
    <row r="56" spans="1:20" s="123" customFormat="1" x14ac:dyDescent="0.2">
      <c r="A56" s="28"/>
      <c r="B56" s="126" t="s">
        <v>379</v>
      </c>
      <c r="C56" s="102">
        <f>IFERROR(VLOOKUP($B56,MMWR_TRAD_AGG_ST_DISTRICT_COMP[],C$1,0),"ERROR")</f>
        <v>59093</v>
      </c>
      <c r="D56" s="103">
        <f>IFERROR(VLOOKUP($B56,MMWR_TRAD_AGG_ST_DISTRICT_COMP[],D$1,0),"ERROR")</f>
        <v>350.83030138930002</v>
      </c>
      <c r="E56" s="102">
        <f>IFERROR(VLOOKUP($B56,MMWR_TRAD_AGG_ST_DISTRICT_COMP[],E$1,0),"ERROR")</f>
        <v>80402</v>
      </c>
      <c r="F56" s="102">
        <f>IFERROR(VLOOKUP($B56,MMWR_TRAD_AGG_ST_DISTRICT_COMP[],F$1,0),"ERROR")</f>
        <v>18621</v>
      </c>
      <c r="G56" s="104">
        <f t="shared" si="4"/>
        <v>0.23159871644983956</v>
      </c>
      <c r="H56" s="102">
        <f>IFERROR(VLOOKUP($B56,MMWR_TRAD_AGG_ST_DISTRICT_COMP[],H$1,0),"ERROR")</f>
        <v>106868</v>
      </c>
      <c r="I56" s="102">
        <f>IFERROR(VLOOKUP($B56,MMWR_TRAD_AGG_ST_DISTRICT_COMP[],I$1,0),"ERROR")</f>
        <v>57578</v>
      </c>
      <c r="J56" s="105">
        <f t="shared" si="5"/>
        <v>0.53877680877344014</v>
      </c>
      <c r="K56" s="102">
        <f>IFERROR(VLOOKUP($B56,MMWR_TRAD_AGG_ST_DISTRICT_COMP[],K$1,0),"ERROR")</f>
        <v>30797</v>
      </c>
      <c r="L56" s="102">
        <f>IFERROR(VLOOKUP($B56,MMWR_TRAD_AGG_ST_DISTRICT_COMP[],L$1,0),"ERROR")</f>
        <v>25047</v>
      </c>
      <c r="M56" s="105">
        <f t="shared" si="6"/>
        <v>0.813293502613891</v>
      </c>
      <c r="N56" s="102">
        <f>IFERROR(VLOOKUP($B56,MMWR_TRAD_AGG_ST_DISTRICT_COMP[],N$1,0),"ERROR")</f>
        <v>42892</v>
      </c>
      <c r="O56" s="102">
        <f>IFERROR(VLOOKUP($B56,MMWR_TRAD_AGG_ST_DISTRICT_COMP[],O$1,0),"ERROR")</f>
        <v>30179</v>
      </c>
      <c r="P56" s="105">
        <f t="shared" si="7"/>
        <v>0.70360440175324068</v>
      </c>
      <c r="Q56" s="102">
        <f>IFERROR(VLOOKUP($B56,MMWR_TRAD_AGG_ST_DISTRICT_COMP[],Q$1,0),"ERROR")</f>
        <v>6586</v>
      </c>
      <c r="R56" s="106">
        <f>IFERROR(VLOOKUP($B56,MMWR_TRAD_AGG_ST_DISTRICT_COMP[],R$1,0),"ERROR")</f>
        <v>1288</v>
      </c>
      <c r="S56" s="106">
        <f>SUM(S57:S63)</f>
        <v>89041</v>
      </c>
      <c r="T56" s="28"/>
    </row>
    <row r="57" spans="1:20" s="123" customFormat="1" x14ac:dyDescent="0.2">
      <c r="A57" s="28"/>
      <c r="B57" s="127" t="s">
        <v>387</v>
      </c>
      <c r="C57" s="109">
        <f>IFERROR(VLOOKUP($B57,MMWR_TRAD_AGG_STATE_COMP[],C$1,0),"ERROR")</f>
        <v>10295</v>
      </c>
      <c r="D57" s="110">
        <f>IFERROR(VLOOKUP($B57,MMWR_TRAD_AGG_STATE_COMP[],D$1,0),"ERROR")</f>
        <v>345.81078193299999</v>
      </c>
      <c r="E57" s="111">
        <f>IFERROR(VLOOKUP($B57,MMWR_TRAD_AGG_STATE_COMP[],E$1,0),"ERROR")</f>
        <v>8256</v>
      </c>
      <c r="F57" s="112">
        <f>IFERROR(VLOOKUP($B57,MMWR_TRAD_AGG_STATE_COMP[],F$1,0),"ERROR")</f>
        <v>1971</v>
      </c>
      <c r="G57" s="113">
        <f t="shared" si="4"/>
        <v>0.23873546511627908</v>
      </c>
      <c r="H57" s="111">
        <f>IFERROR(VLOOKUP($B57,MMWR_TRAD_AGG_STATE_COMP[],H$1,0),"ERROR")</f>
        <v>16023</v>
      </c>
      <c r="I57" s="112">
        <f>IFERROR(VLOOKUP($B57,MMWR_TRAD_AGG_STATE_COMP[],I$1,0),"ERROR")</f>
        <v>9147</v>
      </c>
      <c r="J57" s="114">
        <f t="shared" si="5"/>
        <v>0.57086687886163645</v>
      </c>
      <c r="K57" s="111">
        <f>IFERROR(VLOOKUP($B57,MMWR_TRAD_AGG_STATE_COMP[],K$1,0),"ERROR")</f>
        <v>4904</v>
      </c>
      <c r="L57" s="112">
        <f>IFERROR(VLOOKUP($B57,MMWR_TRAD_AGG_STATE_COMP[],L$1,0),"ERROR")</f>
        <v>4163</v>
      </c>
      <c r="M57" s="114">
        <f t="shared" si="6"/>
        <v>0.84889885807504073</v>
      </c>
      <c r="N57" s="111">
        <f>IFERROR(VLOOKUP($B57,MMWR_TRAD_AGG_STATE_COMP[],N$1,0),"ERROR")</f>
        <v>3231</v>
      </c>
      <c r="O57" s="112">
        <f>IFERROR(VLOOKUP($B57,MMWR_TRAD_AGG_STATE_COMP[],O$1,0),"ERROR")</f>
        <v>1948</v>
      </c>
      <c r="P57" s="114">
        <f t="shared" si="7"/>
        <v>0.60290931600123798</v>
      </c>
      <c r="Q57" s="115">
        <f>IFERROR(VLOOKUP($B57,MMWR_TRAD_AGG_STATE_COMP[],Q$1,0),"ERROR")</f>
        <v>496</v>
      </c>
      <c r="R57" s="115">
        <f>IFERROR(VLOOKUP($B57,MMWR_TRAD_AGG_STATE_COMP[],R$1,0),"ERROR")</f>
        <v>418</v>
      </c>
      <c r="S57" s="115">
        <f>IFERROR(VLOOKUP($B57,MMWR_APP_STATE_COMP[],S$1,0),"ERROR")</f>
        <v>9851</v>
      </c>
      <c r="T57" s="28"/>
    </row>
    <row r="58" spans="1:20" s="123" customFormat="1" x14ac:dyDescent="0.2">
      <c r="A58" s="28"/>
      <c r="B58" s="127" t="s">
        <v>424</v>
      </c>
      <c r="C58" s="109">
        <f>IFERROR(VLOOKUP($B58,MMWR_TRAD_AGG_STATE_COMP[],C$1,0),"ERROR")</f>
        <v>18406</v>
      </c>
      <c r="D58" s="110">
        <f>IFERROR(VLOOKUP($B58,MMWR_TRAD_AGG_STATE_COMP[],D$1,0),"ERROR")</f>
        <v>335.9292621971</v>
      </c>
      <c r="E58" s="111">
        <f>IFERROR(VLOOKUP($B58,MMWR_TRAD_AGG_STATE_COMP[],E$1,0),"ERROR")</f>
        <v>26112</v>
      </c>
      <c r="F58" s="112">
        <f>IFERROR(VLOOKUP($B58,MMWR_TRAD_AGG_STATE_COMP[],F$1,0),"ERROR")</f>
        <v>6005</v>
      </c>
      <c r="G58" s="113">
        <f t="shared" si="4"/>
        <v>0.22997089460784315</v>
      </c>
      <c r="H58" s="111">
        <f>IFERROR(VLOOKUP($B58,MMWR_TRAD_AGG_STATE_COMP[],H$1,0),"ERROR")</f>
        <v>31760</v>
      </c>
      <c r="I58" s="112">
        <f>IFERROR(VLOOKUP($B58,MMWR_TRAD_AGG_STATE_COMP[],I$1,0),"ERROR")</f>
        <v>17390</v>
      </c>
      <c r="J58" s="114">
        <f t="shared" si="5"/>
        <v>0.54754408060453397</v>
      </c>
      <c r="K58" s="111">
        <f>IFERROR(VLOOKUP($B58,MMWR_TRAD_AGG_STATE_COMP[],K$1,0),"ERROR")</f>
        <v>7974</v>
      </c>
      <c r="L58" s="112">
        <f>IFERROR(VLOOKUP($B58,MMWR_TRAD_AGG_STATE_COMP[],L$1,0),"ERROR")</f>
        <v>6207</v>
      </c>
      <c r="M58" s="114">
        <f t="shared" si="6"/>
        <v>0.77840481565086528</v>
      </c>
      <c r="N58" s="111">
        <f>IFERROR(VLOOKUP($B58,MMWR_TRAD_AGG_STATE_COMP[],N$1,0),"ERROR")</f>
        <v>18920</v>
      </c>
      <c r="O58" s="112">
        <f>IFERROR(VLOOKUP($B58,MMWR_TRAD_AGG_STATE_COMP[],O$1,0),"ERROR")</f>
        <v>13555</v>
      </c>
      <c r="P58" s="114">
        <f t="shared" si="7"/>
        <v>0.71643763213530653</v>
      </c>
      <c r="Q58" s="115">
        <f>IFERROR(VLOOKUP($B58,MMWR_TRAD_AGG_STATE_COMP[],Q$1,0),"ERROR")</f>
        <v>2322</v>
      </c>
      <c r="R58" s="115">
        <f>IFERROR(VLOOKUP($B58,MMWR_TRAD_AGG_STATE_COMP[],R$1,0),"ERROR")</f>
        <v>314</v>
      </c>
      <c r="S58" s="115">
        <f>IFERROR(VLOOKUP($B58,MMWR_APP_STATE_COMP[],S$1,0),"ERROR")</f>
        <v>31212</v>
      </c>
      <c r="T58" s="28"/>
    </row>
    <row r="59" spans="1:20" s="123" customFormat="1" x14ac:dyDescent="0.2">
      <c r="A59" s="28"/>
      <c r="B59" s="127" t="s">
        <v>380</v>
      </c>
      <c r="C59" s="109">
        <f>IFERROR(VLOOKUP($B59,MMWR_TRAD_AGG_STATE_COMP[],C$1,0),"ERROR")</f>
        <v>13279</v>
      </c>
      <c r="D59" s="110">
        <f>IFERROR(VLOOKUP($B59,MMWR_TRAD_AGG_STATE_COMP[],D$1,0),"ERROR")</f>
        <v>350.67557798029998</v>
      </c>
      <c r="E59" s="111">
        <f>IFERROR(VLOOKUP($B59,MMWR_TRAD_AGG_STATE_COMP[],E$1,0),"ERROR")</f>
        <v>19543</v>
      </c>
      <c r="F59" s="112">
        <f>IFERROR(VLOOKUP($B59,MMWR_TRAD_AGG_STATE_COMP[],F$1,0),"ERROR")</f>
        <v>5160</v>
      </c>
      <c r="G59" s="113">
        <f t="shared" si="4"/>
        <v>0.26403315765235635</v>
      </c>
      <c r="H59" s="111">
        <f>IFERROR(VLOOKUP($B59,MMWR_TRAD_AGG_STATE_COMP[],H$1,0),"ERROR")</f>
        <v>23968</v>
      </c>
      <c r="I59" s="112">
        <f>IFERROR(VLOOKUP($B59,MMWR_TRAD_AGG_STATE_COMP[],I$1,0),"ERROR")</f>
        <v>13432</v>
      </c>
      <c r="J59" s="114">
        <f t="shared" si="5"/>
        <v>0.56041388518024027</v>
      </c>
      <c r="K59" s="111">
        <f>IFERROR(VLOOKUP($B59,MMWR_TRAD_AGG_STATE_COMP[],K$1,0),"ERROR")</f>
        <v>8731</v>
      </c>
      <c r="L59" s="112">
        <f>IFERROR(VLOOKUP($B59,MMWR_TRAD_AGG_STATE_COMP[],L$1,0),"ERROR")</f>
        <v>7244</v>
      </c>
      <c r="M59" s="114">
        <f t="shared" si="6"/>
        <v>0.82968732103997256</v>
      </c>
      <c r="N59" s="111">
        <f>IFERROR(VLOOKUP($B59,MMWR_TRAD_AGG_STATE_COMP[],N$1,0),"ERROR")</f>
        <v>9847</v>
      </c>
      <c r="O59" s="112">
        <f>IFERROR(VLOOKUP($B59,MMWR_TRAD_AGG_STATE_COMP[],O$1,0),"ERROR")</f>
        <v>7148</v>
      </c>
      <c r="P59" s="114">
        <f t="shared" si="7"/>
        <v>0.72590636742154968</v>
      </c>
      <c r="Q59" s="115">
        <f>IFERROR(VLOOKUP($B59,MMWR_TRAD_AGG_STATE_COMP[],Q$1,0),"ERROR")</f>
        <v>1172</v>
      </c>
      <c r="R59" s="115">
        <f>IFERROR(VLOOKUP($B59,MMWR_TRAD_AGG_STATE_COMP[],R$1,0),"ERROR")</f>
        <v>42</v>
      </c>
      <c r="S59" s="115">
        <f>IFERROR(VLOOKUP($B59,MMWR_APP_STATE_COMP[],S$1,0),"ERROR")</f>
        <v>18872</v>
      </c>
      <c r="T59" s="28"/>
    </row>
    <row r="60" spans="1:20" s="123" customFormat="1" x14ac:dyDescent="0.2">
      <c r="A60" s="28"/>
      <c r="B60" s="127" t="s">
        <v>392</v>
      </c>
      <c r="C60" s="109">
        <f>IFERROR(VLOOKUP($B60,MMWR_TRAD_AGG_STATE_COMP[],C$1,0),"ERROR")</f>
        <v>4951</v>
      </c>
      <c r="D60" s="110">
        <f>IFERROR(VLOOKUP($B60,MMWR_TRAD_AGG_STATE_COMP[],D$1,0),"ERROR")</f>
        <v>523.87093516460004</v>
      </c>
      <c r="E60" s="111">
        <f>IFERROR(VLOOKUP($B60,MMWR_TRAD_AGG_STATE_COMP[],E$1,0),"ERROR")</f>
        <v>3839</v>
      </c>
      <c r="F60" s="112">
        <f>IFERROR(VLOOKUP($B60,MMWR_TRAD_AGG_STATE_COMP[],F$1,0),"ERROR")</f>
        <v>580</v>
      </c>
      <c r="G60" s="113">
        <f t="shared" si="4"/>
        <v>0.15108101067986454</v>
      </c>
      <c r="H60" s="111">
        <f>IFERROR(VLOOKUP($B60,MMWR_TRAD_AGG_STATE_COMP[],H$1,0),"ERROR")</f>
        <v>8317</v>
      </c>
      <c r="I60" s="112">
        <f>IFERROR(VLOOKUP($B60,MMWR_TRAD_AGG_STATE_COMP[],I$1,0),"ERROR")</f>
        <v>5327</v>
      </c>
      <c r="J60" s="114">
        <f t="shared" si="5"/>
        <v>0.64049537092701692</v>
      </c>
      <c r="K60" s="111">
        <f>IFERROR(VLOOKUP($B60,MMWR_TRAD_AGG_STATE_COMP[],K$1,0),"ERROR")</f>
        <v>2255</v>
      </c>
      <c r="L60" s="112">
        <f>IFERROR(VLOOKUP($B60,MMWR_TRAD_AGG_STATE_COMP[],L$1,0),"ERROR")</f>
        <v>1942</v>
      </c>
      <c r="M60" s="114">
        <f t="shared" si="6"/>
        <v>0.86119733924611974</v>
      </c>
      <c r="N60" s="111">
        <f>IFERROR(VLOOKUP($B60,MMWR_TRAD_AGG_STATE_COMP[],N$1,0),"ERROR")</f>
        <v>2178</v>
      </c>
      <c r="O60" s="112">
        <f>IFERROR(VLOOKUP($B60,MMWR_TRAD_AGG_STATE_COMP[],O$1,0),"ERROR")</f>
        <v>1598</v>
      </c>
      <c r="P60" s="114">
        <f t="shared" si="7"/>
        <v>0.73370064279155189</v>
      </c>
      <c r="Q60" s="115">
        <f>IFERROR(VLOOKUP($B60,MMWR_TRAD_AGG_STATE_COMP[],Q$1,0),"ERROR")</f>
        <v>657</v>
      </c>
      <c r="R60" s="115">
        <f>IFERROR(VLOOKUP($B60,MMWR_TRAD_AGG_STATE_COMP[],R$1,0),"ERROR")</f>
        <v>158</v>
      </c>
      <c r="S60" s="115">
        <f>IFERROR(VLOOKUP($B60,MMWR_APP_STATE_COMP[],S$1,0),"ERROR")</f>
        <v>3161</v>
      </c>
      <c r="T60" s="28"/>
    </row>
    <row r="61" spans="1:20" s="123" customFormat="1" x14ac:dyDescent="0.2">
      <c r="A61" s="28"/>
      <c r="B61" s="127" t="s">
        <v>426</v>
      </c>
      <c r="C61" s="109">
        <f>IFERROR(VLOOKUP($B61,MMWR_TRAD_AGG_STATE_COMP[],C$1,0),"ERROR")</f>
        <v>1214</v>
      </c>
      <c r="D61" s="110">
        <f>IFERROR(VLOOKUP($B61,MMWR_TRAD_AGG_STATE_COMP[],D$1,0),"ERROR")</f>
        <v>231.06754530480001</v>
      </c>
      <c r="E61" s="111">
        <f>IFERROR(VLOOKUP($B61,MMWR_TRAD_AGG_STATE_COMP[],E$1,0),"ERROR")</f>
        <v>3033</v>
      </c>
      <c r="F61" s="112">
        <f>IFERROR(VLOOKUP($B61,MMWR_TRAD_AGG_STATE_COMP[],F$1,0),"ERROR")</f>
        <v>660</v>
      </c>
      <c r="G61" s="113">
        <f t="shared" si="4"/>
        <v>0.21760633036597429</v>
      </c>
      <c r="H61" s="111">
        <f>IFERROR(VLOOKUP($B61,MMWR_TRAD_AGG_STATE_COMP[],H$1,0),"ERROR")</f>
        <v>4558</v>
      </c>
      <c r="I61" s="112">
        <f>IFERROR(VLOOKUP($B61,MMWR_TRAD_AGG_STATE_COMP[],I$1,0),"ERROR")</f>
        <v>1616</v>
      </c>
      <c r="J61" s="114">
        <f t="shared" si="5"/>
        <v>0.35454146555506799</v>
      </c>
      <c r="K61" s="111">
        <f>IFERROR(VLOOKUP($B61,MMWR_TRAD_AGG_STATE_COMP[],K$1,0),"ERROR")</f>
        <v>1009</v>
      </c>
      <c r="L61" s="112">
        <f>IFERROR(VLOOKUP($B61,MMWR_TRAD_AGG_STATE_COMP[],L$1,0),"ERROR")</f>
        <v>819</v>
      </c>
      <c r="M61" s="114">
        <f t="shared" si="6"/>
        <v>0.81169474727452928</v>
      </c>
      <c r="N61" s="111">
        <f>IFERROR(VLOOKUP($B61,MMWR_TRAD_AGG_STATE_COMP[],N$1,0),"ERROR")</f>
        <v>1759</v>
      </c>
      <c r="O61" s="112">
        <f>IFERROR(VLOOKUP($B61,MMWR_TRAD_AGG_STATE_COMP[],O$1,0),"ERROR")</f>
        <v>1261</v>
      </c>
      <c r="P61" s="114">
        <f t="shared" si="7"/>
        <v>0.71688459351904488</v>
      </c>
      <c r="Q61" s="115">
        <f>IFERROR(VLOOKUP($B61,MMWR_TRAD_AGG_STATE_COMP[],Q$1,0),"ERROR")</f>
        <v>423</v>
      </c>
      <c r="R61" s="115">
        <f>IFERROR(VLOOKUP($B61,MMWR_TRAD_AGG_STATE_COMP[],R$1,0),"ERROR")</f>
        <v>2</v>
      </c>
      <c r="S61" s="115">
        <f>IFERROR(VLOOKUP($B61,MMWR_APP_STATE_COMP[],S$1,0),"ERROR")</f>
        <v>5250</v>
      </c>
      <c r="T61" s="28"/>
    </row>
    <row r="62" spans="1:20" s="123" customFormat="1" x14ac:dyDescent="0.2">
      <c r="A62" s="28"/>
      <c r="B62" s="127" t="s">
        <v>382</v>
      </c>
      <c r="C62" s="109">
        <f>IFERROR(VLOOKUP($B62,MMWR_TRAD_AGG_STATE_COMP[],C$1,0),"ERROR")</f>
        <v>6723</v>
      </c>
      <c r="D62" s="110">
        <f>IFERROR(VLOOKUP($B62,MMWR_TRAD_AGG_STATE_COMP[],D$1,0),"ERROR")</f>
        <v>337.14264465270003</v>
      </c>
      <c r="E62" s="111">
        <f>IFERROR(VLOOKUP($B62,MMWR_TRAD_AGG_STATE_COMP[],E$1,0),"ERROR")</f>
        <v>10093</v>
      </c>
      <c r="F62" s="112">
        <f>IFERROR(VLOOKUP($B62,MMWR_TRAD_AGG_STATE_COMP[],F$1,0),"ERROR")</f>
        <v>2607</v>
      </c>
      <c r="G62" s="113">
        <f t="shared" si="4"/>
        <v>0.25829783017933222</v>
      </c>
      <c r="H62" s="111">
        <f>IFERROR(VLOOKUP($B62,MMWR_TRAD_AGG_STATE_COMP[],H$1,0),"ERROR")</f>
        <v>12630</v>
      </c>
      <c r="I62" s="112">
        <f>IFERROR(VLOOKUP($B62,MMWR_TRAD_AGG_STATE_COMP[],I$1,0),"ERROR")</f>
        <v>7032</v>
      </c>
      <c r="J62" s="114">
        <f t="shared" si="5"/>
        <v>0.55676959619952493</v>
      </c>
      <c r="K62" s="111">
        <f>IFERROR(VLOOKUP($B62,MMWR_TRAD_AGG_STATE_COMP[],K$1,0),"ERROR")</f>
        <v>3114</v>
      </c>
      <c r="L62" s="112">
        <f>IFERROR(VLOOKUP($B62,MMWR_TRAD_AGG_STATE_COMP[],L$1,0),"ERROR")</f>
        <v>2446</v>
      </c>
      <c r="M62" s="114">
        <f t="shared" si="6"/>
        <v>0.78548490687219008</v>
      </c>
      <c r="N62" s="111">
        <f>IFERROR(VLOOKUP($B62,MMWR_TRAD_AGG_STATE_COMP[],N$1,0),"ERROR")</f>
        <v>3786</v>
      </c>
      <c r="O62" s="112">
        <f>IFERROR(VLOOKUP($B62,MMWR_TRAD_AGG_STATE_COMP[],O$1,0),"ERROR")</f>
        <v>2534</v>
      </c>
      <c r="P62" s="114">
        <f t="shared" si="7"/>
        <v>0.66930797675647125</v>
      </c>
      <c r="Q62" s="115">
        <f>IFERROR(VLOOKUP($B62,MMWR_TRAD_AGG_STATE_COMP[],Q$1,0),"ERROR")</f>
        <v>756</v>
      </c>
      <c r="R62" s="115">
        <f>IFERROR(VLOOKUP($B62,MMWR_TRAD_AGG_STATE_COMP[],R$1,0),"ERROR")</f>
        <v>64</v>
      </c>
      <c r="S62" s="115">
        <f>IFERROR(VLOOKUP($B62,MMWR_APP_STATE_COMP[],S$1,0),"ERROR")</f>
        <v>13368</v>
      </c>
      <c r="T62" s="28"/>
    </row>
    <row r="63" spans="1:20" s="123" customFormat="1" x14ac:dyDescent="0.2">
      <c r="A63" s="28"/>
      <c r="B63" s="127" t="s">
        <v>383</v>
      </c>
      <c r="C63" s="109">
        <f>IFERROR(VLOOKUP($B63,MMWR_TRAD_AGG_STATE_COMP[],C$1,0),"ERROR")</f>
        <v>4225</v>
      </c>
      <c r="D63" s="110">
        <f>IFERROR(VLOOKUP($B63,MMWR_TRAD_AGG_STATE_COMP[],D$1,0),"ERROR")</f>
        <v>281.8809467456</v>
      </c>
      <c r="E63" s="111">
        <f>IFERROR(VLOOKUP($B63,MMWR_TRAD_AGG_STATE_COMP[],E$1,0),"ERROR")</f>
        <v>9526</v>
      </c>
      <c r="F63" s="112">
        <f>IFERROR(VLOOKUP($B63,MMWR_TRAD_AGG_STATE_COMP[],F$1,0),"ERROR")</f>
        <v>1638</v>
      </c>
      <c r="G63" s="113">
        <f t="shared" si="4"/>
        <v>0.17195045139617887</v>
      </c>
      <c r="H63" s="111">
        <f>IFERROR(VLOOKUP($B63,MMWR_TRAD_AGG_STATE_COMP[],H$1,0),"ERROR")</f>
        <v>9612</v>
      </c>
      <c r="I63" s="112">
        <f>IFERROR(VLOOKUP($B63,MMWR_TRAD_AGG_STATE_COMP[],I$1,0),"ERROR")</f>
        <v>3634</v>
      </c>
      <c r="J63" s="114">
        <f t="shared" si="5"/>
        <v>0.37806908031627134</v>
      </c>
      <c r="K63" s="111">
        <f>IFERROR(VLOOKUP($B63,MMWR_TRAD_AGG_STATE_COMP[],K$1,0),"ERROR")</f>
        <v>2810</v>
      </c>
      <c r="L63" s="112">
        <f>IFERROR(VLOOKUP($B63,MMWR_TRAD_AGG_STATE_COMP[],L$1,0),"ERROR")</f>
        <v>2226</v>
      </c>
      <c r="M63" s="114">
        <f t="shared" si="6"/>
        <v>0.7921708185053381</v>
      </c>
      <c r="N63" s="111">
        <f>IFERROR(VLOOKUP($B63,MMWR_TRAD_AGG_STATE_COMP[],N$1,0),"ERROR")</f>
        <v>3171</v>
      </c>
      <c r="O63" s="112">
        <f>IFERROR(VLOOKUP($B63,MMWR_TRAD_AGG_STATE_COMP[],O$1,0),"ERROR")</f>
        <v>2135</v>
      </c>
      <c r="P63" s="114">
        <f t="shared" si="7"/>
        <v>0.67328918322295805</v>
      </c>
      <c r="Q63" s="115">
        <f>IFERROR(VLOOKUP($B63,MMWR_TRAD_AGG_STATE_COMP[],Q$1,0),"ERROR")</f>
        <v>760</v>
      </c>
      <c r="R63" s="115">
        <f>IFERROR(VLOOKUP($B63,MMWR_TRAD_AGG_STATE_COMP[],R$1,0),"ERROR")</f>
        <v>290</v>
      </c>
      <c r="S63" s="115">
        <f>IFERROR(VLOOKUP($B63,MMWR_APP_STATE_COMP[],S$1,0),"ERROR")</f>
        <v>7327</v>
      </c>
      <c r="T63" s="28"/>
    </row>
    <row r="64" spans="1:20" s="123" customFormat="1" x14ac:dyDescent="0.2">
      <c r="A64" s="28"/>
      <c r="B64" s="128" t="s">
        <v>8</v>
      </c>
      <c r="C64" s="102">
        <f>IFERROR(VLOOKUP($B64,MMWR_TRAD_AGG_ST_DISTRICT_COMP[],C$1,0),"ERROR")</f>
        <v>2985</v>
      </c>
      <c r="D64" s="103">
        <f>IFERROR(VLOOKUP($B64,MMWR_TRAD_AGG_ST_DISTRICT_COMP[],D$1,0),"ERROR")</f>
        <v>335.40703517589998</v>
      </c>
      <c r="E64" s="102">
        <f>IFERROR(VLOOKUP($B64,MMWR_TRAD_AGG_ST_DISTRICT_COMP[],E$1,0),"ERROR")</f>
        <v>4462</v>
      </c>
      <c r="F64" s="102">
        <f>IFERROR(VLOOKUP($B64,MMWR_TRAD_AGG_ST_DISTRICT_COMP[],F$1,0),"ERROR")</f>
        <v>1724</v>
      </c>
      <c r="G64" s="104">
        <f t="shared" si="4"/>
        <v>0.38637382339757959</v>
      </c>
      <c r="H64" s="102">
        <f>IFERROR(VLOOKUP($B64,MMWR_TRAD_AGG_ST_DISTRICT_COMP[],H$1,0),"ERROR")</f>
        <v>4969</v>
      </c>
      <c r="I64" s="102">
        <f>IFERROR(VLOOKUP($B64,MMWR_TRAD_AGG_ST_DISTRICT_COMP[],I$1,0),"ERROR")</f>
        <v>2826</v>
      </c>
      <c r="J64" s="105">
        <f t="shared" si="5"/>
        <v>0.56872610183135441</v>
      </c>
      <c r="K64" s="102">
        <f>IFERROR(VLOOKUP($B64,MMWR_TRAD_AGG_ST_DISTRICT_COMP[],K$1,0),"ERROR")</f>
        <v>1509</v>
      </c>
      <c r="L64" s="102">
        <f>IFERROR(VLOOKUP($B64,MMWR_TRAD_AGG_ST_DISTRICT_COMP[],L$1,0),"ERROR")</f>
        <v>1000</v>
      </c>
      <c r="M64" s="105">
        <f t="shared" si="6"/>
        <v>0.66269052352551361</v>
      </c>
      <c r="N64" s="102">
        <f>IFERROR(VLOOKUP($B64,MMWR_TRAD_AGG_ST_DISTRICT_COMP[],N$1,0),"ERROR")</f>
        <v>1326</v>
      </c>
      <c r="O64" s="102">
        <f>IFERROR(VLOOKUP($B64,MMWR_TRAD_AGG_ST_DISTRICT_COMP[],O$1,0),"ERROR")</f>
        <v>846</v>
      </c>
      <c r="P64" s="105">
        <f t="shared" si="7"/>
        <v>0.63800904977375561</v>
      </c>
      <c r="Q64" s="102">
        <f>IFERROR(VLOOKUP($B64,MMWR_TRAD_AGG_ST_DISTRICT_COMP[],Q$1,0),"ERROR")</f>
        <v>494</v>
      </c>
      <c r="R64" s="106">
        <f>IFERROR(VLOOKUP($B64,MMWR_TRAD_AGG_ST_DISTRICT_COMP[],R$1,0),"ERROR")</f>
        <v>126</v>
      </c>
      <c r="S64" s="106">
        <f>IFERROR(VLOOKUP($B64,MMWR_APP_STATE_COMP[],S$1,0),"ERROR")</f>
        <v>340</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4" t="s">
        <v>486</v>
      </c>
      <c r="D66" s="455"/>
      <c r="E66" s="455"/>
      <c r="F66" s="455"/>
      <c r="G66" s="455"/>
      <c r="H66" s="455"/>
      <c r="I66" s="455"/>
      <c r="J66" s="455"/>
      <c r="K66" s="455"/>
      <c r="L66" s="455"/>
      <c r="M66" s="455"/>
      <c r="N66" s="455"/>
      <c r="O66" s="455"/>
      <c r="P66" s="455"/>
      <c r="Q66" s="455"/>
      <c r="R66" s="455"/>
      <c r="S66" s="456"/>
      <c r="T66" s="28"/>
    </row>
    <row r="67" spans="1:20" s="123" customFormat="1" x14ac:dyDescent="0.2">
      <c r="A67" s="28"/>
      <c r="B67" s="26"/>
      <c r="C67" s="462" t="s">
        <v>225</v>
      </c>
      <c r="D67" s="462"/>
      <c r="E67" s="459" t="s">
        <v>205</v>
      </c>
      <c r="F67" s="460"/>
      <c r="G67" s="461"/>
      <c r="H67" s="459" t="s">
        <v>7</v>
      </c>
      <c r="I67" s="460"/>
      <c r="J67" s="461"/>
      <c r="K67" s="459" t="s">
        <v>30</v>
      </c>
      <c r="L67" s="460"/>
      <c r="M67" s="461"/>
      <c r="N67" s="459" t="s">
        <v>8</v>
      </c>
      <c r="O67" s="460"/>
      <c r="P67" s="461"/>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487</v>
      </c>
      <c r="T68" s="28"/>
    </row>
    <row r="69" spans="1:20" s="123" customFormat="1" x14ac:dyDescent="0.2">
      <c r="A69" s="28"/>
      <c r="B69" s="129" t="s">
        <v>461</v>
      </c>
      <c r="C69" s="119">
        <f>IFERROR(VLOOKUP($B69,MMWR_TRAD_AGG_RO_PEN[],C$1,0),"ERROR")</f>
        <v>22164</v>
      </c>
      <c r="D69" s="120">
        <f>IFERROR(VLOOKUP($B69,MMWR_TRAD_AGG_RO_PEN[],D$1,0),"ERROR")</f>
        <v>90.334280815699998</v>
      </c>
      <c r="E69" s="119">
        <f>IFERROR(VLOOKUP($B69,MMWR_TRAD_AGG_RO_PEN[],E$1,0),"ERROR")</f>
        <v>29958</v>
      </c>
      <c r="F69" s="119">
        <f>IFERROR(VLOOKUP($B69,MMWR_TRAD_AGG_RO_PEN[],F$1,0),"ERROR")</f>
        <v>4015</v>
      </c>
      <c r="G69" s="98">
        <f t="shared" ref="G69:G100" si="8">IFERROR(F69/E69,"0%")</f>
        <v>0.13402096268108685</v>
      </c>
      <c r="H69" s="119">
        <f>IFERROR(VLOOKUP($B69,MMWR_TRAD_AGG_RO_PEN[],H$1,0),"ERROR")</f>
        <v>32500</v>
      </c>
      <c r="I69" s="119">
        <f>IFERROR(VLOOKUP($B69,MMWR_TRAD_AGG_RO_PEN[],I$1,0),"ERROR")</f>
        <v>7621</v>
      </c>
      <c r="J69" s="98">
        <f t="shared" ref="J69:J100" si="9">IFERROR(I69/H69,"0%")</f>
        <v>0.23449230769230769</v>
      </c>
      <c r="K69" s="119">
        <f>IFERROR(VLOOKUP($B69,MMWR_TRAD_AGG_RO_PEN[],K$1,0),"ERROR")</f>
        <v>249</v>
      </c>
      <c r="L69" s="119">
        <f>IFERROR(VLOOKUP($B69,MMWR_TRAD_AGG_RO_PEN[],L$1,0),"ERROR")</f>
        <v>235</v>
      </c>
      <c r="M69" s="98">
        <f t="shared" ref="M69:M100" si="10">IFERROR(L69/K69,"0%")</f>
        <v>0.94377510040160639</v>
      </c>
      <c r="N69" s="119">
        <f>IFERROR(VLOOKUP($B69,MMWR_TRAD_AGG_RO_PEN[],N$1,0),"ERROR")</f>
        <v>1705</v>
      </c>
      <c r="O69" s="119">
        <f>IFERROR(VLOOKUP($B69,MMWR_TRAD_AGG_RO_PEN[],O$1,0),"ERROR")</f>
        <v>545</v>
      </c>
      <c r="P69" s="98">
        <f t="shared" ref="P69:P100" si="11">IFERROR(O69/N69,"0%")</f>
        <v>0.31964809384164222</v>
      </c>
      <c r="Q69" s="119">
        <f>IFERROR(VLOOKUP($B69,MMWR_TRAD_AGG_RO_PEN[],Q$1,0),"ERROR")</f>
        <v>11872</v>
      </c>
      <c r="R69" s="121">
        <f>IFERROR(VLOOKUP($B69,MMWR_TRAD_AGG_RO_PEN[],R$1,0),"ERROR")</f>
        <v>5982</v>
      </c>
      <c r="S69" s="121">
        <f>S70+S86+S99+S109+S119+S127</f>
        <v>4946</v>
      </c>
      <c r="T69" s="28"/>
    </row>
    <row r="70" spans="1:20" s="123" customFormat="1" x14ac:dyDescent="0.2">
      <c r="A70" s="28"/>
      <c r="B70" s="126" t="s">
        <v>368</v>
      </c>
      <c r="C70" s="102">
        <f>IFERROR(VLOOKUP($B70,MMWR_TRAD_AGG_ST_DISTRICT_PEN[],C$1,0),"ERROR")</f>
        <v>7008</v>
      </c>
      <c r="D70" s="103">
        <f>IFERROR(VLOOKUP($B70,MMWR_TRAD_AGG_ST_DISTRICT_PEN[],D$1,0),"ERROR")</f>
        <v>104.0515125571</v>
      </c>
      <c r="E70" s="102">
        <f>IFERROR(VLOOKUP($B70,MMWR_TRAD_AGG_ST_DISTRICT_PEN[],E$1,0),"ERROR")</f>
        <v>9300</v>
      </c>
      <c r="F70" s="102">
        <f>IFERROR(VLOOKUP($B70,MMWR_TRAD_AGG_ST_DISTRICT_PEN[],F$1,0),"ERROR")</f>
        <v>1613</v>
      </c>
      <c r="G70" s="104">
        <f t="shared" si="8"/>
        <v>0.17344086021505375</v>
      </c>
      <c r="H70" s="102">
        <f>IFERROR(VLOOKUP($B70,MMWR_TRAD_AGG_ST_DISTRICT_PEN[],H$1,0),"ERROR")</f>
        <v>9581</v>
      </c>
      <c r="I70" s="102">
        <f>IFERROR(VLOOKUP($B70,MMWR_TRAD_AGG_ST_DISTRICT_PEN[],I$1,0),"ERROR")</f>
        <v>2947</v>
      </c>
      <c r="J70" s="104">
        <f t="shared" si="9"/>
        <v>0.3075879344536061</v>
      </c>
      <c r="K70" s="102">
        <f>IFERROR(VLOOKUP($B70,MMWR_TRAD_AGG_ST_DISTRICT_PEN[],K$1,0),"ERROR")</f>
        <v>172</v>
      </c>
      <c r="L70" s="102">
        <f>IFERROR(VLOOKUP($B70,MMWR_TRAD_AGG_ST_DISTRICT_PEN[],L$1,0),"ERROR")</f>
        <v>165</v>
      </c>
      <c r="M70" s="104">
        <f t="shared" si="10"/>
        <v>0.95930232558139539</v>
      </c>
      <c r="N70" s="102">
        <f>IFERROR(VLOOKUP($B70,MMWR_TRAD_AGG_ST_DISTRICT_PEN[],N$1,0),"ERROR")</f>
        <v>429</v>
      </c>
      <c r="O70" s="102">
        <f>IFERROR(VLOOKUP($B70,MMWR_TRAD_AGG_ST_DISTRICT_PEN[],O$1,0),"ERROR")</f>
        <v>139</v>
      </c>
      <c r="P70" s="104">
        <f t="shared" si="11"/>
        <v>0.32400932400932403</v>
      </c>
      <c r="Q70" s="102">
        <f>IFERROR(VLOOKUP($B70,MMWR_TRAD_AGG_ST_DISTRICT_PEN[],Q$1,0),"ERROR")</f>
        <v>1176</v>
      </c>
      <c r="R70" s="106">
        <f>IFERROR(VLOOKUP($B70,MMWR_TRAD_AGG_ST_DISTRICT_PEN[],R$1,0),"ERROR")</f>
        <v>1765</v>
      </c>
      <c r="S70" s="106">
        <f>IFERROR(VLOOKUP($B70,MMWR_APP_STATE_PEN[],S$1,0),"ERROR")</f>
        <v>919</v>
      </c>
      <c r="T70" s="28"/>
    </row>
    <row r="71" spans="1:20" s="123" customFormat="1" x14ac:dyDescent="0.2">
      <c r="A71" s="28"/>
      <c r="B71" s="127" t="s">
        <v>372</v>
      </c>
      <c r="C71" s="109">
        <f>IFERROR(VLOOKUP($B71,MMWR_TRAD_AGG_STATE_PEN[],C$1,0),"ERROR")</f>
        <v>212</v>
      </c>
      <c r="D71" s="110">
        <f>IFERROR(VLOOKUP($B71,MMWR_TRAD_AGG_STATE_PEN[],D$1,0),"ERROR")</f>
        <v>105.8726415094</v>
      </c>
      <c r="E71" s="111">
        <f>IFERROR(VLOOKUP($B71,MMWR_TRAD_AGG_STATE_PEN[],E$1,0),"ERROR")</f>
        <v>359</v>
      </c>
      <c r="F71" s="112">
        <f>IFERROR(VLOOKUP($B71,MMWR_TRAD_AGG_STATE_PEN[],F$1,0),"ERROR")</f>
        <v>52</v>
      </c>
      <c r="G71" s="113">
        <f t="shared" si="8"/>
        <v>0.14484679665738162</v>
      </c>
      <c r="H71" s="111">
        <f>IFERROR(VLOOKUP($B71,MMWR_TRAD_AGG_STATE_PEN[],H$1,0),"ERROR")</f>
        <v>280</v>
      </c>
      <c r="I71" s="112">
        <f>IFERROR(VLOOKUP($B71,MMWR_TRAD_AGG_STATE_PEN[],I$1,0),"ERROR")</f>
        <v>89</v>
      </c>
      <c r="J71" s="114">
        <f t="shared" si="9"/>
        <v>0.31785714285714284</v>
      </c>
      <c r="K71" s="111">
        <f>IFERROR(VLOOKUP($B71,MMWR_TRAD_AGG_STATE_PEN[],K$1,0),"ERROR")</f>
        <v>0</v>
      </c>
      <c r="L71" s="112">
        <f>IFERROR(VLOOKUP($B71,MMWR_TRAD_AGG_STATE_PEN[],L$1,0),"ERROR")</f>
        <v>0</v>
      </c>
      <c r="M71" s="114" t="str">
        <f t="shared" si="10"/>
        <v>0%</v>
      </c>
      <c r="N71" s="111">
        <f>IFERROR(VLOOKUP($B71,MMWR_TRAD_AGG_STATE_PEN[],N$1,0),"ERROR")</f>
        <v>19</v>
      </c>
      <c r="O71" s="112">
        <f>IFERROR(VLOOKUP($B71,MMWR_TRAD_AGG_STATE_PEN[],O$1,0),"ERROR")</f>
        <v>4</v>
      </c>
      <c r="P71" s="114">
        <f t="shared" si="11"/>
        <v>0.21052631578947367</v>
      </c>
      <c r="Q71" s="115">
        <f>IFERROR(VLOOKUP($B71,MMWR_TRAD_AGG_STATE_PEN[],Q$1,0),"ERROR")</f>
        <v>27</v>
      </c>
      <c r="R71" s="115">
        <f>IFERROR(VLOOKUP($B71,MMWR_TRAD_AGG_STATE_PEN[],R$1,0),"ERROR")</f>
        <v>48</v>
      </c>
      <c r="S71" s="115">
        <f>IFERROR(VLOOKUP($B71,MMWR_APP_STATE_PEN[],S$1,0),"ERROR")</f>
        <v>32</v>
      </c>
      <c r="T71" s="28"/>
    </row>
    <row r="72" spans="1:20" s="123" customFormat="1" x14ac:dyDescent="0.2">
      <c r="A72" s="28"/>
      <c r="B72" s="127" t="s">
        <v>422</v>
      </c>
      <c r="C72" s="109">
        <f>IFERROR(VLOOKUP($B72,MMWR_TRAD_AGG_STATE_PEN[],C$1,0),"ERROR")</f>
        <v>57</v>
      </c>
      <c r="D72" s="110">
        <f>IFERROR(VLOOKUP($B72,MMWR_TRAD_AGG_STATE_PEN[],D$1,0),"ERROR")</f>
        <v>109.6140350877</v>
      </c>
      <c r="E72" s="111">
        <f>IFERROR(VLOOKUP($B72,MMWR_TRAD_AGG_STATE_PEN[],E$1,0),"ERROR")</f>
        <v>78</v>
      </c>
      <c r="F72" s="112">
        <f>IFERROR(VLOOKUP($B72,MMWR_TRAD_AGG_STATE_PEN[],F$1,0),"ERROR")</f>
        <v>12</v>
      </c>
      <c r="G72" s="113">
        <f t="shared" si="8"/>
        <v>0.15384615384615385</v>
      </c>
      <c r="H72" s="111">
        <f>IFERROR(VLOOKUP($B72,MMWR_TRAD_AGG_STATE_PEN[],H$1,0),"ERROR")</f>
        <v>87</v>
      </c>
      <c r="I72" s="112">
        <f>IFERROR(VLOOKUP($B72,MMWR_TRAD_AGG_STATE_PEN[],I$1,0),"ERROR")</f>
        <v>24</v>
      </c>
      <c r="J72" s="114">
        <f t="shared" si="9"/>
        <v>0.27586206896551724</v>
      </c>
      <c r="K72" s="111">
        <f>IFERROR(VLOOKUP($B72,MMWR_TRAD_AGG_STATE_PEN[],K$1,0),"ERROR")</f>
        <v>2</v>
      </c>
      <c r="L72" s="112">
        <f>IFERROR(VLOOKUP($B72,MMWR_TRAD_AGG_STATE_PEN[],L$1,0),"ERROR")</f>
        <v>2</v>
      </c>
      <c r="M72" s="114">
        <f t="shared" si="10"/>
        <v>1</v>
      </c>
      <c r="N72" s="111">
        <f>IFERROR(VLOOKUP($B72,MMWR_TRAD_AGG_STATE_PEN[],N$1,0),"ERROR")</f>
        <v>6</v>
      </c>
      <c r="O72" s="112">
        <f>IFERROR(VLOOKUP($B72,MMWR_TRAD_AGG_STATE_PEN[],O$1,0),"ERROR")</f>
        <v>1</v>
      </c>
      <c r="P72" s="114">
        <f t="shared" si="11"/>
        <v>0.16666666666666666</v>
      </c>
      <c r="Q72" s="115">
        <f>IFERROR(VLOOKUP($B72,MMWR_TRAD_AGG_STATE_PEN[],Q$1,0),"ERROR")</f>
        <v>13</v>
      </c>
      <c r="R72" s="115">
        <f>IFERROR(VLOOKUP($B72,MMWR_TRAD_AGG_STATE_PEN[],R$1,0),"ERROR")</f>
        <v>10</v>
      </c>
      <c r="S72" s="115">
        <f>IFERROR(VLOOKUP($B72,MMWR_APP_STATE_PEN[],S$1,0),"ERROR")</f>
        <v>7</v>
      </c>
      <c r="T72" s="28"/>
    </row>
    <row r="73" spans="1:20" s="123" customFormat="1" x14ac:dyDescent="0.2">
      <c r="A73" s="28"/>
      <c r="B73" s="127" t="s">
        <v>413</v>
      </c>
      <c r="C73" s="109">
        <f>IFERROR(VLOOKUP($B73,MMWR_TRAD_AGG_STATE_PEN[],C$1,0),"ERROR")</f>
        <v>40</v>
      </c>
      <c r="D73" s="110">
        <f>IFERROR(VLOOKUP($B73,MMWR_TRAD_AGG_STATE_PEN[],D$1,0),"ERROR")</f>
        <v>85.674999999999997</v>
      </c>
      <c r="E73" s="111">
        <f>IFERROR(VLOOKUP($B73,MMWR_TRAD_AGG_STATE_PEN[],E$1,0),"ERROR")</f>
        <v>36</v>
      </c>
      <c r="F73" s="112">
        <f>IFERROR(VLOOKUP($B73,MMWR_TRAD_AGG_STATE_PEN[],F$1,0),"ERROR")</f>
        <v>8</v>
      </c>
      <c r="G73" s="113">
        <f t="shared" si="8"/>
        <v>0.22222222222222221</v>
      </c>
      <c r="H73" s="111">
        <f>IFERROR(VLOOKUP($B73,MMWR_TRAD_AGG_STATE_PEN[],H$1,0),"ERROR")</f>
        <v>57</v>
      </c>
      <c r="I73" s="112">
        <f>IFERROR(VLOOKUP($B73,MMWR_TRAD_AGG_STATE_PEN[],I$1,0),"ERROR")</f>
        <v>13</v>
      </c>
      <c r="J73" s="114">
        <f t="shared" si="9"/>
        <v>0.22807017543859648</v>
      </c>
      <c r="K73" s="111">
        <f>IFERROR(VLOOKUP($B73,MMWR_TRAD_AGG_STATE_PEN[],K$1,0),"ERROR")</f>
        <v>2</v>
      </c>
      <c r="L73" s="112">
        <f>IFERROR(VLOOKUP($B73,MMWR_TRAD_AGG_STATE_PEN[],L$1,0),"ERROR")</f>
        <v>2</v>
      </c>
      <c r="M73" s="114">
        <f t="shared" si="10"/>
        <v>1</v>
      </c>
      <c r="N73" s="111">
        <f>IFERROR(VLOOKUP($B73,MMWR_TRAD_AGG_STATE_PEN[],N$1,0),"ERROR")</f>
        <v>2</v>
      </c>
      <c r="O73" s="112">
        <f>IFERROR(VLOOKUP($B73,MMWR_TRAD_AGG_STATE_PEN[],O$1,0),"ERROR")</f>
        <v>1</v>
      </c>
      <c r="P73" s="114">
        <f t="shared" si="11"/>
        <v>0.5</v>
      </c>
      <c r="Q73" s="115">
        <f>IFERROR(VLOOKUP($B73,MMWR_TRAD_AGG_STATE_PEN[],Q$1,0),"ERROR")</f>
        <v>7</v>
      </c>
      <c r="R73" s="115">
        <f>IFERROR(VLOOKUP($B73,MMWR_TRAD_AGG_STATE_PEN[],R$1,0),"ERROR")</f>
        <v>13</v>
      </c>
      <c r="S73" s="115">
        <f>IFERROR(VLOOKUP($B73,MMWR_APP_STATE_PEN[],S$1,0),"ERROR")</f>
        <v>7</v>
      </c>
      <c r="T73" s="28"/>
    </row>
    <row r="74" spans="1:20" s="123" customFormat="1" x14ac:dyDescent="0.2">
      <c r="A74" s="28"/>
      <c r="B74" s="127" t="s">
        <v>415</v>
      </c>
      <c r="C74" s="109">
        <f>IFERROR(VLOOKUP($B74,MMWR_TRAD_AGG_STATE_PEN[],C$1,0),"ERROR")</f>
        <v>113</v>
      </c>
      <c r="D74" s="110">
        <f>IFERROR(VLOOKUP($B74,MMWR_TRAD_AGG_STATE_PEN[],D$1,0),"ERROR")</f>
        <v>97.5575221239</v>
      </c>
      <c r="E74" s="111">
        <f>IFERROR(VLOOKUP($B74,MMWR_TRAD_AGG_STATE_PEN[],E$1,0),"ERROR")</f>
        <v>129</v>
      </c>
      <c r="F74" s="112">
        <f>IFERROR(VLOOKUP($B74,MMWR_TRAD_AGG_STATE_PEN[],F$1,0),"ERROR")</f>
        <v>23</v>
      </c>
      <c r="G74" s="113">
        <f t="shared" si="8"/>
        <v>0.17829457364341086</v>
      </c>
      <c r="H74" s="111">
        <f>IFERROR(VLOOKUP($B74,MMWR_TRAD_AGG_STATE_PEN[],H$1,0),"ERROR")</f>
        <v>159</v>
      </c>
      <c r="I74" s="112">
        <f>IFERROR(VLOOKUP($B74,MMWR_TRAD_AGG_STATE_PEN[],I$1,0),"ERROR")</f>
        <v>45</v>
      </c>
      <c r="J74" s="114">
        <f t="shared" si="9"/>
        <v>0.28301886792452829</v>
      </c>
      <c r="K74" s="111">
        <f>IFERROR(VLOOKUP($B74,MMWR_TRAD_AGG_STATE_PEN[],K$1,0),"ERROR")</f>
        <v>1</v>
      </c>
      <c r="L74" s="112">
        <f>IFERROR(VLOOKUP($B74,MMWR_TRAD_AGG_STATE_PEN[],L$1,0),"ERROR")</f>
        <v>1</v>
      </c>
      <c r="M74" s="114">
        <f t="shared" si="10"/>
        <v>1</v>
      </c>
      <c r="N74" s="111">
        <f>IFERROR(VLOOKUP($B74,MMWR_TRAD_AGG_STATE_PEN[],N$1,0),"ERROR")</f>
        <v>10</v>
      </c>
      <c r="O74" s="112">
        <f>IFERROR(VLOOKUP($B74,MMWR_TRAD_AGG_STATE_PEN[],O$1,0),"ERROR")</f>
        <v>5</v>
      </c>
      <c r="P74" s="114">
        <f t="shared" si="11"/>
        <v>0.5</v>
      </c>
      <c r="Q74" s="115">
        <f>IFERROR(VLOOKUP($B74,MMWR_TRAD_AGG_STATE_PEN[],Q$1,0),"ERROR")</f>
        <v>25</v>
      </c>
      <c r="R74" s="115">
        <f>IFERROR(VLOOKUP($B74,MMWR_TRAD_AGG_STATE_PEN[],R$1,0),"ERROR")</f>
        <v>20</v>
      </c>
      <c r="S74" s="115">
        <f>IFERROR(VLOOKUP($B74,MMWR_APP_STATE_PEN[],S$1,0),"ERROR")</f>
        <v>24</v>
      </c>
      <c r="T74" s="28"/>
    </row>
    <row r="75" spans="1:20" s="123" customFormat="1" x14ac:dyDescent="0.2">
      <c r="A75" s="28"/>
      <c r="B75" s="127" t="s">
        <v>375</v>
      </c>
      <c r="C75" s="109">
        <f>IFERROR(VLOOKUP($B75,MMWR_TRAD_AGG_STATE_PEN[],C$1,0),"ERROR")</f>
        <v>318</v>
      </c>
      <c r="D75" s="110">
        <f>IFERROR(VLOOKUP($B75,MMWR_TRAD_AGG_STATE_PEN[],D$1,0),"ERROR")</f>
        <v>99.908805031399993</v>
      </c>
      <c r="E75" s="111">
        <f>IFERROR(VLOOKUP($B75,MMWR_TRAD_AGG_STATE_PEN[],E$1,0),"ERROR")</f>
        <v>524</v>
      </c>
      <c r="F75" s="112">
        <f>IFERROR(VLOOKUP($B75,MMWR_TRAD_AGG_STATE_PEN[],F$1,0),"ERROR")</f>
        <v>95</v>
      </c>
      <c r="G75" s="113">
        <f t="shared" si="8"/>
        <v>0.18129770992366412</v>
      </c>
      <c r="H75" s="111">
        <f>IFERROR(VLOOKUP($B75,MMWR_TRAD_AGG_STATE_PEN[],H$1,0),"ERROR")</f>
        <v>503</v>
      </c>
      <c r="I75" s="112">
        <f>IFERROR(VLOOKUP($B75,MMWR_TRAD_AGG_STATE_PEN[],I$1,0),"ERROR")</f>
        <v>148</v>
      </c>
      <c r="J75" s="114">
        <f t="shared" si="9"/>
        <v>0.29423459244532801</v>
      </c>
      <c r="K75" s="111">
        <f>IFERROR(VLOOKUP($B75,MMWR_TRAD_AGG_STATE_PEN[],K$1,0),"ERROR")</f>
        <v>7</v>
      </c>
      <c r="L75" s="112">
        <f>IFERROR(VLOOKUP($B75,MMWR_TRAD_AGG_STATE_PEN[],L$1,0),"ERROR")</f>
        <v>5</v>
      </c>
      <c r="M75" s="114">
        <f t="shared" si="10"/>
        <v>0.7142857142857143</v>
      </c>
      <c r="N75" s="111">
        <f>IFERROR(VLOOKUP($B75,MMWR_TRAD_AGG_STATE_PEN[],N$1,0),"ERROR")</f>
        <v>28</v>
      </c>
      <c r="O75" s="112">
        <f>IFERROR(VLOOKUP($B75,MMWR_TRAD_AGG_STATE_PEN[],O$1,0),"ERROR")</f>
        <v>9</v>
      </c>
      <c r="P75" s="114">
        <f t="shared" si="11"/>
        <v>0.32142857142857145</v>
      </c>
      <c r="Q75" s="115">
        <f>IFERROR(VLOOKUP($B75,MMWR_TRAD_AGG_STATE_PEN[],Q$1,0),"ERROR")</f>
        <v>83</v>
      </c>
      <c r="R75" s="115">
        <f>IFERROR(VLOOKUP($B75,MMWR_TRAD_AGG_STATE_PEN[],R$1,0),"ERROR")</f>
        <v>138</v>
      </c>
      <c r="S75" s="115">
        <f>IFERROR(VLOOKUP($B75,MMWR_APP_STATE_PEN[],S$1,0),"ERROR")</f>
        <v>50</v>
      </c>
      <c r="T75" s="28"/>
    </row>
    <row r="76" spans="1:20" s="123" customFormat="1" x14ac:dyDescent="0.2">
      <c r="A76" s="28"/>
      <c r="B76" s="127" t="s">
        <v>370</v>
      </c>
      <c r="C76" s="109">
        <f>IFERROR(VLOOKUP($B76,MMWR_TRAD_AGG_STATE_PEN[],C$1,0),"ERROR")</f>
        <v>393</v>
      </c>
      <c r="D76" s="110">
        <f>IFERROR(VLOOKUP($B76,MMWR_TRAD_AGG_STATE_PEN[],D$1,0),"ERROR")</f>
        <v>100.36386768449999</v>
      </c>
      <c r="E76" s="111">
        <f>IFERROR(VLOOKUP($B76,MMWR_TRAD_AGG_STATE_PEN[],E$1,0),"ERROR")</f>
        <v>545</v>
      </c>
      <c r="F76" s="112">
        <f>IFERROR(VLOOKUP($B76,MMWR_TRAD_AGG_STATE_PEN[],F$1,0),"ERROR")</f>
        <v>101</v>
      </c>
      <c r="G76" s="113">
        <f t="shared" si="8"/>
        <v>0.1853211009174312</v>
      </c>
      <c r="H76" s="111">
        <f>IFERROR(VLOOKUP($B76,MMWR_TRAD_AGG_STATE_PEN[],H$1,0),"ERROR")</f>
        <v>537</v>
      </c>
      <c r="I76" s="112">
        <f>IFERROR(VLOOKUP($B76,MMWR_TRAD_AGG_STATE_PEN[],I$1,0),"ERROR")</f>
        <v>156</v>
      </c>
      <c r="J76" s="114">
        <f t="shared" si="9"/>
        <v>0.29050279329608941</v>
      </c>
      <c r="K76" s="111">
        <f>IFERROR(VLOOKUP($B76,MMWR_TRAD_AGG_STATE_PEN[],K$1,0),"ERROR")</f>
        <v>4</v>
      </c>
      <c r="L76" s="112">
        <f>IFERROR(VLOOKUP($B76,MMWR_TRAD_AGG_STATE_PEN[],L$1,0),"ERROR")</f>
        <v>4</v>
      </c>
      <c r="M76" s="114">
        <f t="shared" si="10"/>
        <v>1</v>
      </c>
      <c r="N76" s="111">
        <f>IFERROR(VLOOKUP($B76,MMWR_TRAD_AGG_STATE_PEN[],N$1,0),"ERROR")</f>
        <v>34</v>
      </c>
      <c r="O76" s="112">
        <f>IFERROR(VLOOKUP($B76,MMWR_TRAD_AGG_STATE_PEN[],O$1,0),"ERROR")</f>
        <v>6</v>
      </c>
      <c r="P76" s="114">
        <f t="shared" si="11"/>
        <v>0.17647058823529413</v>
      </c>
      <c r="Q76" s="115">
        <f>IFERROR(VLOOKUP($B76,MMWR_TRAD_AGG_STATE_PEN[],Q$1,0),"ERROR")</f>
        <v>55</v>
      </c>
      <c r="R76" s="115">
        <f>IFERROR(VLOOKUP($B76,MMWR_TRAD_AGG_STATE_PEN[],R$1,0),"ERROR")</f>
        <v>123</v>
      </c>
      <c r="S76" s="115">
        <f>IFERROR(VLOOKUP($B76,MMWR_APP_STATE_PEN[],S$1,0),"ERROR")</f>
        <v>78</v>
      </c>
      <c r="T76" s="28"/>
    </row>
    <row r="77" spans="1:20" s="123" customFormat="1" x14ac:dyDescent="0.2">
      <c r="A77" s="28"/>
      <c r="B77" s="127" t="s">
        <v>414</v>
      </c>
      <c r="C77" s="109">
        <f>IFERROR(VLOOKUP($B77,MMWR_TRAD_AGG_STATE_PEN[],C$1,0),"ERROR")</f>
        <v>115</v>
      </c>
      <c r="D77" s="110">
        <f>IFERROR(VLOOKUP($B77,MMWR_TRAD_AGG_STATE_PEN[],D$1,0),"ERROR")</f>
        <v>95.808695652200001</v>
      </c>
      <c r="E77" s="111">
        <f>IFERROR(VLOOKUP($B77,MMWR_TRAD_AGG_STATE_PEN[],E$1,0),"ERROR")</f>
        <v>156</v>
      </c>
      <c r="F77" s="112">
        <f>IFERROR(VLOOKUP($B77,MMWR_TRAD_AGG_STATE_PEN[],F$1,0),"ERROR")</f>
        <v>32</v>
      </c>
      <c r="G77" s="113">
        <f t="shared" si="8"/>
        <v>0.20512820512820512</v>
      </c>
      <c r="H77" s="111">
        <f>IFERROR(VLOOKUP($B77,MMWR_TRAD_AGG_STATE_PEN[],H$1,0),"ERROR")</f>
        <v>136</v>
      </c>
      <c r="I77" s="112">
        <f>IFERROR(VLOOKUP($B77,MMWR_TRAD_AGG_STATE_PEN[],I$1,0),"ERROR")</f>
        <v>37</v>
      </c>
      <c r="J77" s="114">
        <f t="shared" si="9"/>
        <v>0.27205882352941174</v>
      </c>
      <c r="K77" s="111">
        <f>IFERROR(VLOOKUP($B77,MMWR_TRAD_AGG_STATE_PEN[],K$1,0),"ERROR")</f>
        <v>0</v>
      </c>
      <c r="L77" s="112">
        <f>IFERROR(VLOOKUP($B77,MMWR_TRAD_AGG_STATE_PEN[],L$1,0),"ERROR")</f>
        <v>0</v>
      </c>
      <c r="M77" s="114" t="str">
        <f t="shared" si="10"/>
        <v>0%</v>
      </c>
      <c r="N77" s="111">
        <f>IFERROR(VLOOKUP($B77,MMWR_TRAD_AGG_STATE_PEN[],N$1,0),"ERROR")</f>
        <v>5</v>
      </c>
      <c r="O77" s="112">
        <f>IFERROR(VLOOKUP($B77,MMWR_TRAD_AGG_STATE_PEN[],O$1,0),"ERROR")</f>
        <v>1</v>
      </c>
      <c r="P77" s="114">
        <f t="shared" si="11"/>
        <v>0.2</v>
      </c>
      <c r="Q77" s="115">
        <f>IFERROR(VLOOKUP($B77,MMWR_TRAD_AGG_STATE_PEN[],Q$1,0),"ERROR")</f>
        <v>13</v>
      </c>
      <c r="R77" s="115">
        <f>IFERROR(VLOOKUP($B77,MMWR_TRAD_AGG_STATE_PEN[],R$1,0),"ERROR")</f>
        <v>22</v>
      </c>
      <c r="S77" s="115">
        <f>IFERROR(VLOOKUP($B77,MMWR_APP_STATE_PEN[],S$1,0),"ERROR")</f>
        <v>6</v>
      </c>
      <c r="T77" s="28"/>
    </row>
    <row r="78" spans="1:20" s="123" customFormat="1" x14ac:dyDescent="0.2">
      <c r="A78" s="28"/>
      <c r="B78" s="127" t="s">
        <v>373</v>
      </c>
      <c r="C78" s="109">
        <f>IFERROR(VLOOKUP($B78,MMWR_TRAD_AGG_STATE_PEN[],C$1,0),"ERROR")</f>
        <v>469</v>
      </c>
      <c r="D78" s="110">
        <f>IFERROR(VLOOKUP($B78,MMWR_TRAD_AGG_STATE_PEN[],D$1,0),"ERROR")</f>
        <v>104.93390191899999</v>
      </c>
      <c r="E78" s="111">
        <f>IFERROR(VLOOKUP($B78,MMWR_TRAD_AGG_STATE_PEN[],E$1,0),"ERROR")</f>
        <v>655</v>
      </c>
      <c r="F78" s="112">
        <f>IFERROR(VLOOKUP($B78,MMWR_TRAD_AGG_STATE_PEN[],F$1,0),"ERROR")</f>
        <v>116</v>
      </c>
      <c r="G78" s="113">
        <f t="shared" si="8"/>
        <v>0.17709923664122137</v>
      </c>
      <c r="H78" s="111">
        <f>IFERROR(VLOOKUP($B78,MMWR_TRAD_AGG_STATE_PEN[],H$1,0),"ERROR")</f>
        <v>639</v>
      </c>
      <c r="I78" s="112">
        <f>IFERROR(VLOOKUP($B78,MMWR_TRAD_AGG_STATE_PEN[],I$1,0),"ERROR")</f>
        <v>191</v>
      </c>
      <c r="J78" s="114">
        <f t="shared" si="9"/>
        <v>0.29890453834115804</v>
      </c>
      <c r="K78" s="111">
        <f>IFERROR(VLOOKUP($B78,MMWR_TRAD_AGG_STATE_PEN[],K$1,0),"ERROR")</f>
        <v>1</v>
      </c>
      <c r="L78" s="112">
        <f>IFERROR(VLOOKUP($B78,MMWR_TRAD_AGG_STATE_PEN[],L$1,0),"ERROR")</f>
        <v>1</v>
      </c>
      <c r="M78" s="114">
        <f t="shared" si="10"/>
        <v>1</v>
      </c>
      <c r="N78" s="111">
        <f>IFERROR(VLOOKUP($B78,MMWR_TRAD_AGG_STATE_PEN[],N$1,0),"ERROR")</f>
        <v>22</v>
      </c>
      <c r="O78" s="112">
        <f>IFERROR(VLOOKUP($B78,MMWR_TRAD_AGG_STATE_PEN[],O$1,0),"ERROR")</f>
        <v>11</v>
      </c>
      <c r="P78" s="114">
        <f t="shared" si="11"/>
        <v>0.5</v>
      </c>
      <c r="Q78" s="115">
        <f>IFERROR(VLOOKUP($B78,MMWR_TRAD_AGG_STATE_PEN[],Q$1,0),"ERROR")</f>
        <v>66</v>
      </c>
      <c r="R78" s="115">
        <f>IFERROR(VLOOKUP($B78,MMWR_TRAD_AGG_STATE_PEN[],R$1,0),"ERROR")</f>
        <v>137</v>
      </c>
      <c r="S78" s="115">
        <f>IFERROR(VLOOKUP($B78,MMWR_APP_STATE_PEN[],S$1,0),"ERROR")</f>
        <v>122</v>
      </c>
      <c r="T78" s="28"/>
    </row>
    <row r="79" spans="1:20" s="123" customFormat="1" x14ac:dyDescent="0.2">
      <c r="A79" s="28"/>
      <c r="B79" s="127" t="s">
        <v>60</v>
      </c>
      <c r="C79" s="109">
        <f>IFERROR(VLOOKUP($B79,MMWR_TRAD_AGG_STATE_PEN[],C$1,0),"ERROR")</f>
        <v>1075</v>
      </c>
      <c r="D79" s="110">
        <f>IFERROR(VLOOKUP($B79,MMWR_TRAD_AGG_STATE_PEN[],D$1,0),"ERROR")</f>
        <v>100.65395348840001</v>
      </c>
      <c r="E79" s="111">
        <f>IFERROR(VLOOKUP($B79,MMWR_TRAD_AGG_STATE_PEN[],E$1,0),"ERROR")</f>
        <v>1864</v>
      </c>
      <c r="F79" s="112">
        <f>IFERROR(VLOOKUP($B79,MMWR_TRAD_AGG_STATE_PEN[],F$1,0),"ERROR")</f>
        <v>343</v>
      </c>
      <c r="G79" s="113">
        <f t="shared" si="8"/>
        <v>0.18401287553648069</v>
      </c>
      <c r="H79" s="111">
        <f>IFERROR(VLOOKUP($B79,MMWR_TRAD_AGG_STATE_PEN[],H$1,0),"ERROR")</f>
        <v>1552</v>
      </c>
      <c r="I79" s="112">
        <f>IFERROR(VLOOKUP($B79,MMWR_TRAD_AGG_STATE_PEN[],I$1,0),"ERROR")</f>
        <v>438</v>
      </c>
      <c r="J79" s="114">
        <f t="shared" si="9"/>
        <v>0.28221649484536082</v>
      </c>
      <c r="K79" s="111">
        <f>IFERROR(VLOOKUP($B79,MMWR_TRAD_AGG_STATE_PEN[],K$1,0),"ERROR")</f>
        <v>5</v>
      </c>
      <c r="L79" s="112">
        <f>IFERROR(VLOOKUP($B79,MMWR_TRAD_AGG_STATE_PEN[],L$1,0),"ERROR")</f>
        <v>5</v>
      </c>
      <c r="M79" s="114">
        <f t="shared" si="10"/>
        <v>1</v>
      </c>
      <c r="N79" s="111">
        <f>IFERROR(VLOOKUP($B79,MMWR_TRAD_AGG_STATE_PEN[],N$1,0),"ERROR")</f>
        <v>51</v>
      </c>
      <c r="O79" s="112">
        <f>IFERROR(VLOOKUP($B79,MMWR_TRAD_AGG_STATE_PEN[],O$1,0),"ERROR")</f>
        <v>19</v>
      </c>
      <c r="P79" s="114">
        <f t="shared" si="11"/>
        <v>0.37254901960784315</v>
      </c>
      <c r="Q79" s="115">
        <f>IFERROR(VLOOKUP($B79,MMWR_TRAD_AGG_STATE_PEN[],Q$1,0),"ERROR")</f>
        <v>190</v>
      </c>
      <c r="R79" s="115">
        <f>IFERROR(VLOOKUP($B79,MMWR_TRAD_AGG_STATE_PEN[],R$1,0),"ERROR")</f>
        <v>270</v>
      </c>
      <c r="S79" s="115">
        <f>IFERROR(VLOOKUP($B79,MMWR_APP_STATE_PEN[],S$1,0),"ERROR")</f>
        <v>143</v>
      </c>
      <c r="T79" s="28"/>
    </row>
    <row r="80" spans="1:20" s="123" customFormat="1" x14ac:dyDescent="0.2">
      <c r="A80" s="28"/>
      <c r="B80" s="127" t="s">
        <v>381</v>
      </c>
      <c r="C80" s="109">
        <f>IFERROR(VLOOKUP($B80,MMWR_TRAD_AGG_STATE_PEN[],C$1,0),"ERROR")</f>
        <v>1482</v>
      </c>
      <c r="D80" s="110">
        <f>IFERROR(VLOOKUP($B80,MMWR_TRAD_AGG_STATE_PEN[],D$1,0),"ERROR")</f>
        <v>110.2145748988</v>
      </c>
      <c r="E80" s="111">
        <f>IFERROR(VLOOKUP($B80,MMWR_TRAD_AGG_STATE_PEN[],E$1,0),"ERROR")</f>
        <v>1372</v>
      </c>
      <c r="F80" s="112">
        <f>IFERROR(VLOOKUP($B80,MMWR_TRAD_AGG_STATE_PEN[],F$1,0),"ERROR")</f>
        <v>230</v>
      </c>
      <c r="G80" s="113">
        <f t="shared" si="8"/>
        <v>0.16763848396501457</v>
      </c>
      <c r="H80" s="111">
        <f>IFERROR(VLOOKUP($B80,MMWR_TRAD_AGG_STATE_PEN[],H$1,0),"ERROR")</f>
        <v>1833</v>
      </c>
      <c r="I80" s="112">
        <f>IFERROR(VLOOKUP($B80,MMWR_TRAD_AGG_STATE_PEN[],I$1,0),"ERROR")</f>
        <v>667</v>
      </c>
      <c r="J80" s="114">
        <f t="shared" si="9"/>
        <v>0.36388434260774688</v>
      </c>
      <c r="K80" s="111">
        <f>IFERROR(VLOOKUP($B80,MMWR_TRAD_AGG_STATE_PEN[],K$1,0),"ERROR")</f>
        <v>14</v>
      </c>
      <c r="L80" s="112">
        <f>IFERROR(VLOOKUP($B80,MMWR_TRAD_AGG_STATE_PEN[],L$1,0),"ERROR")</f>
        <v>13</v>
      </c>
      <c r="M80" s="114">
        <f t="shared" si="10"/>
        <v>0.9285714285714286</v>
      </c>
      <c r="N80" s="111">
        <f>IFERROR(VLOOKUP($B80,MMWR_TRAD_AGG_STATE_PEN[],N$1,0),"ERROR")</f>
        <v>84</v>
      </c>
      <c r="O80" s="112">
        <f>IFERROR(VLOOKUP($B80,MMWR_TRAD_AGG_STATE_PEN[],O$1,0),"ERROR")</f>
        <v>28</v>
      </c>
      <c r="P80" s="114">
        <f t="shared" si="11"/>
        <v>0.33333333333333331</v>
      </c>
      <c r="Q80" s="115">
        <f>IFERROR(VLOOKUP($B80,MMWR_TRAD_AGG_STATE_PEN[],Q$1,0),"ERROR")</f>
        <v>234</v>
      </c>
      <c r="R80" s="115">
        <f>IFERROR(VLOOKUP($B80,MMWR_TRAD_AGG_STATE_PEN[],R$1,0),"ERROR")</f>
        <v>338</v>
      </c>
      <c r="S80" s="115">
        <f>IFERROR(VLOOKUP($B80,MMWR_APP_STATE_PEN[],S$1,0),"ERROR")</f>
        <v>141</v>
      </c>
      <c r="T80" s="28"/>
    </row>
    <row r="81" spans="1:20" s="123" customFormat="1" x14ac:dyDescent="0.2">
      <c r="A81" s="28"/>
      <c r="B81" s="127" t="s">
        <v>374</v>
      </c>
      <c r="C81" s="109">
        <f>IFERROR(VLOOKUP($B81,MMWR_TRAD_AGG_STATE_PEN[],C$1,0),"ERROR")</f>
        <v>1546</v>
      </c>
      <c r="D81" s="110">
        <f>IFERROR(VLOOKUP($B81,MMWR_TRAD_AGG_STATE_PEN[],D$1,0),"ERROR")</f>
        <v>101.6274256145</v>
      </c>
      <c r="E81" s="111">
        <f>IFERROR(VLOOKUP($B81,MMWR_TRAD_AGG_STATE_PEN[],E$1,0),"ERROR")</f>
        <v>2336</v>
      </c>
      <c r="F81" s="112">
        <f>IFERROR(VLOOKUP($B81,MMWR_TRAD_AGG_STATE_PEN[],F$1,0),"ERROR")</f>
        <v>402</v>
      </c>
      <c r="G81" s="113">
        <f t="shared" si="8"/>
        <v>0.1720890410958904</v>
      </c>
      <c r="H81" s="111">
        <f>IFERROR(VLOOKUP($B81,MMWR_TRAD_AGG_STATE_PEN[],H$1,0),"ERROR")</f>
        <v>2191</v>
      </c>
      <c r="I81" s="112">
        <f>IFERROR(VLOOKUP($B81,MMWR_TRAD_AGG_STATE_PEN[],I$1,0),"ERROR")</f>
        <v>645</v>
      </c>
      <c r="J81" s="114">
        <f t="shared" si="9"/>
        <v>0.29438612505705158</v>
      </c>
      <c r="K81" s="111">
        <f>IFERROR(VLOOKUP($B81,MMWR_TRAD_AGG_STATE_PEN[],K$1,0),"ERROR")</f>
        <v>2</v>
      </c>
      <c r="L81" s="112">
        <f>IFERROR(VLOOKUP($B81,MMWR_TRAD_AGG_STATE_PEN[],L$1,0),"ERROR")</f>
        <v>1</v>
      </c>
      <c r="M81" s="114">
        <f t="shared" si="10"/>
        <v>0.5</v>
      </c>
      <c r="N81" s="111">
        <f>IFERROR(VLOOKUP($B81,MMWR_TRAD_AGG_STATE_PEN[],N$1,0),"ERROR")</f>
        <v>104</v>
      </c>
      <c r="O81" s="112">
        <f>IFERROR(VLOOKUP($B81,MMWR_TRAD_AGG_STATE_PEN[],O$1,0),"ERROR")</f>
        <v>24</v>
      </c>
      <c r="P81" s="114">
        <f t="shared" si="11"/>
        <v>0.23076923076923078</v>
      </c>
      <c r="Q81" s="115">
        <f>IFERROR(VLOOKUP($B81,MMWR_TRAD_AGG_STATE_PEN[],Q$1,0),"ERROR")</f>
        <v>184</v>
      </c>
      <c r="R81" s="115">
        <f>IFERROR(VLOOKUP($B81,MMWR_TRAD_AGG_STATE_PEN[],R$1,0),"ERROR")</f>
        <v>312</v>
      </c>
      <c r="S81" s="115">
        <f>IFERROR(VLOOKUP($B81,MMWR_APP_STATE_PEN[],S$1,0),"ERROR")</f>
        <v>157</v>
      </c>
      <c r="T81" s="28"/>
    </row>
    <row r="82" spans="1:20" s="123" customFormat="1" x14ac:dyDescent="0.2">
      <c r="A82" s="28"/>
      <c r="B82" s="127" t="s">
        <v>371</v>
      </c>
      <c r="C82" s="109">
        <f>IFERROR(VLOOKUP($B82,MMWR_TRAD_AGG_STATE_PEN[],C$1,0),"ERROR")</f>
        <v>91</v>
      </c>
      <c r="D82" s="110">
        <f>IFERROR(VLOOKUP($B82,MMWR_TRAD_AGG_STATE_PEN[],D$1,0),"ERROR")</f>
        <v>90.593406593400005</v>
      </c>
      <c r="E82" s="111">
        <f>IFERROR(VLOOKUP($B82,MMWR_TRAD_AGG_STATE_PEN[],E$1,0),"ERROR")</f>
        <v>132</v>
      </c>
      <c r="F82" s="112">
        <f>IFERROR(VLOOKUP($B82,MMWR_TRAD_AGG_STATE_PEN[],F$1,0),"ERROR")</f>
        <v>25</v>
      </c>
      <c r="G82" s="113">
        <f t="shared" si="8"/>
        <v>0.18939393939393939</v>
      </c>
      <c r="H82" s="111">
        <f>IFERROR(VLOOKUP($B82,MMWR_TRAD_AGG_STATE_PEN[],H$1,0),"ERROR")</f>
        <v>122</v>
      </c>
      <c r="I82" s="112">
        <f>IFERROR(VLOOKUP($B82,MMWR_TRAD_AGG_STATE_PEN[],I$1,0),"ERROR")</f>
        <v>36</v>
      </c>
      <c r="J82" s="114">
        <f t="shared" si="9"/>
        <v>0.29508196721311475</v>
      </c>
      <c r="K82" s="111">
        <f>IFERROR(VLOOKUP($B82,MMWR_TRAD_AGG_STATE_PEN[],K$1,0),"ERROR")</f>
        <v>0</v>
      </c>
      <c r="L82" s="112">
        <f>IFERROR(VLOOKUP($B82,MMWR_TRAD_AGG_STATE_PEN[],L$1,0),"ERROR")</f>
        <v>0</v>
      </c>
      <c r="M82" s="114" t="str">
        <f t="shared" si="10"/>
        <v>0%</v>
      </c>
      <c r="N82" s="111">
        <f>IFERROR(VLOOKUP($B82,MMWR_TRAD_AGG_STATE_PEN[],N$1,0),"ERROR")</f>
        <v>7</v>
      </c>
      <c r="O82" s="112">
        <f>IFERROR(VLOOKUP($B82,MMWR_TRAD_AGG_STATE_PEN[],O$1,0),"ERROR")</f>
        <v>3</v>
      </c>
      <c r="P82" s="114">
        <f t="shared" si="11"/>
        <v>0.42857142857142855</v>
      </c>
      <c r="Q82" s="115">
        <f>IFERROR(VLOOKUP($B82,MMWR_TRAD_AGG_STATE_PEN[],Q$1,0),"ERROR")</f>
        <v>14</v>
      </c>
      <c r="R82" s="115">
        <f>IFERROR(VLOOKUP($B82,MMWR_TRAD_AGG_STATE_PEN[],R$1,0),"ERROR")</f>
        <v>14</v>
      </c>
      <c r="S82" s="115">
        <f>IFERROR(VLOOKUP($B82,MMWR_APP_STATE_PEN[],S$1,0),"ERROR")</f>
        <v>19</v>
      </c>
      <c r="T82" s="28"/>
    </row>
    <row r="83" spans="1:20" s="123" customFormat="1" x14ac:dyDescent="0.2">
      <c r="A83" s="28"/>
      <c r="B83" s="127" t="s">
        <v>416</v>
      </c>
      <c r="C83" s="109">
        <f>IFERROR(VLOOKUP($B83,MMWR_TRAD_AGG_STATE_PEN[],C$1,0),"ERROR")</f>
        <v>43</v>
      </c>
      <c r="D83" s="110">
        <f>IFERROR(VLOOKUP($B83,MMWR_TRAD_AGG_STATE_PEN[],D$1,0),"ERROR")</f>
        <v>119.1162790698</v>
      </c>
      <c r="E83" s="111">
        <f>IFERROR(VLOOKUP($B83,MMWR_TRAD_AGG_STATE_PEN[],E$1,0),"ERROR")</f>
        <v>46</v>
      </c>
      <c r="F83" s="112">
        <f>IFERROR(VLOOKUP($B83,MMWR_TRAD_AGG_STATE_PEN[],F$1,0),"ERROR")</f>
        <v>7</v>
      </c>
      <c r="G83" s="113">
        <f t="shared" si="8"/>
        <v>0.15217391304347827</v>
      </c>
      <c r="H83" s="111">
        <f>IFERROR(VLOOKUP($B83,MMWR_TRAD_AGG_STATE_PEN[],H$1,0),"ERROR")</f>
        <v>53</v>
      </c>
      <c r="I83" s="112">
        <f>IFERROR(VLOOKUP($B83,MMWR_TRAD_AGG_STATE_PEN[],I$1,0),"ERROR")</f>
        <v>20</v>
      </c>
      <c r="J83" s="114">
        <f t="shared" si="9"/>
        <v>0.37735849056603776</v>
      </c>
      <c r="K83" s="111">
        <f>IFERROR(VLOOKUP($B83,MMWR_TRAD_AGG_STATE_PEN[],K$1,0),"ERROR")</f>
        <v>0</v>
      </c>
      <c r="L83" s="112">
        <f>IFERROR(VLOOKUP($B83,MMWR_TRAD_AGG_STATE_PEN[],L$1,0),"ERROR")</f>
        <v>0</v>
      </c>
      <c r="M83" s="114" t="str">
        <f t="shared" si="10"/>
        <v>0%</v>
      </c>
      <c r="N83" s="111">
        <f>IFERROR(VLOOKUP($B83,MMWR_TRAD_AGG_STATE_PEN[],N$1,0),"ERROR")</f>
        <v>1</v>
      </c>
      <c r="O83" s="112">
        <f>IFERROR(VLOOKUP($B83,MMWR_TRAD_AGG_STATE_PEN[],O$1,0),"ERROR")</f>
        <v>1</v>
      </c>
      <c r="P83" s="114">
        <f t="shared" si="11"/>
        <v>1</v>
      </c>
      <c r="Q83" s="115">
        <f>IFERROR(VLOOKUP($B83,MMWR_TRAD_AGG_STATE_PEN[],Q$1,0),"ERROR")</f>
        <v>10</v>
      </c>
      <c r="R83" s="115">
        <f>IFERROR(VLOOKUP($B83,MMWR_TRAD_AGG_STATE_PEN[],R$1,0),"ERROR")</f>
        <v>8</v>
      </c>
      <c r="S83" s="115">
        <f>IFERROR(VLOOKUP($B83,MMWR_APP_STATE_PEN[],S$1,0),"ERROR")</f>
        <v>8</v>
      </c>
      <c r="T83" s="28"/>
    </row>
    <row r="84" spans="1:20" s="123" customFormat="1" x14ac:dyDescent="0.2">
      <c r="A84" s="28"/>
      <c r="B84" s="127" t="s">
        <v>377</v>
      </c>
      <c r="C84" s="109">
        <f>IFERROR(VLOOKUP($B84,MMWR_TRAD_AGG_STATE_PEN[],C$1,0),"ERROR")</f>
        <v>769</v>
      </c>
      <c r="D84" s="110">
        <f>IFERROR(VLOOKUP($B84,MMWR_TRAD_AGG_STATE_PEN[],D$1,0),"ERROR")</f>
        <v>105.4356306892</v>
      </c>
      <c r="E84" s="111">
        <f>IFERROR(VLOOKUP($B84,MMWR_TRAD_AGG_STATE_PEN[],E$1,0),"ERROR")</f>
        <v>840</v>
      </c>
      <c r="F84" s="112">
        <f>IFERROR(VLOOKUP($B84,MMWR_TRAD_AGG_STATE_PEN[],F$1,0),"ERROR")</f>
        <v>134</v>
      </c>
      <c r="G84" s="113">
        <f t="shared" si="8"/>
        <v>0.15952380952380951</v>
      </c>
      <c r="H84" s="111">
        <f>IFERROR(VLOOKUP($B84,MMWR_TRAD_AGG_STATE_PEN[],H$1,0),"ERROR")</f>
        <v>1056</v>
      </c>
      <c r="I84" s="112">
        <f>IFERROR(VLOOKUP($B84,MMWR_TRAD_AGG_STATE_PEN[],I$1,0),"ERROR")</f>
        <v>308</v>
      </c>
      <c r="J84" s="114">
        <f t="shared" si="9"/>
        <v>0.29166666666666669</v>
      </c>
      <c r="K84" s="111">
        <f>IFERROR(VLOOKUP($B84,MMWR_TRAD_AGG_STATE_PEN[],K$1,0),"ERROR")</f>
        <v>134</v>
      </c>
      <c r="L84" s="112">
        <f>IFERROR(VLOOKUP($B84,MMWR_TRAD_AGG_STATE_PEN[],L$1,0),"ERROR")</f>
        <v>131</v>
      </c>
      <c r="M84" s="114">
        <f t="shared" si="10"/>
        <v>0.97761194029850751</v>
      </c>
      <c r="N84" s="111">
        <f>IFERROR(VLOOKUP($B84,MMWR_TRAD_AGG_STATE_PEN[],N$1,0),"ERROR")</f>
        <v>45</v>
      </c>
      <c r="O84" s="112">
        <f>IFERROR(VLOOKUP($B84,MMWR_TRAD_AGG_STATE_PEN[],O$1,0),"ERROR")</f>
        <v>22</v>
      </c>
      <c r="P84" s="114">
        <f t="shared" si="11"/>
        <v>0.48888888888888887</v>
      </c>
      <c r="Q84" s="115">
        <f>IFERROR(VLOOKUP($B84,MMWR_TRAD_AGG_STATE_PEN[],Q$1,0),"ERROR")</f>
        <v>196</v>
      </c>
      <c r="R84" s="115">
        <f>IFERROR(VLOOKUP($B84,MMWR_TRAD_AGG_STATE_PEN[],R$1,0),"ERROR")</f>
        <v>244</v>
      </c>
      <c r="S84" s="115">
        <f>IFERROR(VLOOKUP($B84,MMWR_APP_STATE_PEN[],S$1,0),"ERROR")</f>
        <v>88</v>
      </c>
      <c r="T84" s="28"/>
    </row>
    <row r="85" spans="1:20" s="123" customFormat="1" x14ac:dyDescent="0.2">
      <c r="A85" s="28"/>
      <c r="B85" s="127" t="s">
        <v>378</v>
      </c>
      <c r="C85" s="109">
        <f>IFERROR(VLOOKUP($B85,MMWR_TRAD_AGG_STATE_PEN[],C$1,0),"ERROR")</f>
        <v>285</v>
      </c>
      <c r="D85" s="110">
        <f>IFERROR(VLOOKUP($B85,MMWR_TRAD_AGG_STATE_PEN[],D$1,0),"ERROR")</f>
        <v>110.5263157895</v>
      </c>
      <c r="E85" s="111">
        <f>IFERROR(VLOOKUP($B85,MMWR_TRAD_AGG_STATE_PEN[],E$1,0),"ERROR")</f>
        <v>228</v>
      </c>
      <c r="F85" s="112">
        <f>IFERROR(VLOOKUP($B85,MMWR_TRAD_AGG_STATE_PEN[],F$1,0),"ERROR")</f>
        <v>33</v>
      </c>
      <c r="G85" s="113">
        <f t="shared" si="8"/>
        <v>0.14473684210526316</v>
      </c>
      <c r="H85" s="111">
        <f>IFERROR(VLOOKUP($B85,MMWR_TRAD_AGG_STATE_PEN[],H$1,0),"ERROR")</f>
        <v>376</v>
      </c>
      <c r="I85" s="112">
        <f>IFERROR(VLOOKUP($B85,MMWR_TRAD_AGG_STATE_PEN[],I$1,0),"ERROR")</f>
        <v>130</v>
      </c>
      <c r="J85" s="114">
        <f t="shared" si="9"/>
        <v>0.34574468085106386</v>
      </c>
      <c r="K85" s="111">
        <f>IFERROR(VLOOKUP($B85,MMWR_TRAD_AGG_STATE_PEN[],K$1,0),"ERROR")</f>
        <v>0</v>
      </c>
      <c r="L85" s="112">
        <f>IFERROR(VLOOKUP($B85,MMWR_TRAD_AGG_STATE_PEN[],L$1,0),"ERROR")</f>
        <v>0</v>
      </c>
      <c r="M85" s="114" t="str">
        <f t="shared" si="10"/>
        <v>0%</v>
      </c>
      <c r="N85" s="111">
        <f>IFERROR(VLOOKUP($B85,MMWR_TRAD_AGG_STATE_PEN[],N$1,0),"ERROR")</f>
        <v>11</v>
      </c>
      <c r="O85" s="112">
        <f>IFERROR(VLOOKUP($B85,MMWR_TRAD_AGG_STATE_PEN[],O$1,0),"ERROR")</f>
        <v>4</v>
      </c>
      <c r="P85" s="114">
        <f t="shared" si="11"/>
        <v>0.36363636363636365</v>
      </c>
      <c r="Q85" s="115">
        <f>IFERROR(VLOOKUP($B85,MMWR_TRAD_AGG_STATE_PEN[],Q$1,0),"ERROR")</f>
        <v>59</v>
      </c>
      <c r="R85" s="115">
        <f>IFERROR(VLOOKUP($B85,MMWR_TRAD_AGG_STATE_PEN[],R$1,0),"ERROR")</f>
        <v>68</v>
      </c>
      <c r="S85" s="115">
        <f>IFERROR(VLOOKUP($B85,MMWR_APP_STATE_PEN[],S$1,0),"ERROR")</f>
        <v>37</v>
      </c>
      <c r="T85" s="28"/>
    </row>
    <row r="86" spans="1:20" s="123" customFormat="1" x14ac:dyDescent="0.2">
      <c r="A86" s="28"/>
      <c r="B86" s="126" t="s">
        <v>389</v>
      </c>
      <c r="C86" s="102">
        <f>IFERROR(VLOOKUP($B86,MMWR_TRAD_AGG_ST_DISTRICT_PEN[],C$1,0),"ERROR")</f>
        <v>3048</v>
      </c>
      <c r="D86" s="103">
        <f>IFERROR(VLOOKUP($B86,MMWR_TRAD_AGG_ST_DISTRICT_PEN[],D$1,0),"ERROR")</f>
        <v>63.877952755899997</v>
      </c>
      <c r="E86" s="102">
        <f>IFERROR(VLOOKUP($B86,MMWR_TRAD_AGG_ST_DISTRICT_PEN[],E$1,0),"ERROR")</f>
        <v>5715</v>
      </c>
      <c r="F86" s="102">
        <f>IFERROR(VLOOKUP($B86,MMWR_TRAD_AGG_ST_DISTRICT_PEN[],F$1,0),"ERROR")</f>
        <v>676</v>
      </c>
      <c r="G86" s="104">
        <f t="shared" si="8"/>
        <v>0.11828521434820648</v>
      </c>
      <c r="H86" s="102">
        <f>IFERROR(VLOOKUP($B86,MMWR_TRAD_AGG_ST_DISTRICT_PEN[],H$1,0),"ERROR")</f>
        <v>4899</v>
      </c>
      <c r="I86" s="102">
        <f>IFERROR(VLOOKUP($B86,MMWR_TRAD_AGG_ST_DISTRICT_PEN[],I$1,0),"ERROR")</f>
        <v>428</v>
      </c>
      <c r="J86" s="104">
        <f t="shared" si="9"/>
        <v>8.7364768320065317E-2</v>
      </c>
      <c r="K86" s="102">
        <f>IFERROR(VLOOKUP($B86,MMWR_TRAD_AGG_ST_DISTRICT_PEN[],K$1,0),"ERROR")</f>
        <v>10</v>
      </c>
      <c r="L86" s="102">
        <f>IFERROR(VLOOKUP($B86,MMWR_TRAD_AGG_ST_DISTRICT_PEN[],L$1,0),"ERROR")</f>
        <v>9</v>
      </c>
      <c r="M86" s="104">
        <f t="shared" si="10"/>
        <v>0.9</v>
      </c>
      <c r="N86" s="102">
        <f>IFERROR(VLOOKUP($B86,MMWR_TRAD_AGG_ST_DISTRICT_PEN[],N$1,0),"ERROR")</f>
        <v>380</v>
      </c>
      <c r="O86" s="102">
        <f>IFERROR(VLOOKUP($B86,MMWR_TRAD_AGG_ST_DISTRICT_PEN[],O$1,0),"ERROR")</f>
        <v>103</v>
      </c>
      <c r="P86" s="104">
        <f t="shared" si="11"/>
        <v>0.27105263157894738</v>
      </c>
      <c r="Q86" s="102">
        <f>IFERROR(VLOOKUP($B86,MMWR_TRAD_AGG_ST_DISTRICT_PEN[],Q$1,0),"ERROR")</f>
        <v>2403</v>
      </c>
      <c r="R86" s="106">
        <f>IFERROR(VLOOKUP($B86,MMWR_TRAD_AGG_ST_DISTRICT_PEN[],R$1,0),"ERROR")</f>
        <v>797</v>
      </c>
      <c r="S86" s="106">
        <f>IFERROR(VLOOKUP($B86,MMWR_APP_STATE_PEN[],S$1,0),"ERROR")</f>
        <v>1360</v>
      </c>
      <c r="T86" s="28"/>
    </row>
    <row r="87" spans="1:20" s="123" customFormat="1" x14ac:dyDescent="0.2">
      <c r="A87" s="28"/>
      <c r="B87" s="127" t="s">
        <v>393</v>
      </c>
      <c r="C87" s="109">
        <f>IFERROR(VLOOKUP($B87,MMWR_TRAD_AGG_STATE_PEN[],C$1,0),"ERROR")</f>
        <v>449</v>
      </c>
      <c r="D87" s="110">
        <f>IFERROR(VLOOKUP($B87,MMWR_TRAD_AGG_STATE_PEN[],D$1,0),"ERROR")</f>
        <v>72.146993318499995</v>
      </c>
      <c r="E87" s="111">
        <f>IFERROR(VLOOKUP($B87,MMWR_TRAD_AGG_STATE_PEN[],E$1,0),"ERROR")</f>
        <v>784</v>
      </c>
      <c r="F87" s="112">
        <f>IFERROR(VLOOKUP($B87,MMWR_TRAD_AGG_STATE_PEN[],F$1,0),"ERROR")</f>
        <v>104</v>
      </c>
      <c r="G87" s="113">
        <f t="shared" si="8"/>
        <v>0.1326530612244898</v>
      </c>
      <c r="H87" s="111">
        <f>IFERROR(VLOOKUP($B87,MMWR_TRAD_AGG_STATE_PEN[],H$1,0),"ERROR")</f>
        <v>639</v>
      </c>
      <c r="I87" s="112">
        <f>IFERROR(VLOOKUP($B87,MMWR_TRAD_AGG_STATE_PEN[],I$1,0),"ERROR")</f>
        <v>47</v>
      </c>
      <c r="J87" s="114">
        <f t="shared" si="9"/>
        <v>7.3552425665101728E-2</v>
      </c>
      <c r="K87" s="111">
        <f>IFERROR(VLOOKUP($B87,MMWR_TRAD_AGG_STATE_PEN[],K$1,0),"ERROR")</f>
        <v>0</v>
      </c>
      <c r="L87" s="112">
        <f>IFERROR(VLOOKUP($B87,MMWR_TRAD_AGG_STATE_PEN[],L$1,0),"ERROR")</f>
        <v>0</v>
      </c>
      <c r="M87" s="114" t="str">
        <f t="shared" si="10"/>
        <v>0%</v>
      </c>
      <c r="N87" s="111">
        <f>IFERROR(VLOOKUP($B87,MMWR_TRAD_AGG_STATE_PEN[],N$1,0),"ERROR")</f>
        <v>57</v>
      </c>
      <c r="O87" s="112">
        <f>IFERROR(VLOOKUP($B87,MMWR_TRAD_AGG_STATE_PEN[],O$1,0),"ERROR")</f>
        <v>19</v>
      </c>
      <c r="P87" s="114">
        <f t="shared" si="11"/>
        <v>0.33333333333333331</v>
      </c>
      <c r="Q87" s="115">
        <f>IFERROR(VLOOKUP($B87,MMWR_TRAD_AGG_STATE_PEN[],Q$1,0),"ERROR")</f>
        <v>89</v>
      </c>
      <c r="R87" s="115">
        <f>IFERROR(VLOOKUP($B87,MMWR_TRAD_AGG_STATE_PEN[],R$1,0),"ERROR")</f>
        <v>145</v>
      </c>
      <c r="S87" s="115">
        <f>IFERROR(VLOOKUP($B87,MMWR_APP_STATE_PEN[],S$1,0),"ERROR")</f>
        <v>303</v>
      </c>
      <c r="T87" s="28"/>
    </row>
    <row r="88" spans="1:20" s="123" customFormat="1" x14ac:dyDescent="0.2">
      <c r="A88" s="28"/>
      <c r="B88" s="127" t="s">
        <v>391</v>
      </c>
      <c r="C88" s="109">
        <f>IFERROR(VLOOKUP($B88,MMWR_TRAD_AGG_STATE_PEN[],C$1,0),"ERROR")</f>
        <v>228</v>
      </c>
      <c r="D88" s="110">
        <f>IFERROR(VLOOKUP($B88,MMWR_TRAD_AGG_STATE_PEN[],D$1,0),"ERROR")</f>
        <v>71.346491228100007</v>
      </c>
      <c r="E88" s="111">
        <f>IFERROR(VLOOKUP($B88,MMWR_TRAD_AGG_STATE_PEN[],E$1,0),"ERROR")</f>
        <v>618</v>
      </c>
      <c r="F88" s="112">
        <f>IFERROR(VLOOKUP($B88,MMWR_TRAD_AGG_STATE_PEN[],F$1,0),"ERROR")</f>
        <v>85</v>
      </c>
      <c r="G88" s="113">
        <f t="shared" si="8"/>
        <v>0.13754045307443366</v>
      </c>
      <c r="H88" s="111">
        <f>IFERROR(VLOOKUP($B88,MMWR_TRAD_AGG_STATE_PEN[],H$1,0),"ERROR")</f>
        <v>432</v>
      </c>
      <c r="I88" s="112">
        <f>IFERROR(VLOOKUP($B88,MMWR_TRAD_AGG_STATE_PEN[],I$1,0),"ERROR")</f>
        <v>39</v>
      </c>
      <c r="J88" s="114">
        <f t="shared" si="9"/>
        <v>9.0277777777777776E-2</v>
      </c>
      <c r="K88" s="111">
        <f>IFERROR(VLOOKUP($B88,MMWR_TRAD_AGG_STATE_PEN[],K$1,0),"ERROR")</f>
        <v>2</v>
      </c>
      <c r="L88" s="112">
        <f>IFERROR(VLOOKUP($B88,MMWR_TRAD_AGG_STATE_PEN[],L$1,0),"ERROR")</f>
        <v>2</v>
      </c>
      <c r="M88" s="114">
        <f t="shared" si="10"/>
        <v>1</v>
      </c>
      <c r="N88" s="111">
        <f>IFERROR(VLOOKUP($B88,MMWR_TRAD_AGG_STATE_PEN[],N$1,0),"ERROR")</f>
        <v>38</v>
      </c>
      <c r="O88" s="112">
        <f>IFERROR(VLOOKUP($B88,MMWR_TRAD_AGG_STATE_PEN[],O$1,0),"ERROR")</f>
        <v>13</v>
      </c>
      <c r="P88" s="114">
        <f t="shared" si="11"/>
        <v>0.34210526315789475</v>
      </c>
      <c r="Q88" s="115">
        <f>IFERROR(VLOOKUP($B88,MMWR_TRAD_AGG_STATE_PEN[],Q$1,0),"ERROR")</f>
        <v>65</v>
      </c>
      <c r="R88" s="115">
        <f>IFERROR(VLOOKUP($B88,MMWR_TRAD_AGG_STATE_PEN[],R$1,0),"ERROR")</f>
        <v>84</v>
      </c>
      <c r="S88" s="115">
        <f>IFERROR(VLOOKUP($B88,MMWR_APP_STATE_PEN[],S$1,0),"ERROR")</f>
        <v>141</v>
      </c>
      <c r="T88" s="28"/>
    </row>
    <row r="89" spans="1:20" s="123" customFormat="1" x14ac:dyDescent="0.2">
      <c r="A89" s="28"/>
      <c r="B89" s="127" t="s">
        <v>398</v>
      </c>
      <c r="C89" s="109">
        <f>IFERROR(VLOOKUP($B89,MMWR_TRAD_AGG_STATE_PEN[],C$1,0),"ERROR")</f>
        <v>178</v>
      </c>
      <c r="D89" s="110">
        <f>IFERROR(VLOOKUP($B89,MMWR_TRAD_AGG_STATE_PEN[],D$1,0),"ERROR")</f>
        <v>58.977528089899998</v>
      </c>
      <c r="E89" s="111">
        <f>IFERROR(VLOOKUP($B89,MMWR_TRAD_AGG_STATE_PEN[],E$1,0),"ERROR")</f>
        <v>282</v>
      </c>
      <c r="F89" s="112">
        <f>IFERROR(VLOOKUP($B89,MMWR_TRAD_AGG_STATE_PEN[],F$1,0),"ERROR")</f>
        <v>13</v>
      </c>
      <c r="G89" s="113">
        <f t="shared" si="8"/>
        <v>4.6099290780141841E-2</v>
      </c>
      <c r="H89" s="111">
        <f>IFERROR(VLOOKUP($B89,MMWR_TRAD_AGG_STATE_PEN[],H$1,0),"ERROR")</f>
        <v>285</v>
      </c>
      <c r="I89" s="112">
        <f>IFERROR(VLOOKUP($B89,MMWR_TRAD_AGG_STATE_PEN[],I$1,0),"ERROR")</f>
        <v>21</v>
      </c>
      <c r="J89" s="114">
        <f t="shared" si="9"/>
        <v>7.3684210526315783E-2</v>
      </c>
      <c r="K89" s="111">
        <f>IFERROR(VLOOKUP($B89,MMWR_TRAD_AGG_STATE_PEN[],K$1,0),"ERROR")</f>
        <v>0</v>
      </c>
      <c r="L89" s="112">
        <f>IFERROR(VLOOKUP($B89,MMWR_TRAD_AGG_STATE_PEN[],L$1,0),"ERROR")</f>
        <v>0</v>
      </c>
      <c r="M89" s="114" t="str">
        <f t="shared" si="10"/>
        <v>0%</v>
      </c>
      <c r="N89" s="111">
        <f>IFERROR(VLOOKUP($B89,MMWR_TRAD_AGG_STATE_PEN[],N$1,0),"ERROR")</f>
        <v>15</v>
      </c>
      <c r="O89" s="112">
        <f>IFERROR(VLOOKUP($B89,MMWR_TRAD_AGG_STATE_PEN[],O$1,0),"ERROR")</f>
        <v>7</v>
      </c>
      <c r="P89" s="114">
        <f t="shared" si="11"/>
        <v>0.46666666666666667</v>
      </c>
      <c r="Q89" s="115">
        <f>IFERROR(VLOOKUP($B89,MMWR_TRAD_AGG_STATE_PEN[],Q$1,0),"ERROR")</f>
        <v>364</v>
      </c>
      <c r="R89" s="115">
        <f>IFERROR(VLOOKUP($B89,MMWR_TRAD_AGG_STATE_PEN[],R$1,0),"ERROR")</f>
        <v>48</v>
      </c>
      <c r="S89" s="115">
        <f>IFERROR(VLOOKUP($B89,MMWR_APP_STATE_PEN[],S$1,0),"ERROR")</f>
        <v>26</v>
      </c>
      <c r="T89" s="28"/>
    </row>
    <row r="90" spans="1:20" s="123" customFormat="1" x14ac:dyDescent="0.2">
      <c r="A90" s="28"/>
      <c r="B90" s="127" t="s">
        <v>421</v>
      </c>
      <c r="C90" s="109">
        <f>IFERROR(VLOOKUP($B90,MMWR_TRAD_AGG_STATE_PEN[],C$1,0),"ERROR")</f>
        <v>125</v>
      </c>
      <c r="D90" s="110">
        <f>IFERROR(VLOOKUP($B90,MMWR_TRAD_AGG_STATE_PEN[],D$1,0),"ERROR")</f>
        <v>76.664000000000001</v>
      </c>
      <c r="E90" s="111">
        <f>IFERROR(VLOOKUP($B90,MMWR_TRAD_AGG_STATE_PEN[],E$1,0),"ERROR")</f>
        <v>208</v>
      </c>
      <c r="F90" s="112">
        <f>IFERROR(VLOOKUP($B90,MMWR_TRAD_AGG_STATE_PEN[],F$1,0),"ERROR")</f>
        <v>8</v>
      </c>
      <c r="G90" s="113">
        <f t="shared" si="8"/>
        <v>3.8461538461538464E-2</v>
      </c>
      <c r="H90" s="111">
        <f>IFERROR(VLOOKUP($B90,MMWR_TRAD_AGG_STATE_PEN[],H$1,0),"ERROR")</f>
        <v>204</v>
      </c>
      <c r="I90" s="112">
        <f>IFERROR(VLOOKUP($B90,MMWR_TRAD_AGG_STATE_PEN[],I$1,0),"ERROR")</f>
        <v>29</v>
      </c>
      <c r="J90" s="114">
        <f t="shared" si="9"/>
        <v>0.14215686274509803</v>
      </c>
      <c r="K90" s="111">
        <f>IFERROR(VLOOKUP($B90,MMWR_TRAD_AGG_STATE_PEN[],K$1,0),"ERROR")</f>
        <v>1</v>
      </c>
      <c r="L90" s="112">
        <f>IFERROR(VLOOKUP($B90,MMWR_TRAD_AGG_STATE_PEN[],L$1,0),"ERROR")</f>
        <v>0</v>
      </c>
      <c r="M90" s="114">
        <f t="shared" si="10"/>
        <v>0</v>
      </c>
      <c r="N90" s="111">
        <f>IFERROR(VLOOKUP($B90,MMWR_TRAD_AGG_STATE_PEN[],N$1,0),"ERROR")</f>
        <v>14</v>
      </c>
      <c r="O90" s="112">
        <f>IFERROR(VLOOKUP($B90,MMWR_TRAD_AGG_STATE_PEN[],O$1,0),"ERROR")</f>
        <v>6</v>
      </c>
      <c r="P90" s="114">
        <f t="shared" si="11"/>
        <v>0.42857142857142855</v>
      </c>
      <c r="Q90" s="115">
        <f>IFERROR(VLOOKUP($B90,MMWR_TRAD_AGG_STATE_PEN[],Q$1,0),"ERROR")</f>
        <v>202</v>
      </c>
      <c r="R90" s="115">
        <f>IFERROR(VLOOKUP($B90,MMWR_TRAD_AGG_STATE_PEN[],R$1,0),"ERROR")</f>
        <v>39</v>
      </c>
      <c r="S90" s="115">
        <f>IFERROR(VLOOKUP($B90,MMWR_APP_STATE_PEN[],S$1,0),"ERROR")</f>
        <v>28</v>
      </c>
      <c r="T90" s="28"/>
    </row>
    <row r="91" spans="1:20" s="123" customFormat="1" x14ac:dyDescent="0.2">
      <c r="A91" s="28"/>
      <c r="B91" s="127" t="s">
        <v>394</v>
      </c>
      <c r="C91" s="109">
        <f>IFERROR(VLOOKUP($B91,MMWR_TRAD_AGG_STATE_PEN[],C$1,0),"ERROR")</f>
        <v>522</v>
      </c>
      <c r="D91" s="110">
        <f>IFERROR(VLOOKUP($B91,MMWR_TRAD_AGG_STATE_PEN[],D$1,0),"ERROR")</f>
        <v>59.385057471300001</v>
      </c>
      <c r="E91" s="111">
        <f>IFERROR(VLOOKUP($B91,MMWR_TRAD_AGG_STATE_PEN[],E$1,0),"ERROR")</f>
        <v>1072</v>
      </c>
      <c r="F91" s="112">
        <f>IFERROR(VLOOKUP($B91,MMWR_TRAD_AGG_STATE_PEN[],F$1,0),"ERROR")</f>
        <v>145</v>
      </c>
      <c r="G91" s="113">
        <f t="shared" si="8"/>
        <v>0.13526119402985073</v>
      </c>
      <c r="H91" s="111">
        <f>IFERROR(VLOOKUP($B91,MMWR_TRAD_AGG_STATE_PEN[],H$1,0),"ERROR")</f>
        <v>814</v>
      </c>
      <c r="I91" s="112">
        <f>IFERROR(VLOOKUP($B91,MMWR_TRAD_AGG_STATE_PEN[],I$1,0),"ERROR")</f>
        <v>83</v>
      </c>
      <c r="J91" s="114">
        <f t="shared" si="9"/>
        <v>0.10196560196560196</v>
      </c>
      <c r="K91" s="111">
        <f>IFERROR(VLOOKUP($B91,MMWR_TRAD_AGG_STATE_PEN[],K$1,0),"ERROR")</f>
        <v>1</v>
      </c>
      <c r="L91" s="112">
        <f>IFERROR(VLOOKUP($B91,MMWR_TRAD_AGG_STATE_PEN[],L$1,0),"ERROR")</f>
        <v>1</v>
      </c>
      <c r="M91" s="114">
        <f t="shared" si="10"/>
        <v>1</v>
      </c>
      <c r="N91" s="111">
        <f>IFERROR(VLOOKUP($B91,MMWR_TRAD_AGG_STATE_PEN[],N$1,0),"ERROR")</f>
        <v>64</v>
      </c>
      <c r="O91" s="112">
        <f>IFERROR(VLOOKUP($B91,MMWR_TRAD_AGG_STATE_PEN[],O$1,0),"ERROR")</f>
        <v>17</v>
      </c>
      <c r="P91" s="114">
        <f t="shared" si="11"/>
        <v>0.265625</v>
      </c>
      <c r="Q91" s="115">
        <f>IFERROR(VLOOKUP($B91,MMWR_TRAD_AGG_STATE_PEN[],Q$1,0),"ERROR")</f>
        <v>127</v>
      </c>
      <c r="R91" s="115">
        <f>IFERROR(VLOOKUP($B91,MMWR_TRAD_AGG_STATE_PEN[],R$1,0),"ERROR")</f>
        <v>118</v>
      </c>
      <c r="S91" s="115">
        <f>IFERROR(VLOOKUP($B91,MMWR_APP_STATE_PEN[],S$1,0),"ERROR")</f>
        <v>223</v>
      </c>
      <c r="T91" s="28"/>
    </row>
    <row r="92" spans="1:20" s="123" customFormat="1" x14ac:dyDescent="0.2">
      <c r="A92" s="28"/>
      <c r="B92" s="127" t="s">
        <v>400</v>
      </c>
      <c r="C92" s="109">
        <f>IFERROR(VLOOKUP($B92,MMWR_TRAD_AGG_STATE_PEN[],C$1,0),"ERROR")</f>
        <v>219</v>
      </c>
      <c r="D92" s="110">
        <f>IFERROR(VLOOKUP($B92,MMWR_TRAD_AGG_STATE_PEN[],D$1,0),"ERROR")</f>
        <v>67.794520547900007</v>
      </c>
      <c r="E92" s="111">
        <f>IFERROR(VLOOKUP($B92,MMWR_TRAD_AGG_STATE_PEN[],E$1,0),"ERROR")</f>
        <v>258</v>
      </c>
      <c r="F92" s="112">
        <f>IFERROR(VLOOKUP($B92,MMWR_TRAD_AGG_STATE_PEN[],F$1,0),"ERROR")</f>
        <v>9</v>
      </c>
      <c r="G92" s="113">
        <f t="shared" si="8"/>
        <v>3.4883720930232558E-2</v>
      </c>
      <c r="H92" s="111">
        <f>IFERROR(VLOOKUP($B92,MMWR_TRAD_AGG_STATE_PEN[],H$1,0),"ERROR")</f>
        <v>332</v>
      </c>
      <c r="I92" s="112">
        <f>IFERROR(VLOOKUP($B92,MMWR_TRAD_AGG_STATE_PEN[],I$1,0),"ERROR")</f>
        <v>40</v>
      </c>
      <c r="J92" s="114">
        <f t="shared" si="9"/>
        <v>0.12048192771084337</v>
      </c>
      <c r="K92" s="111">
        <f>IFERROR(VLOOKUP($B92,MMWR_TRAD_AGG_STATE_PEN[],K$1,0),"ERROR")</f>
        <v>1</v>
      </c>
      <c r="L92" s="112">
        <f>IFERROR(VLOOKUP($B92,MMWR_TRAD_AGG_STATE_PEN[],L$1,0),"ERROR")</f>
        <v>1</v>
      </c>
      <c r="M92" s="114">
        <f t="shared" si="10"/>
        <v>1</v>
      </c>
      <c r="N92" s="111">
        <f>IFERROR(VLOOKUP($B92,MMWR_TRAD_AGG_STATE_PEN[],N$1,0),"ERROR")</f>
        <v>19</v>
      </c>
      <c r="O92" s="112">
        <f>IFERROR(VLOOKUP($B92,MMWR_TRAD_AGG_STATE_PEN[],O$1,0),"ERROR")</f>
        <v>5</v>
      </c>
      <c r="P92" s="114">
        <f t="shared" si="11"/>
        <v>0.26315789473684209</v>
      </c>
      <c r="Q92" s="115">
        <f>IFERROR(VLOOKUP($B92,MMWR_TRAD_AGG_STATE_PEN[],Q$1,0),"ERROR")</f>
        <v>819</v>
      </c>
      <c r="R92" s="115">
        <f>IFERROR(VLOOKUP($B92,MMWR_TRAD_AGG_STATE_PEN[],R$1,0),"ERROR")</f>
        <v>73</v>
      </c>
      <c r="S92" s="115">
        <f>IFERROR(VLOOKUP($B92,MMWR_APP_STATE_PEN[],S$1,0),"ERROR")</f>
        <v>30</v>
      </c>
      <c r="T92" s="28"/>
    </row>
    <row r="93" spans="1:20" s="123" customFormat="1" x14ac:dyDescent="0.2">
      <c r="A93" s="28"/>
      <c r="B93" s="127" t="s">
        <v>396</v>
      </c>
      <c r="C93" s="109">
        <f>IFERROR(VLOOKUP($B93,MMWR_TRAD_AGG_STATE_PEN[],C$1,0),"ERROR")</f>
        <v>418</v>
      </c>
      <c r="D93" s="110">
        <f>IFERROR(VLOOKUP($B93,MMWR_TRAD_AGG_STATE_PEN[],D$1,0),"ERROR")</f>
        <v>66.528708133999999</v>
      </c>
      <c r="E93" s="111">
        <f>IFERROR(VLOOKUP($B93,MMWR_TRAD_AGG_STATE_PEN[],E$1,0),"ERROR")</f>
        <v>736</v>
      </c>
      <c r="F93" s="112">
        <f>IFERROR(VLOOKUP($B93,MMWR_TRAD_AGG_STATE_PEN[],F$1,0),"ERROR")</f>
        <v>91</v>
      </c>
      <c r="G93" s="113">
        <f t="shared" si="8"/>
        <v>0.12364130434782608</v>
      </c>
      <c r="H93" s="111">
        <f>IFERROR(VLOOKUP($B93,MMWR_TRAD_AGG_STATE_PEN[],H$1,0),"ERROR")</f>
        <v>639</v>
      </c>
      <c r="I93" s="112">
        <f>IFERROR(VLOOKUP($B93,MMWR_TRAD_AGG_STATE_PEN[],I$1,0),"ERROR")</f>
        <v>45</v>
      </c>
      <c r="J93" s="114">
        <f t="shared" si="9"/>
        <v>7.0422535211267609E-2</v>
      </c>
      <c r="K93" s="111">
        <f>IFERROR(VLOOKUP($B93,MMWR_TRAD_AGG_STATE_PEN[],K$1,0),"ERROR")</f>
        <v>2</v>
      </c>
      <c r="L93" s="112">
        <f>IFERROR(VLOOKUP($B93,MMWR_TRAD_AGG_STATE_PEN[],L$1,0),"ERROR")</f>
        <v>2</v>
      </c>
      <c r="M93" s="114">
        <f t="shared" si="10"/>
        <v>1</v>
      </c>
      <c r="N93" s="111">
        <f>IFERROR(VLOOKUP($B93,MMWR_TRAD_AGG_STATE_PEN[],N$1,0),"ERROR")</f>
        <v>48</v>
      </c>
      <c r="O93" s="112">
        <f>IFERROR(VLOOKUP($B93,MMWR_TRAD_AGG_STATE_PEN[],O$1,0),"ERROR")</f>
        <v>13</v>
      </c>
      <c r="P93" s="114">
        <f t="shared" si="11"/>
        <v>0.27083333333333331</v>
      </c>
      <c r="Q93" s="115">
        <f>IFERROR(VLOOKUP($B93,MMWR_TRAD_AGG_STATE_PEN[],Q$1,0),"ERROR")</f>
        <v>125</v>
      </c>
      <c r="R93" s="115">
        <f>IFERROR(VLOOKUP($B93,MMWR_TRAD_AGG_STATE_PEN[],R$1,0),"ERROR")</f>
        <v>69</v>
      </c>
      <c r="S93" s="115">
        <f>IFERROR(VLOOKUP($B93,MMWR_APP_STATE_PEN[],S$1,0),"ERROR")</f>
        <v>208</v>
      </c>
      <c r="T93" s="28"/>
    </row>
    <row r="94" spans="1:20" s="123" customFormat="1" x14ac:dyDescent="0.2">
      <c r="A94" s="28"/>
      <c r="B94" s="127" t="s">
        <v>399</v>
      </c>
      <c r="C94" s="109">
        <f>IFERROR(VLOOKUP($B94,MMWR_TRAD_AGG_STATE_PEN[],C$1,0),"ERROR")</f>
        <v>68</v>
      </c>
      <c r="D94" s="110">
        <f>IFERROR(VLOOKUP($B94,MMWR_TRAD_AGG_STATE_PEN[],D$1,0),"ERROR")</f>
        <v>55.529411764700001</v>
      </c>
      <c r="E94" s="111">
        <f>IFERROR(VLOOKUP($B94,MMWR_TRAD_AGG_STATE_PEN[],E$1,0),"ERROR")</f>
        <v>88</v>
      </c>
      <c r="F94" s="112">
        <f>IFERROR(VLOOKUP($B94,MMWR_TRAD_AGG_STATE_PEN[],F$1,0),"ERROR")</f>
        <v>4</v>
      </c>
      <c r="G94" s="113">
        <f t="shared" si="8"/>
        <v>4.5454545454545456E-2</v>
      </c>
      <c r="H94" s="111">
        <f>IFERROR(VLOOKUP($B94,MMWR_TRAD_AGG_STATE_PEN[],H$1,0),"ERROR")</f>
        <v>115</v>
      </c>
      <c r="I94" s="112">
        <f>IFERROR(VLOOKUP($B94,MMWR_TRAD_AGG_STATE_PEN[],I$1,0),"ERROR")</f>
        <v>7</v>
      </c>
      <c r="J94" s="114">
        <f t="shared" si="9"/>
        <v>6.0869565217391307E-2</v>
      </c>
      <c r="K94" s="111">
        <f>IFERROR(VLOOKUP($B94,MMWR_TRAD_AGG_STATE_PEN[],K$1,0),"ERROR")</f>
        <v>0</v>
      </c>
      <c r="L94" s="112">
        <f>IFERROR(VLOOKUP($B94,MMWR_TRAD_AGG_STATE_PEN[],L$1,0),"ERROR")</f>
        <v>0</v>
      </c>
      <c r="M94" s="114" t="str">
        <f t="shared" si="10"/>
        <v>0%</v>
      </c>
      <c r="N94" s="111">
        <f>IFERROR(VLOOKUP($B94,MMWR_TRAD_AGG_STATE_PEN[],N$1,0),"ERROR")</f>
        <v>3</v>
      </c>
      <c r="O94" s="112">
        <f>IFERROR(VLOOKUP($B94,MMWR_TRAD_AGG_STATE_PEN[],O$1,0),"ERROR")</f>
        <v>1</v>
      </c>
      <c r="P94" s="114">
        <f t="shared" si="11"/>
        <v>0.33333333333333331</v>
      </c>
      <c r="Q94" s="115">
        <f>IFERROR(VLOOKUP($B94,MMWR_TRAD_AGG_STATE_PEN[],Q$1,0),"ERROR")</f>
        <v>239</v>
      </c>
      <c r="R94" s="115">
        <f>IFERROR(VLOOKUP($B94,MMWR_TRAD_AGG_STATE_PEN[],R$1,0),"ERROR")</f>
        <v>27</v>
      </c>
      <c r="S94" s="115">
        <f>IFERROR(VLOOKUP($B94,MMWR_APP_STATE_PEN[],S$1,0),"ERROR")</f>
        <v>12</v>
      </c>
      <c r="T94" s="28"/>
    </row>
    <row r="95" spans="1:20" s="123" customFormat="1" x14ac:dyDescent="0.2">
      <c r="A95" s="28"/>
      <c r="B95" s="127" t="s">
        <v>418</v>
      </c>
      <c r="C95" s="109">
        <f>IFERROR(VLOOKUP($B95,MMWR_TRAD_AGG_STATE_PEN[],C$1,0),"ERROR")</f>
        <v>27</v>
      </c>
      <c r="D95" s="110">
        <f>IFERROR(VLOOKUP($B95,MMWR_TRAD_AGG_STATE_PEN[],D$1,0),"ERROR")</f>
        <v>77.814814814800002</v>
      </c>
      <c r="E95" s="111">
        <f>IFERROR(VLOOKUP($B95,MMWR_TRAD_AGG_STATE_PEN[],E$1,0),"ERROR")</f>
        <v>22</v>
      </c>
      <c r="F95" s="112">
        <f>IFERROR(VLOOKUP($B95,MMWR_TRAD_AGG_STATE_PEN[],F$1,0),"ERROR")</f>
        <v>1</v>
      </c>
      <c r="G95" s="113">
        <f t="shared" si="8"/>
        <v>4.5454545454545456E-2</v>
      </c>
      <c r="H95" s="111">
        <f>IFERROR(VLOOKUP($B95,MMWR_TRAD_AGG_STATE_PEN[],H$1,0),"ERROR")</f>
        <v>46</v>
      </c>
      <c r="I95" s="112">
        <f>IFERROR(VLOOKUP($B95,MMWR_TRAD_AGG_STATE_PEN[],I$1,0),"ERROR")</f>
        <v>6</v>
      </c>
      <c r="J95" s="114">
        <f t="shared" si="9"/>
        <v>0.13043478260869565</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67</v>
      </c>
      <c r="R95" s="115">
        <f>IFERROR(VLOOKUP($B95,MMWR_TRAD_AGG_STATE_PEN[],R$1,0),"ERROR")</f>
        <v>14</v>
      </c>
      <c r="S95" s="115">
        <f>IFERROR(VLOOKUP($B95,MMWR_APP_STATE_PEN[],S$1,0),"ERROR")</f>
        <v>4</v>
      </c>
      <c r="T95" s="28"/>
    </row>
    <row r="96" spans="1:20" s="123" customFormat="1" x14ac:dyDescent="0.2">
      <c r="A96" s="28"/>
      <c r="B96" s="127" t="s">
        <v>390</v>
      </c>
      <c r="C96" s="109">
        <f>IFERROR(VLOOKUP($B96,MMWR_TRAD_AGG_STATE_PEN[],C$1,0),"ERROR")</f>
        <v>542</v>
      </c>
      <c r="D96" s="110">
        <f>IFERROR(VLOOKUP($B96,MMWR_TRAD_AGG_STATE_PEN[],D$1,0),"ERROR")</f>
        <v>56.872693726900003</v>
      </c>
      <c r="E96" s="111">
        <f>IFERROR(VLOOKUP($B96,MMWR_TRAD_AGG_STATE_PEN[],E$1,0),"ERROR")</f>
        <v>1157</v>
      </c>
      <c r="F96" s="112">
        <f>IFERROR(VLOOKUP($B96,MMWR_TRAD_AGG_STATE_PEN[],F$1,0),"ERROR")</f>
        <v>162</v>
      </c>
      <c r="G96" s="113">
        <f t="shared" si="8"/>
        <v>0.14001728608470182</v>
      </c>
      <c r="H96" s="111">
        <f>IFERROR(VLOOKUP($B96,MMWR_TRAD_AGG_STATE_PEN[],H$1,0),"ERROR")</f>
        <v>965</v>
      </c>
      <c r="I96" s="112">
        <f>IFERROR(VLOOKUP($B96,MMWR_TRAD_AGG_STATE_PEN[],I$1,0),"ERROR")</f>
        <v>84</v>
      </c>
      <c r="J96" s="114">
        <f t="shared" si="9"/>
        <v>8.7046632124352333E-2</v>
      </c>
      <c r="K96" s="111">
        <f>IFERROR(VLOOKUP($B96,MMWR_TRAD_AGG_STATE_PEN[],K$1,0),"ERROR")</f>
        <v>1</v>
      </c>
      <c r="L96" s="112">
        <f>IFERROR(VLOOKUP($B96,MMWR_TRAD_AGG_STATE_PEN[],L$1,0),"ERROR")</f>
        <v>1</v>
      </c>
      <c r="M96" s="114">
        <f t="shared" si="10"/>
        <v>1</v>
      </c>
      <c r="N96" s="111">
        <f>IFERROR(VLOOKUP($B96,MMWR_TRAD_AGG_STATE_PEN[],N$1,0),"ERROR")</f>
        <v>85</v>
      </c>
      <c r="O96" s="112">
        <f>IFERROR(VLOOKUP($B96,MMWR_TRAD_AGG_STATE_PEN[],O$1,0),"ERROR")</f>
        <v>15</v>
      </c>
      <c r="P96" s="114">
        <f t="shared" si="11"/>
        <v>0.17647058823529413</v>
      </c>
      <c r="Q96" s="115">
        <f>IFERROR(VLOOKUP($B96,MMWR_TRAD_AGG_STATE_PEN[],Q$1,0),"ERROR")</f>
        <v>127</v>
      </c>
      <c r="R96" s="115">
        <f>IFERROR(VLOOKUP($B96,MMWR_TRAD_AGG_STATE_PEN[],R$1,0),"ERROR")</f>
        <v>133</v>
      </c>
      <c r="S96" s="115">
        <f>IFERROR(VLOOKUP($B96,MMWR_APP_STATE_PEN[],S$1,0),"ERROR")</f>
        <v>286</v>
      </c>
      <c r="T96" s="28"/>
    </row>
    <row r="97" spans="1:20" s="123" customFormat="1" x14ac:dyDescent="0.2">
      <c r="A97" s="28"/>
      <c r="B97" s="127" t="s">
        <v>419</v>
      </c>
      <c r="C97" s="109">
        <f>IFERROR(VLOOKUP($B97,MMWR_TRAD_AGG_STATE_PEN[],C$1,0),"ERROR")</f>
        <v>43</v>
      </c>
      <c r="D97" s="110">
        <f>IFERROR(VLOOKUP($B97,MMWR_TRAD_AGG_STATE_PEN[],D$1,0),"ERROR")</f>
        <v>65.906976744199994</v>
      </c>
      <c r="E97" s="111">
        <f>IFERROR(VLOOKUP($B97,MMWR_TRAD_AGG_STATE_PEN[],E$1,0),"ERROR")</f>
        <v>51</v>
      </c>
      <c r="F97" s="112">
        <f>IFERROR(VLOOKUP($B97,MMWR_TRAD_AGG_STATE_PEN[],F$1,0),"ERROR")</f>
        <v>1</v>
      </c>
      <c r="G97" s="113">
        <f t="shared" si="8"/>
        <v>1.9607843137254902E-2</v>
      </c>
      <c r="H97" s="111">
        <f>IFERROR(VLOOKUP($B97,MMWR_TRAD_AGG_STATE_PEN[],H$1,0),"ERROR")</f>
        <v>68</v>
      </c>
      <c r="I97" s="112">
        <f>IFERROR(VLOOKUP($B97,MMWR_TRAD_AGG_STATE_PEN[],I$1,0),"ERROR")</f>
        <v>5</v>
      </c>
      <c r="J97" s="114">
        <f t="shared" si="9"/>
        <v>7.3529411764705885E-2</v>
      </c>
      <c r="K97" s="111">
        <f>IFERROR(VLOOKUP($B97,MMWR_TRAD_AGG_STATE_PEN[],K$1,0),"ERROR")</f>
        <v>1</v>
      </c>
      <c r="L97" s="112">
        <f>IFERROR(VLOOKUP($B97,MMWR_TRAD_AGG_STATE_PEN[],L$1,0),"ERROR")</f>
        <v>1</v>
      </c>
      <c r="M97" s="114">
        <f t="shared" si="10"/>
        <v>1</v>
      </c>
      <c r="N97" s="111">
        <f>IFERROR(VLOOKUP($B97,MMWR_TRAD_AGG_STATE_PEN[],N$1,0),"ERROR")</f>
        <v>2</v>
      </c>
      <c r="O97" s="112">
        <f>IFERROR(VLOOKUP($B97,MMWR_TRAD_AGG_STATE_PEN[],O$1,0),"ERROR")</f>
        <v>0</v>
      </c>
      <c r="P97" s="114">
        <f t="shared" si="11"/>
        <v>0</v>
      </c>
      <c r="Q97" s="115">
        <f>IFERROR(VLOOKUP($B97,MMWR_TRAD_AGG_STATE_PEN[],Q$1,0),"ERROR")</f>
        <v>117</v>
      </c>
      <c r="R97" s="115">
        <f>IFERROR(VLOOKUP($B97,MMWR_TRAD_AGG_STATE_PEN[],R$1,0),"ERROR")</f>
        <v>8</v>
      </c>
      <c r="S97" s="115">
        <f>IFERROR(VLOOKUP($B97,MMWR_APP_STATE_PEN[],S$1,0),"ERROR")</f>
        <v>6</v>
      </c>
      <c r="T97" s="28"/>
    </row>
    <row r="98" spans="1:20" s="123" customFormat="1" x14ac:dyDescent="0.2">
      <c r="A98" s="28"/>
      <c r="B98" s="127" t="s">
        <v>395</v>
      </c>
      <c r="C98" s="109">
        <f>IFERROR(VLOOKUP($B98,MMWR_TRAD_AGG_STATE_PEN[],C$1,0),"ERROR")</f>
        <v>229</v>
      </c>
      <c r="D98" s="110">
        <f>IFERROR(VLOOKUP($B98,MMWR_TRAD_AGG_STATE_PEN[],D$1,0),"ERROR")</f>
        <v>55.751091703100002</v>
      </c>
      <c r="E98" s="111">
        <f>IFERROR(VLOOKUP($B98,MMWR_TRAD_AGG_STATE_PEN[],E$1,0),"ERROR")</f>
        <v>439</v>
      </c>
      <c r="F98" s="112">
        <f>IFERROR(VLOOKUP($B98,MMWR_TRAD_AGG_STATE_PEN[],F$1,0),"ERROR")</f>
        <v>53</v>
      </c>
      <c r="G98" s="113">
        <f t="shared" si="8"/>
        <v>0.12072892938496584</v>
      </c>
      <c r="H98" s="111">
        <f>IFERROR(VLOOKUP($B98,MMWR_TRAD_AGG_STATE_PEN[],H$1,0),"ERROR")</f>
        <v>360</v>
      </c>
      <c r="I98" s="112">
        <f>IFERROR(VLOOKUP($B98,MMWR_TRAD_AGG_STATE_PEN[],I$1,0),"ERROR")</f>
        <v>22</v>
      </c>
      <c r="J98" s="114">
        <f t="shared" si="9"/>
        <v>6.1111111111111109E-2</v>
      </c>
      <c r="K98" s="111">
        <f>IFERROR(VLOOKUP($B98,MMWR_TRAD_AGG_STATE_PEN[],K$1,0),"ERROR")</f>
        <v>1</v>
      </c>
      <c r="L98" s="112">
        <f>IFERROR(VLOOKUP($B98,MMWR_TRAD_AGG_STATE_PEN[],L$1,0),"ERROR")</f>
        <v>1</v>
      </c>
      <c r="M98" s="114">
        <f t="shared" si="10"/>
        <v>1</v>
      </c>
      <c r="N98" s="111">
        <f>IFERROR(VLOOKUP($B98,MMWR_TRAD_AGG_STATE_PEN[],N$1,0),"ERROR")</f>
        <v>35</v>
      </c>
      <c r="O98" s="112">
        <f>IFERROR(VLOOKUP($B98,MMWR_TRAD_AGG_STATE_PEN[],O$1,0),"ERROR")</f>
        <v>7</v>
      </c>
      <c r="P98" s="114">
        <f t="shared" si="11"/>
        <v>0.2</v>
      </c>
      <c r="Q98" s="115">
        <f>IFERROR(VLOOKUP($B98,MMWR_TRAD_AGG_STATE_PEN[],Q$1,0),"ERROR")</f>
        <v>62</v>
      </c>
      <c r="R98" s="115">
        <f>IFERROR(VLOOKUP($B98,MMWR_TRAD_AGG_STATE_PEN[],R$1,0),"ERROR")</f>
        <v>39</v>
      </c>
      <c r="S98" s="115">
        <f>IFERROR(VLOOKUP($B98,MMWR_APP_STATE_PEN[],S$1,0),"ERROR")</f>
        <v>93</v>
      </c>
      <c r="T98" s="28"/>
    </row>
    <row r="99" spans="1:20" s="123" customFormat="1" x14ac:dyDescent="0.2">
      <c r="A99" s="28"/>
      <c r="B99" s="126" t="s">
        <v>384</v>
      </c>
      <c r="C99" s="102">
        <f>IFERROR(VLOOKUP($B99,MMWR_TRAD_AGG_ST_DISTRICT_PEN[],C$1,0),"ERROR")</f>
        <v>2245</v>
      </c>
      <c r="D99" s="103">
        <f>IFERROR(VLOOKUP($B99,MMWR_TRAD_AGG_ST_DISTRICT_PEN[],D$1,0),"ERROR")</f>
        <v>67.780846325200002</v>
      </c>
      <c r="E99" s="102">
        <f>IFERROR(VLOOKUP($B99,MMWR_TRAD_AGG_ST_DISTRICT_PEN[],E$1,0),"ERROR")</f>
        <v>3165</v>
      </c>
      <c r="F99" s="102">
        <f>IFERROR(VLOOKUP($B99,MMWR_TRAD_AGG_ST_DISTRICT_PEN[],F$1,0),"ERROR")</f>
        <v>194</v>
      </c>
      <c r="G99" s="104">
        <f t="shared" si="8"/>
        <v>6.1295418641390202E-2</v>
      </c>
      <c r="H99" s="102">
        <f>IFERROR(VLOOKUP($B99,MMWR_TRAD_AGG_ST_DISTRICT_PEN[],H$1,0),"ERROR")</f>
        <v>3719</v>
      </c>
      <c r="I99" s="102">
        <f>IFERROR(VLOOKUP($B99,MMWR_TRAD_AGG_ST_DISTRICT_PEN[],I$1,0),"ERROR")</f>
        <v>368</v>
      </c>
      <c r="J99" s="104">
        <f t="shared" si="9"/>
        <v>9.895133100295779E-2</v>
      </c>
      <c r="K99" s="102">
        <f>IFERROR(VLOOKUP($B99,MMWR_TRAD_AGG_ST_DISTRICT_PEN[],K$1,0),"ERROR")</f>
        <v>22</v>
      </c>
      <c r="L99" s="102">
        <f>IFERROR(VLOOKUP($B99,MMWR_TRAD_AGG_ST_DISTRICT_PEN[],L$1,0),"ERROR")</f>
        <v>20</v>
      </c>
      <c r="M99" s="104">
        <f t="shared" si="10"/>
        <v>0.90909090909090906</v>
      </c>
      <c r="N99" s="102">
        <f>IFERROR(VLOOKUP($B99,MMWR_TRAD_AGG_ST_DISTRICT_PEN[],N$1,0),"ERROR")</f>
        <v>224</v>
      </c>
      <c r="O99" s="102">
        <f>IFERROR(VLOOKUP($B99,MMWR_TRAD_AGG_ST_DISTRICT_PEN[],O$1,0),"ERROR")</f>
        <v>76</v>
      </c>
      <c r="P99" s="104">
        <f t="shared" si="11"/>
        <v>0.3392857142857143</v>
      </c>
      <c r="Q99" s="102">
        <f>IFERROR(VLOOKUP($B99,MMWR_TRAD_AGG_ST_DISTRICT_PEN[],Q$1,0),"ERROR")</f>
        <v>3284</v>
      </c>
      <c r="R99" s="106">
        <f>IFERROR(VLOOKUP($B99,MMWR_TRAD_AGG_ST_DISTRICT_PEN[],R$1,0),"ERROR")</f>
        <v>887</v>
      </c>
      <c r="S99" s="106">
        <f>IFERROR(VLOOKUP($B99,MMWR_APP_STATE_PEN[],S$1,0),"ERROR")</f>
        <v>875</v>
      </c>
      <c r="T99" s="28"/>
    </row>
    <row r="100" spans="1:20" s="123" customFormat="1" x14ac:dyDescent="0.2">
      <c r="A100" s="28"/>
      <c r="B100" s="127" t="s">
        <v>410</v>
      </c>
      <c r="C100" s="109">
        <f>IFERROR(VLOOKUP($B100,MMWR_TRAD_AGG_STATE_PEN[],C$1,0),"ERROR")</f>
        <v>208</v>
      </c>
      <c r="D100" s="110">
        <f>IFERROR(VLOOKUP($B100,MMWR_TRAD_AGG_STATE_PEN[],D$1,0),"ERROR")</f>
        <v>67.197115384599996</v>
      </c>
      <c r="E100" s="111">
        <f>IFERROR(VLOOKUP($B100,MMWR_TRAD_AGG_STATE_PEN[],E$1,0),"ERROR")</f>
        <v>255</v>
      </c>
      <c r="F100" s="112">
        <f>IFERROR(VLOOKUP($B100,MMWR_TRAD_AGG_STATE_PEN[],F$1,0),"ERROR")</f>
        <v>25</v>
      </c>
      <c r="G100" s="113">
        <f t="shared" si="8"/>
        <v>9.8039215686274508E-2</v>
      </c>
      <c r="H100" s="111">
        <f>IFERROR(VLOOKUP($B100,MMWR_TRAD_AGG_STATE_PEN[],H$1,0),"ERROR")</f>
        <v>295</v>
      </c>
      <c r="I100" s="112">
        <f>IFERROR(VLOOKUP($B100,MMWR_TRAD_AGG_STATE_PEN[],I$1,0),"ERROR")</f>
        <v>30</v>
      </c>
      <c r="J100" s="114">
        <f t="shared" si="9"/>
        <v>0.10169491525423729</v>
      </c>
      <c r="K100" s="111">
        <f>IFERROR(VLOOKUP($B100,MMWR_TRAD_AGG_STATE_PEN[],K$1,0),"ERROR")</f>
        <v>4</v>
      </c>
      <c r="L100" s="112">
        <f>IFERROR(VLOOKUP($B100,MMWR_TRAD_AGG_STATE_PEN[],L$1,0),"ERROR")</f>
        <v>4</v>
      </c>
      <c r="M100" s="114">
        <f t="shared" si="10"/>
        <v>1</v>
      </c>
      <c r="N100" s="111">
        <f>IFERROR(VLOOKUP($B100,MMWR_TRAD_AGG_STATE_PEN[],N$1,0),"ERROR")</f>
        <v>26</v>
      </c>
      <c r="O100" s="112">
        <f>IFERROR(VLOOKUP($B100,MMWR_TRAD_AGG_STATE_PEN[],O$1,0),"ERROR")</f>
        <v>9</v>
      </c>
      <c r="P100" s="114">
        <f t="shared" si="11"/>
        <v>0.34615384615384615</v>
      </c>
      <c r="Q100" s="115">
        <f>IFERROR(VLOOKUP($B100,MMWR_TRAD_AGG_STATE_PEN[],Q$1,0),"ERROR")</f>
        <v>74</v>
      </c>
      <c r="R100" s="115">
        <f>IFERROR(VLOOKUP($B100,MMWR_TRAD_AGG_STATE_PEN[],R$1,0),"ERROR")</f>
        <v>40</v>
      </c>
      <c r="S100" s="115">
        <f>IFERROR(VLOOKUP($B100,MMWR_APP_STATE_PEN[],S$1,0),"ERROR")</f>
        <v>144</v>
      </c>
      <c r="T100" s="28"/>
    </row>
    <row r="101" spans="1:20" s="123" customFormat="1" x14ac:dyDescent="0.2">
      <c r="A101" s="28"/>
      <c r="B101" s="127" t="s">
        <v>402</v>
      </c>
      <c r="C101" s="109">
        <f>IFERROR(VLOOKUP($B101,MMWR_TRAD_AGG_STATE_PEN[],C$1,0),"ERROR")</f>
        <v>140</v>
      </c>
      <c r="D101" s="110">
        <f>IFERROR(VLOOKUP($B101,MMWR_TRAD_AGG_STATE_PEN[],D$1,0),"ERROR")</f>
        <v>80.457142857099996</v>
      </c>
      <c r="E101" s="111">
        <f>IFERROR(VLOOKUP($B101,MMWR_TRAD_AGG_STATE_PEN[],E$1,0),"ERROR")</f>
        <v>252</v>
      </c>
      <c r="F101" s="112">
        <f>IFERROR(VLOOKUP($B101,MMWR_TRAD_AGG_STATE_PEN[],F$1,0),"ERROR")</f>
        <v>8</v>
      </c>
      <c r="G101" s="113">
        <f t="shared" ref="G101:G127" si="12">IFERROR(F101/E101,"0%")</f>
        <v>3.1746031746031744E-2</v>
      </c>
      <c r="H101" s="111">
        <f>IFERROR(VLOOKUP($B101,MMWR_TRAD_AGG_STATE_PEN[],H$1,0),"ERROR")</f>
        <v>328</v>
      </c>
      <c r="I101" s="112">
        <f>IFERROR(VLOOKUP($B101,MMWR_TRAD_AGG_STATE_PEN[],I$1,0),"ERROR")</f>
        <v>40</v>
      </c>
      <c r="J101" s="114">
        <f t="shared" ref="J101:J127" si="13">IFERROR(I101/H101,"0%")</f>
        <v>0.12195121951219512</v>
      </c>
      <c r="K101" s="111">
        <f>IFERROR(VLOOKUP($B101,MMWR_TRAD_AGG_STATE_PEN[],K$1,0),"ERROR")</f>
        <v>4</v>
      </c>
      <c r="L101" s="112">
        <f>IFERROR(VLOOKUP($B101,MMWR_TRAD_AGG_STATE_PEN[],L$1,0),"ERROR")</f>
        <v>3</v>
      </c>
      <c r="M101" s="114">
        <f t="shared" ref="M101:M127" si="14">IFERROR(L101/K101,"0%")</f>
        <v>0.75</v>
      </c>
      <c r="N101" s="111">
        <f>IFERROR(VLOOKUP($B101,MMWR_TRAD_AGG_STATE_PEN[],N$1,0),"ERROR")</f>
        <v>14</v>
      </c>
      <c r="O101" s="112">
        <f>IFERROR(VLOOKUP($B101,MMWR_TRAD_AGG_STATE_PEN[],O$1,0),"ERROR")</f>
        <v>8</v>
      </c>
      <c r="P101" s="114">
        <f t="shared" ref="P101:P127" si="15">IFERROR(O101/N101,"0%")</f>
        <v>0.5714285714285714</v>
      </c>
      <c r="Q101" s="115">
        <f>IFERROR(VLOOKUP($B101,MMWR_TRAD_AGG_STATE_PEN[],Q$1,0),"ERROR")</f>
        <v>404</v>
      </c>
      <c r="R101" s="115">
        <f>IFERROR(VLOOKUP($B101,MMWR_TRAD_AGG_STATE_PEN[],R$1,0),"ERROR")</f>
        <v>87</v>
      </c>
      <c r="S101" s="115">
        <f>IFERROR(VLOOKUP($B101,MMWR_APP_STATE_PEN[],S$1,0),"ERROR")</f>
        <v>58</v>
      </c>
      <c r="T101" s="28"/>
    </row>
    <row r="102" spans="1:20" s="123" customFormat="1" x14ac:dyDescent="0.2">
      <c r="A102" s="28"/>
      <c r="B102" s="127" t="s">
        <v>386</v>
      </c>
      <c r="C102" s="109">
        <f>IFERROR(VLOOKUP($B102,MMWR_TRAD_AGG_STATE_PEN[],C$1,0),"ERROR")</f>
        <v>350</v>
      </c>
      <c r="D102" s="110">
        <f>IFERROR(VLOOKUP($B102,MMWR_TRAD_AGG_STATE_PEN[],D$1,0),"ERROR")</f>
        <v>68.131428571399994</v>
      </c>
      <c r="E102" s="111">
        <f>IFERROR(VLOOKUP($B102,MMWR_TRAD_AGG_STATE_PEN[],E$1,0),"ERROR")</f>
        <v>491</v>
      </c>
      <c r="F102" s="112">
        <f>IFERROR(VLOOKUP($B102,MMWR_TRAD_AGG_STATE_PEN[],F$1,0),"ERROR")</f>
        <v>50</v>
      </c>
      <c r="G102" s="113">
        <f t="shared" si="12"/>
        <v>0.10183299389002037</v>
      </c>
      <c r="H102" s="111">
        <f>IFERROR(VLOOKUP($B102,MMWR_TRAD_AGG_STATE_PEN[],H$1,0),"ERROR")</f>
        <v>497</v>
      </c>
      <c r="I102" s="112">
        <f>IFERROR(VLOOKUP($B102,MMWR_TRAD_AGG_STATE_PEN[],I$1,0),"ERROR")</f>
        <v>54</v>
      </c>
      <c r="J102" s="114">
        <f t="shared" si="13"/>
        <v>0.10865191146881288</v>
      </c>
      <c r="K102" s="111">
        <f>IFERROR(VLOOKUP($B102,MMWR_TRAD_AGG_STATE_PEN[],K$1,0),"ERROR")</f>
        <v>2</v>
      </c>
      <c r="L102" s="112">
        <f>IFERROR(VLOOKUP($B102,MMWR_TRAD_AGG_STATE_PEN[],L$1,0),"ERROR")</f>
        <v>2</v>
      </c>
      <c r="M102" s="114">
        <f t="shared" si="14"/>
        <v>1</v>
      </c>
      <c r="N102" s="111">
        <f>IFERROR(VLOOKUP($B102,MMWR_TRAD_AGG_STATE_PEN[],N$1,0),"ERROR")</f>
        <v>39</v>
      </c>
      <c r="O102" s="112">
        <f>IFERROR(VLOOKUP($B102,MMWR_TRAD_AGG_STATE_PEN[],O$1,0),"ERROR")</f>
        <v>10</v>
      </c>
      <c r="P102" s="114">
        <f t="shared" si="15"/>
        <v>0.25641025641025639</v>
      </c>
      <c r="Q102" s="115">
        <f>IFERROR(VLOOKUP($B102,MMWR_TRAD_AGG_STATE_PEN[],Q$1,0),"ERROR")</f>
        <v>99</v>
      </c>
      <c r="R102" s="115">
        <f>IFERROR(VLOOKUP($B102,MMWR_TRAD_AGG_STATE_PEN[],R$1,0),"ERROR")</f>
        <v>76</v>
      </c>
      <c r="S102" s="115">
        <f>IFERROR(VLOOKUP($B102,MMWR_APP_STATE_PEN[],S$1,0),"ERROR")</f>
        <v>158</v>
      </c>
      <c r="T102" s="28"/>
    </row>
    <row r="103" spans="1:20" s="123" customFormat="1" x14ac:dyDescent="0.2">
      <c r="A103" s="28"/>
      <c r="B103" s="127" t="s">
        <v>388</v>
      </c>
      <c r="C103" s="109">
        <f>IFERROR(VLOOKUP($B103,MMWR_TRAD_AGG_STATE_PEN[],C$1,0),"ERROR")</f>
        <v>198</v>
      </c>
      <c r="D103" s="110">
        <f>IFERROR(VLOOKUP($B103,MMWR_TRAD_AGG_STATE_PEN[],D$1,0),"ERROR")</f>
        <v>70.868686868699996</v>
      </c>
      <c r="E103" s="111">
        <f>IFERROR(VLOOKUP($B103,MMWR_TRAD_AGG_STATE_PEN[],E$1,0),"ERROR")</f>
        <v>317</v>
      </c>
      <c r="F103" s="112">
        <f>IFERROR(VLOOKUP($B103,MMWR_TRAD_AGG_STATE_PEN[],F$1,0),"ERROR")</f>
        <v>31</v>
      </c>
      <c r="G103" s="113">
        <f t="shared" si="12"/>
        <v>9.7791798107255523E-2</v>
      </c>
      <c r="H103" s="111">
        <f>IFERROR(VLOOKUP($B103,MMWR_TRAD_AGG_STATE_PEN[],H$1,0),"ERROR")</f>
        <v>320</v>
      </c>
      <c r="I103" s="112">
        <f>IFERROR(VLOOKUP($B103,MMWR_TRAD_AGG_STATE_PEN[],I$1,0),"ERROR")</f>
        <v>52</v>
      </c>
      <c r="J103" s="114">
        <f t="shared" si="13"/>
        <v>0.16250000000000001</v>
      </c>
      <c r="K103" s="111">
        <f>IFERROR(VLOOKUP($B103,MMWR_TRAD_AGG_STATE_PEN[],K$1,0),"ERROR")</f>
        <v>4</v>
      </c>
      <c r="L103" s="112">
        <f>IFERROR(VLOOKUP($B103,MMWR_TRAD_AGG_STATE_PEN[],L$1,0),"ERROR")</f>
        <v>4</v>
      </c>
      <c r="M103" s="114">
        <f t="shared" si="14"/>
        <v>1</v>
      </c>
      <c r="N103" s="111">
        <f>IFERROR(VLOOKUP($B103,MMWR_TRAD_AGG_STATE_PEN[],N$1,0),"ERROR")</f>
        <v>28</v>
      </c>
      <c r="O103" s="112">
        <f>IFERROR(VLOOKUP($B103,MMWR_TRAD_AGG_STATE_PEN[],O$1,0),"ERROR")</f>
        <v>6</v>
      </c>
      <c r="P103" s="114">
        <f t="shared" si="15"/>
        <v>0.21428571428571427</v>
      </c>
      <c r="Q103" s="115">
        <f>IFERROR(VLOOKUP($B103,MMWR_TRAD_AGG_STATE_PEN[],Q$1,0),"ERROR")</f>
        <v>80</v>
      </c>
      <c r="R103" s="115">
        <f>IFERROR(VLOOKUP($B103,MMWR_TRAD_AGG_STATE_PEN[],R$1,0),"ERROR")</f>
        <v>28</v>
      </c>
      <c r="S103" s="115">
        <f>IFERROR(VLOOKUP($B103,MMWR_APP_STATE_PEN[],S$1,0),"ERROR")</f>
        <v>143</v>
      </c>
      <c r="T103" s="28"/>
    </row>
    <row r="104" spans="1:20" s="123" customFormat="1" x14ac:dyDescent="0.2">
      <c r="A104" s="28"/>
      <c r="B104" s="127" t="s">
        <v>417</v>
      </c>
      <c r="C104" s="109">
        <f>IFERROR(VLOOKUP($B104,MMWR_TRAD_AGG_STATE_PEN[],C$1,0),"ERROR")</f>
        <v>35</v>
      </c>
      <c r="D104" s="110">
        <f>IFERROR(VLOOKUP($B104,MMWR_TRAD_AGG_STATE_PEN[],D$1,0),"ERROR")</f>
        <v>84.857142857100001</v>
      </c>
      <c r="E104" s="111">
        <f>IFERROR(VLOOKUP($B104,MMWR_TRAD_AGG_STATE_PEN[],E$1,0),"ERROR")</f>
        <v>71</v>
      </c>
      <c r="F104" s="112">
        <f>IFERROR(VLOOKUP($B104,MMWR_TRAD_AGG_STATE_PEN[],F$1,0),"ERROR")</f>
        <v>5</v>
      </c>
      <c r="G104" s="113">
        <f t="shared" si="12"/>
        <v>7.0422535211267609E-2</v>
      </c>
      <c r="H104" s="111">
        <f>IFERROR(VLOOKUP($B104,MMWR_TRAD_AGG_STATE_PEN[],H$1,0),"ERROR")</f>
        <v>76</v>
      </c>
      <c r="I104" s="112">
        <f>IFERROR(VLOOKUP($B104,MMWR_TRAD_AGG_STATE_PEN[],I$1,0),"ERROR")</f>
        <v>10</v>
      </c>
      <c r="J104" s="114">
        <f t="shared" si="13"/>
        <v>0.13157894736842105</v>
      </c>
      <c r="K104" s="111">
        <f>IFERROR(VLOOKUP($B104,MMWR_TRAD_AGG_STATE_PEN[],K$1,0),"ERROR")</f>
        <v>0</v>
      </c>
      <c r="L104" s="112">
        <f>IFERROR(VLOOKUP($B104,MMWR_TRAD_AGG_STATE_PEN[],L$1,0),"ERROR")</f>
        <v>0</v>
      </c>
      <c r="M104" s="114" t="str">
        <f t="shared" si="14"/>
        <v>0%</v>
      </c>
      <c r="N104" s="111">
        <f>IFERROR(VLOOKUP($B104,MMWR_TRAD_AGG_STATE_PEN[],N$1,0),"ERROR")</f>
        <v>1</v>
      </c>
      <c r="O104" s="112">
        <f>IFERROR(VLOOKUP($B104,MMWR_TRAD_AGG_STATE_PEN[],O$1,0),"ERROR")</f>
        <v>0</v>
      </c>
      <c r="P104" s="114">
        <f t="shared" si="15"/>
        <v>0</v>
      </c>
      <c r="Q104" s="115">
        <f>IFERROR(VLOOKUP($B104,MMWR_TRAD_AGG_STATE_PEN[],Q$1,0),"ERROR")</f>
        <v>126</v>
      </c>
      <c r="R104" s="115">
        <f>IFERROR(VLOOKUP($B104,MMWR_TRAD_AGG_STATE_PEN[],R$1,0),"ERROR")</f>
        <v>23</v>
      </c>
      <c r="S104" s="115">
        <f>IFERROR(VLOOKUP($B104,MMWR_APP_STATE_PEN[],S$1,0),"ERROR")</f>
        <v>5</v>
      </c>
      <c r="T104" s="28"/>
    </row>
    <row r="105" spans="1:20" s="123" customFormat="1" x14ac:dyDescent="0.2">
      <c r="A105" s="28"/>
      <c r="B105" s="127" t="s">
        <v>411</v>
      </c>
      <c r="C105" s="109">
        <f>IFERROR(VLOOKUP($B105,MMWR_TRAD_AGG_STATE_PEN[],C$1,0),"ERROR")</f>
        <v>216</v>
      </c>
      <c r="D105" s="110">
        <f>IFERROR(VLOOKUP($B105,MMWR_TRAD_AGG_STATE_PEN[],D$1,0),"ERROR")</f>
        <v>61.814814814800002</v>
      </c>
      <c r="E105" s="111">
        <f>IFERROR(VLOOKUP($B105,MMWR_TRAD_AGG_STATE_PEN[],E$1,0),"ERROR")</f>
        <v>256</v>
      </c>
      <c r="F105" s="112">
        <f>IFERROR(VLOOKUP($B105,MMWR_TRAD_AGG_STATE_PEN[],F$1,0),"ERROR")</f>
        <v>13</v>
      </c>
      <c r="G105" s="113">
        <f t="shared" si="12"/>
        <v>5.078125E-2</v>
      </c>
      <c r="H105" s="111">
        <f>IFERROR(VLOOKUP($B105,MMWR_TRAD_AGG_STATE_PEN[],H$1,0),"ERROR")</f>
        <v>329</v>
      </c>
      <c r="I105" s="112">
        <f>IFERROR(VLOOKUP($B105,MMWR_TRAD_AGG_STATE_PEN[],I$1,0),"ERROR")</f>
        <v>28</v>
      </c>
      <c r="J105" s="114">
        <f t="shared" si="13"/>
        <v>8.5106382978723402E-2</v>
      </c>
      <c r="K105" s="111">
        <f>IFERROR(VLOOKUP($B105,MMWR_TRAD_AGG_STATE_PEN[],K$1,0),"ERROR")</f>
        <v>1</v>
      </c>
      <c r="L105" s="112">
        <f>IFERROR(VLOOKUP($B105,MMWR_TRAD_AGG_STATE_PEN[],L$1,0),"ERROR")</f>
        <v>1</v>
      </c>
      <c r="M105" s="114">
        <f t="shared" si="14"/>
        <v>1</v>
      </c>
      <c r="N105" s="111">
        <f>IFERROR(VLOOKUP($B105,MMWR_TRAD_AGG_STATE_PEN[],N$1,0),"ERROR")</f>
        <v>25</v>
      </c>
      <c r="O105" s="112">
        <f>IFERROR(VLOOKUP($B105,MMWR_TRAD_AGG_STATE_PEN[],O$1,0),"ERROR")</f>
        <v>11</v>
      </c>
      <c r="P105" s="114">
        <f t="shared" si="15"/>
        <v>0.44</v>
      </c>
      <c r="Q105" s="115">
        <f>IFERROR(VLOOKUP($B105,MMWR_TRAD_AGG_STATE_PEN[],Q$1,0),"ERROR")</f>
        <v>620</v>
      </c>
      <c r="R105" s="115">
        <f>IFERROR(VLOOKUP($B105,MMWR_TRAD_AGG_STATE_PEN[],R$1,0),"ERROR")</f>
        <v>74</v>
      </c>
      <c r="S105" s="115">
        <f>IFERROR(VLOOKUP($B105,MMWR_APP_STATE_PEN[],S$1,0),"ERROR")</f>
        <v>72</v>
      </c>
      <c r="T105" s="28"/>
    </row>
    <row r="106" spans="1:20" s="123" customFormat="1" x14ac:dyDescent="0.2">
      <c r="A106" s="28"/>
      <c r="B106" s="127" t="s">
        <v>409</v>
      </c>
      <c r="C106" s="109">
        <f>IFERROR(VLOOKUP($B106,MMWR_TRAD_AGG_STATE_PEN[],C$1,0),"ERROR")</f>
        <v>1002</v>
      </c>
      <c r="D106" s="110">
        <f>IFERROR(VLOOKUP($B106,MMWR_TRAD_AGG_STATE_PEN[],D$1,0),"ERROR")</f>
        <v>66.916167664699998</v>
      </c>
      <c r="E106" s="111">
        <f>IFERROR(VLOOKUP($B106,MMWR_TRAD_AGG_STATE_PEN[],E$1,0),"ERROR")</f>
        <v>1345</v>
      </c>
      <c r="F106" s="112">
        <f>IFERROR(VLOOKUP($B106,MMWR_TRAD_AGG_STATE_PEN[],F$1,0),"ERROR")</f>
        <v>58</v>
      </c>
      <c r="G106" s="113">
        <f t="shared" si="12"/>
        <v>4.3122676579925648E-2</v>
      </c>
      <c r="H106" s="111">
        <f>IFERROR(VLOOKUP($B106,MMWR_TRAD_AGG_STATE_PEN[],H$1,0),"ERROR")</f>
        <v>1695</v>
      </c>
      <c r="I106" s="112">
        <f>IFERROR(VLOOKUP($B106,MMWR_TRAD_AGG_STATE_PEN[],I$1,0),"ERROR")</f>
        <v>135</v>
      </c>
      <c r="J106" s="114">
        <f t="shared" si="13"/>
        <v>7.9646017699115043E-2</v>
      </c>
      <c r="K106" s="111">
        <f>IFERROR(VLOOKUP($B106,MMWR_TRAD_AGG_STATE_PEN[],K$1,0),"ERROR")</f>
        <v>7</v>
      </c>
      <c r="L106" s="112">
        <f>IFERROR(VLOOKUP($B106,MMWR_TRAD_AGG_STATE_PEN[],L$1,0),"ERROR")</f>
        <v>6</v>
      </c>
      <c r="M106" s="114">
        <f t="shared" si="14"/>
        <v>0.8571428571428571</v>
      </c>
      <c r="N106" s="111">
        <f>IFERROR(VLOOKUP($B106,MMWR_TRAD_AGG_STATE_PEN[],N$1,0),"ERROR")</f>
        <v>87</v>
      </c>
      <c r="O106" s="112">
        <f>IFERROR(VLOOKUP($B106,MMWR_TRAD_AGG_STATE_PEN[],O$1,0),"ERROR")</f>
        <v>32</v>
      </c>
      <c r="P106" s="114">
        <f t="shared" si="15"/>
        <v>0.36781609195402298</v>
      </c>
      <c r="Q106" s="115">
        <f>IFERROR(VLOOKUP($B106,MMWR_TRAD_AGG_STATE_PEN[],Q$1,0),"ERROR")</f>
        <v>1634</v>
      </c>
      <c r="R106" s="115">
        <f>IFERROR(VLOOKUP($B106,MMWR_TRAD_AGG_STATE_PEN[],R$1,0),"ERROR")</f>
        <v>522</v>
      </c>
      <c r="S106" s="115">
        <f>IFERROR(VLOOKUP($B106,MMWR_APP_STATE_PEN[],S$1,0),"ERROR")</f>
        <v>277</v>
      </c>
      <c r="T106" s="28"/>
    </row>
    <row r="107" spans="1:20" s="123" customFormat="1" x14ac:dyDescent="0.2">
      <c r="A107" s="28"/>
      <c r="B107" s="127" t="s">
        <v>405</v>
      </c>
      <c r="C107" s="109">
        <f>IFERROR(VLOOKUP($B107,MMWR_TRAD_AGG_STATE_PEN[],C$1,0),"ERROR")</f>
        <v>80</v>
      </c>
      <c r="D107" s="110">
        <f>IFERROR(VLOOKUP($B107,MMWR_TRAD_AGG_STATE_PEN[],D$1,0),"ERROR")</f>
        <v>61.225000000000001</v>
      </c>
      <c r="E107" s="111">
        <f>IFERROR(VLOOKUP($B107,MMWR_TRAD_AGG_STATE_PEN[],E$1,0),"ERROR")</f>
        <v>152</v>
      </c>
      <c r="F107" s="112">
        <f>IFERROR(VLOOKUP($B107,MMWR_TRAD_AGG_STATE_PEN[],F$1,0),"ERROR")</f>
        <v>3</v>
      </c>
      <c r="G107" s="113">
        <f t="shared" si="12"/>
        <v>1.9736842105263157E-2</v>
      </c>
      <c r="H107" s="111">
        <f>IFERROR(VLOOKUP($B107,MMWR_TRAD_AGG_STATE_PEN[],H$1,0),"ERROR")</f>
        <v>146</v>
      </c>
      <c r="I107" s="112">
        <f>IFERROR(VLOOKUP($B107,MMWR_TRAD_AGG_STATE_PEN[],I$1,0),"ERROR")</f>
        <v>15</v>
      </c>
      <c r="J107" s="114">
        <f t="shared" si="13"/>
        <v>0.10273972602739725</v>
      </c>
      <c r="K107" s="111">
        <f>IFERROR(VLOOKUP($B107,MMWR_TRAD_AGG_STATE_PEN[],K$1,0),"ERROR")</f>
        <v>0</v>
      </c>
      <c r="L107" s="112">
        <f>IFERROR(VLOOKUP($B107,MMWR_TRAD_AGG_STATE_PEN[],L$1,0),"ERROR")</f>
        <v>0</v>
      </c>
      <c r="M107" s="114" t="str">
        <f t="shared" si="14"/>
        <v>0%</v>
      </c>
      <c r="N107" s="111">
        <f>IFERROR(VLOOKUP($B107,MMWR_TRAD_AGG_STATE_PEN[],N$1,0),"ERROR")</f>
        <v>3</v>
      </c>
      <c r="O107" s="112">
        <f>IFERROR(VLOOKUP($B107,MMWR_TRAD_AGG_STATE_PEN[],O$1,0),"ERROR")</f>
        <v>0</v>
      </c>
      <c r="P107" s="114">
        <f t="shared" si="15"/>
        <v>0</v>
      </c>
      <c r="Q107" s="115">
        <f>IFERROR(VLOOKUP($B107,MMWR_TRAD_AGG_STATE_PEN[],Q$1,0),"ERROR")</f>
        <v>181</v>
      </c>
      <c r="R107" s="115">
        <f>IFERROR(VLOOKUP($B107,MMWR_TRAD_AGG_STATE_PEN[],R$1,0),"ERROR")</f>
        <v>30</v>
      </c>
      <c r="S107" s="115">
        <f>IFERROR(VLOOKUP($B107,MMWR_APP_STATE_PEN[],S$1,0),"ERROR")</f>
        <v>16</v>
      </c>
      <c r="T107" s="28"/>
    </row>
    <row r="108" spans="1:20" s="123" customFormat="1" x14ac:dyDescent="0.2">
      <c r="A108" s="28"/>
      <c r="B108" s="127" t="s">
        <v>420</v>
      </c>
      <c r="C108" s="109">
        <f>IFERROR(VLOOKUP($B108,MMWR_TRAD_AGG_STATE_PEN[],C$1,0),"ERROR")</f>
        <v>16</v>
      </c>
      <c r="D108" s="110">
        <f>IFERROR(VLOOKUP($B108,MMWR_TRAD_AGG_STATE_PEN[],D$1,0),"ERROR")</f>
        <v>48.6875</v>
      </c>
      <c r="E108" s="111">
        <f>IFERROR(VLOOKUP($B108,MMWR_TRAD_AGG_STATE_PEN[],E$1,0),"ERROR")</f>
        <v>26</v>
      </c>
      <c r="F108" s="112">
        <f>IFERROR(VLOOKUP($B108,MMWR_TRAD_AGG_STATE_PEN[],F$1,0),"ERROR")</f>
        <v>1</v>
      </c>
      <c r="G108" s="113">
        <f t="shared" si="12"/>
        <v>3.8461538461538464E-2</v>
      </c>
      <c r="H108" s="111">
        <f>IFERROR(VLOOKUP($B108,MMWR_TRAD_AGG_STATE_PEN[],H$1,0),"ERROR")</f>
        <v>33</v>
      </c>
      <c r="I108" s="112">
        <f>IFERROR(VLOOKUP($B108,MMWR_TRAD_AGG_STATE_PEN[],I$1,0),"ERROR")</f>
        <v>4</v>
      </c>
      <c r="J108" s="114">
        <f t="shared" si="13"/>
        <v>0.12121212121212122</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0</v>
      </c>
      <c r="P108" s="114">
        <f t="shared" si="15"/>
        <v>0</v>
      </c>
      <c r="Q108" s="115">
        <f>IFERROR(VLOOKUP($B108,MMWR_TRAD_AGG_STATE_PEN[],Q$1,0),"ERROR")</f>
        <v>66</v>
      </c>
      <c r="R108" s="115">
        <f>IFERROR(VLOOKUP($B108,MMWR_TRAD_AGG_STATE_PEN[],R$1,0),"ERROR")</f>
        <v>7</v>
      </c>
      <c r="S108" s="115">
        <f>IFERROR(VLOOKUP($B108,MMWR_APP_STATE_PEN[],S$1,0),"ERROR")</f>
        <v>2</v>
      </c>
      <c r="T108" s="28"/>
    </row>
    <row r="109" spans="1:20" s="123" customFormat="1" x14ac:dyDescent="0.2">
      <c r="A109" s="28"/>
      <c r="B109" s="126" t="s">
        <v>403</v>
      </c>
      <c r="C109" s="102">
        <f>IFERROR(VLOOKUP($B109,MMWR_TRAD_AGG_ST_DISTRICT_PEN[],C$1,0),"ERROR")</f>
        <v>1971</v>
      </c>
      <c r="D109" s="103">
        <f>IFERROR(VLOOKUP($B109,MMWR_TRAD_AGG_ST_DISTRICT_PEN[],D$1,0),"ERROR")</f>
        <v>64.986301369900005</v>
      </c>
      <c r="E109" s="102">
        <f>IFERROR(VLOOKUP($B109,MMWR_TRAD_AGG_ST_DISTRICT_PEN[],E$1,0),"ERROR")</f>
        <v>3109</v>
      </c>
      <c r="F109" s="102">
        <f>IFERROR(VLOOKUP($B109,MMWR_TRAD_AGG_ST_DISTRICT_PEN[],F$1,0),"ERROR")</f>
        <v>143</v>
      </c>
      <c r="G109" s="104">
        <f t="shared" si="12"/>
        <v>4.5995496944355098E-2</v>
      </c>
      <c r="H109" s="102">
        <f>IFERROR(VLOOKUP($B109,MMWR_TRAD_AGG_ST_DISTRICT_PEN[],H$1,0),"ERROR")</f>
        <v>3643</v>
      </c>
      <c r="I109" s="102">
        <f>IFERROR(VLOOKUP($B109,MMWR_TRAD_AGG_ST_DISTRICT_PEN[],I$1,0),"ERROR")</f>
        <v>434</v>
      </c>
      <c r="J109" s="104">
        <f t="shared" si="13"/>
        <v>0.11913258303595937</v>
      </c>
      <c r="K109" s="102">
        <f>IFERROR(VLOOKUP($B109,MMWR_TRAD_AGG_ST_DISTRICT_PEN[],K$1,0),"ERROR")</f>
        <v>13</v>
      </c>
      <c r="L109" s="102">
        <f>IFERROR(VLOOKUP($B109,MMWR_TRAD_AGG_ST_DISTRICT_PEN[],L$1,0),"ERROR")</f>
        <v>11</v>
      </c>
      <c r="M109" s="104">
        <f t="shared" si="14"/>
        <v>0.84615384615384615</v>
      </c>
      <c r="N109" s="102">
        <f>IFERROR(VLOOKUP($B109,MMWR_TRAD_AGG_ST_DISTRICT_PEN[],N$1,0),"ERROR")</f>
        <v>190</v>
      </c>
      <c r="O109" s="102">
        <f>IFERROR(VLOOKUP($B109,MMWR_TRAD_AGG_ST_DISTRICT_PEN[],O$1,0),"ERROR")</f>
        <v>82</v>
      </c>
      <c r="P109" s="104">
        <f t="shared" si="15"/>
        <v>0.43157894736842106</v>
      </c>
      <c r="Q109" s="102">
        <f>IFERROR(VLOOKUP($B109,MMWR_TRAD_AGG_ST_DISTRICT_PEN[],Q$1,0),"ERROR")</f>
        <v>3706</v>
      </c>
      <c r="R109" s="106">
        <f>IFERROR(VLOOKUP($B109,MMWR_TRAD_AGG_ST_DISTRICT_PEN[],R$1,0),"ERROR")</f>
        <v>969</v>
      </c>
      <c r="S109" s="106">
        <f>IFERROR(VLOOKUP($B109,MMWR_APP_STATE_PEN[],S$1,0),"ERROR")</f>
        <v>451</v>
      </c>
      <c r="T109" s="28"/>
    </row>
    <row r="110" spans="1:20" s="123" customFormat="1" x14ac:dyDescent="0.2">
      <c r="A110" s="28"/>
      <c r="B110" s="127" t="s">
        <v>423</v>
      </c>
      <c r="C110" s="109">
        <f>IFERROR(VLOOKUP($B110,MMWR_TRAD_AGG_STATE_PEN[],C$1,0),"ERROR")</f>
        <v>12</v>
      </c>
      <c r="D110" s="110">
        <f>IFERROR(VLOOKUP($B110,MMWR_TRAD_AGG_STATE_PEN[],D$1,0),"ERROR")</f>
        <v>59.833333333299997</v>
      </c>
      <c r="E110" s="111">
        <f>IFERROR(VLOOKUP($B110,MMWR_TRAD_AGG_STATE_PEN[],E$1,0),"ERROR")</f>
        <v>13</v>
      </c>
      <c r="F110" s="112">
        <f>IFERROR(VLOOKUP($B110,MMWR_TRAD_AGG_STATE_PEN[],F$1,0),"ERROR")</f>
        <v>1</v>
      </c>
      <c r="G110" s="113">
        <f t="shared" si="12"/>
        <v>7.6923076923076927E-2</v>
      </c>
      <c r="H110" s="111">
        <f>IFERROR(VLOOKUP($B110,MMWR_TRAD_AGG_STATE_PEN[],H$1,0),"ERROR")</f>
        <v>25</v>
      </c>
      <c r="I110" s="112">
        <f>IFERROR(VLOOKUP($B110,MMWR_TRAD_AGG_STATE_PEN[],I$1,0),"ERROR")</f>
        <v>2</v>
      </c>
      <c r="J110" s="114">
        <f t="shared" si="13"/>
        <v>0.08</v>
      </c>
      <c r="K110" s="111">
        <f>IFERROR(VLOOKUP($B110,MMWR_TRAD_AGG_STATE_PEN[],K$1,0),"ERROR")</f>
        <v>0</v>
      </c>
      <c r="L110" s="112">
        <f>IFERROR(VLOOKUP($B110,MMWR_TRAD_AGG_STATE_PEN[],L$1,0),"ERROR")</f>
        <v>0</v>
      </c>
      <c r="M110" s="114" t="str">
        <f t="shared" si="14"/>
        <v>0%</v>
      </c>
      <c r="N110" s="111">
        <f>IFERROR(VLOOKUP($B110,MMWR_TRAD_AGG_STATE_PEN[],N$1,0),"ERROR")</f>
        <v>2</v>
      </c>
      <c r="O110" s="112">
        <f>IFERROR(VLOOKUP($B110,MMWR_TRAD_AGG_STATE_PEN[],O$1,0),"ERROR")</f>
        <v>1</v>
      </c>
      <c r="P110" s="114">
        <f t="shared" si="15"/>
        <v>0.5</v>
      </c>
      <c r="Q110" s="115">
        <f>IFERROR(VLOOKUP($B110,MMWR_TRAD_AGG_STATE_PEN[],Q$1,0),"ERROR")</f>
        <v>40</v>
      </c>
      <c r="R110" s="115">
        <f>IFERROR(VLOOKUP($B110,MMWR_TRAD_AGG_STATE_PEN[],R$1,0),"ERROR")</f>
        <v>12</v>
      </c>
      <c r="S110" s="115">
        <f>IFERROR(VLOOKUP($B110,MMWR_APP_STATE_PEN[],S$1,0),"ERROR")</f>
        <v>2</v>
      </c>
      <c r="T110" s="28"/>
    </row>
    <row r="111" spans="1:20" s="123" customFormat="1" x14ac:dyDescent="0.2">
      <c r="A111" s="28"/>
      <c r="B111" s="127" t="s">
        <v>425</v>
      </c>
      <c r="C111" s="109">
        <f>IFERROR(VLOOKUP($B111,MMWR_TRAD_AGG_STATE_PEN[],C$1,0),"ERROR")</f>
        <v>248</v>
      </c>
      <c r="D111" s="110">
        <f>IFERROR(VLOOKUP($B111,MMWR_TRAD_AGG_STATE_PEN[],D$1,0),"ERROR")</f>
        <v>64.903225806500004</v>
      </c>
      <c r="E111" s="111">
        <f>IFERROR(VLOOKUP($B111,MMWR_TRAD_AGG_STATE_PEN[],E$1,0),"ERROR")</f>
        <v>413</v>
      </c>
      <c r="F111" s="112">
        <f>IFERROR(VLOOKUP($B111,MMWR_TRAD_AGG_STATE_PEN[],F$1,0),"ERROR")</f>
        <v>23</v>
      </c>
      <c r="G111" s="113">
        <f t="shared" si="12"/>
        <v>5.569007263922518E-2</v>
      </c>
      <c r="H111" s="111">
        <f>IFERROR(VLOOKUP($B111,MMWR_TRAD_AGG_STATE_PEN[],H$1,0),"ERROR")</f>
        <v>428</v>
      </c>
      <c r="I111" s="112">
        <f>IFERROR(VLOOKUP($B111,MMWR_TRAD_AGG_STATE_PEN[],I$1,0),"ERROR")</f>
        <v>43</v>
      </c>
      <c r="J111" s="114">
        <f t="shared" si="13"/>
        <v>0.10046728971962617</v>
      </c>
      <c r="K111" s="111">
        <f>IFERROR(VLOOKUP($B111,MMWR_TRAD_AGG_STATE_PEN[],K$1,0),"ERROR")</f>
        <v>0</v>
      </c>
      <c r="L111" s="112">
        <f>IFERROR(VLOOKUP($B111,MMWR_TRAD_AGG_STATE_PEN[],L$1,0),"ERROR")</f>
        <v>0</v>
      </c>
      <c r="M111" s="114" t="str">
        <f t="shared" si="14"/>
        <v>0%</v>
      </c>
      <c r="N111" s="111">
        <f>IFERROR(VLOOKUP($B111,MMWR_TRAD_AGG_STATE_PEN[],N$1,0),"ERROR")</f>
        <v>22</v>
      </c>
      <c r="O111" s="112">
        <f>IFERROR(VLOOKUP($B111,MMWR_TRAD_AGG_STATE_PEN[],O$1,0),"ERROR")</f>
        <v>8</v>
      </c>
      <c r="P111" s="114">
        <f t="shared" si="15"/>
        <v>0.36363636363636365</v>
      </c>
      <c r="Q111" s="115">
        <f>IFERROR(VLOOKUP($B111,MMWR_TRAD_AGG_STATE_PEN[],Q$1,0),"ERROR")</f>
        <v>451</v>
      </c>
      <c r="R111" s="115">
        <f>IFERROR(VLOOKUP($B111,MMWR_TRAD_AGG_STATE_PEN[],R$1,0),"ERROR")</f>
        <v>127</v>
      </c>
      <c r="S111" s="115">
        <f>IFERROR(VLOOKUP($B111,MMWR_APP_STATE_PEN[],S$1,0),"ERROR")</f>
        <v>50</v>
      </c>
      <c r="T111" s="28"/>
    </row>
    <row r="112" spans="1:20" s="123" customFormat="1" x14ac:dyDescent="0.2">
      <c r="A112" s="28"/>
      <c r="B112" s="127" t="s">
        <v>406</v>
      </c>
      <c r="C112" s="109">
        <f>IFERROR(VLOOKUP($B112,MMWR_TRAD_AGG_STATE_PEN[],C$1,0),"ERROR")</f>
        <v>1091</v>
      </c>
      <c r="D112" s="110">
        <f>IFERROR(VLOOKUP($B112,MMWR_TRAD_AGG_STATE_PEN[],D$1,0),"ERROR")</f>
        <v>65.363886342800001</v>
      </c>
      <c r="E112" s="111">
        <f>IFERROR(VLOOKUP($B112,MMWR_TRAD_AGG_STATE_PEN[],E$1,0),"ERROR")</f>
        <v>1728</v>
      </c>
      <c r="F112" s="112">
        <f>IFERROR(VLOOKUP($B112,MMWR_TRAD_AGG_STATE_PEN[],F$1,0),"ERROR")</f>
        <v>80</v>
      </c>
      <c r="G112" s="113">
        <f t="shared" si="12"/>
        <v>4.6296296296296294E-2</v>
      </c>
      <c r="H112" s="111">
        <f>IFERROR(VLOOKUP($B112,MMWR_TRAD_AGG_STATE_PEN[],H$1,0),"ERROR")</f>
        <v>1961</v>
      </c>
      <c r="I112" s="112">
        <f>IFERROR(VLOOKUP($B112,MMWR_TRAD_AGG_STATE_PEN[],I$1,0),"ERROR")</f>
        <v>225</v>
      </c>
      <c r="J112" s="114">
        <f t="shared" si="13"/>
        <v>0.11473737888832228</v>
      </c>
      <c r="K112" s="111">
        <f>IFERROR(VLOOKUP($B112,MMWR_TRAD_AGG_STATE_PEN[],K$1,0),"ERROR")</f>
        <v>10</v>
      </c>
      <c r="L112" s="112">
        <f>IFERROR(VLOOKUP($B112,MMWR_TRAD_AGG_STATE_PEN[],L$1,0),"ERROR")</f>
        <v>8</v>
      </c>
      <c r="M112" s="114">
        <f t="shared" si="14"/>
        <v>0.8</v>
      </c>
      <c r="N112" s="111">
        <f>IFERROR(VLOOKUP($B112,MMWR_TRAD_AGG_STATE_PEN[],N$1,0),"ERROR")</f>
        <v>98</v>
      </c>
      <c r="O112" s="112">
        <f>IFERROR(VLOOKUP($B112,MMWR_TRAD_AGG_STATE_PEN[],O$1,0),"ERROR")</f>
        <v>46</v>
      </c>
      <c r="P112" s="114">
        <f t="shared" si="15"/>
        <v>0.46938775510204084</v>
      </c>
      <c r="Q112" s="115">
        <f>IFERROR(VLOOKUP($B112,MMWR_TRAD_AGG_STATE_PEN[],Q$1,0),"ERROR")</f>
        <v>1657</v>
      </c>
      <c r="R112" s="115">
        <f>IFERROR(VLOOKUP($B112,MMWR_TRAD_AGG_STATE_PEN[],R$1,0),"ERROR")</f>
        <v>499</v>
      </c>
      <c r="S112" s="115">
        <f>IFERROR(VLOOKUP($B112,MMWR_APP_STATE_PEN[],S$1,0),"ERROR")</f>
        <v>252</v>
      </c>
      <c r="T112" s="28"/>
    </row>
    <row r="113" spans="1:20" s="123" customFormat="1" x14ac:dyDescent="0.2">
      <c r="A113" s="28"/>
      <c r="B113" s="127" t="s">
        <v>427</v>
      </c>
      <c r="C113" s="109">
        <f>IFERROR(VLOOKUP($B113,MMWR_TRAD_AGG_STATE_PEN[],C$1,0),"ERROR")</f>
        <v>22</v>
      </c>
      <c r="D113" s="110">
        <f>IFERROR(VLOOKUP($B113,MMWR_TRAD_AGG_STATE_PEN[],D$1,0),"ERROR")</f>
        <v>63.4545454545</v>
      </c>
      <c r="E113" s="111">
        <f>IFERROR(VLOOKUP($B113,MMWR_TRAD_AGG_STATE_PEN[],E$1,0),"ERROR")</f>
        <v>19</v>
      </c>
      <c r="F113" s="112">
        <f>IFERROR(VLOOKUP($B113,MMWR_TRAD_AGG_STATE_PEN[],F$1,0),"ERROR")</f>
        <v>2</v>
      </c>
      <c r="G113" s="113">
        <f t="shared" si="12"/>
        <v>0.10526315789473684</v>
      </c>
      <c r="H113" s="111">
        <f>IFERROR(VLOOKUP($B113,MMWR_TRAD_AGG_STATE_PEN[],H$1,0),"ERROR")</f>
        <v>48</v>
      </c>
      <c r="I113" s="112">
        <f>IFERROR(VLOOKUP($B113,MMWR_TRAD_AGG_STATE_PEN[],I$1,0),"ERROR")</f>
        <v>5</v>
      </c>
      <c r="J113" s="114">
        <f t="shared" si="13"/>
        <v>0.10416666666666667</v>
      </c>
      <c r="K113" s="111">
        <f>IFERROR(VLOOKUP($B113,MMWR_TRAD_AGG_STATE_PEN[],K$1,0),"ERROR")</f>
        <v>1</v>
      </c>
      <c r="L113" s="112">
        <f>IFERROR(VLOOKUP($B113,MMWR_TRAD_AGG_STATE_PEN[],L$1,0),"ERROR")</f>
        <v>1</v>
      </c>
      <c r="M113" s="114">
        <f t="shared" si="14"/>
        <v>1</v>
      </c>
      <c r="N113" s="111">
        <f>IFERROR(VLOOKUP($B113,MMWR_TRAD_AGG_STATE_PEN[],N$1,0),"ERROR")</f>
        <v>2</v>
      </c>
      <c r="O113" s="112">
        <f>IFERROR(VLOOKUP($B113,MMWR_TRAD_AGG_STATE_PEN[],O$1,0),"ERROR")</f>
        <v>2</v>
      </c>
      <c r="P113" s="114">
        <f t="shared" si="15"/>
        <v>1</v>
      </c>
      <c r="Q113" s="115">
        <f>IFERROR(VLOOKUP($B113,MMWR_TRAD_AGG_STATE_PEN[],Q$1,0),"ERROR")</f>
        <v>84</v>
      </c>
      <c r="R113" s="115">
        <f>IFERROR(VLOOKUP($B113,MMWR_TRAD_AGG_STATE_PEN[],R$1,0),"ERROR")</f>
        <v>13</v>
      </c>
      <c r="S113" s="115">
        <f>IFERROR(VLOOKUP($B113,MMWR_APP_STATE_PEN[],S$1,0),"ERROR")</f>
        <v>9</v>
      </c>
      <c r="T113" s="28"/>
    </row>
    <row r="114" spans="1:20" s="123" customFormat="1" x14ac:dyDescent="0.2">
      <c r="A114" s="28"/>
      <c r="B114" s="127" t="s">
        <v>407</v>
      </c>
      <c r="C114" s="109">
        <f>IFERROR(VLOOKUP($B114,MMWR_TRAD_AGG_STATE_PEN[],C$1,0),"ERROR")</f>
        <v>72</v>
      </c>
      <c r="D114" s="110">
        <f>IFERROR(VLOOKUP($B114,MMWR_TRAD_AGG_STATE_PEN[],D$1,0),"ERROR")</f>
        <v>73.125</v>
      </c>
      <c r="E114" s="111">
        <f>IFERROR(VLOOKUP($B114,MMWR_TRAD_AGG_STATE_PEN[],E$1,0),"ERROR")</f>
        <v>99</v>
      </c>
      <c r="F114" s="112">
        <f>IFERROR(VLOOKUP($B114,MMWR_TRAD_AGG_STATE_PEN[],F$1,0),"ERROR")</f>
        <v>3</v>
      </c>
      <c r="G114" s="113">
        <f t="shared" si="12"/>
        <v>3.0303030303030304E-2</v>
      </c>
      <c r="H114" s="111">
        <f>IFERROR(VLOOKUP($B114,MMWR_TRAD_AGG_STATE_PEN[],H$1,0),"ERROR")</f>
        <v>126</v>
      </c>
      <c r="I114" s="112">
        <f>IFERROR(VLOOKUP($B114,MMWR_TRAD_AGG_STATE_PEN[],I$1,0),"ERROR")</f>
        <v>17</v>
      </c>
      <c r="J114" s="114">
        <f t="shared" si="13"/>
        <v>0.13492063492063491</v>
      </c>
      <c r="K114" s="111">
        <f>IFERROR(VLOOKUP($B114,MMWR_TRAD_AGG_STATE_PEN[],K$1,0),"ERROR")</f>
        <v>1</v>
      </c>
      <c r="L114" s="112">
        <f>IFERROR(VLOOKUP($B114,MMWR_TRAD_AGG_STATE_PEN[],L$1,0),"ERROR")</f>
        <v>1</v>
      </c>
      <c r="M114" s="114">
        <f t="shared" si="14"/>
        <v>1</v>
      </c>
      <c r="N114" s="111">
        <f>IFERROR(VLOOKUP($B114,MMWR_TRAD_AGG_STATE_PEN[],N$1,0),"ERROR")</f>
        <v>6</v>
      </c>
      <c r="O114" s="112">
        <f>IFERROR(VLOOKUP($B114,MMWR_TRAD_AGG_STATE_PEN[],O$1,0),"ERROR")</f>
        <v>0</v>
      </c>
      <c r="P114" s="114">
        <f t="shared" si="15"/>
        <v>0</v>
      </c>
      <c r="Q114" s="115">
        <f>IFERROR(VLOOKUP($B114,MMWR_TRAD_AGG_STATE_PEN[],Q$1,0),"ERROR")</f>
        <v>115</v>
      </c>
      <c r="R114" s="115">
        <f>IFERROR(VLOOKUP($B114,MMWR_TRAD_AGG_STATE_PEN[],R$1,0),"ERROR")</f>
        <v>24</v>
      </c>
      <c r="S114" s="115">
        <f>IFERROR(VLOOKUP($B114,MMWR_APP_STATE_PEN[],S$1,0),"ERROR")</f>
        <v>7</v>
      </c>
      <c r="T114" s="28"/>
    </row>
    <row r="115" spans="1:20" s="123" customFormat="1" x14ac:dyDescent="0.2">
      <c r="A115" s="28"/>
      <c r="B115" s="127" t="s">
        <v>412</v>
      </c>
      <c r="C115" s="109">
        <f>IFERROR(VLOOKUP($B115,MMWR_TRAD_AGG_STATE_PEN[],C$1,0),"ERROR")</f>
        <v>106</v>
      </c>
      <c r="D115" s="110">
        <f>IFERROR(VLOOKUP($B115,MMWR_TRAD_AGG_STATE_PEN[],D$1,0),"ERROR")</f>
        <v>65.311320754700006</v>
      </c>
      <c r="E115" s="111">
        <f>IFERROR(VLOOKUP($B115,MMWR_TRAD_AGG_STATE_PEN[],E$1,0),"ERROR")</f>
        <v>130</v>
      </c>
      <c r="F115" s="112">
        <f>IFERROR(VLOOKUP($B115,MMWR_TRAD_AGG_STATE_PEN[],F$1,0),"ERROR")</f>
        <v>2</v>
      </c>
      <c r="G115" s="113">
        <f t="shared" si="12"/>
        <v>1.5384615384615385E-2</v>
      </c>
      <c r="H115" s="111">
        <f>IFERROR(VLOOKUP($B115,MMWR_TRAD_AGG_STATE_PEN[],H$1,0),"ERROR")</f>
        <v>195</v>
      </c>
      <c r="I115" s="112">
        <f>IFERROR(VLOOKUP($B115,MMWR_TRAD_AGG_STATE_PEN[],I$1,0),"ERROR")</f>
        <v>23</v>
      </c>
      <c r="J115" s="114">
        <f t="shared" si="13"/>
        <v>0.11794871794871795</v>
      </c>
      <c r="K115" s="111">
        <f>IFERROR(VLOOKUP($B115,MMWR_TRAD_AGG_STATE_PEN[],K$1,0),"ERROR")</f>
        <v>0</v>
      </c>
      <c r="L115" s="112">
        <f>IFERROR(VLOOKUP($B115,MMWR_TRAD_AGG_STATE_PEN[],L$1,0),"ERROR")</f>
        <v>0</v>
      </c>
      <c r="M115" s="114" t="str">
        <f t="shared" si="14"/>
        <v>0%</v>
      </c>
      <c r="N115" s="111">
        <f>IFERROR(VLOOKUP($B115,MMWR_TRAD_AGG_STATE_PEN[],N$1,0),"ERROR")</f>
        <v>9</v>
      </c>
      <c r="O115" s="112">
        <f>IFERROR(VLOOKUP($B115,MMWR_TRAD_AGG_STATE_PEN[],O$1,0),"ERROR")</f>
        <v>6</v>
      </c>
      <c r="P115" s="114">
        <f t="shared" si="15"/>
        <v>0.66666666666666663</v>
      </c>
      <c r="Q115" s="115">
        <f>IFERROR(VLOOKUP($B115,MMWR_TRAD_AGG_STATE_PEN[],Q$1,0),"ERROR")</f>
        <v>202</v>
      </c>
      <c r="R115" s="115">
        <f>IFERROR(VLOOKUP($B115,MMWR_TRAD_AGG_STATE_PEN[],R$1,0),"ERROR")</f>
        <v>45</v>
      </c>
      <c r="S115" s="115">
        <f>IFERROR(VLOOKUP($B115,MMWR_APP_STATE_PEN[],S$1,0),"ERROR")</f>
        <v>29</v>
      </c>
      <c r="T115" s="28"/>
    </row>
    <row r="116" spans="1:20" s="123" customFormat="1" x14ac:dyDescent="0.2">
      <c r="A116" s="28"/>
      <c r="B116" s="127" t="s">
        <v>404</v>
      </c>
      <c r="C116" s="109">
        <f>IFERROR(VLOOKUP($B116,MMWR_TRAD_AGG_STATE_PEN[],C$1,0),"ERROR")</f>
        <v>71</v>
      </c>
      <c r="D116" s="110">
        <f>IFERROR(VLOOKUP($B116,MMWR_TRAD_AGG_STATE_PEN[],D$1,0),"ERROR")</f>
        <v>56.126760563399998</v>
      </c>
      <c r="E116" s="111">
        <f>IFERROR(VLOOKUP($B116,MMWR_TRAD_AGG_STATE_PEN[],E$1,0),"ERROR")</f>
        <v>129</v>
      </c>
      <c r="F116" s="112">
        <f>IFERROR(VLOOKUP($B116,MMWR_TRAD_AGG_STATE_PEN[],F$1,0),"ERROR")</f>
        <v>4</v>
      </c>
      <c r="G116" s="113">
        <f t="shared" si="12"/>
        <v>3.1007751937984496E-2</v>
      </c>
      <c r="H116" s="111">
        <f>IFERROR(VLOOKUP($B116,MMWR_TRAD_AGG_STATE_PEN[],H$1,0),"ERROR")</f>
        <v>157</v>
      </c>
      <c r="I116" s="112">
        <f>IFERROR(VLOOKUP($B116,MMWR_TRAD_AGG_STATE_PEN[],I$1,0),"ERROR")</f>
        <v>14</v>
      </c>
      <c r="J116" s="114">
        <f t="shared" si="13"/>
        <v>8.9171974522292988E-2</v>
      </c>
      <c r="K116" s="111">
        <f>IFERROR(VLOOKUP($B116,MMWR_TRAD_AGG_STATE_PEN[],K$1,0),"ERROR")</f>
        <v>0</v>
      </c>
      <c r="L116" s="112">
        <f>IFERROR(VLOOKUP($B116,MMWR_TRAD_AGG_STATE_PEN[],L$1,0),"ERROR")</f>
        <v>0</v>
      </c>
      <c r="M116" s="114" t="str">
        <f t="shared" si="14"/>
        <v>0%</v>
      </c>
      <c r="N116" s="111">
        <f>IFERROR(VLOOKUP($B116,MMWR_TRAD_AGG_STATE_PEN[],N$1,0),"ERROR")</f>
        <v>6</v>
      </c>
      <c r="O116" s="112">
        <f>IFERROR(VLOOKUP($B116,MMWR_TRAD_AGG_STATE_PEN[],O$1,0),"ERROR")</f>
        <v>3</v>
      </c>
      <c r="P116" s="114">
        <f t="shared" si="15"/>
        <v>0.5</v>
      </c>
      <c r="Q116" s="115">
        <f>IFERROR(VLOOKUP($B116,MMWR_TRAD_AGG_STATE_PEN[],Q$1,0),"ERROR")</f>
        <v>278</v>
      </c>
      <c r="R116" s="115">
        <f>IFERROR(VLOOKUP($B116,MMWR_TRAD_AGG_STATE_PEN[],R$1,0),"ERROR")</f>
        <v>35</v>
      </c>
      <c r="S116" s="115">
        <f>IFERROR(VLOOKUP($B116,MMWR_APP_STATE_PEN[],S$1,0),"ERROR")</f>
        <v>16</v>
      </c>
      <c r="T116" s="28"/>
    </row>
    <row r="117" spans="1:20" s="123" customFormat="1" x14ac:dyDescent="0.2">
      <c r="A117" s="28"/>
      <c r="B117" s="127" t="s">
        <v>408</v>
      </c>
      <c r="C117" s="109">
        <f>IFERROR(VLOOKUP($B117,MMWR_TRAD_AGG_STATE_PEN[],C$1,0),"ERROR")</f>
        <v>160</v>
      </c>
      <c r="D117" s="110">
        <f>IFERROR(VLOOKUP($B117,MMWR_TRAD_AGG_STATE_PEN[],D$1,0),"ERROR")</f>
        <v>63.143749999999997</v>
      </c>
      <c r="E117" s="111">
        <f>IFERROR(VLOOKUP($B117,MMWR_TRAD_AGG_STATE_PEN[],E$1,0),"ERROR")</f>
        <v>229</v>
      </c>
      <c r="F117" s="112">
        <f>IFERROR(VLOOKUP($B117,MMWR_TRAD_AGG_STATE_PEN[],F$1,0),"ERROR")</f>
        <v>10</v>
      </c>
      <c r="G117" s="113">
        <f t="shared" si="12"/>
        <v>4.3668122270742356E-2</v>
      </c>
      <c r="H117" s="111">
        <f>IFERROR(VLOOKUP($B117,MMWR_TRAD_AGG_STATE_PEN[],H$1,0),"ERROR")</f>
        <v>285</v>
      </c>
      <c r="I117" s="112">
        <f>IFERROR(VLOOKUP($B117,MMWR_TRAD_AGG_STATE_PEN[],I$1,0),"ERROR")</f>
        <v>37</v>
      </c>
      <c r="J117" s="114">
        <f t="shared" si="13"/>
        <v>0.12982456140350876</v>
      </c>
      <c r="K117" s="111">
        <f>IFERROR(VLOOKUP($B117,MMWR_TRAD_AGG_STATE_PEN[],K$1,0),"ERROR")</f>
        <v>1</v>
      </c>
      <c r="L117" s="112">
        <f>IFERROR(VLOOKUP($B117,MMWR_TRAD_AGG_STATE_PEN[],L$1,0),"ERROR")</f>
        <v>1</v>
      </c>
      <c r="M117" s="114">
        <f t="shared" si="14"/>
        <v>1</v>
      </c>
      <c r="N117" s="111">
        <f>IFERROR(VLOOKUP($B117,MMWR_TRAD_AGG_STATE_PEN[],N$1,0),"ERROR")</f>
        <v>18</v>
      </c>
      <c r="O117" s="112">
        <f>IFERROR(VLOOKUP($B117,MMWR_TRAD_AGG_STATE_PEN[],O$1,0),"ERROR")</f>
        <v>6</v>
      </c>
      <c r="P117" s="114">
        <f t="shared" si="15"/>
        <v>0.33333333333333331</v>
      </c>
      <c r="Q117" s="115">
        <f>IFERROR(VLOOKUP($B117,MMWR_TRAD_AGG_STATE_PEN[],Q$1,0),"ERROR")</f>
        <v>372</v>
      </c>
      <c r="R117" s="115">
        <f>IFERROR(VLOOKUP($B117,MMWR_TRAD_AGG_STATE_PEN[],R$1,0),"ERROR")</f>
        <v>85</v>
      </c>
      <c r="S117" s="115">
        <f>IFERROR(VLOOKUP($B117,MMWR_APP_STATE_PEN[],S$1,0),"ERROR")</f>
        <v>35</v>
      </c>
      <c r="T117" s="28"/>
    </row>
    <row r="118" spans="1:20" s="123" customFormat="1" x14ac:dyDescent="0.2">
      <c r="A118" s="28"/>
      <c r="B118" s="127" t="s">
        <v>80</v>
      </c>
      <c r="C118" s="109">
        <f>IFERROR(VLOOKUP($B118,MMWR_TRAD_AGG_STATE_PEN[],C$1,0),"ERROR")</f>
        <v>189</v>
      </c>
      <c r="D118" s="110">
        <f>IFERROR(VLOOKUP($B118,MMWR_TRAD_AGG_STATE_PEN[],D$1,0),"ERROR")</f>
        <v>65.026455026500003</v>
      </c>
      <c r="E118" s="111">
        <f>IFERROR(VLOOKUP($B118,MMWR_TRAD_AGG_STATE_PEN[],E$1,0),"ERROR")</f>
        <v>349</v>
      </c>
      <c r="F118" s="112">
        <f>IFERROR(VLOOKUP($B118,MMWR_TRAD_AGG_STATE_PEN[],F$1,0),"ERROR")</f>
        <v>18</v>
      </c>
      <c r="G118" s="113">
        <f t="shared" si="12"/>
        <v>5.1575931232091692E-2</v>
      </c>
      <c r="H118" s="111">
        <f>IFERROR(VLOOKUP($B118,MMWR_TRAD_AGG_STATE_PEN[],H$1,0),"ERROR")</f>
        <v>418</v>
      </c>
      <c r="I118" s="112">
        <f>IFERROR(VLOOKUP($B118,MMWR_TRAD_AGG_STATE_PEN[],I$1,0),"ERROR")</f>
        <v>68</v>
      </c>
      <c r="J118" s="114">
        <f t="shared" si="13"/>
        <v>0.16267942583732056</v>
      </c>
      <c r="K118" s="111">
        <f>IFERROR(VLOOKUP($B118,MMWR_TRAD_AGG_STATE_PEN[],K$1,0),"ERROR")</f>
        <v>0</v>
      </c>
      <c r="L118" s="112">
        <f>IFERROR(VLOOKUP($B118,MMWR_TRAD_AGG_STATE_PEN[],L$1,0),"ERROR")</f>
        <v>0</v>
      </c>
      <c r="M118" s="114" t="str">
        <f t="shared" si="14"/>
        <v>0%</v>
      </c>
      <c r="N118" s="111">
        <f>IFERROR(VLOOKUP($B118,MMWR_TRAD_AGG_STATE_PEN[],N$1,0),"ERROR")</f>
        <v>27</v>
      </c>
      <c r="O118" s="112">
        <f>IFERROR(VLOOKUP($B118,MMWR_TRAD_AGG_STATE_PEN[],O$1,0),"ERROR")</f>
        <v>10</v>
      </c>
      <c r="P118" s="114">
        <f t="shared" si="15"/>
        <v>0.37037037037037035</v>
      </c>
      <c r="Q118" s="115">
        <f>IFERROR(VLOOKUP($B118,MMWR_TRAD_AGG_STATE_PEN[],Q$1,0),"ERROR")</f>
        <v>507</v>
      </c>
      <c r="R118" s="115">
        <f>IFERROR(VLOOKUP($B118,MMWR_TRAD_AGG_STATE_PEN[],R$1,0),"ERROR")</f>
        <v>129</v>
      </c>
      <c r="S118" s="115">
        <f>IFERROR(VLOOKUP($B118,MMWR_APP_STATE_PEN[],S$1,0),"ERROR")</f>
        <v>51</v>
      </c>
      <c r="T118" s="28"/>
    </row>
    <row r="119" spans="1:20" s="123" customFormat="1" x14ac:dyDescent="0.2">
      <c r="A119" s="28"/>
      <c r="B119" s="126" t="s">
        <v>379</v>
      </c>
      <c r="C119" s="102">
        <f>IFERROR(VLOOKUP($B119,MMWR_TRAD_AGG_ST_DISTRICT_PEN[],C$1,0),"ERROR")</f>
        <v>7716</v>
      </c>
      <c r="D119" s="103">
        <f>IFERROR(VLOOKUP($B119,MMWR_TRAD_AGG_ST_DISTRICT_PEN[],D$1,0),"ERROR")</f>
        <v>101.19310523590001</v>
      </c>
      <c r="E119" s="102">
        <f>IFERROR(VLOOKUP($B119,MMWR_TRAD_AGG_ST_DISTRICT_PEN[],E$1,0),"ERROR")</f>
        <v>8449</v>
      </c>
      <c r="F119" s="102">
        <f>IFERROR(VLOOKUP($B119,MMWR_TRAD_AGG_ST_DISTRICT_PEN[],F$1,0),"ERROR")</f>
        <v>1283</v>
      </c>
      <c r="G119" s="104">
        <f t="shared" si="12"/>
        <v>0.15185229021185939</v>
      </c>
      <c r="H119" s="102">
        <f>IFERROR(VLOOKUP($B119,MMWR_TRAD_AGG_ST_DISTRICT_PEN[],H$1,0),"ERROR")</f>
        <v>10296</v>
      </c>
      <c r="I119" s="102">
        <f>IFERROR(VLOOKUP($B119,MMWR_TRAD_AGG_ST_DISTRICT_PEN[],I$1,0),"ERROR")</f>
        <v>3232</v>
      </c>
      <c r="J119" s="104">
        <f t="shared" si="13"/>
        <v>0.31390831390831392</v>
      </c>
      <c r="K119" s="102">
        <f>IFERROR(VLOOKUP($B119,MMWR_TRAD_AGG_ST_DISTRICT_PEN[],K$1,0),"ERROR")</f>
        <v>26</v>
      </c>
      <c r="L119" s="102">
        <f>IFERROR(VLOOKUP($B119,MMWR_TRAD_AGG_ST_DISTRICT_PEN[],L$1,0),"ERROR")</f>
        <v>24</v>
      </c>
      <c r="M119" s="104">
        <f t="shared" si="14"/>
        <v>0.92307692307692313</v>
      </c>
      <c r="N119" s="102">
        <f>IFERROR(VLOOKUP($B119,MMWR_TRAD_AGG_ST_DISTRICT_PEN[],N$1,0),"ERROR")</f>
        <v>472</v>
      </c>
      <c r="O119" s="102">
        <f>IFERROR(VLOOKUP($B119,MMWR_TRAD_AGG_ST_DISTRICT_PEN[],O$1,0),"ERROR")</f>
        <v>140</v>
      </c>
      <c r="P119" s="104">
        <f t="shared" si="15"/>
        <v>0.29661016949152541</v>
      </c>
      <c r="Q119" s="102">
        <f>IFERROR(VLOOKUP($B119,MMWR_TRAD_AGG_ST_DISTRICT_PEN[],Q$1,0),"ERROR")</f>
        <v>1248</v>
      </c>
      <c r="R119" s="106">
        <f>IFERROR(VLOOKUP($B119,MMWR_TRAD_AGG_ST_DISTRICT_PEN[],R$1,0),"ERROR")</f>
        <v>1544</v>
      </c>
      <c r="S119" s="106">
        <f>IFERROR(VLOOKUP($B119,MMWR_APP_STATE_PEN[],S$1,0),"ERROR")</f>
        <v>1340</v>
      </c>
      <c r="T119" s="28"/>
    </row>
    <row r="120" spans="1:20" s="123" customFormat="1" x14ac:dyDescent="0.2">
      <c r="A120" s="28"/>
      <c r="B120" s="127" t="s">
        <v>387</v>
      </c>
      <c r="C120" s="109">
        <f>IFERROR(VLOOKUP($B120,MMWR_TRAD_AGG_STATE_PEN[],C$1,0),"ERROR")</f>
        <v>554</v>
      </c>
      <c r="D120" s="110">
        <f>IFERROR(VLOOKUP($B120,MMWR_TRAD_AGG_STATE_PEN[],D$1,0),"ERROR")</f>
        <v>62.832129963900002</v>
      </c>
      <c r="E120" s="111">
        <f>IFERROR(VLOOKUP($B120,MMWR_TRAD_AGG_STATE_PEN[],E$1,0),"ERROR")</f>
        <v>806</v>
      </c>
      <c r="F120" s="112">
        <f>IFERROR(VLOOKUP($B120,MMWR_TRAD_AGG_STATE_PEN[],F$1,0),"ERROR")</f>
        <v>88</v>
      </c>
      <c r="G120" s="113">
        <f t="shared" si="12"/>
        <v>0.10918114143920596</v>
      </c>
      <c r="H120" s="111">
        <f>IFERROR(VLOOKUP($B120,MMWR_TRAD_AGG_STATE_PEN[],H$1,0),"ERROR")</f>
        <v>838</v>
      </c>
      <c r="I120" s="112">
        <f>IFERROR(VLOOKUP($B120,MMWR_TRAD_AGG_STATE_PEN[],I$1,0),"ERROR")</f>
        <v>79</v>
      </c>
      <c r="J120" s="114">
        <f t="shared" si="13"/>
        <v>9.4272076372315036E-2</v>
      </c>
      <c r="K120" s="111">
        <f>IFERROR(VLOOKUP($B120,MMWR_TRAD_AGG_STATE_PEN[],K$1,0),"ERROR")</f>
        <v>3</v>
      </c>
      <c r="L120" s="112">
        <f>IFERROR(VLOOKUP($B120,MMWR_TRAD_AGG_STATE_PEN[],L$1,0),"ERROR")</f>
        <v>3</v>
      </c>
      <c r="M120" s="114">
        <f t="shared" si="14"/>
        <v>1</v>
      </c>
      <c r="N120" s="111">
        <f>IFERROR(VLOOKUP($B120,MMWR_TRAD_AGG_STATE_PEN[],N$1,0),"ERROR")</f>
        <v>44</v>
      </c>
      <c r="O120" s="112">
        <f>IFERROR(VLOOKUP($B120,MMWR_TRAD_AGG_STATE_PEN[],O$1,0),"ERROR")</f>
        <v>11</v>
      </c>
      <c r="P120" s="114">
        <f t="shared" si="15"/>
        <v>0.25</v>
      </c>
      <c r="Q120" s="115">
        <f>IFERROR(VLOOKUP($B120,MMWR_TRAD_AGG_STATE_PEN[],Q$1,0),"ERROR")</f>
        <v>137</v>
      </c>
      <c r="R120" s="115">
        <f>IFERROR(VLOOKUP($B120,MMWR_TRAD_AGG_STATE_PEN[],R$1,0),"ERROR")</f>
        <v>110</v>
      </c>
      <c r="S120" s="115">
        <f>IFERROR(VLOOKUP($B120,MMWR_APP_STATE_PEN[],S$1,0),"ERROR")</f>
        <v>250</v>
      </c>
      <c r="T120" s="28"/>
    </row>
    <row r="121" spans="1:20" s="123" customFormat="1" x14ac:dyDescent="0.2">
      <c r="A121" s="28"/>
      <c r="B121" s="127" t="s">
        <v>424</v>
      </c>
      <c r="C121" s="109">
        <f>IFERROR(VLOOKUP($B121,MMWR_TRAD_AGG_STATE_PEN[],C$1,0),"ERROR")</f>
        <v>2678</v>
      </c>
      <c r="D121" s="110">
        <f>IFERROR(VLOOKUP($B121,MMWR_TRAD_AGG_STATE_PEN[],D$1,0),"ERROR")</f>
        <v>98.802091112799999</v>
      </c>
      <c r="E121" s="111">
        <f>IFERROR(VLOOKUP($B121,MMWR_TRAD_AGG_STATE_PEN[],E$1,0),"ERROR")</f>
        <v>3326</v>
      </c>
      <c r="F121" s="112">
        <f>IFERROR(VLOOKUP($B121,MMWR_TRAD_AGG_STATE_PEN[],F$1,0),"ERROR")</f>
        <v>534</v>
      </c>
      <c r="G121" s="113">
        <f t="shared" si="12"/>
        <v>0.16055321707757064</v>
      </c>
      <c r="H121" s="111">
        <f>IFERROR(VLOOKUP($B121,MMWR_TRAD_AGG_STATE_PEN[],H$1,0),"ERROR")</f>
        <v>3547</v>
      </c>
      <c r="I121" s="112">
        <f>IFERROR(VLOOKUP($B121,MMWR_TRAD_AGG_STATE_PEN[],I$1,0),"ERROR")</f>
        <v>1123</v>
      </c>
      <c r="J121" s="114">
        <f t="shared" si="13"/>
        <v>0.31660558218212576</v>
      </c>
      <c r="K121" s="111">
        <f>IFERROR(VLOOKUP($B121,MMWR_TRAD_AGG_STATE_PEN[],K$1,0),"ERROR")</f>
        <v>16</v>
      </c>
      <c r="L121" s="112">
        <f>IFERROR(VLOOKUP($B121,MMWR_TRAD_AGG_STATE_PEN[],L$1,0),"ERROR")</f>
        <v>15</v>
      </c>
      <c r="M121" s="114">
        <f t="shared" si="14"/>
        <v>0.9375</v>
      </c>
      <c r="N121" s="111">
        <f>IFERROR(VLOOKUP($B121,MMWR_TRAD_AGG_STATE_PEN[],N$1,0),"ERROR")</f>
        <v>143</v>
      </c>
      <c r="O121" s="112">
        <f>IFERROR(VLOOKUP($B121,MMWR_TRAD_AGG_STATE_PEN[],O$1,0),"ERROR")</f>
        <v>47</v>
      </c>
      <c r="P121" s="114">
        <f t="shared" si="15"/>
        <v>0.32867132867132864</v>
      </c>
      <c r="Q121" s="115">
        <f>IFERROR(VLOOKUP($B121,MMWR_TRAD_AGG_STATE_PEN[],Q$1,0),"ERROR")</f>
        <v>431</v>
      </c>
      <c r="R121" s="115">
        <f>IFERROR(VLOOKUP($B121,MMWR_TRAD_AGG_STATE_PEN[],R$1,0),"ERROR")</f>
        <v>573</v>
      </c>
      <c r="S121" s="115">
        <f>IFERROR(VLOOKUP($B121,MMWR_APP_STATE_PEN[],S$1,0),"ERROR")</f>
        <v>332</v>
      </c>
      <c r="T121" s="28"/>
    </row>
    <row r="122" spans="1:20" s="123" customFormat="1" x14ac:dyDescent="0.2">
      <c r="A122" s="28"/>
      <c r="B122" s="127" t="s">
        <v>380</v>
      </c>
      <c r="C122" s="109">
        <f>IFERROR(VLOOKUP($B122,MMWR_TRAD_AGG_STATE_PEN[],C$1,0),"ERROR")</f>
        <v>1253</v>
      </c>
      <c r="D122" s="110">
        <f>IFERROR(VLOOKUP($B122,MMWR_TRAD_AGG_STATE_PEN[],D$1,0),"ERROR")</f>
        <v>106.3447725459</v>
      </c>
      <c r="E122" s="111">
        <f>IFERROR(VLOOKUP($B122,MMWR_TRAD_AGG_STATE_PEN[],E$1,0),"ERROR")</f>
        <v>1503</v>
      </c>
      <c r="F122" s="112">
        <f>IFERROR(VLOOKUP($B122,MMWR_TRAD_AGG_STATE_PEN[],F$1,0),"ERROR")</f>
        <v>252</v>
      </c>
      <c r="G122" s="113">
        <f t="shared" si="12"/>
        <v>0.16766467065868262</v>
      </c>
      <c r="H122" s="111">
        <f>IFERROR(VLOOKUP($B122,MMWR_TRAD_AGG_STATE_PEN[],H$1,0),"ERROR")</f>
        <v>1708</v>
      </c>
      <c r="I122" s="112">
        <f>IFERROR(VLOOKUP($B122,MMWR_TRAD_AGG_STATE_PEN[],I$1,0),"ERROR")</f>
        <v>630</v>
      </c>
      <c r="J122" s="114">
        <f t="shared" si="13"/>
        <v>0.36885245901639346</v>
      </c>
      <c r="K122" s="111">
        <f>IFERROR(VLOOKUP($B122,MMWR_TRAD_AGG_STATE_PEN[],K$1,0),"ERROR")</f>
        <v>2</v>
      </c>
      <c r="L122" s="112">
        <f>IFERROR(VLOOKUP($B122,MMWR_TRAD_AGG_STATE_PEN[],L$1,0),"ERROR")</f>
        <v>2</v>
      </c>
      <c r="M122" s="114">
        <f t="shared" si="14"/>
        <v>1</v>
      </c>
      <c r="N122" s="111">
        <f>IFERROR(VLOOKUP($B122,MMWR_TRAD_AGG_STATE_PEN[],N$1,0),"ERROR")</f>
        <v>86</v>
      </c>
      <c r="O122" s="112">
        <f>IFERROR(VLOOKUP($B122,MMWR_TRAD_AGG_STATE_PEN[],O$1,0),"ERROR")</f>
        <v>28</v>
      </c>
      <c r="P122" s="114">
        <f t="shared" si="15"/>
        <v>0.32558139534883723</v>
      </c>
      <c r="Q122" s="115">
        <f>IFERROR(VLOOKUP($B122,MMWR_TRAD_AGG_STATE_PEN[],Q$1,0),"ERROR")</f>
        <v>209</v>
      </c>
      <c r="R122" s="115">
        <f>IFERROR(VLOOKUP($B122,MMWR_TRAD_AGG_STATE_PEN[],R$1,0),"ERROR")</f>
        <v>384</v>
      </c>
      <c r="S122" s="115">
        <f>IFERROR(VLOOKUP($B122,MMWR_APP_STATE_PEN[],S$1,0),"ERROR")</f>
        <v>207</v>
      </c>
      <c r="T122" s="28"/>
    </row>
    <row r="123" spans="1:20" s="123" customFormat="1" x14ac:dyDescent="0.2">
      <c r="A123" s="28"/>
      <c r="B123" s="127" t="s">
        <v>392</v>
      </c>
      <c r="C123" s="109">
        <f>IFERROR(VLOOKUP($B123,MMWR_TRAD_AGG_STATE_PEN[],C$1,0),"ERROR")</f>
        <v>221</v>
      </c>
      <c r="D123" s="110">
        <f>IFERROR(VLOOKUP($B123,MMWR_TRAD_AGG_STATE_PEN[],D$1,0),"ERROR")</f>
        <v>68.9819004525</v>
      </c>
      <c r="E123" s="111">
        <f>IFERROR(VLOOKUP($B123,MMWR_TRAD_AGG_STATE_PEN[],E$1,0),"ERROR")</f>
        <v>431</v>
      </c>
      <c r="F123" s="112">
        <f>IFERROR(VLOOKUP($B123,MMWR_TRAD_AGG_STATE_PEN[],F$1,0),"ERROR")</f>
        <v>56</v>
      </c>
      <c r="G123" s="113">
        <f t="shared" si="12"/>
        <v>0.12993039443155452</v>
      </c>
      <c r="H123" s="111">
        <f>IFERROR(VLOOKUP($B123,MMWR_TRAD_AGG_STATE_PEN[],H$1,0),"ERROR")</f>
        <v>415</v>
      </c>
      <c r="I123" s="112">
        <f>IFERROR(VLOOKUP($B123,MMWR_TRAD_AGG_STATE_PEN[],I$1,0),"ERROR")</f>
        <v>52</v>
      </c>
      <c r="J123" s="114">
        <f t="shared" si="13"/>
        <v>0.12530120481927712</v>
      </c>
      <c r="K123" s="111">
        <f>IFERROR(VLOOKUP($B123,MMWR_TRAD_AGG_STATE_PEN[],K$1,0),"ERROR")</f>
        <v>2</v>
      </c>
      <c r="L123" s="112">
        <f>IFERROR(VLOOKUP($B123,MMWR_TRAD_AGG_STATE_PEN[],L$1,0),"ERROR")</f>
        <v>1</v>
      </c>
      <c r="M123" s="114">
        <f t="shared" si="14"/>
        <v>0.5</v>
      </c>
      <c r="N123" s="111">
        <f>IFERROR(VLOOKUP($B123,MMWR_TRAD_AGG_STATE_PEN[],N$1,0),"ERROR")</f>
        <v>50</v>
      </c>
      <c r="O123" s="112">
        <f>IFERROR(VLOOKUP($B123,MMWR_TRAD_AGG_STATE_PEN[],O$1,0),"ERROR")</f>
        <v>9</v>
      </c>
      <c r="P123" s="114">
        <f t="shared" si="15"/>
        <v>0.18</v>
      </c>
      <c r="Q123" s="115">
        <f>IFERROR(VLOOKUP($B123,MMWR_TRAD_AGG_STATE_PEN[],Q$1,0),"ERROR")</f>
        <v>84</v>
      </c>
      <c r="R123" s="115">
        <f>IFERROR(VLOOKUP($B123,MMWR_TRAD_AGG_STATE_PEN[],R$1,0),"ERROR")</f>
        <v>67</v>
      </c>
      <c r="S123" s="115">
        <f>IFERROR(VLOOKUP($B123,MMWR_APP_STATE_PEN[],S$1,0),"ERROR")</f>
        <v>103</v>
      </c>
      <c r="T123" s="28"/>
    </row>
    <row r="124" spans="1:20" s="123" customFormat="1" x14ac:dyDescent="0.2">
      <c r="A124" s="28"/>
      <c r="B124" s="127" t="s">
        <v>426</v>
      </c>
      <c r="C124" s="109">
        <f>IFERROR(VLOOKUP($B124,MMWR_TRAD_AGG_STATE_PEN[],C$1,0),"ERROR")</f>
        <v>1648</v>
      </c>
      <c r="D124" s="110">
        <f>IFERROR(VLOOKUP($B124,MMWR_TRAD_AGG_STATE_PEN[],D$1,0),"ERROR")</f>
        <v>122.77791262140001</v>
      </c>
      <c r="E124" s="111">
        <f>IFERROR(VLOOKUP($B124,MMWR_TRAD_AGG_STATE_PEN[],E$1,0),"ERROR")</f>
        <v>674</v>
      </c>
      <c r="F124" s="112">
        <f>IFERROR(VLOOKUP($B124,MMWR_TRAD_AGG_STATE_PEN[],F$1,0),"ERROR")</f>
        <v>113</v>
      </c>
      <c r="G124" s="113">
        <f t="shared" si="12"/>
        <v>0.16765578635014836</v>
      </c>
      <c r="H124" s="111">
        <f>IFERROR(VLOOKUP($B124,MMWR_TRAD_AGG_STATE_PEN[],H$1,0),"ERROR")</f>
        <v>1928</v>
      </c>
      <c r="I124" s="112">
        <f>IFERROR(VLOOKUP($B124,MMWR_TRAD_AGG_STATE_PEN[],I$1,0),"ERROR")</f>
        <v>836</v>
      </c>
      <c r="J124" s="114">
        <f t="shared" si="13"/>
        <v>0.43360995850622408</v>
      </c>
      <c r="K124" s="111">
        <f>IFERROR(VLOOKUP($B124,MMWR_TRAD_AGG_STATE_PEN[],K$1,0),"ERROR")</f>
        <v>2</v>
      </c>
      <c r="L124" s="112">
        <f>IFERROR(VLOOKUP($B124,MMWR_TRAD_AGG_STATE_PEN[],L$1,0),"ERROR")</f>
        <v>2</v>
      </c>
      <c r="M124" s="114">
        <f t="shared" si="14"/>
        <v>1</v>
      </c>
      <c r="N124" s="111">
        <f>IFERROR(VLOOKUP($B124,MMWR_TRAD_AGG_STATE_PEN[],N$1,0),"ERROR")</f>
        <v>18</v>
      </c>
      <c r="O124" s="112">
        <f>IFERROR(VLOOKUP($B124,MMWR_TRAD_AGG_STATE_PEN[],O$1,0),"ERROR")</f>
        <v>9</v>
      </c>
      <c r="P124" s="114">
        <f t="shared" si="15"/>
        <v>0.5</v>
      </c>
      <c r="Q124" s="115">
        <f>IFERROR(VLOOKUP($B124,MMWR_TRAD_AGG_STATE_PEN[],Q$1,0),"ERROR")</f>
        <v>83</v>
      </c>
      <c r="R124" s="115">
        <f>IFERROR(VLOOKUP($B124,MMWR_TRAD_AGG_STATE_PEN[],R$1,0),"ERROR")</f>
        <v>80</v>
      </c>
      <c r="S124" s="115">
        <f>IFERROR(VLOOKUP($B124,MMWR_APP_STATE_PEN[],S$1,0),"ERROR")</f>
        <v>77</v>
      </c>
      <c r="T124" s="28"/>
    </row>
    <row r="125" spans="1:20" s="123" customFormat="1" x14ac:dyDescent="0.2">
      <c r="A125" s="28"/>
      <c r="B125" s="127" t="s">
        <v>382</v>
      </c>
      <c r="C125" s="109">
        <f>IFERROR(VLOOKUP($B125,MMWR_TRAD_AGG_STATE_PEN[],C$1,0),"ERROR")</f>
        <v>945</v>
      </c>
      <c r="D125" s="110">
        <f>IFERROR(VLOOKUP($B125,MMWR_TRAD_AGG_STATE_PEN[],D$1,0),"ERROR")</f>
        <v>110.9481481481</v>
      </c>
      <c r="E125" s="111">
        <f>IFERROR(VLOOKUP($B125,MMWR_TRAD_AGG_STATE_PEN[],E$1,0),"ERROR")</f>
        <v>939</v>
      </c>
      <c r="F125" s="112">
        <f>IFERROR(VLOOKUP($B125,MMWR_TRAD_AGG_STATE_PEN[],F$1,0),"ERROR")</f>
        <v>160</v>
      </c>
      <c r="G125" s="113">
        <f t="shared" si="12"/>
        <v>0.1703940362087327</v>
      </c>
      <c r="H125" s="111">
        <f>IFERROR(VLOOKUP($B125,MMWR_TRAD_AGG_STATE_PEN[],H$1,0),"ERROR")</f>
        <v>1177</v>
      </c>
      <c r="I125" s="112">
        <f>IFERROR(VLOOKUP($B125,MMWR_TRAD_AGG_STATE_PEN[],I$1,0),"ERROR")</f>
        <v>435</v>
      </c>
      <c r="J125" s="114">
        <f t="shared" si="13"/>
        <v>0.36958368734069669</v>
      </c>
      <c r="K125" s="111">
        <f>IFERROR(VLOOKUP($B125,MMWR_TRAD_AGG_STATE_PEN[],K$1,0),"ERROR")</f>
        <v>0</v>
      </c>
      <c r="L125" s="112">
        <f>IFERROR(VLOOKUP($B125,MMWR_TRAD_AGG_STATE_PEN[],L$1,0),"ERROR")</f>
        <v>0</v>
      </c>
      <c r="M125" s="114" t="str">
        <f t="shared" si="14"/>
        <v>0%</v>
      </c>
      <c r="N125" s="111">
        <f>IFERROR(VLOOKUP($B125,MMWR_TRAD_AGG_STATE_PEN[],N$1,0),"ERROR")</f>
        <v>44</v>
      </c>
      <c r="O125" s="112">
        <f>IFERROR(VLOOKUP($B125,MMWR_TRAD_AGG_STATE_PEN[],O$1,0),"ERROR")</f>
        <v>9</v>
      </c>
      <c r="P125" s="114">
        <f t="shared" si="15"/>
        <v>0.20454545454545456</v>
      </c>
      <c r="Q125" s="115">
        <f>IFERROR(VLOOKUP($B125,MMWR_TRAD_AGG_STATE_PEN[],Q$1,0),"ERROR")</f>
        <v>157</v>
      </c>
      <c r="R125" s="115">
        <f>IFERROR(VLOOKUP($B125,MMWR_TRAD_AGG_STATE_PEN[],R$1,0),"ERROR")</f>
        <v>231</v>
      </c>
      <c r="S125" s="115">
        <f>IFERROR(VLOOKUP($B125,MMWR_APP_STATE_PEN[],S$1,0),"ERROR")</f>
        <v>132</v>
      </c>
      <c r="T125" s="28"/>
    </row>
    <row r="126" spans="1:20" s="123" customFormat="1" x14ac:dyDescent="0.2">
      <c r="A126" s="28"/>
      <c r="B126" s="127" t="s">
        <v>383</v>
      </c>
      <c r="C126" s="109">
        <f>IFERROR(VLOOKUP($B126,MMWR_TRAD_AGG_STATE_PEN[],C$1,0),"ERROR")</f>
        <v>417</v>
      </c>
      <c r="D126" s="110">
        <f>IFERROR(VLOOKUP($B126,MMWR_TRAD_AGG_STATE_PEN[],D$1,0),"ERROR")</f>
        <v>61.6930455635</v>
      </c>
      <c r="E126" s="111">
        <f>IFERROR(VLOOKUP($B126,MMWR_TRAD_AGG_STATE_PEN[],E$1,0),"ERROR")</f>
        <v>770</v>
      </c>
      <c r="F126" s="112">
        <f>IFERROR(VLOOKUP($B126,MMWR_TRAD_AGG_STATE_PEN[],F$1,0),"ERROR")</f>
        <v>80</v>
      </c>
      <c r="G126" s="113">
        <f t="shared" si="12"/>
        <v>0.1038961038961039</v>
      </c>
      <c r="H126" s="111">
        <f>IFERROR(VLOOKUP($B126,MMWR_TRAD_AGG_STATE_PEN[],H$1,0),"ERROR")</f>
        <v>683</v>
      </c>
      <c r="I126" s="112">
        <f>IFERROR(VLOOKUP($B126,MMWR_TRAD_AGG_STATE_PEN[],I$1,0),"ERROR")</f>
        <v>77</v>
      </c>
      <c r="J126" s="114">
        <f t="shared" si="13"/>
        <v>0.11273792093704246</v>
      </c>
      <c r="K126" s="111">
        <f>IFERROR(VLOOKUP($B126,MMWR_TRAD_AGG_STATE_PEN[],K$1,0),"ERROR")</f>
        <v>1</v>
      </c>
      <c r="L126" s="112">
        <f>IFERROR(VLOOKUP($B126,MMWR_TRAD_AGG_STATE_PEN[],L$1,0),"ERROR")</f>
        <v>1</v>
      </c>
      <c r="M126" s="114">
        <f t="shared" si="14"/>
        <v>1</v>
      </c>
      <c r="N126" s="111">
        <f>IFERROR(VLOOKUP($B126,MMWR_TRAD_AGG_STATE_PEN[],N$1,0),"ERROR")</f>
        <v>87</v>
      </c>
      <c r="O126" s="112">
        <f>IFERROR(VLOOKUP($B126,MMWR_TRAD_AGG_STATE_PEN[],O$1,0),"ERROR")</f>
        <v>27</v>
      </c>
      <c r="P126" s="114">
        <f t="shared" si="15"/>
        <v>0.31034482758620691</v>
      </c>
      <c r="Q126" s="115">
        <f>IFERROR(VLOOKUP($B126,MMWR_TRAD_AGG_STATE_PEN[],Q$1,0),"ERROR")</f>
        <v>147</v>
      </c>
      <c r="R126" s="115">
        <f>IFERROR(VLOOKUP($B126,MMWR_TRAD_AGG_STATE_PEN[],R$1,0),"ERROR")</f>
        <v>99</v>
      </c>
      <c r="S126" s="115">
        <f>IFERROR(VLOOKUP($B126,MMWR_APP_STATE_PEN[],S$1,0),"ERROR")</f>
        <v>239</v>
      </c>
      <c r="T126" s="28"/>
    </row>
    <row r="127" spans="1:20" s="123" customFormat="1" x14ac:dyDescent="0.2">
      <c r="A127" s="28"/>
      <c r="B127" s="128" t="s">
        <v>8</v>
      </c>
      <c r="C127" s="102">
        <f>IFERROR(VLOOKUP($B127,MMWR_TRAD_AGG_ST_DISTRICT_PEN[],C$1,0),"ERROR")</f>
        <v>176</v>
      </c>
      <c r="D127" s="103">
        <f>IFERROR(VLOOKUP($B127,MMWR_TRAD_AGG_ST_DISTRICT_PEN[],D$1,0),"ERROR")</f>
        <v>97.806818181799997</v>
      </c>
      <c r="E127" s="102">
        <f>IFERROR(VLOOKUP($B127,MMWR_TRAD_AGG_ST_DISTRICT_PEN[],E$1,0),"ERROR")</f>
        <v>220</v>
      </c>
      <c r="F127" s="102">
        <f>IFERROR(VLOOKUP($B127,MMWR_TRAD_AGG_ST_DISTRICT_PEN[],F$1,0),"ERROR")</f>
        <v>106</v>
      </c>
      <c r="G127" s="104">
        <f t="shared" si="12"/>
        <v>0.48181818181818181</v>
      </c>
      <c r="H127" s="102">
        <f>IFERROR(VLOOKUP($B127,MMWR_TRAD_AGG_ST_DISTRICT_PEN[],H$1,0),"ERROR")</f>
        <v>362</v>
      </c>
      <c r="I127" s="102">
        <f>IFERROR(VLOOKUP($B127,MMWR_TRAD_AGG_ST_DISTRICT_PEN[],I$1,0),"ERROR")</f>
        <v>212</v>
      </c>
      <c r="J127" s="104">
        <f t="shared" si="13"/>
        <v>0.58563535911602205</v>
      </c>
      <c r="K127" s="102">
        <f>IFERROR(VLOOKUP($B127,MMWR_TRAD_AGG_ST_DISTRICT_PEN[],K$1,0),"ERROR")</f>
        <v>6</v>
      </c>
      <c r="L127" s="102">
        <f>IFERROR(VLOOKUP($B127,MMWR_TRAD_AGG_ST_DISTRICT_PEN[],L$1,0),"ERROR")</f>
        <v>6</v>
      </c>
      <c r="M127" s="104">
        <f t="shared" si="14"/>
        <v>1</v>
      </c>
      <c r="N127" s="102">
        <f>IFERROR(VLOOKUP($B127,MMWR_TRAD_AGG_ST_DISTRICT_PEN[],N$1,0),"ERROR")</f>
        <v>10</v>
      </c>
      <c r="O127" s="102">
        <f>IFERROR(VLOOKUP($B127,MMWR_TRAD_AGG_ST_DISTRICT_PEN[],O$1,0),"ERROR")</f>
        <v>5</v>
      </c>
      <c r="P127" s="104">
        <f t="shared" si="15"/>
        <v>0.5</v>
      </c>
      <c r="Q127" s="102">
        <f>IFERROR(VLOOKUP($B127,MMWR_TRAD_AGG_ST_DISTRICT_PEN[],Q$1,0),"ERROR")</f>
        <v>55</v>
      </c>
      <c r="R127" s="106">
        <f>IFERROR(VLOOKUP($B127,MMWR_TRAD_AGG_ST_DISTRICT_PEN[],R$1,0),"ERROR")</f>
        <v>20</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652</v>
      </c>
      <c r="C2" t="s">
        <v>455</v>
      </c>
      <c r="D2" t="s">
        <v>457</v>
      </c>
      <c r="F2" t="s">
        <v>651</v>
      </c>
      <c r="G2" t="s">
        <v>306</v>
      </c>
      <c r="H2" t="s">
        <v>133</v>
      </c>
      <c r="I2" t="s">
        <v>214</v>
      </c>
      <c r="J2" t="s">
        <v>215</v>
      </c>
      <c r="K2" t="s">
        <v>216</v>
      </c>
      <c r="L2" t="s">
        <v>217</v>
      </c>
      <c r="M2" t="s">
        <v>218</v>
      </c>
      <c r="N2" t="s">
        <v>219</v>
      </c>
      <c r="O2" t="s">
        <v>220</v>
      </c>
      <c r="P2" t="s">
        <v>221</v>
      </c>
      <c r="Q2" t="s">
        <v>222</v>
      </c>
      <c r="R2" t="s">
        <v>223</v>
      </c>
      <c r="T2" t="s">
        <v>650</v>
      </c>
      <c r="U2" t="s">
        <v>306</v>
      </c>
      <c r="V2" t="s">
        <v>133</v>
      </c>
      <c r="W2" t="s">
        <v>214</v>
      </c>
      <c r="X2" t="s">
        <v>458</v>
      </c>
      <c r="Y2" t="s">
        <v>216</v>
      </c>
      <c r="Z2" t="s">
        <v>217</v>
      </c>
      <c r="AA2" t="s">
        <v>218</v>
      </c>
      <c r="AB2" t="s">
        <v>459</v>
      </c>
      <c r="AC2" t="s">
        <v>220</v>
      </c>
      <c r="AD2" t="s">
        <v>221</v>
      </c>
      <c r="AE2" t="s">
        <v>222</v>
      </c>
      <c r="AF2" t="s">
        <v>223</v>
      </c>
      <c r="AH2" t="s">
        <v>649</v>
      </c>
      <c r="AI2" t="s">
        <v>306</v>
      </c>
      <c r="AJ2" t="s">
        <v>133</v>
      </c>
      <c r="AK2" t="s">
        <v>214</v>
      </c>
      <c r="AL2" t="s">
        <v>215</v>
      </c>
      <c r="AM2" t="s">
        <v>216</v>
      </c>
      <c r="AN2" t="s">
        <v>217</v>
      </c>
      <c r="AO2" t="s">
        <v>218</v>
      </c>
      <c r="AP2" t="s">
        <v>219</v>
      </c>
      <c r="AQ2" t="s">
        <v>220</v>
      </c>
      <c r="AR2" t="s">
        <v>221</v>
      </c>
      <c r="AS2" t="s">
        <v>222</v>
      </c>
      <c r="AT2" t="s">
        <v>223</v>
      </c>
      <c r="AV2" t="s">
        <v>648</v>
      </c>
      <c r="AW2" t="s">
        <v>306</v>
      </c>
      <c r="AX2" t="s">
        <v>133</v>
      </c>
      <c r="AY2" t="s">
        <v>214</v>
      </c>
      <c r="AZ2" t="s">
        <v>458</v>
      </c>
      <c r="BA2" t="s">
        <v>216</v>
      </c>
      <c r="BB2" t="s">
        <v>217</v>
      </c>
      <c r="BC2" t="s">
        <v>218</v>
      </c>
      <c r="BD2" t="s">
        <v>459</v>
      </c>
      <c r="BE2" t="s">
        <v>220</v>
      </c>
      <c r="BF2" t="s">
        <v>221</v>
      </c>
      <c r="BG2" t="s">
        <v>222</v>
      </c>
      <c r="BH2" t="s">
        <v>223</v>
      </c>
      <c r="BJ2" t="s">
        <v>710</v>
      </c>
      <c r="BK2" t="s">
        <v>729</v>
      </c>
      <c r="BL2" t="s">
        <v>698</v>
      </c>
      <c r="BM2" t="s">
        <v>699</v>
      </c>
      <c r="BN2" t="s">
        <v>700</v>
      </c>
      <c r="BO2" t="s">
        <v>701</v>
      </c>
      <c r="BP2" t="s">
        <v>702</v>
      </c>
      <c r="BQ2" t="s">
        <v>711</v>
      </c>
      <c r="BR2" t="s">
        <v>712</v>
      </c>
      <c r="BS2" t="s">
        <v>703</v>
      </c>
      <c r="BT2" t="s">
        <v>704</v>
      </c>
      <c r="BU2" t="s">
        <v>705</v>
      </c>
      <c r="BV2" t="s">
        <v>706</v>
      </c>
      <c r="BW2" t="s">
        <v>707</v>
      </c>
      <c r="BX2" t="s">
        <v>708</v>
      </c>
      <c r="BY2" t="s">
        <v>709</v>
      </c>
      <c r="CA2" t="s">
        <v>1029</v>
      </c>
      <c r="CB2" t="s">
        <v>734</v>
      </c>
      <c r="CC2" t="s">
        <v>735</v>
      </c>
      <c r="CD2" t="s">
        <v>713</v>
      </c>
      <c r="CE2" t="s">
        <v>714</v>
      </c>
      <c r="CF2" t="s">
        <v>715</v>
      </c>
      <c r="CG2" t="s">
        <v>716</v>
      </c>
      <c r="CH2" t="s">
        <v>717</v>
      </c>
      <c r="CI2" t="s">
        <v>718</v>
      </c>
      <c r="CJ2" t="s">
        <v>719</v>
      </c>
      <c r="CL2" t="s">
        <v>1030</v>
      </c>
      <c r="CM2" t="s">
        <v>734</v>
      </c>
      <c r="CN2" t="s">
        <v>735</v>
      </c>
      <c r="CO2" t="s">
        <v>713</v>
      </c>
      <c r="CP2" t="s">
        <v>714</v>
      </c>
      <c r="CQ2" t="s">
        <v>715</v>
      </c>
      <c r="CR2" t="s">
        <v>716</v>
      </c>
      <c r="CS2" t="s">
        <v>717</v>
      </c>
      <c r="CT2" t="s">
        <v>718</v>
      </c>
      <c r="CU2" t="s">
        <v>719</v>
      </c>
      <c r="CW2" t="s">
        <v>1031</v>
      </c>
      <c r="CX2" t="s">
        <v>734</v>
      </c>
      <c r="CY2" t="s">
        <v>735</v>
      </c>
      <c r="CZ2" t="s">
        <v>713</v>
      </c>
      <c r="DA2" t="s">
        <v>714</v>
      </c>
      <c r="DB2" t="s">
        <v>715</v>
      </c>
      <c r="DC2" t="s">
        <v>716</v>
      </c>
      <c r="DD2" t="s">
        <v>717</v>
      </c>
      <c r="DE2" t="s">
        <v>718</v>
      </c>
      <c r="DF2" t="s">
        <v>719</v>
      </c>
      <c r="DH2" t="s">
        <v>1032</v>
      </c>
      <c r="DI2" t="s">
        <v>734</v>
      </c>
      <c r="DJ2" t="s">
        <v>735</v>
      </c>
      <c r="DK2" t="s">
        <v>713</v>
      </c>
      <c r="DL2" t="s">
        <v>714</v>
      </c>
      <c r="DM2" t="s">
        <v>715</v>
      </c>
      <c r="DN2" t="s">
        <v>716</v>
      </c>
      <c r="DO2" t="s">
        <v>717</v>
      </c>
      <c r="DP2" t="s">
        <v>718</v>
      </c>
      <c r="DQ2" t="s">
        <v>719</v>
      </c>
    </row>
    <row r="3" spans="2:121" x14ac:dyDescent="0.2">
      <c r="C3">
        <v>356714</v>
      </c>
      <c r="D3">
        <v>286717</v>
      </c>
      <c r="F3" t="s">
        <v>25</v>
      </c>
      <c r="G3">
        <v>11644</v>
      </c>
      <c r="H3">
        <v>354.52662315359999</v>
      </c>
      <c r="I3">
        <v>17931</v>
      </c>
      <c r="J3">
        <v>4907</v>
      </c>
      <c r="K3">
        <v>21151</v>
      </c>
      <c r="L3">
        <v>12005</v>
      </c>
      <c r="M3">
        <v>8403</v>
      </c>
      <c r="N3">
        <v>6782</v>
      </c>
      <c r="O3">
        <v>5715</v>
      </c>
      <c r="P3">
        <v>4746</v>
      </c>
      <c r="Q3">
        <v>78</v>
      </c>
      <c r="R3">
        <v>26</v>
      </c>
      <c r="T3" t="s">
        <v>209</v>
      </c>
      <c r="U3">
        <v>4287</v>
      </c>
      <c r="V3">
        <v>62.747609050599998</v>
      </c>
      <c r="W3">
        <v>7831</v>
      </c>
      <c r="X3">
        <v>964</v>
      </c>
      <c r="Y3">
        <v>6459</v>
      </c>
      <c r="Z3">
        <v>517</v>
      </c>
      <c r="AA3">
        <v>3</v>
      </c>
      <c r="AB3">
        <v>3</v>
      </c>
      <c r="AC3">
        <v>586</v>
      </c>
      <c r="AD3">
        <v>134</v>
      </c>
      <c r="AE3">
        <v>1172</v>
      </c>
      <c r="AF3">
        <v>982</v>
      </c>
      <c r="AH3" t="s">
        <v>387</v>
      </c>
      <c r="AI3">
        <v>10295</v>
      </c>
      <c r="AJ3">
        <v>345.81078193299999</v>
      </c>
      <c r="AK3">
        <v>8256</v>
      </c>
      <c r="AL3">
        <v>1971</v>
      </c>
      <c r="AM3">
        <v>16023</v>
      </c>
      <c r="AN3">
        <v>9147</v>
      </c>
      <c r="AO3">
        <v>4904</v>
      </c>
      <c r="AP3">
        <v>4163</v>
      </c>
      <c r="AQ3">
        <v>3231</v>
      </c>
      <c r="AR3">
        <v>1948</v>
      </c>
      <c r="AS3">
        <v>496</v>
      </c>
      <c r="AT3">
        <v>418</v>
      </c>
      <c r="AV3" t="s">
        <v>393</v>
      </c>
      <c r="AW3">
        <v>449</v>
      </c>
      <c r="AX3">
        <v>72.146993318499995</v>
      </c>
      <c r="AY3">
        <v>784</v>
      </c>
      <c r="AZ3">
        <v>104</v>
      </c>
      <c r="BA3">
        <v>639</v>
      </c>
      <c r="BB3">
        <v>47</v>
      </c>
      <c r="BC3">
        <v>0</v>
      </c>
      <c r="BE3">
        <v>57</v>
      </c>
      <c r="BF3">
        <v>19</v>
      </c>
      <c r="BG3">
        <v>89</v>
      </c>
      <c r="BH3">
        <v>145</v>
      </c>
      <c r="BJ3" t="s">
        <v>727</v>
      </c>
      <c r="BK3" t="s">
        <v>730</v>
      </c>
      <c r="BL3">
        <v>336516</v>
      </c>
      <c r="BM3">
        <v>72776</v>
      </c>
      <c r="BN3">
        <v>90.725763411000003</v>
      </c>
      <c r="BO3">
        <v>899260</v>
      </c>
      <c r="BP3">
        <v>21558</v>
      </c>
      <c r="BQ3">
        <v>128.70438694040001</v>
      </c>
      <c r="BR3">
        <v>128.03182113369999</v>
      </c>
      <c r="BS3">
        <v>336517</v>
      </c>
      <c r="BT3">
        <v>72777</v>
      </c>
      <c r="BU3">
        <v>90.727086595900005</v>
      </c>
      <c r="BV3">
        <v>899260</v>
      </c>
      <c r="BW3">
        <v>21558</v>
      </c>
      <c r="BX3">
        <v>128.70438694040001</v>
      </c>
      <c r="BY3">
        <v>128.03182113369999</v>
      </c>
      <c r="CA3" t="s">
        <v>1035</v>
      </c>
      <c r="CB3" t="s">
        <v>730</v>
      </c>
      <c r="CC3" t="s">
        <v>916</v>
      </c>
      <c r="CD3">
        <v>9094</v>
      </c>
      <c r="CE3">
        <v>991</v>
      </c>
      <c r="CF3">
        <v>57.927094787800002</v>
      </c>
      <c r="CG3">
        <v>24674</v>
      </c>
      <c r="CH3">
        <v>398</v>
      </c>
      <c r="CI3">
        <v>130.6547783092</v>
      </c>
      <c r="CJ3">
        <v>102.1457286432</v>
      </c>
      <c r="CL3" t="s">
        <v>1035</v>
      </c>
      <c r="CM3" t="s">
        <v>730</v>
      </c>
      <c r="CN3" t="s">
        <v>916</v>
      </c>
      <c r="CO3">
        <v>9094</v>
      </c>
      <c r="CP3">
        <v>991</v>
      </c>
      <c r="CQ3">
        <v>57.927094787800002</v>
      </c>
      <c r="CR3">
        <v>24674</v>
      </c>
      <c r="CS3">
        <v>398</v>
      </c>
      <c r="CT3">
        <v>130.6547783092</v>
      </c>
      <c r="CU3">
        <v>102.1457286432</v>
      </c>
      <c r="CW3" t="s">
        <v>1035</v>
      </c>
      <c r="CX3" t="s">
        <v>730</v>
      </c>
      <c r="CY3" t="s">
        <v>916</v>
      </c>
      <c r="CZ3">
        <v>9094</v>
      </c>
      <c r="DA3">
        <v>991</v>
      </c>
      <c r="DB3">
        <v>57.927094787800002</v>
      </c>
      <c r="DC3">
        <v>24674</v>
      </c>
      <c r="DD3">
        <v>398</v>
      </c>
      <c r="DE3">
        <v>130.6547783092</v>
      </c>
      <c r="DF3">
        <v>102.1457286432</v>
      </c>
      <c r="DH3" t="s">
        <v>1035</v>
      </c>
      <c r="DI3" t="s">
        <v>730</v>
      </c>
      <c r="DJ3" t="s">
        <v>916</v>
      </c>
      <c r="DK3">
        <v>9094</v>
      </c>
      <c r="DL3">
        <v>991</v>
      </c>
      <c r="DM3">
        <v>57.927094787800002</v>
      </c>
      <c r="DN3">
        <v>24674</v>
      </c>
      <c r="DO3">
        <v>398</v>
      </c>
      <c r="DP3">
        <v>130.6547783092</v>
      </c>
      <c r="DQ3">
        <v>102.1457286432</v>
      </c>
    </row>
    <row r="4" spans="2:121" x14ac:dyDescent="0.2">
      <c r="B4" t="s">
        <v>96</v>
      </c>
      <c r="C4">
        <v>192476</v>
      </c>
      <c r="D4">
        <v>57857</v>
      </c>
      <c r="F4" t="s">
        <v>41</v>
      </c>
      <c r="G4">
        <v>561</v>
      </c>
      <c r="H4">
        <v>121.8092691622</v>
      </c>
      <c r="I4">
        <v>2499</v>
      </c>
      <c r="J4">
        <v>364</v>
      </c>
      <c r="K4">
        <v>2027</v>
      </c>
      <c r="L4">
        <v>267</v>
      </c>
      <c r="M4">
        <v>157</v>
      </c>
      <c r="N4">
        <v>91</v>
      </c>
      <c r="O4">
        <v>214</v>
      </c>
      <c r="P4">
        <v>94</v>
      </c>
      <c r="Q4">
        <v>0</v>
      </c>
      <c r="R4">
        <v>9</v>
      </c>
      <c r="T4" t="s">
        <v>224</v>
      </c>
      <c r="U4">
        <v>0</v>
      </c>
      <c r="W4">
        <v>367</v>
      </c>
      <c r="X4">
        <v>141</v>
      </c>
      <c r="Y4">
        <v>3345</v>
      </c>
      <c r="Z4">
        <v>1090</v>
      </c>
      <c r="AA4">
        <v>200</v>
      </c>
      <c r="AB4">
        <v>199</v>
      </c>
      <c r="AC4">
        <v>191</v>
      </c>
      <c r="AD4">
        <v>118</v>
      </c>
      <c r="AE4">
        <v>7</v>
      </c>
      <c r="AF4">
        <v>0</v>
      </c>
      <c r="AH4" t="s">
        <v>423</v>
      </c>
      <c r="AI4">
        <v>1817</v>
      </c>
      <c r="AJ4">
        <v>501.41056686849998</v>
      </c>
      <c r="AK4">
        <v>1080</v>
      </c>
      <c r="AL4">
        <v>278</v>
      </c>
      <c r="AM4">
        <v>3067</v>
      </c>
      <c r="AN4">
        <v>1992</v>
      </c>
      <c r="AO4">
        <v>1436</v>
      </c>
      <c r="AP4">
        <v>1128</v>
      </c>
      <c r="AQ4">
        <v>367</v>
      </c>
      <c r="AR4">
        <v>253</v>
      </c>
      <c r="AS4">
        <v>0</v>
      </c>
      <c r="AT4">
        <v>3</v>
      </c>
      <c r="AV4" t="s">
        <v>383</v>
      </c>
      <c r="AW4">
        <v>417</v>
      </c>
      <c r="AX4">
        <v>61.6930455635</v>
      </c>
      <c r="AY4">
        <v>770</v>
      </c>
      <c r="AZ4">
        <v>80</v>
      </c>
      <c r="BA4">
        <v>683</v>
      </c>
      <c r="BB4">
        <v>77</v>
      </c>
      <c r="BC4">
        <v>1</v>
      </c>
      <c r="BD4">
        <v>1</v>
      </c>
      <c r="BE4">
        <v>87</v>
      </c>
      <c r="BF4">
        <v>27</v>
      </c>
      <c r="BG4">
        <v>147</v>
      </c>
      <c r="BH4">
        <v>99</v>
      </c>
      <c r="BJ4" t="s">
        <v>636</v>
      </c>
      <c r="BK4" t="s">
        <v>384</v>
      </c>
      <c r="BL4">
        <v>735</v>
      </c>
      <c r="BM4">
        <v>79</v>
      </c>
      <c r="BN4">
        <v>69.893877551000003</v>
      </c>
      <c r="BO4">
        <v>2376</v>
      </c>
      <c r="BP4">
        <v>31</v>
      </c>
      <c r="BQ4">
        <v>117.93728956229999</v>
      </c>
      <c r="BR4">
        <v>108.80645161290001</v>
      </c>
      <c r="BS4">
        <v>374</v>
      </c>
      <c r="BT4">
        <v>137</v>
      </c>
      <c r="BU4">
        <v>106.8823529412</v>
      </c>
      <c r="BV4">
        <v>3005</v>
      </c>
      <c r="BW4">
        <v>74</v>
      </c>
      <c r="BX4">
        <v>127.01098169719999</v>
      </c>
      <c r="BY4">
        <v>183.7432432432</v>
      </c>
      <c r="CA4" t="s">
        <v>1034</v>
      </c>
      <c r="CB4" t="s">
        <v>730</v>
      </c>
      <c r="CC4" t="s">
        <v>916</v>
      </c>
      <c r="CD4">
        <v>336517</v>
      </c>
      <c r="CE4">
        <v>72777</v>
      </c>
      <c r="CF4">
        <v>90.727086595900005</v>
      </c>
      <c r="CG4">
        <v>899260</v>
      </c>
      <c r="CH4">
        <v>21558</v>
      </c>
      <c r="CI4">
        <v>128.70438694040001</v>
      </c>
      <c r="CJ4">
        <v>128.03182113369999</v>
      </c>
      <c r="CL4" t="s">
        <v>1034</v>
      </c>
      <c r="CM4" t="s">
        <v>730</v>
      </c>
      <c r="CN4" t="s">
        <v>916</v>
      </c>
      <c r="CO4">
        <v>336517</v>
      </c>
      <c r="CP4">
        <v>72777</v>
      </c>
      <c r="CQ4">
        <v>90.727086595900005</v>
      </c>
      <c r="CR4">
        <v>899260</v>
      </c>
      <c r="CS4">
        <v>21558</v>
      </c>
      <c r="CT4">
        <v>128.70438694040001</v>
      </c>
      <c r="CU4">
        <v>128.03182113369999</v>
      </c>
      <c r="CW4" t="s">
        <v>1034</v>
      </c>
      <c r="CX4" t="s">
        <v>730</v>
      </c>
      <c r="CY4" t="s">
        <v>916</v>
      </c>
      <c r="CZ4">
        <v>336517</v>
      </c>
      <c r="DA4">
        <v>72777</v>
      </c>
      <c r="DB4">
        <v>90.727086595900005</v>
      </c>
      <c r="DC4">
        <v>899260</v>
      </c>
      <c r="DD4">
        <v>21558</v>
      </c>
      <c r="DE4">
        <v>128.70438694040001</v>
      </c>
      <c r="DF4">
        <v>128.03182113369999</v>
      </c>
      <c r="DH4" t="s">
        <v>1034</v>
      </c>
      <c r="DI4" t="s">
        <v>730</v>
      </c>
      <c r="DJ4" t="s">
        <v>916</v>
      </c>
      <c r="DK4">
        <v>336517</v>
      </c>
      <c r="DL4">
        <v>72777</v>
      </c>
      <c r="DM4">
        <v>90.727086595900005</v>
      </c>
      <c r="DN4">
        <v>899260</v>
      </c>
      <c r="DO4">
        <v>21558</v>
      </c>
      <c r="DP4">
        <v>128.70438694040001</v>
      </c>
      <c r="DQ4">
        <v>128.03182113369999</v>
      </c>
    </row>
    <row r="5" spans="2:121" x14ac:dyDescent="0.2">
      <c r="B5" t="s">
        <v>106</v>
      </c>
      <c r="C5">
        <v>79385</v>
      </c>
      <c r="D5">
        <v>47416</v>
      </c>
      <c r="F5" t="s">
        <v>61</v>
      </c>
      <c r="G5">
        <v>444</v>
      </c>
      <c r="H5">
        <v>234.0855855856</v>
      </c>
      <c r="I5">
        <v>2753</v>
      </c>
      <c r="J5">
        <v>711</v>
      </c>
      <c r="K5">
        <v>1669</v>
      </c>
      <c r="L5">
        <v>360</v>
      </c>
      <c r="M5">
        <v>514</v>
      </c>
      <c r="N5">
        <v>474</v>
      </c>
      <c r="O5">
        <v>1427</v>
      </c>
      <c r="P5">
        <v>1205</v>
      </c>
      <c r="Q5">
        <v>0</v>
      </c>
      <c r="R5">
        <v>1</v>
      </c>
      <c r="T5" t="s">
        <v>210</v>
      </c>
      <c r="U5">
        <v>13775</v>
      </c>
      <c r="V5">
        <v>106.16072595279999</v>
      </c>
      <c r="W5">
        <v>15656</v>
      </c>
      <c r="X5">
        <v>2667</v>
      </c>
      <c r="Y5">
        <v>16640</v>
      </c>
      <c r="Z5">
        <v>5498</v>
      </c>
      <c r="AA5">
        <v>16</v>
      </c>
      <c r="AB5">
        <v>16</v>
      </c>
      <c r="AC5">
        <v>622</v>
      </c>
      <c r="AD5">
        <v>191</v>
      </c>
      <c r="AE5">
        <v>2050</v>
      </c>
      <c r="AF5">
        <v>3089</v>
      </c>
      <c r="AH5" t="s">
        <v>425</v>
      </c>
      <c r="AI5">
        <v>3784</v>
      </c>
      <c r="AJ5">
        <v>280.43155391120001</v>
      </c>
      <c r="AK5">
        <v>5668</v>
      </c>
      <c r="AL5">
        <v>959</v>
      </c>
      <c r="AM5">
        <v>7544</v>
      </c>
      <c r="AN5">
        <v>3069</v>
      </c>
      <c r="AO5">
        <v>2066</v>
      </c>
      <c r="AP5">
        <v>1407</v>
      </c>
      <c r="AQ5">
        <v>2608</v>
      </c>
      <c r="AR5">
        <v>1702</v>
      </c>
      <c r="AS5">
        <v>8</v>
      </c>
      <c r="AT5">
        <v>92</v>
      </c>
      <c r="AV5" t="s">
        <v>412</v>
      </c>
      <c r="AW5">
        <v>106</v>
      </c>
      <c r="AX5">
        <v>65.311320754700006</v>
      </c>
      <c r="AY5">
        <v>130</v>
      </c>
      <c r="AZ5">
        <v>2</v>
      </c>
      <c r="BA5">
        <v>195</v>
      </c>
      <c r="BB5">
        <v>23</v>
      </c>
      <c r="BC5">
        <v>0</v>
      </c>
      <c r="BE5">
        <v>9</v>
      </c>
      <c r="BF5">
        <v>6</v>
      </c>
      <c r="BG5">
        <v>202</v>
      </c>
      <c r="BH5">
        <v>45</v>
      </c>
      <c r="BJ5" t="s">
        <v>384</v>
      </c>
      <c r="BK5" t="s">
        <v>384</v>
      </c>
      <c r="BL5">
        <v>64506</v>
      </c>
      <c r="BM5">
        <v>12865</v>
      </c>
      <c r="BN5">
        <v>87.726227017599996</v>
      </c>
      <c r="BO5">
        <v>174935</v>
      </c>
      <c r="BP5">
        <v>4098</v>
      </c>
      <c r="BQ5">
        <v>132.61845828450001</v>
      </c>
      <c r="BR5">
        <v>127.78477306000001</v>
      </c>
      <c r="BS5">
        <v>22497</v>
      </c>
      <c r="BT5">
        <v>5659</v>
      </c>
      <c r="BU5">
        <v>99.437880606299998</v>
      </c>
      <c r="BV5">
        <v>176498</v>
      </c>
      <c r="BW5">
        <v>4590</v>
      </c>
      <c r="BX5">
        <v>132.90172693170001</v>
      </c>
      <c r="BY5">
        <v>127.9381263617</v>
      </c>
      <c r="CA5" t="s">
        <v>1036</v>
      </c>
      <c r="CB5" t="s">
        <v>730</v>
      </c>
      <c r="CC5" t="s">
        <v>916</v>
      </c>
      <c r="CD5">
        <v>26665</v>
      </c>
      <c r="CE5">
        <v>3191</v>
      </c>
      <c r="CF5">
        <v>67.833452090799994</v>
      </c>
      <c r="CG5">
        <v>125945</v>
      </c>
      <c r="CH5">
        <v>3662</v>
      </c>
      <c r="CI5">
        <v>79.289777283700005</v>
      </c>
      <c r="CJ5">
        <v>85.453031130499994</v>
      </c>
      <c r="CL5" t="s">
        <v>1036</v>
      </c>
      <c r="CM5" t="s">
        <v>730</v>
      </c>
      <c r="CN5" t="s">
        <v>916</v>
      </c>
      <c r="CO5">
        <v>26665</v>
      </c>
      <c r="CP5">
        <v>3191</v>
      </c>
      <c r="CQ5">
        <v>67.833452090799994</v>
      </c>
      <c r="CR5">
        <v>125945</v>
      </c>
      <c r="CS5">
        <v>3662</v>
      </c>
      <c r="CT5">
        <v>79.289777283700005</v>
      </c>
      <c r="CU5">
        <v>85.453031130499994</v>
      </c>
      <c r="CW5" t="s">
        <v>1036</v>
      </c>
      <c r="CX5" t="s">
        <v>730</v>
      </c>
      <c r="CY5" t="s">
        <v>916</v>
      </c>
      <c r="CZ5">
        <v>26665</v>
      </c>
      <c r="DA5">
        <v>3191</v>
      </c>
      <c r="DB5">
        <v>67.833452090799994</v>
      </c>
      <c r="DC5">
        <v>125945</v>
      </c>
      <c r="DD5">
        <v>3662</v>
      </c>
      <c r="DE5">
        <v>79.289777283700005</v>
      </c>
      <c r="DF5">
        <v>85.453031130499994</v>
      </c>
      <c r="DH5" t="s">
        <v>1036</v>
      </c>
      <c r="DI5" t="s">
        <v>730</v>
      </c>
      <c r="DJ5" t="s">
        <v>916</v>
      </c>
      <c r="DK5">
        <v>26665</v>
      </c>
      <c r="DL5">
        <v>3191</v>
      </c>
      <c r="DM5">
        <v>67.833452090799994</v>
      </c>
      <c r="DN5">
        <v>125945</v>
      </c>
      <c r="DO5">
        <v>3662</v>
      </c>
      <c r="DP5">
        <v>79.289777283700005</v>
      </c>
      <c r="DQ5">
        <v>85.453031130499994</v>
      </c>
    </row>
    <row r="6" spans="2:121" x14ac:dyDescent="0.2">
      <c r="B6" t="s">
        <v>88</v>
      </c>
      <c r="C6">
        <v>83419</v>
      </c>
      <c r="D6">
        <v>19793</v>
      </c>
      <c r="F6" t="s">
        <v>69</v>
      </c>
      <c r="G6">
        <v>14145</v>
      </c>
      <c r="H6">
        <v>333.33736302580002</v>
      </c>
      <c r="I6">
        <v>11822</v>
      </c>
      <c r="J6">
        <v>2163</v>
      </c>
      <c r="K6">
        <v>19990</v>
      </c>
      <c r="L6">
        <v>10219</v>
      </c>
      <c r="M6">
        <v>7808</v>
      </c>
      <c r="N6">
        <v>6439</v>
      </c>
      <c r="O6">
        <v>4659</v>
      </c>
      <c r="P6">
        <v>4058</v>
      </c>
      <c r="Q6">
        <v>6</v>
      </c>
      <c r="R6">
        <v>7</v>
      </c>
      <c r="T6" t="s">
        <v>212</v>
      </c>
      <c r="U6">
        <v>4102</v>
      </c>
      <c r="V6">
        <v>66.018039980500006</v>
      </c>
      <c r="W6">
        <v>6104</v>
      </c>
      <c r="X6">
        <v>243</v>
      </c>
      <c r="Y6">
        <v>6056</v>
      </c>
      <c r="Z6">
        <v>516</v>
      </c>
      <c r="AA6">
        <v>30</v>
      </c>
      <c r="AB6">
        <v>17</v>
      </c>
      <c r="AC6">
        <v>306</v>
      </c>
      <c r="AD6">
        <v>102</v>
      </c>
      <c r="AE6">
        <v>8643</v>
      </c>
      <c r="AF6">
        <v>1911</v>
      </c>
      <c r="AH6" t="s">
        <v>410</v>
      </c>
      <c r="AI6">
        <v>3266</v>
      </c>
      <c r="AJ6">
        <v>269.97060624620002</v>
      </c>
      <c r="AK6">
        <v>3528</v>
      </c>
      <c r="AL6">
        <v>523</v>
      </c>
      <c r="AM6">
        <v>6225</v>
      </c>
      <c r="AN6">
        <v>2543</v>
      </c>
      <c r="AO6">
        <v>2283</v>
      </c>
      <c r="AP6">
        <v>1613</v>
      </c>
      <c r="AQ6">
        <v>2745</v>
      </c>
      <c r="AR6">
        <v>1761</v>
      </c>
      <c r="AS6">
        <v>432</v>
      </c>
      <c r="AT6">
        <v>103</v>
      </c>
      <c r="AV6" t="s">
        <v>411</v>
      </c>
      <c r="AW6">
        <v>216</v>
      </c>
      <c r="AX6">
        <v>61.814814814800002</v>
      </c>
      <c r="AY6">
        <v>256</v>
      </c>
      <c r="AZ6">
        <v>13</v>
      </c>
      <c r="BA6">
        <v>329</v>
      </c>
      <c r="BB6">
        <v>28</v>
      </c>
      <c r="BC6">
        <v>1</v>
      </c>
      <c r="BD6">
        <v>1</v>
      </c>
      <c r="BE6">
        <v>25</v>
      </c>
      <c r="BF6">
        <v>11</v>
      </c>
      <c r="BG6">
        <v>620</v>
      </c>
      <c r="BH6">
        <v>74</v>
      </c>
      <c r="BJ6" t="s">
        <v>583</v>
      </c>
      <c r="BK6" t="s">
        <v>384</v>
      </c>
      <c r="BL6">
        <v>5533</v>
      </c>
      <c r="BM6">
        <v>1256</v>
      </c>
      <c r="BN6">
        <v>95.171154888800004</v>
      </c>
      <c r="BO6">
        <v>16637</v>
      </c>
      <c r="BP6">
        <v>364</v>
      </c>
      <c r="BQ6">
        <v>144.98972170459999</v>
      </c>
      <c r="BR6">
        <v>130.1593406593</v>
      </c>
      <c r="BS6">
        <v>1999</v>
      </c>
      <c r="BT6">
        <v>564</v>
      </c>
      <c r="BU6">
        <v>100.7893946973</v>
      </c>
      <c r="BV6">
        <v>16649</v>
      </c>
      <c r="BW6">
        <v>420</v>
      </c>
      <c r="BX6">
        <v>142.83446453240001</v>
      </c>
      <c r="BY6">
        <v>131.54523809520001</v>
      </c>
      <c r="CA6" t="s">
        <v>1037</v>
      </c>
      <c r="CB6" t="s">
        <v>730</v>
      </c>
      <c r="CC6" t="s">
        <v>916</v>
      </c>
      <c r="CD6">
        <v>8010</v>
      </c>
      <c r="CE6">
        <v>1004</v>
      </c>
      <c r="CF6">
        <v>65.303495630499995</v>
      </c>
      <c r="CG6">
        <v>21758</v>
      </c>
      <c r="CH6">
        <v>403</v>
      </c>
      <c r="CI6">
        <v>137.45284493060001</v>
      </c>
      <c r="CJ6">
        <v>113.0868486352</v>
      </c>
      <c r="CL6" t="s">
        <v>1037</v>
      </c>
      <c r="CM6" t="s">
        <v>730</v>
      </c>
      <c r="CN6" t="s">
        <v>916</v>
      </c>
      <c r="CO6">
        <v>8010</v>
      </c>
      <c r="CP6">
        <v>1004</v>
      </c>
      <c r="CQ6">
        <v>65.303495630499995</v>
      </c>
      <c r="CR6">
        <v>21758</v>
      </c>
      <c r="CS6">
        <v>403</v>
      </c>
      <c r="CT6">
        <v>137.45284493060001</v>
      </c>
      <c r="CU6">
        <v>113.0868486352</v>
      </c>
      <c r="CW6" t="s">
        <v>1037</v>
      </c>
      <c r="CX6" t="s">
        <v>730</v>
      </c>
      <c r="CY6" t="s">
        <v>916</v>
      </c>
      <c r="CZ6">
        <v>8010</v>
      </c>
      <c r="DA6">
        <v>1004</v>
      </c>
      <c r="DB6">
        <v>65.303495630499995</v>
      </c>
      <c r="DC6">
        <v>21758</v>
      </c>
      <c r="DD6">
        <v>403</v>
      </c>
      <c r="DE6">
        <v>137.45284493060001</v>
      </c>
      <c r="DF6">
        <v>113.0868486352</v>
      </c>
      <c r="DH6" t="s">
        <v>1037</v>
      </c>
      <c r="DI6" t="s">
        <v>730</v>
      </c>
      <c r="DJ6" t="s">
        <v>916</v>
      </c>
      <c r="DK6">
        <v>8010</v>
      </c>
      <c r="DL6">
        <v>1004</v>
      </c>
      <c r="DM6">
        <v>65.303495630499995</v>
      </c>
      <c r="DN6">
        <v>21758</v>
      </c>
      <c r="DO6">
        <v>403</v>
      </c>
      <c r="DP6">
        <v>137.45284493060001</v>
      </c>
      <c r="DQ6">
        <v>113.0868486352</v>
      </c>
    </row>
    <row r="7" spans="2:121" x14ac:dyDescent="0.2">
      <c r="B7" t="s">
        <v>121</v>
      </c>
      <c r="C7">
        <v>920</v>
      </c>
      <c r="D7">
        <v>404</v>
      </c>
      <c r="F7" t="s">
        <v>31</v>
      </c>
      <c r="G7">
        <v>596</v>
      </c>
      <c r="H7">
        <v>167.02181208050001</v>
      </c>
      <c r="I7">
        <v>2865</v>
      </c>
      <c r="J7">
        <v>626</v>
      </c>
      <c r="K7">
        <v>1675</v>
      </c>
      <c r="L7">
        <v>361</v>
      </c>
      <c r="M7">
        <v>302</v>
      </c>
      <c r="N7">
        <v>137</v>
      </c>
      <c r="O7">
        <v>408</v>
      </c>
      <c r="P7">
        <v>260</v>
      </c>
      <c r="Q7">
        <v>0</v>
      </c>
      <c r="R7">
        <v>9</v>
      </c>
      <c r="T7" t="s">
        <v>461</v>
      </c>
      <c r="U7">
        <v>22164</v>
      </c>
      <c r="V7">
        <v>90.334280815699998</v>
      </c>
      <c r="W7">
        <v>29958</v>
      </c>
      <c r="X7">
        <v>4015</v>
      </c>
      <c r="Y7">
        <v>32500</v>
      </c>
      <c r="Z7">
        <v>7621</v>
      </c>
      <c r="AA7">
        <v>249</v>
      </c>
      <c r="AB7">
        <v>235</v>
      </c>
      <c r="AC7">
        <v>1705</v>
      </c>
      <c r="AD7">
        <v>545</v>
      </c>
      <c r="AE7">
        <v>11872</v>
      </c>
      <c r="AF7">
        <v>5982</v>
      </c>
      <c r="AH7" t="s">
        <v>406</v>
      </c>
      <c r="AI7">
        <v>18414</v>
      </c>
      <c r="AJ7">
        <v>439.23807972200001</v>
      </c>
      <c r="AK7">
        <v>34295</v>
      </c>
      <c r="AL7">
        <v>6900</v>
      </c>
      <c r="AM7">
        <v>38152</v>
      </c>
      <c r="AN7">
        <v>19851</v>
      </c>
      <c r="AO7">
        <v>10473</v>
      </c>
      <c r="AP7">
        <v>8256</v>
      </c>
      <c r="AQ7">
        <v>15290</v>
      </c>
      <c r="AR7">
        <v>10862</v>
      </c>
      <c r="AS7">
        <v>60</v>
      </c>
      <c r="AT7">
        <v>163</v>
      </c>
      <c r="AV7" t="s">
        <v>420</v>
      </c>
      <c r="AW7">
        <v>16</v>
      </c>
      <c r="AX7">
        <v>48.6875</v>
      </c>
      <c r="AY7">
        <v>26</v>
      </c>
      <c r="AZ7">
        <v>1</v>
      </c>
      <c r="BA7">
        <v>33</v>
      </c>
      <c r="BB7">
        <v>4</v>
      </c>
      <c r="BC7">
        <v>0</v>
      </c>
      <c r="BE7">
        <v>1</v>
      </c>
      <c r="BG7">
        <v>66</v>
      </c>
      <c r="BH7">
        <v>7</v>
      </c>
      <c r="BJ7" t="s">
        <v>630</v>
      </c>
      <c r="BK7" t="s">
        <v>384</v>
      </c>
      <c r="BL7">
        <v>707</v>
      </c>
      <c r="BM7">
        <v>58</v>
      </c>
      <c r="BN7">
        <v>60.8755304102</v>
      </c>
      <c r="BO7">
        <v>3187</v>
      </c>
      <c r="BP7">
        <v>88</v>
      </c>
      <c r="BQ7">
        <v>82.977408220900003</v>
      </c>
      <c r="BR7">
        <v>78.056818181799997</v>
      </c>
      <c r="BS7">
        <v>624</v>
      </c>
      <c r="BT7">
        <v>108</v>
      </c>
      <c r="BU7">
        <v>78.416666666699996</v>
      </c>
      <c r="BV7">
        <v>5994</v>
      </c>
      <c r="BW7">
        <v>245</v>
      </c>
      <c r="BX7">
        <v>108.1596596597</v>
      </c>
      <c r="BY7">
        <v>105.78775510200001</v>
      </c>
      <c r="CA7" t="s">
        <v>410</v>
      </c>
      <c r="CB7" t="s">
        <v>766</v>
      </c>
      <c r="CC7" t="s">
        <v>992</v>
      </c>
      <c r="CD7">
        <v>3598</v>
      </c>
      <c r="CE7">
        <v>475</v>
      </c>
      <c r="CF7">
        <v>78.235130628099995</v>
      </c>
      <c r="CG7">
        <v>11245</v>
      </c>
      <c r="CH7">
        <v>242</v>
      </c>
      <c r="CI7">
        <v>115.4106714095</v>
      </c>
      <c r="CJ7">
        <v>105.6776859504</v>
      </c>
      <c r="CL7" t="s">
        <v>410</v>
      </c>
      <c r="CM7" t="s">
        <v>747</v>
      </c>
      <c r="CN7" t="s">
        <v>746</v>
      </c>
      <c r="CO7">
        <v>275</v>
      </c>
      <c r="CP7">
        <v>46</v>
      </c>
      <c r="CQ7">
        <v>70.985454545500005</v>
      </c>
      <c r="CR7">
        <v>1853</v>
      </c>
      <c r="CS7">
        <v>45</v>
      </c>
      <c r="CT7">
        <v>65.104155423600005</v>
      </c>
      <c r="CU7">
        <v>59.711111111100003</v>
      </c>
      <c r="CW7" t="s">
        <v>410</v>
      </c>
      <c r="CX7" t="s">
        <v>757</v>
      </c>
      <c r="CY7" t="s">
        <v>756</v>
      </c>
      <c r="CZ7">
        <v>45</v>
      </c>
      <c r="DA7">
        <v>8</v>
      </c>
      <c r="DB7">
        <v>81.155555555600003</v>
      </c>
      <c r="DC7">
        <v>130</v>
      </c>
      <c r="DD7">
        <v>4</v>
      </c>
      <c r="DE7">
        <v>130.36923076919999</v>
      </c>
      <c r="DF7">
        <v>119.25</v>
      </c>
      <c r="DH7" t="s">
        <v>410</v>
      </c>
      <c r="DI7" t="s">
        <v>737</v>
      </c>
      <c r="DJ7" t="s">
        <v>736</v>
      </c>
      <c r="DK7">
        <v>44</v>
      </c>
      <c r="DL7">
        <v>11</v>
      </c>
      <c r="DM7">
        <v>68.5</v>
      </c>
      <c r="DN7">
        <v>106</v>
      </c>
      <c r="DO7">
        <v>1</v>
      </c>
      <c r="DP7">
        <v>135.20754716979999</v>
      </c>
      <c r="DQ7">
        <v>124</v>
      </c>
    </row>
    <row r="8" spans="2:121" x14ac:dyDescent="0.2">
      <c r="B8" t="s">
        <v>111</v>
      </c>
      <c r="C8">
        <v>7580</v>
      </c>
      <c r="D8">
        <v>466</v>
      </c>
      <c r="F8" t="s">
        <v>83</v>
      </c>
      <c r="G8">
        <v>15656</v>
      </c>
      <c r="H8">
        <v>307.84932294330002</v>
      </c>
      <c r="I8">
        <v>18430</v>
      </c>
      <c r="J8">
        <v>4114</v>
      </c>
      <c r="K8">
        <v>28194</v>
      </c>
      <c r="L8">
        <v>16326</v>
      </c>
      <c r="M8">
        <v>12560</v>
      </c>
      <c r="N8">
        <v>9164</v>
      </c>
      <c r="O8">
        <v>4307</v>
      </c>
      <c r="P8">
        <v>3197</v>
      </c>
      <c r="Q8">
        <v>1</v>
      </c>
      <c r="R8">
        <v>15</v>
      </c>
      <c r="AH8" t="s">
        <v>402</v>
      </c>
      <c r="AI8">
        <v>5163</v>
      </c>
      <c r="AJ8">
        <v>371.0433856285</v>
      </c>
      <c r="AK8">
        <v>6241</v>
      </c>
      <c r="AL8">
        <v>1318</v>
      </c>
      <c r="AM8">
        <v>10177</v>
      </c>
      <c r="AN8">
        <v>4936</v>
      </c>
      <c r="AO8">
        <v>4001</v>
      </c>
      <c r="AP8">
        <v>3278</v>
      </c>
      <c r="AQ8">
        <v>1796</v>
      </c>
      <c r="AR8">
        <v>1202</v>
      </c>
      <c r="AS8">
        <v>5</v>
      </c>
      <c r="AT8">
        <v>58</v>
      </c>
      <c r="AV8" t="s">
        <v>404</v>
      </c>
      <c r="AW8">
        <v>71</v>
      </c>
      <c r="AX8">
        <v>56.126760563399998</v>
      </c>
      <c r="AY8">
        <v>129</v>
      </c>
      <c r="AZ8">
        <v>4</v>
      </c>
      <c r="BA8">
        <v>157</v>
      </c>
      <c r="BB8">
        <v>14</v>
      </c>
      <c r="BC8">
        <v>0</v>
      </c>
      <c r="BE8">
        <v>6</v>
      </c>
      <c r="BF8">
        <v>3</v>
      </c>
      <c r="BG8">
        <v>278</v>
      </c>
      <c r="BH8">
        <v>35</v>
      </c>
      <c r="BJ8" t="s">
        <v>618</v>
      </c>
      <c r="BK8" t="s">
        <v>384</v>
      </c>
      <c r="BL8">
        <v>18251</v>
      </c>
      <c r="BM8">
        <v>4469</v>
      </c>
      <c r="BN8">
        <v>94.567530546300006</v>
      </c>
      <c r="BO8">
        <v>42150</v>
      </c>
      <c r="BP8">
        <v>1083</v>
      </c>
      <c r="BQ8">
        <v>143.3842704626</v>
      </c>
      <c r="BR8">
        <v>136.64358264079999</v>
      </c>
      <c r="BS8">
        <v>4518</v>
      </c>
      <c r="BT8">
        <v>1702</v>
      </c>
      <c r="BU8">
        <v>119.11288180610001</v>
      </c>
      <c r="BV8">
        <v>30485</v>
      </c>
      <c r="BW8">
        <v>750</v>
      </c>
      <c r="BX8">
        <v>140.1598163031</v>
      </c>
      <c r="BY8">
        <v>152.596</v>
      </c>
      <c r="CA8" t="s">
        <v>402</v>
      </c>
      <c r="CB8" t="s">
        <v>766</v>
      </c>
      <c r="CC8" t="s">
        <v>993</v>
      </c>
      <c r="CD8">
        <v>5935</v>
      </c>
      <c r="CE8">
        <v>1298</v>
      </c>
      <c r="CF8">
        <v>93.277000842500001</v>
      </c>
      <c r="CG8">
        <v>18690</v>
      </c>
      <c r="CH8">
        <v>425</v>
      </c>
      <c r="CI8">
        <v>132.82562867839999</v>
      </c>
      <c r="CJ8">
        <v>117.68235294119999</v>
      </c>
      <c r="CL8" t="s">
        <v>402</v>
      </c>
      <c r="CM8" t="s">
        <v>747</v>
      </c>
      <c r="CN8" t="s">
        <v>748</v>
      </c>
      <c r="CO8">
        <v>370</v>
      </c>
      <c r="CP8">
        <v>40</v>
      </c>
      <c r="CQ8">
        <v>68.029729729699994</v>
      </c>
      <c r="CR8">
        <v>1821</v>
      </c>
      <c r="CS8">
        <v>51</v>
      </c>
      <c r="CT8">
        <v>70.869851729800004</v>
      </c>
      <c r="CU8">
        <v>121.9411764706</v>
      </c>
      <c r="CW8" t="s">
        <v>402</v>
      </c>
      <c r="CX8" t="s">
        <v>757</v>
      </c>
      <c r="CY8" t="s">
        <v>758</v>
      </c>
      <c r="CZ8">
        <v>183</v>
      </c>
      <c r="DA8">
        <v>22</v>
      </c>
      <c r="DB8">
        <v>61.7978142077</v>
      </c>
      <c r="DC8">
        <v>693</v>
      </c>
      <c r="DD8">
        <v>14</v>
      </c>
      <c r="DE8">
        <v>127.1731601732</v>
      </c>
      <c r="DF8">
        <v>119.42857142859999</v>
      </c>
      <c r="DH8" t="s">
        <v>402</v>
      </c>
      <c r="DI8" t="s">
        <v>737</v>
      </c>
      <c r="DJ8" t="s">
        <v>738</v>
      </c>
      <c r="DK8">
        <v>368</v>
      </c>
      <c r="DL8">
        <v>11</v>
      </c>
      <c r="DM8">
        <v>42.698369565199997</v>
      </c>
      <c r="DN8">
        <v>995</v>
      </c>
      <c r="DO8">
        <v>5</v>
      </c>
      <c r="DP8">
        <v>113.42412060300001</v>
      </c>
      <c r="DQ8">
        <v>67.2</v>
      </c>
    </row>
    <row r="9" spans="2:121" x14ac:dyDescent="0.2">
      <c r="B9" t="s">
        <v>105</v>
      </c>
      <c r="C9">
        <v>8424</v>
      </c>
      <c r="D9">
        <v>6441</v>
      </c>
      <c r="F9" t="s">
        <v>75</v>
      </c>
      <c r="G9">
        <v>3259</v>
      </c>
      <c r="H9">
        <v>226.84320343659999</v>
      </c>
      <c r="I9">
        <v>6356</v>
      </c>
      <c r="J9">
        <v>1302</v>
      </c>
      <c r="K9">
        <v>6790</v>
      </c>
      <c r="L9">
        <v>2910</v>
      </c>
      <c r="M9">
        <v>2092</v>
      </c>
      <c r="N9">
        <v>1775</v>
      </c>
      <c r="O9">
        <v>1246</v>
      </c>
      <c r="P9">
        <v>1017</v>
      </c>
      <c r="Q9">
        <v>0</v>
      </c>
      <c r="R9">
        <v>51</v>
      </c>
      <c r="AH9" t="s">
        <v>372</v>
      </c>
      <c r="AI9">
        <v>690</v>
      </c>
      <c r="AJ9">
        <v>284.21304347829999</v>
      </c>
      <c r="AK9">
        <v>1850</v>
      </c>
      <c r="AL9">
        <v>320</v>
      </c>
      <c r="AM9">
        <v>2594</v>
      </c>
      <c r="AN9">
        <v>760</v>
      </c>
      <c r="AO9">
        <v>582</v>
      </c>
      <c r="AP9">
        <v>376</v>
      </c>
      <c r="AQ9">
        <v>1123</v>
      </c>
      <c r="AR9">
        <v>855</v>
      </c>
      <c r="AS9">
        <v>305</v>
      </c>
      <c r="AT9">
        <v>5</v>
      </c>
      <c r="AV9" t="s">
        <v>414</v>
      </c>
      <c r="AW9">
        <v>115</v>
      </c>
      <c r="AX9">
        <v>95.808695652200001</v>
      </c>
      <c r="AY9">
        <v>156</v>
      </c>
      <c r="AZ9">
        <v>32</v>
      </c>
      <c r="BA9">
        <v>136</v>
      </c>
      <c r="BB9">
        <v>37</v>
      </c>
      <c r="BC9">
        <v>0</v>
      </c>
      <c r="BE9">
        <v>5</v>
      </c>
      <c r="BF9">
        <v>1</v>
      </c>
      <c r="BG9">
        <v>13</v>
      </c>
      <c r="BH9">
        <v>22</v>
      </c>
      <c r="BJ9" t="s">
        <v>554</v>
      </c>
      <c r="BK9" t="s">
        <v>384</v>
      </c>
      <c r="BL9">
        <v>4685</v>
      </c>
      <c r="BM9">
        <v>1489</v>
      </c>
      <c r="BN9">
        <v>120.0849519744</v>
      </c>
      <c r="BO9">
        <v>9253</v>
      </c>
      <c r="BP9">
        <v>262</v>
      </c>
      <c r="BQ9">
        <v>164.61407111209999</v>
      </c>
      <c r="BR9">
        <v>162.26717557250001</v>
      </c>
      <c r="BS9">
        <v>1629</v>
      </c>
      <c r="BT9">
        <v>637</v>
      </c>
      <c r="BU9">
        <v>137.1553100061</v>
      </c>
      <c r="BV9">
        <v>12822</v>
      </c>
      <c r="BW9">
        <v>410</v>
      </c>
      <c r="BX9">
        <v>157.0305724536</v>
      </c>
      <c r="BY9">
        <v>142.47317073170001</v>
      </c>
      <c r="CA9" t="s">
        <v>386</v>
      </c>
      <c r="CB9" t="s">
        <v>766</v>
      </c>
      <c r="CC9" t="s">
        <v>994</v>
      </c>
      <c r="CD9">
        <v>5563</v>
      </c>
      <c r="CE9">
        <v>1045</v>
      </c>
      <c r="CF9">
        <v>85.692072622699996</v>
      </c>
      <c r="CG9">
        <v>16304</v>
      </c>
      <c r="CH9">
        <v>388</v>
      </c>
      <c r="CI9">
        <v>132.4135794897</v>
      </c>
      <c r="CJ9">
        <v>118.81443298969999</v>
      </c>
      <c r="CL9" t="s">
        <v>386</v>
      </c>
      <c r="CM9" t="s">
        <v>747</v>
      </c>
      <c r="CN9" t="s">
        <v>749</v>
      </c>
      <c r="CO9">
        <v>427</v>
      </c>
      <c r="CP9">
        <v>61</v>
      </c>
      <c r="CQ9">
        <v>74.074941452000004</v>
      </c>
      <c r="CR9">
        <v>2407</v>
      </c>
      <c r="CS9">
        <v>64</v>
      </c>
      <c r="CT9">
        <v>66.877856252599997</v>
      </c>
      <c r="CU9">
        <v>62.421875</v>
      </c>
      <c r="CW9" t="s">
        <v>386</v>
      </c>
      <c r="CX9" t="s">
        <v>757</v>
      </c>
      <c r="CY9" t="s">
        <v>759</v>
      </c>
      <c r="CZ9">
        <v>81</v>
      </c>
      <c r="DA9">
        <v>10</v>
      </c>
      <c r="DB9">
        <v>58.493827160499997</v>
      </c>
      <c r="DC9">
        <v>194</v>
      </c>
      <c r="DD9">
        <v>4</v>
      </c>
      <c r="DE9">
        <v>132.9896907216</v>
      </c>
      <c r="DF9">
        <v>99</v>
      </c>
      <c r="DH9" t="s">
        <v>386</v>
      </c>
      <c r="DI9" t="s">
        <v>737</v>
      </c>
      <c r="DJ9" t="s">
        <v>739</v>
      </c>
      <c r="DK9">
        <v>118</v>
      </c>
      <c r="DL9">
        <v>9</v>
      </c>
      <c r="DM9">
        <v>55.889830508499998</v>
      </c>
      <c r="DN9">
        <v>356</v>
      </c>
      <c r="DO9">
        <v>7</v>
      </c>
      <c r="DP9">
        <v>118.34269662920001</v>
      </c>
      <c r="DQ9">
        <v>111</v>
      </c>
    </row>
    <row r="10" spans="2:121" x14ac:dyDescent="0.2">
      <c r="B10" t="s">
        <v>20</v>
      </c>
      <c r="C10">
        <v>327</v>
      </c>
      <c r="D10">
        <v>160</v>
      </c>
      <c r="F10" t="s">
        <v>66</v>
      </c>
      <c r="G10">
        <v>5282</v>
      </c>
      <c r="H10">
        <v>387.05774327910001</v>
      </c>
      <c r="I10">
        <v>4705</v>
      </c>
      <c r="J10">
        <v>965</v>
      </c>
      <c r="K10">
        <v>8178</v>
      </c>
      <c r="L10">
        <v>4555</v>
      </c>
      <c r="M10">
        <v>3237</v>
      </c>
      <c r="N10">
        <v>2838</v>
      </c>
      <c r="O10">
        <v>2219</v>
      </c>
      <c r="P10">
        <v>1705</v>
      </c>
      <c r="Q10">
        <v>0</v>
      </c>
      <c r="R10">
        <v>106</v>
      </c>
      <c r="AH10" t="s">
        <v>422</v>
      </c>
      <c r="AI10">
        <v>648</v>
      </c>
      <c r="AJ10">
        <v>400.75771604940002</v>
      </c>
      <c r="AK10">
        <v>1003</v>
      </c>
      <c r="AL10">
        <v>217</v>
      </c>
      <c r="AM10">
        <v>1271</v>
      </c>
      <c r="AN10">
        <v>584</v>
      </c>
      <c r="AO10">
        <v>263</v>
      </c>
      <c r="AP10">
        <v>187</v>
      </c>
      <c r="AQ10">
        <v>393</v>
      </c>
      <c r="AR10">
        <v>243</v>
      </c>
      <c r="AS10">
        <v>80</v>
      </c>
      <c r="AT10">
        <v>0</v>
      </c>
      <c r="AV10" t="s">
        <v>374</v>
      </c>
      <c r="AW10">
        <v>1546</v>
      </c>
      <c r="AX10">
        <v>101.6274256145</v>
      </c>
      <c r="AY10">
        <v>2336</v>
      </c>
      <c r="AZ10">
        <v>402</v>
      </c>
      <c r="BA10">
        <v>2191</v>
      </c>
      <c r="BB10">
        <v>645</v>
      </c>
      <c r="BC10">
        <v>2</v>
      </c>
      <c r="BD10">
        <v>1</v>
      </c>
      <c r="BE10">
        <v>104</v>
      </c>
      <c r="BF10">
        <v>24</v>
      </c>
      <c r="BG10">
        <v>184</v>
      </c>
      <c r="BH10">
        <v>312</v>
      </c>
      <c r="BJ10" t="s">
        <v>606</v>
      </c>
      <c r="BK10" t="s">
        <v>384</v>
      </c>
      <c r="BL10">
        <v>3632</v>
      </c>
      <c r="BM10">
        <v>486</v>
      </c>
      <c r="BN10">
        <v>77.895925110099995</v>
      </c>
      <c r="BO10">
        <v>10857</v>
      </c>
      <c r="BP10">
        <v>247</v>
      </c>
      <c r="BQ10">
        <v>115.99889472229999</v>
      </c>
      <c r="BR10">
        <v>106.6396761134</v>
      </c>
      <c r="BS10">
        <v>1480</v>
      </c>
      <c r="BT10">
        <v>196</v>
      </c>
      <c r="BU10">
        <v>84.146621621600005</v>
      </c>
      <c r="BV10">
        <v>12819</v>
      </c>
      <c r="BW10">
        <v>339</v>
      </c>
      <c r="BX10">
        <v>122.3666432639</v>
      </c>
      <c r="BY10">
        <v>111.6017699115</v>
      </c>
      <c r="CA10" t="s">
        <v>388</v>
      </c>
      <c r="CB10" t="s">
        <v>766</v>
      </c>
      <c r="CC10" t="s">
        <v>995</v>
      </c>
      <c r="CD10">
        <v>4802</v>
      </c>
      <c r="CE10">
        <v>1508</v>
      </c>
      <c r="CF10">
        <v>118.1897126197</v>
      </c>
      <c r="CG10">
        <v>10344</v>
      </c>
      <c r="CH10">
        <v>280</v>
      </c>
      <c r="CI10">
        <v>159.06351508119999</v>
      </c>
      <c r="CJ10">
        <v>157.83571428569999</v>
      </c>
      <c r="CL10" t="s">
        <v>388</v>
      </c>
      <c r="CM10" t="s">
        <v>747</v>
      </c>
      <c r="CN10" t="s">
        <v>750</v>
      </c>
      <c r="CO10">
        <v>337</v>
      </c>
      <c r="CP10">
        <v>49</v>
      </c>
      <c r="CQ10">
        <v>72.640949554900004</v>
      </c>
      <c r="CR10">
        <v>1730</v>
      </c>
      <c r="CS10">
        <v>45</v>
      </c>
      <c r="CT10">
        <v>76.6023121387</v>
      </c>
      <c r="CU10">
        <v>89.0444444444</v>
      </c>
      <c r="CW10" t="s">
        <v>388</v>
      </c>
      <c r="CX10" t="s">
        <v>757</v>
      </c>
      <c r="CY10" t="s">
        <v>760</v>
      </c>
      <c r="CZ10">
        <v>60</v>
      </c>
      <c r="DA10">
        <v>16</v>
      </c>
      <c r="DB10">
        <v>97.366666666699999</v>
      </c>
      <c r="DC10">
        <v>168</v>
      </c>
      <c r="DD10">
        <v>2</v>
      </c>
      <c r="DE10">
        <v>141.375</v>
      </c>
      <c r="DF10">
        <v>79</v>
      </c>
      <c r="DH10" t="s">
        <v>388</v>
      </c>
      <c r="DI10" t="s">
        <v>737</v>
      </c>
      <c r="DJ10" t="s">
        <v>740</v>
      </c>
      <c r="DK10">
        <v>57</v>
      </c>
      <c r="DL10">
        <v>8</v>
      </c>
      <c r="DM10">
        <v>72.473684210499997</v>
      </c>
      <c r="DN10">
        <v>193</v>
      </c>
      <c r="DO10">
        <v>0</v>
      </c>
      <c r="DP10">
        <v>127.3626943005</v>
      </c>
      <c r="DQ10">
        <v>0</v>
      </c>
    </row>
    <row r="11" spans="2:121" x14ac:dyDescent="0.2">
      <c r="B11" t="s">
        <v>97</v>
      </c>
      <c r="C11">
        <v>124</v>
      </c>
      <c r="D11">
        <v>71</v>
      </c>
      <c r="F11" t="s">
        <v>77</v>
      </c>
      <c r="G11">
        <v>15708</v>
      </c>
      <c r="H11">
        <v>323.83613445380001</v>
      </c>
      <c r="I11">
        <v>23825</v>
      </c>
      <c r="J11">
        <v>5262</v>
      </c>
      <c r="K11">
        <v>24630</v>
      </c>
      <c r="L11">
        <v>13205</v>
      </c>
      <c r="M11">
        <v>5066</v>
      </c>
      <c r="N11">
        <v>3999</v>
      </c>
      <c r="O11">
        <v>13396</v>
      </c>
      <c r="P11">
        <v>10006</v>
      </c>
      <c r="Q11">
        <v>7</v>
      </c>
      <c r="R11">
        <v>286</v>
      </c>
      <c r="AH11" t="s">
        <v>413</v>
      </c>
      <c r="AI11">
        <v>406</v>
      </c>
      <c r="AJ11">
        <v>580.59852216750005</v>
      </c>
      <c r="AK11">
        <v>465</v>
      </c>
      <c r="AL11">
        <v>97</v>
      </c>
      <c r="AM11">
        <v>751</v>
      </c>
      <c r="AN11">
        <v>374</v>
      </c>
      <c r="AO11">
        <v>198</v>
      </c>
      <c r="AP11">
        <v>167</v>
      </c>
      <c r="AQ11">
        <v>373</v>
      </c>
      <c r="AR11">
        <v>288</v>
      </c>
      <c r="AS11">
        <v>29</v>
      </c>
      <c r="AT11">
        <v>0</v>
      </c>
      <c r="AV11" t="s">
        <v>388</v>
      </c>
      <c r="AW11">
        <v>198</v>
      </c>
      <c r="AX11">
        <v>70.868686868699996</v>
      </c>
      <c r="AY11">
        <v>317</v>
      </c>
      <c r="AZ11">
        <v>31</v>
      </c>
      <c r="BA11">
        <v>320</v>
      </c>
      <c r="BB11">
        <v>52</v>
      </c>
      <c r="BC11">
        <v>4</v>
      </c>
      <c r="BD11">
        <v>4</v>
      </c>
      <c r="BE11">
        <v>28</v>
      </c>
      <c r="BF11">
        <v>6</v>
      </c>
      <c r="BG11">
        <v>80</v>
      </c>
      <c r="BH11">
        <v>28</v>
      </c>
      <c r="BJ11" t="s">
        <v>608</v>
      </c>
      <c r="BK11" t="s">
        <v>384</v>
      </c>
      <c r="BL11">
        <v>6090</v>
      </c>
      <c r="BM11">
        <v>552</v>
      </c>
      <c r="BN11">
        <v>64.508538587800004</v>
      </c>
      <c r="BO11">
        <v>22125</v>
      </c>
      <c r="BP11">
        <v>233</v>
      </c>
      <c r="BQ11">
        <v>108.78576271190001</v>
      </c>
      <c r="BR11">
        <v>120.1716738197</v>
      </c>
      <c r="BS11">
        <v>2391</v>
      </c>
      <c r="BT11">
        <v>341</v>
      </c>
      <c r="BU11">
        <v>80.3889585947</v>
      </c>
      <c r="BV11">
        <v>29490</v>
      </c>
      <c r="BW11">
        <v>659</v>
      </c>
      <c r="BX11">
        <v>114.7965072906</v>
      </c>
      <c r="BY11">
        <v>95.995447647999995</v>
      </c>
      <c r="CA11" t="s">
        <v>417</v>
      </c>
      <c r="CB11" t="s">
        <v>766</v>
      </c>
      <c r="CC11" t="s">
        <v>996</v>
      </c>
      <c r="CD11">
        <v>730</v>
      </c>
      <c r="CE11">
        <v>59</v>
      </c>
      <c r="CF11">
        <v>61.290410958899997</v>
      </c>
      <c r="CG11">
        <v>3483</v>
      </c>
      <c r="CH11">
        <v>89</v>
      </c>
      <c r="CI11">
        <v>83.422337065700006</v>
      </c>
      <c r="CJ11">
        <v>75.022471910099995</v>
      </c>
      <c r="CL11" t="s">
        <v>417</v>
      </c>
      <c r="CM11" t="s">
        <v>747</v>
      </c>
      <c r="CN11" t="s">
        <v>751</v>
      </c>
      <c r="CO11">
        <v>85</v>
      </c>
      <c r="CP11">
        <v>4</v>
      </c>
      <c r="CQ11">
        <v>57.1647058824</v>
      </c>
      <c r="CR11">
        <v>530</v>
      </c>
      <c r="CS11">
        <v>15</v>
      </c>
      <c r="CT11">
        <v>60.315094339600002</v>
      </c>
      <c r="CU11">
        <v>34.333333333299997</v>
      </c>
      <c r="CW11" t="s">
        <v>417</v>
      </c>
      <c r="CX11" t="s">
        <v>757</v>
      </c>
      <c r="CY11" t="s">
        <v>761</v>
      </c>
      <c r="CZ11">
        <v>13</v>
      </c>
      <c r="DA11">
        <v>1</v>
      </c>
      <c r="DB11">
        <v>36.7692307692</v>
      </c>
      <c r="DC11">
        <v>62</v>
      </c>
      <c r="DD11">
        <v>0</v>
      </c>
      <c r="DE11">
        <v>132.6612903226</v>
      </c>
      <c r="DF11">
        <v>0</v>
      </c>
      <c r="DH11" t="s">
        <v>417</v>
      </c>
      <c r="DI11" t="s">
        <v>737</v>
      </c>
      <c r="DJ11" t="s">
        <v>741</v>
      </c>
      <c r="DK11">
        <v>18</v>
      </c>
      <c r="DL11">
        <v>1</v>
      </c>
      <c r="DM11">
        <v>55.722222222200003</v>
      </c>
      <c r="DN11">
        <v>45</v>
      </c>
      <c r="DO11">
        <v>1</v>
      </c>
      <c r="DP11">
        <v>111.9333333333</v>
      </c>
      <c r="DQ11">
        <v>12</v>
      </c>
    </row>
    <row r="12" spans="2:121" x14ac:dyDescent="0.2">
      <c r="B12" t="s">
        <v>22</v>
      </c>
      <c r="C12">
        <v>211851</v>
      </c>
      <c r="D12">
        <v>40933</v>
      </c>
      <c r="F12" t="s">
        <v>70</v>
      </c>
      <c r="G12">
        <v>2943</v>
      </c>
      <c r="H12">
        <v>239.1114509004</v>
      </c>
      <c r="I12">
        <v>3293</v>
      </c>
      <c r="J12">
        <v>443</v>
      </c>
      <c r="K12">
        <v>6512</v>
      </c>
      <c r="L12">
        <v>2428</v>
      </c>
      <c r="M12">
        <v>1448</v>
      </c>
      <c r="N12">
        <v>743</v>
      </c>
      <c r="O12">
        <v>476</v>
      </c>
      <c r="P12">
        <v>237</v>
      </c>
      <c r="Q12">
        <v>0</v>
      </c>
      <c r="R12">
        <v>2</v>
      </c>
      <c r="T12" t="s">
        <v>647</v>
      </c>
      <c r="U12" t="s">
        <v>306</v>
      </c>
      <c r="V12" t="s">
        <v>133</v>
      </c>
      <c r="W12" t="s">
        <v>214</v>
      </c>
      <c r="X12" t="s">
        <v>215</v>
      </c>
      <c r="Y12" t="s">
        <v>216</v>
      </c>
      <c r="Z12" t="s">
        <v>217</v>
      </c>
      <c r="AA12" t="s">
        <v>218</v>
      </c>
      <c r="AB12" t="s">
        <v>219</v>
      </c>
      <c r="AC12" t="s">
        <v>220</v>
      </c>
      <c r="AD12" t="s">
        <v>221</v>
      </c>
      <c r="AE12" t="s">
        <v>222</v>
      </c>
      <c r="AF12" t="s">
        <v>223</v>
      </c>
      <c r="AH12" t="s">
        <v>424</v>
      </c>
      <c r="AI12">
        <v>18406</v>
      </c>
      <c r="AJ12">
        <v>335.9292621971</v>
      </c>
      <c r="AK12">
        <v>26112</v>
      </c>
      <c r="AL12">
        <v>6005</v>
      </c>
      <c r="AM12">
        <v>31760</v>
      </c>
      <c r="AN12">
        <v>17390</v>
      </c>
      <c r="AO12">
        <v>7974</v>
      </c>
      <c r="AP12">
        <v>6207</v>
      </c>
      <c r="AQ12">
        <v>18920</v>
      </c>
      <c r="AR12">
        <v>13555</v>
      </c>
      <c r="AS12">
        <v>2322</v>
      </c>
      <c r="AT12">
        <v>314</v>
      </c>
      <c r="AV12" t="s">
        <v>425</v>
      </c>
      <c r="AW12">
        <v>248</v>
      </c>
      <c r="AX12">
        <v>64.903225806500004</v>
      </c>
      <c r="AY12">
        <v>413</v>
      </c>
      <c r="AZ12">
        <v>23</v>
      </c>
      <c r="BA12">
        <v>428</v>
      </c>
      <c r="BB12">
        <v>43</v>
      </c>
      <c r="BC12">
        <v>0</v>
      </c>
      <c r="BE12">
        <v>22</v>
      </c>
      <c r="BF12">
        <v>8</v>
      </c>
      <c r="BG12">
        <v>451</v>
      </c>
      <c r="BH12">
        <v>127</v>
      </c>
      <c r="BJ12" t="s">
        <v>550</v>
      </c>
      <c r="BK12" t="s">
        <v>384</v>
      </c>
      <c r="BL12">
        <v>5059</v>
      </c>
      <c r="BM12">
        <v>1017</v>
      </c>
      <c r="BN12">
        <v>88.961850167999998</v>
      </c>
      <c r="BO12">
        <v>15288</v>
      </c>
      <c r="BP12">
        <v>385</v>
      </c>
      <c r="BQ12">
        <v>137.1396520147</v>
      </c>
      <c r="BR12">
        <v>124.9246753247</v>
      </c>
      <c r="BS12">
        <v>741</v>
      </c>
      <c r="BT12">
        <v>253</v>
      </c>
      <c r="BU12">
        <v>111.7408906883</v>
      </c>
      <c r="BV12">
        <v>12163</v>
      </c>
      <c r="BW12">
        <v>378</v>
      </c>
      <c r="BX12">
        <v>139.4761160898</v>
      </c>
      <c r="BY12">
        <v>126.5740740741</v>
      </c>
      <c r="CA12" t="s">
        <v>411</v>
      </c>
      <c r="CB12" t="s">
        <v>766</v>
      </c>
      <c r="CC12" t="s">
        <v>997</v>
      </c>
      <c r="CD12">
        <v>6092</v>
      </c>
      <c r="CE12">
        <v>579</v>
      </c>
      <c r="CF12">
        <v>64.763296126100002</v>
      </c>
      <c r="CG12">
        <v>22366</v>
      </c>
      <c r="CH12">
        <v>243</v>
      </c>
      <c r="CI12">
        <v>96.317222569999998</v>
      </c>
      <c r="CJ12">
        <v>106.3004115226</v>
      </c>
      <c r="CL12" t="s">
        <v>411</v>
      </c>
      <c r="CM12" t="s">
        <v>747</v>
      </c>
      <c r="CN12" t="s">
        <v>752</v>
      </c>
      <c r="CO12">
        <v>473</v>
      </c>
      <c r="CP12">
        <v>40</v>
      </c>
      <c r="CQ12">
        <v>60.065539112099998</v>
      </c>
      <c r="CR12">
        <v>2583</v>
      </c>
      <c r="CS12">
        <v>68</v>
      </c>
      <c r="CT12">
        <v>66.758807588099998</v>
      </c>
      <c r="CU12">
        <v>67.955882352900005</v>
      </c>
      <c r="CW12" t="s">
        <v>411</v>
      </c>
      <c r="CX12" t="s">
        <v>757</v>
      </c>
      <c r="CY12" t="s">
        <v>762</v>
      </c>
      <c r="CZ12">
        <v>85</v>
      </c>
      <c r="DA12">
        <v>8</v>
      </c>
      <c r="DB12">
        <v>55.211764705900002</v>
      </c>
      <c r="DC12">
        <v>301</v>
      </c>
      <c r="DD12">
        <v>5</v>
      </c>
      <c r="DE12">
        <v>123.9734219269</v>
      </c>
      <c r="DF12">
        <v>91.4</v>
      </c>
      <c r="DH12" t="s">
        <v>411</v>
      </c>
      <c r="DI12" t="s">
        <v>737</v>
      </c>
      <c r="DJ12" t="s">
        <v>742</v>
      </c>
      <c r="DK12">
        <v>181</v>
      </c>
      <c r="DL12">
        <v>14</v>
      </c>
      <c r="DM12">
        <v>54.922651933700003</v>
      </c>
      <c r="DN12">
        <v>480</v>
      </c>
      <c r="DO12">
        <v>5</v>
      </c>
      <c r="DP12">
        <v>114.6333333333</v>
      </c>
      <c r="DQ12">
        <v>97.8</v>
      </c>
    </row>
    <row r="13" spans="2:121" x14ac:dyDescent="0.2">
      <c r="B13" t="s">
        <v>113</v>
      </c>
      <c r="C13">
        <v>15458</v>
      </c>
      <c r="D13">
        <v>3036</v>
      </c>
      <c r="F13" t="s">
        <v>45</v>
      </c>
      <c r="G13">
        <v>1083</v>
      </c>
      <c r="H13">
        <v>210.30193905819999</v>
      </c>
      <c r="I13">
        <v>2533</v>
      </c>
      <c r="J13">
        <v>400</v>
      </c>
      <c r="K13">
        <v>2204</v>
      </c>
      <c r="L13">
        <v>646</v>
      </c>
      <c r="M13">
        <v>943</v>
      </c>
      <c r="N13">
        <v>505</v>
      </c>
      <c r="O13">
        <v>206</v>
      </c>
      <c r="P13">
        <v>101</v>
      </c>
      <c r="Q13">
        <v>1</v>
      </c>
      <c r="R13">
        <v>0</v>
      </c>
      <c r="T13" t="s">
        <v>384</v>
      </c>
      <c r="U13">
        <v>38306</v>
      </c>
      <c r="V13">
        <v>333.79731634730001</v>
      </c>
      <c r="W13">
        <v>65244</v>
      </c>
      <c r="X13">
        <v>13331</v>
      </c>
      <c r="Y13">
        <v>78329</v>
      </c>
      <c r="Z13">
        <v>35037</v>
      </c>
      <c r="AA13">
        <v>21462</v>
      </c>
      <c r="AB13">
        <v>15575</v>
      </c>
      <c r="AC13">
        <v>19610</v>
      </c>
      <c r="AD13">
        <v>11991</v>
      </c>
      <c r="AE13">
        <v>56</v>
      </c>
      <c r="AF13">
        <v>1209</v>
      </c>
      <c r="AH13" t="s">
        <v>380</v>
      </c>
      <c r="AI13">
        <v>13279</v>
      </c>
      <c r="AJ13">
        <v>350.67557798029998</v>
      </c>
      <c r="AK13">
        <v>19543</v>
      </c>
      <c r="AL13">
        <v>5160</v>
      </c>
      <c r="AM13">
        <v>23968</v>
      </c>
      <c r="AN13">
        <v>13432</v>
      </c>
      <c r="AO13">
        <v>8731</v>
      </c>
      <c r="AP13">
        <v>7244</v>
      </c>
      <c r="AQ13">
        <v>9847</v>
      </c>
      <c r="AR13">
        <v>7148</v>
      </c>
      <c r="AS13">
        <v>1172</v>
      </c>
      <c r="AT13">
        <v>42</v>
      </c>
      <c r="AV13" t="s">
        <v>394</v>
      </c>
      <c r="AW13">
        <v>522</v>
      </c>
      <c r="AX13">
        <v>59.385057471300001</v>
      </c>
      <c r="AY13">
        <v>1072</v>
      </c>
      <c r="AZ13">
        <v>145</v>
      </c>
      <c r="BA13">
        <v>814</v>
      </c>
      <c r="BB13">
        <v>83</v>
      </c>
      <c r="BC13">
        <v>1</v>
      </c>
      <c r="BD13">
        <v>1</v>
      </c>
      <c r="BE13">
        <v>64</v>
      </c>
      <c r="BF13">
        <v>17</v>
      </c>
      <c r="BG13">
        <v>127</v>
      </c>
      <c r="BH13">
        <v>118</v>
      </c>
      <c r="BJ13" t="s">
        <v>587</v>
      </c>
      <c r="BK13" t="s">
        <v>384</v>
      </c>
      <c r="BL13">
        <v>3320</v>
      </c>
      <c r="BM13">
        <v>445</v>
      </c>
      <c r="BN13">
        <v>77.2256024096</v>
      </c>
      <c r="BO13">
        <v>5978</v>
      </c>
      <c r="BP13">
        <v>190</v>
      </c>
      <c r="BQ13">
        <v>130.93158246909999</v>
      </c>
      <c r="BR13">
        <v>113.3315789474</v>
      </c>
      <c r="BS13">
        <v>1617</v>
      </c>
      <c r="BT13">
        <v>385</v>
      </c>
      <c r="BU13">
        <v>96.478045763799997</v>
      </c>
      <c r="BV13">
        <v>10382</v>
      </c>
      <c r="BW13">
        <v>265</v>
      </c>
      <c r="BX13">
        <v>140.50597187439999</v>
      </c>
      <c r="BY13">
        <v>112.22641509429999</v>
      </c>
      <c r="CA13" t="s">
        <v>409</v>
      </c>
      <c r="CB13" t="s">
        <v>766</v>
      </c>
      <c r="CC13" t="s">
        <v>998</v>
      </c>
      <c r="CD13">
        <v>36477</v>
      </c>
      <c r="CE13">
        <v>7711</v>
      </c>
      <c r="CF13">
        <v>88.235298955499999</v>
      </c>
      <c r="CG13">
        <v>97396</v>
      </c>
      <c r="CH13">
        <v>2525</v>
      </c>
      <c r="CI13">
        <v>129.4350281326</v>
      </c>
      <c r="CJ13">
        <v>125.0768316832</v>
      </c>
      <c r="CL13" t="s">
        <v>409</v>
      </c>
      <c r="CM13" t="s">
        <v>747</v>
      </c>
      <c r="CN13" t="s">
        <v>753</v>
      </c>
      <c r="CO13">
        <v>1888</v>
      </c>
      <c r="CP13">
        <v>154</v>
      </c>
      <c r="CQ13">
        <v>59.7441737288</v>
      </c>
      <c r="CR13">
        <v>10406</v>
      </c>
      <c r="CS13">
        <v>297</v>
      </c>
      <c r="CT13">
        <v>68.183740149900004</v>
      </c>
      <c r="CU13">
        <v>66.949494949499993</v>
      </c>
      <c r="CW13" t="s">
        <v>409</v>
      </c>
      <c r="CX13" t="s">
        <v>757</v>
      </c>
      <c r="CY13" t="s">
        <v>763</v>
      </c>
      <c r="CZ13">
        <v>875</v>
      </c>
      <c r="DA13">
        <v>119</v>
      </c>
      <c r="DB13">
        <v>64.628571428599997</v>
      </c>
      <c r="DC13">
        <v>2703</v>
      </c>
      <c r="DD13">
        <v>53</v>
      </c>
      <c r="DE13">
        <v>130.67591564930001</v>
      </c>
      <c r="DF13">
        <v>112.2641509434</v>
      </c>
      <c r="DH13" t="s">
        <v>409</v>
      </c>
      <c r="DI13" t="s">
        <v>737</v>
      </c>
      <c r="DJ13" t="s">
        <v>743</v>
      </c>
      <c r="DK13">
        <v>1009</v>
      </c>
      <c r="DL13">
        <v>124</v>
      </c>
      <c r="DM13">
        <v>60.9900891972</v>
      </c>
      <c r="DN13">
        <v>2762</v>
      </c>
      <c r="DO13">
        <v>43</v>
      </c>
      <c r="DP13">
        <v>124.7758870384</v>
      </c>
      <c r="DQ13">
        <v>104.3953488372</v>
      </c>
    </row>
    <row r="14" spans="2:121" x14ac:dyDescent="0.2">
      <c r="B14" t="s">
        <v>112</v>
      </c>
      <c r="C14">
        <v>6920</v>
      </c>
      <c r="D14">
        <v>513</v>
      </c>
      <c r="F14" t="s">
        <v>32</v>
      </c>
      <c r="G14">
        <v>2041</v>
      </c>
      <c r="H14">
        <v>512.17785399310003</v>
      </c>
      <c r="I14">
        <v>1037</v>
      </c>
      <c r="J14">
        <v>277</v>
      </c>
      <c r="K14">
        <v>3183</v>
      </c>
      <c r="L14">
        <v>2199</v>
      </c>
      <c r="M14">
        <v>1592</v>
      </c>
      <c r="N14">
        <v>1280</v>
      </c>
      <c r="O14">
        <v>178</v>
      </c>
      <c r="P14">
        <v>139</v>
      </c>
      <c r="Q14">
        <v>0</v>
      </c>
      <c r="R14">
        <v>3</v>
      </c>
      <c r="T14" t="s">
        <v>389</v>
      </c>
      <c r="U14">
        <v>32029</v>
      </c>
      <c r="V14">
        <v>321.4538699304</v>
      </c>
      <c r="W14">
        <v>59765</v>
      </c>
      <c r="X14">
        <v>11605</v>
      </c>
      <c r="Y14">
        <v>73407</v>
      </c>
      <c r="Z14">
        <v>28593</v>
      </c>
      <c r="AA14">
        <v>19188</v>
      </c>
      <c r="AB14">
        <v>14759</v>
      </c>
      <c r="AC14">
        <v>12161</v>
      </c>
      <c r="AD14">
        <v>8435</v>
      </c>
      <c r="AE14">
        <v>8365</v>
      </c>
      <c r="AF14">
        <v>1097</v>
      </c>
      <c r="AH14" t="s">
        <v>427</v>
      </c>
      <c r="AI14">
        <v>996</v>
      </c>
      <c r="AJ14">
        <v>253.2168674699</v>
      </c>
      <c r="AK14">
        <v>2116</v>
      </c>
      <c r="AL14">
        <v>312</v>
      </c>
      <c r="AM14">
        <v>2161</v>
      </c>
      <c r="AN14">
        <v>756</v>
      </c>
      <c r="AO14">
        <v>1075</v>
      </c>
      <c r="AP14">
        <v>611</v>
      </c>
      <c r="AQ14">
        <v>640</v>
      </c>
      <c r="AR14">
        <v>385</v>
      </c>
      <c r="AS14">
        <v>2</v>
      </c>
      <c r="AT14">
        <v>4</v>
      </c>
      <c r="AV14" t="s">
        <v>426</v>
      </c>
      <c r="AW14">
        <v>1648</v>
      </c>
      <c r="AX14">
        <v>122.77791262140001</v>
      </c>
      <c r="AY14">
        <v>674</v>
      </c>
      <c r="AZ14">
        <v>113</v>
      </c>
      <c r="BA14">
        <v>1928</v>
      </c>
      <c r="BB14">
        <v>836</v>
      </c>
      <c r="BC14">
        <v>2</v>
      </c>
      <c r="BD14">
        <v>2</v>
      </c>
      <c r="BE14">
        <v>18</v>
      </c>
      <c r="BF14">
        <v>9</v>
      </c>
      <c r="BG14">
        <v>83</v>
      </c>
      <c r="BH14">
        <v>80</v>
      </c>
      <c r="BJ14" t="s">
        <v>604</v>
      </c>
      <c r="BK14" t="s">
        <v>384</v>
      </c>
      <c r="BL14">
        <v>16494</v>
      </c>
      <c r="BM14">
        <v>3014</v>
      </c>
      <c r="BN14">
        <v>82.884867224399997</v>
      </c>
      <c r="BO14">
        <v>47084</v>
      </c>
      <c r="BP14">
        <v>1215</v>
      </c>
      <c r="BQ14">
        <v>130.2001104409</v>
      </c>
      <c r="BR14">
        <v>124.7522633745</v>
      </c>
      <c r="BS14">
        <v>7124</v>
      </c>
      <c r="BT14">
        <v>1336</v>
      </c>
      <c r="BU14">
        <v>88.368893879799998</v>
      </c>
      <c r="BV14">
        <v>42689</v>
      </c>
      <c r="BW14">
        <v>1050</v>
      </c>
      <c r="BX14">
        <v>132.43446789570001</v>
      </c>
      <c r="BY14">
        <v>134.22095238099999</v>
      </c>
      <c r="CA14" t="s">
        <v>405</v>
      </c>
      <c r="CB14" t="s">
        <v>766</v>
      </c>
      <c r="CC14" t="s">
        <v>999</v>
      </c>
      <c r="CD14">
        <v>1749</v>
      </c>
      <c r="CE14">
        <v>422</v>
      </c>
      <c r="CF14">
        <v>95.528873642099995</v>
      </c>
      <c r="CG14">
        <v>4972</v>
      </c>
      <c r="CH14">
        <v>114</v>
      </c>
      <c r="CI14">
        <v>134.10941271120001</v>
      </c>
      <c r="CJ14">
        <v>134.82456140350001</v>
      </c>
      <c r="CL14" t="s">
        <v>405</v>
      </c>
      <c r="CM14" t="s">
        <v>747</v>
      </c>
      <c r="CN14" t="s">
        <v>754</v>
      </c>
      <c r="CO14">
        <v>159</v>
      </c>
      <c r="CP14">
        <v>15</v>
      </c>
      <c r="CQ14">
        <v>64.723270440299999</v>
      </c>
      <c r="CR14">
        <v>899</v>
      </c>
      <c r="CS14">
        <v>25</v>
      </c>
      <c r="CT14">
        <v>68.595105673000006</v>
      </c>
      <c r="CU14">
        <v>68.760000000000005</v>
      </c>
      <c r="CW14" t="s">
        <v>405</v>
      </c>
      <c r="CX14" t="s">
        <v>757</v>
      </c>
      <c r="CY14" t="s">
        <v>764</v>
      </c>
      <c r="CZ14">
        <v>70</v>
      </c>
      <c r="DA14">
        <v>14</v>
      </c>
      <c r="DB14">
        <v>93.414285714299993</v>
      </c>
      <c r="DC14">
        <v>140</v>
      </c>
      <c r="DD14">
        <v>2</v>
      </c>
      <c r="DE14">
        <v>137.19999999999999</v>
      </c>
      <c r="DF14">
        <v>119.5</v>
      </c>
      <c r="DH14" t="s">
        <v>405</v>
      </c>
      <c r="DI14" t="s">
        <v>737</v>
      </c>
      <c r="DJ14" t="s">
        <v>744</v>
      </c>
      <c r="DK14">
        <v>52</v>
      </c>
      <c r="DL14">
        <v>10</v>
      </c>
      <c r="DM14">
        <v>70.326923076900002</v>
      </c>
      <c r="DN14">
        <v>167</v>
      </c>
      <c r="DO14">
        <v>5</v>
      </c>
      <c r="DP14">
        <v>131.5209580838</v>
      </c>
      <c r="DQ14">
        <v>187.2</v>
      </c>
    </row>
    <row r="15" spans="2:121" x14ac:dyDescent="0.2">
      <c r="B15" t="s">
        <v>157</v>
      </c>
      <c r="C15">
        <v>3865</v>
      </c>
      <c r="D15">
        <v>3643</v>
      </c>
      <c r="F15" t="s">
        <v>63</v>
      </c>
      <c r="G15">
        <v>4194</v>
      </c>
      <c r="H15">
        <v>417.07200762989999</v>
      </c>
      <c r="I15">
        <v>13766</v>
      </c>
      <c r="J15">
        <v>3657</v>
      </c>
      <c r="K15">
        <v>8316</v>
      </c>
      <c r="L15">
        <v>4354</v>
      </c>
      <c r="M15">
        <v>1735</v>
      </c>
      <c r="N15">
        <v>1431</v>
      </c>
      <c r="O15">
        <v>6979</v>
      </c>
      <c r="P15">
        <v>6359</v>
      </c>
      <c r="Q15">
        <v>14386</v>
      </c>
      <c r="R15">
        <v>0</v>
      </c>
      <c r="T15" t="s">
        <v>368</v>
      </c>
      <c r="U15">
        <v>62733</v>
      </c>
      <c r="V15">
        <v>421.9889850637</v>
      </c>
      <c r="W15">
        <v>80146</v>
      </c>
      <c r="X15">
        <v>18063</v>
      </c>
      <c r="Y15">
        <v>109773</v>
      </c>
      <c r="Z15">
        <v>58324</v>
      </c>
      <c r="AA15">
        <v>36818</v>
      </c>
      <c r="AB15">
        <v>29192</v>
      </c>
      <c r="AC15">
        <v>28965</v>
      </c>
      <c r="AD15">
        <v>23713</v>
      </c>
      <c r="AE15">
        <v>14395</v>
      </c>
      <c r="AF15">
        <v>48</v>
      </c>
      <c r="AH15" t="s">
        <v>407</v>
      </c>
      <c r="AI15">
        <v>622</v>
      </c>
      <c r="AJ15">
        <v>206.0418006431</v>
      </c>
      <c r="AK15">
        <v>1851</v>
      </c>
      <c r="AL15">
        <v>477</v>
      </c>
      <c r="AM15">
        <v>1645</v>
      </c>
      <c r="AN15">
        <v>405</v>
      </c>
      <c r="AO15">
        <v>354</v>
      </c>
      <c r="AP15">
        <v>171</v>
      </c>
      <c r="AQ15">
        <v>469</v>
      </c>
      <c r="AR15">
        <v>295</v>
      </c>
      <c r="AS15">
        <v>1</v>
      </c>
      <c r="AT15">
        <v>6</v>
      </c>
      <c r="AV15" t="s">
        <v>399</v>
      </c>
      <c r="AW15">
        <v>68</v>
      </c>
      <c r="AX15">
        <v>55.529411764700001</v>
      </c>
      <c r="AY15">
        <v>88</v>
      </c>
      <c r="AZ15">
        <v>4</v>
      </c>
      <c r="BA15">
        <v>115</v>
      </c>
      <c r="BB15">
        <v>7</v>
      </c>
      <c r="BC15">
        <v>0</v>
      </c>
      <c r="BE15">
        <v>3</v>
      </c>
      <c r="BF15">
        <v>1</v>
      </c>
      <c r="BG15">
        <v>239</v>
      </c>
      <c r="BH15">
        <v>27</v>
      </c>
      <c r="BJ15" t="s">
        <v>566</v>
      </c>
      <c r="BK15" t="s">
        <v>389</v>
      </c>
      <c r="BL15">
        <v>6579</v>
      </c>
      <c r="BM15">
        <v>1694</v>
      </c>
      <c r="BN15">
        <v>100.5965952272</v>
      </c>
      <c r="BO15">
        <v>17681</v>
      </c>
      <c r="BP15">
        <v>438</v>
      </c>
      <c r="BQ15">
        <v>141.82003280359999</v>
      </c>
      <c r="BR15">
        <v>136.7602739726</v>
      </c>
      <c r="BS15">
        <v>1676</v>
      </c>
      <c r="BT15">
        <v>644</v>
      </c>
      <c r="BU15">
        <v>121.3186157518</v>
      </c>
      <c r="BV15">
        <v>12128</v>
      </c>
      <c r="BW15">
        <v>378</v>
      </c>
      <c r="BX15">
        <v>130.097048153</v>
      </c>
      <c r="BY15">
        <v>155.52116402120001</v>
      </c>
      <c r="CA15" t="s">
        <v>420</v>
      </c>
      <c r="CB15" t="s">
        <v>766</v>
      </c>
      <c r="CC15" t="s">
        <v>1000</v>
      </c>
      <c r="CD15">
        <v>758</v>
      </c>
      <c r="CE15">
        <v>77</v>
      </c>
      <c r="CF15">
        <v>67.686015831099994</v>
      </c>
      <c r="CG15">
        <v>2550</v>
      </c>
      <c r="CH15">
        <v>32</v>
      </c>
      <c r="CI15">
        <v>117.75450980390001</v>
      </c>
      <c r="CJ15">
        <v>107.84375</v>
      </c>
      <c r="CL15" t="s">
        <v>420</v>
      </c>
      <c r="CM15" t="s">
        <v>747</v>
      </c>
      <c r="CN15" t="s">
        <v>755</v>
      </c>
      <c r="CO15">
        <v>23</v>
      </c>
      <c r="CP15">
        <v>3</v>
      </c>
      <c r="CQ15">
        <v>66.260869565199997</v>
      </c>
      <c r="CR15">
        <v>169</v>
      </c>
      <c r="CS15">
        <v>6</v>
      </c>
      <c r="CT15">
        <v>60.248520710100003</v>
      </c>
      <c r="CU15">
        <v>65</v>
      </c>
      <c r="CW15" t="s">
        <v>420</v>
      </c>
      <c r="CX15" t="s">
        <v>757</v>
      </c>
      <c r="CY15" t="s">
        <v>765</v>
      </c>
      <c r="CZ15">
        <v>16</v>
      </c>
      <c r="DA15">
        <v>1</v>
      </c>
      <c r="DB15">
        <v>39.4375</v>
      </c>
      <c r="DC15">
        <v>43</v>
      </c>
      <c r="DD15">
        <v>1</v>
      </c>
      <c r="DE15">
        <v>140.13953488370001</v>
      </c>
      <c r="DF15">
        <v>93</v>
      </c>
      <c r="DH15" t="s">
        <v>420</v>
      </c>
      <c r="DI15" t="s">
        <v>737</v>
      </c>
      <c r="DJ15" t="s">
        <v>745</v>
      </c>
      <c r="DK15">
        <v>6</v>
      </c>
      <c r="DL15">
        <v>0</v>
      </c>
      <c r="DM15">
        <v>38.333333333299997</v>
      </c>
      <c r="DN15">
        <v>42</v>
      </c>
      <c r="DO15">
        <v>0</v>
      </c>
      <c r="DP15">
        <v>120.7857142857</v>
      </c>
      <c r="DQ15">
        <v>0</v>
      </c>
    </row>
    <row r="16" spans="2:121" x14ac:dyDescent="0.2">
      <c r="B16" t="s">
        <v>114</v>
      </c>
      <c r="C16">
        <v>6195</v>
      </c>
      <c r="D16">
        <v>371</v>
      </c>
      <c r="F16" t="s">
        <v>51</v>
      </c>
      <c r="G16">
        <v>3191</v>
      </c>
      <c r="H16">
        <v>260.66781573169999</v>
      </c>
      <c r="I16">
        <v>3283</v>
      </c>
      <c r="J16">
        <v>441</v>
      </c>
      <c r="K16">
        <v>7543</v>
      </c>
      <c r="L16">
        <v>3088</v>
      </c>
      <c r="M16">
        <v>3622</v>
      </c>
      <c r="N16">
        <v>2642</v>
      </c>
      <c r="O16">
        <v>1687</v>
      </c>
      <c r="P16">
        <v>1117</v>
      </c>
      <c r="Q16">
        <v>1</v>
      </c>
      <c r="R16">
        <v>98</v>
      </c>
      <c r="T16" t="s">
        <v>8</v>
      </c>
      <c r="U16">
        <v>79</v>
      </c>
      <c r="V16">
        <v>380.88607594939998</v>
      </c>
      <c r="W16">
        <v>85</v>
      </c>
      <c r="X16">
        <v>68</v>
      </c>
      <c r="Y16">
        <v>241</v>
      </c>
      <c r="Z16">
        <v>93</v>
      </c>
      <c r="AA16">
        <v>100</v>
      </c>
      <c r="AB16">
        <v>54</v>
      </c>
      <c r="AC16">
        <v>65414</v>
      </c>
      <c r="AD16">
        <v>39768</v>
      </c>
      <c r="AE16">
        <v>0</v>
      </c>
      <c r="AF16">
        <v>1</v>
      </c>
      <c r="AH16" t="s">
        <v>393</v>
      </c>
      <c r="AI16">
        <v>5198</v>
      </c>
      <c r="AJ16">
        <v>449.36937283570001</v>
      </c>
      <c r="AK16">
        <v>7846</v>
      </c>
      <c r="AL16">
        <v>1860</v>
      </c>
      <c r="AM16">
        <v>9514</v>
      </c>
      <c r="AN16">
        <v>5142</v>
      </c>
      <c r="AO16">
        <v>2281</v>
      </c>
      <c r="AP16">
        <v>2002</v>
      </c>
      <c r="AQ16">
        <v>3300</v>
      </c>
      <c r="AR16">
        <v>2059</v>
      </c>
      <c r="AS16">
        <v>932</v>
      </c>
      <c r="AT16">
        <v>219</v>
      </c>
      <c r="AV16" t="s">
        <v>419</v>
      </c>
      <c r="AW16">
        <v>43</v>
      </c>
      <c r="AX16">
        <v>65.906976744199994</v>
      </c>
      <c r="AY16">
        <v>51</v>
      </c>
      <c r="AZ16">
        <v>1</v>
      </c>
      <c r="BA16">
        <v>68</v>
      </c>
      <c r="BB16">
        <v>5</v>
      </c>
      <c r="BC16">
        <v>1</v>
      </c>
      <c r="BD16">
        <v>1</v>
      </c>
      <c r="BE16">
        <v>2</v>
      </c>
      <c r="BG16">
        <v>117</v>
      </c>
      <c r="BH16">
        <v>8</v>
      </c>
      <c r="BJ16" t="s">
        <v>558</v>
      </c>
      <c r="BK16" t="s">
        <v>389</v>
      </c>
      <c r="BL16">
        <v>7614</v>
      </c>
      <c r="BM16">
        <v>1550</v>
      </c>
      <c r="BN16">
        <v>97.050433412100006</v>
      </c>
      <c r="BO16">
        <v>24010</v>
      </c>
      <c r="BP16">
        <v>533</v>
      </c>
      <c r="BQ16">
        <v>130.45372761350001</v>
      </c>
      <c r="BR16">
        <v>118.8799249531</v>
      </c>
      <c r="BS16">
        <v>3227</v>
      </c>
      <c r="BT16">
        <v>1016</v>
      </c>
      <c r="BU16">
        <v>110.46668732569999</v>
      </c>
      <c r="BV16">
        <v>27118</v>
      </c>
      <c r="BW16">
        <v>649</v>
      </c>
      <c r="BX16">
        <v>135.41300980899999</v>
      </c>
      <c r="BY16">
        <v>113.1309707242</v>
      </c>
      <c r="CA16" t="s">
        <v>384</v>
      </c>
      <c r="CB16" t="s">
        <v>766</v>
      </c>
      <c r="CD16">
        <v>65704</v>
      </c>
      <c r="CE16">
        <v>13174</v>
      </c>
      <c r="CF16">
        <v>87.598411055599996</v>
      </c>
      <c r="CG16">
        <v>187350</v>
      </c>
      <c r="CH16">
        <v>4338</v>
      </c>
      <c r="CI16">
        <v>125.9825940753</v>
      </c>
      <c r="CJ16">
        <v>122.8748271093</v>
      </c>
      <c r="CL16" t="s">
        <v>384</v>
      </c>
      <c r="CM16" t="s">
        <v>747</v>
      </c>
      <c r="CO16">
        <v>4037</v>
      </c>
      <c r="CP16">
        <v>412</v>
      </c>
      <c r="CQ16">
        <v>64.078275947500003</v>
      </c>
      <c r="CR16">
        <v>22398</v>
      </c>
      <c r="CS16">
        <v>616</v>
      </c>
      <c r="CT16">
        <v>68.263371729599996</v>
      </c>
      <c r="CU16">
        <v>71.488636363599994</v>
      </c>
      <c r="CW16" t="s">
        <v>384</v>
      </c>
      <c r="CX16" t="s">
        <v>757</v>
      </c>
      <c r="CZ16">
        <v>1428</v>
      </c>
      <c r="DA16">
        <v>199</v>
      </c>
      <c r="DB16">
        <v>66.128851540599996</v>
      </c>
      <c r="DC16">
        <v>4434</v>
      </c>
      <c r="DD16">
        <v>85</v>
      </c>
      <c r="DE16">
        <v>130.49661705010001</v>
      </c>
      <c r="DF16">
        <v>111.0823529412</v>
      </c>
      <c r="DH16" t="s">
        <v>384</v>
      </c>
      <c r="DI16" t="s">
        <v>737</v>
      </c>
      <c r="DK16">
        <v>1853</v>
      </c>
      <c r="DL16">
        <v>188</v>
      </c>
      <c r="DM16">
        <v>57.109012412299997</v>
      </c>
      <c r="DN16">
        <v>5146</v>
      </c>
      <c r="DO16">
        <v>67</v>
      </c>
      <c r="DP16">
        <v>121.575787019</v>
      </c>
      <c r="DQ16">
        <v>106.9104477612</v>
      </c>
    </row>
    <row r="17" spans="2:121" x14ac:dyDescent="0.2">
      <c r="B17" t="s">
        <v>93</v>
      </c>
      <c r="C17">
        <v>216</v>
      </c>
      <c r="D17">
        <v>142</v>
      </c>
      <c r="F17" t="s">
        <v>73</v>
      </c>
      <c r="G17">
        <v>9281</v>
      </c>
      <c r="H17">
        <v>388.44844305570001</v>
      </c>
      <c r="I17">
        <v>7919</v>
      </c>
      <c r="J17">
        <v>1428</v>
      </c>
      <c r="K17">
        <v>18104</v>
      </c>
      <c r="L17">
        <v>9525</v>
      </c>
      <c r="M17">
        <v>4671</v>
      </c>
      <c r="N17">
        <v>3131</v>
      </c>
      <c r="O17">
        <v>4238</v>
      </c>
      <c r="P17">
        <v>3531</v>
      </c>
      <c r="Q17">
        <v>5</v>
      </c>
      <c r="R17">
        <v>159</v>
      </c>
      <c r="T17" t="s">
        <v>403</v>
      </c>
      <c r="U17">
        <v>42123</v>
      </c>
      <c r="V17">
        <v>388.24580395509997</v>
      </c>
      <c r="W17">
        <v>64913</v>
      </c>
      <c r="X17">
        <v>12982</v>
      </c>
      <c r="Y17">
        <v>85780</v>
      </c>
      <c r="Z17">
        <v>43170</v>
      </c>
      <c r="AA17">
        <v>24704</v>
      </c>
      <c r="AB17">
        <v>18435</v>
      </c>
      <c r="AC17">
        <v>18968</v>
      </c>
      <c r="AD17">
        <v>14666</v>
      </c>
      <c r="AE17">
        <v>467</v>
      </c>
      <c r="AF17">
        <v>768</v>
      </c>
      <c r="AH17" t="s">
        <v>391</v>
      </c>
      <c r="AI17">
        <v>4316</v>
      </c>
      <c r="AJ17">
        <v>618.55676552360001</v>
      </c>
      <c r="AK17">
        <v>5120</v>
      </c>
      <c r="AL17">
        <v>932</v>
      </c>
      <c r="AM17">
        <v>9136</v>
      </c>
      <c r="AN17">
        <v>5102</v>
      </c>
      <c r="AO17">
        <v>2703</v>
      </c>
      <c r="AP17">
        <v>2297</v>
      </c>
      <c r="AQ17">
        <v>3010</v>
      </c>
      <c r="AR17">
        <v>2271</v>
      </c>
      <c r="AS17">
        <v>691</v>
      </c>
      <c r="AT17">
        <v>236</v>
      </c>
      <c r="AV17" t="s">
        <v>371</v>
      </c>
      <c r="AW17">
        <v>91</v>
      </c>
      <c r="AX17">
        <v>90.593406593400005</v>
      </c>
      <c r="AY17">
        <v>132</v>
      </c>
      <c r="AZ17">
        <v>25</v>
      </c>
      <c r="BA17">
        <v>122</v>
      </c>
      <c r="BB17">
        <v>36</v>
      </c>
      <c r="BC17">
        <v>0</v>
      </c>
      <c r="BE17">
        <v>7</v>
      </c>
      <c r="BF17">
        <v>3</v>
      </c>
      <c r="BG17">
        <v>14</v>
      </c>
      <c r="BH17">
        <v>14</v>
      </c>
      <c r="BJ17" t="s">
        <v>575</v>
      </c>
      <c r="BK17" t="s">
        <v>389</v>
      </c>
      <c r="BL17">
        <v>2589</v>
      </c>
      <c r="BM17">
        <v>377</v>
      </c>
      <c r="BN17">
        <v>76.849748937800001</v>
      </c>
      <c r="BO17">
        <v>7386</v>
      </c>
      <c r="BP17">
        <v>130</v>
      </c>
      <c r="BQ17">
        <v>111.7749796913</v>
      </c>
      <c r="BR17">
        <v>110.2923076923</v>
      </c>
      <c r="BS17">
        <v>1196</v>
      </c>
      <c r="BT17">
        <v>344</v>
      </c>
      <c r="BU17">
        <v>99.530100334400004</v>
      </c>
      <c r="BV17">
        <v>9501</v>
      </c>
      <c r="BW17">
        <v>161</v>
      </c>
      <c r="BX17">
        <v>125.57646563519999</v>
      </c>
      <c r="BY17">
        <v>128.86335403730001</v>
      </c>
      <c r="CA17" t="s">
        <v>393</v>
      </c>
      <c r="CB17" t="s">
        <v>806</v>
      </c>
      <c r="CC17" t="s">
        <v>1001</v>
      </c>
      <c r="CD17">
        <v>7547</v>
      </c>
      <c r="CE17">
        <v>1778</v>
      </c>
      <c r="CF17">
        <v>95.242082946899998</v>
      </c>
      <c r="CG17">
        <v>18842</v>
      </c>
      <c r="CH17">
        <v>483</v>
      </c>
      <c r="CI17">
        <v>137.86508863180001</v>
      </c>
      <c r="CJ17">
        <v>134.70600414079999</v>
      </c>
      <c r="CL17" t="s">
        <v>393</v>
      </c>
      <c r="CM17" t="s">
        <v>781</v>
      </c>
      <c r="CN17" t="s">
        <v>780</v>
      </c>
      <c r="CO17">
        <v>608</v>
      </c>
      <c r="CP17">
        <v>80</v>
      </c>
      <c r="CQ17">
        <v>70.695723684200004</v>
      </c>
      <c r="CR17">
        <v>3861</v>
      </c>
      <c r="CS17">
        <v>88</v>
      </c>
      <c r="CT17">
        <v>72.976171976200007</v>
      </c>
      <c r="CU17">
        <v>72.704545454500007</v>
      </c>
      <c r="CW17" t="s">
        <v>393</v>
      </c>
      <c r="CX17" t="s">
        <v>794</v>
      </c>
      <c r="CY17" t="s">
        <v>793</v>
      </c>
      <c r="CZ17">
        <v>175</v>
      </c>
      <c r="DA17">
        <v>30</v>
      </c>
      <c r="DB17">
        <v>74.48</v>
      </c>
      <c r="DC17">
        <v>504</v>
      </c>
      <c r="DD17">
        <v>7</v>
      </c>
      <c r="DE17">
        <v>136.753968254</v>
      </c>
      <c r="DF17">
        <v>117.42857142859999</v>
      </c>
      <c r="DH17" t="s">
        <v>393</v>
      </c>
      <c r="DI17" t="s">
        <v>768</v>
      </c>
      <c r="DJ17" t="s">
        <v>767</v>
      </c>
      <c r="DK17">
        <v>193</v>
      </c>
      <c r="DL17">
        <v>24</v>
      </c>
      <c r="DM17">
        <v>61.880829015499998</v>
      </c>
      <c r="DN17">
        <v>457</v>
      </c>
      <c r="DO17">
        <v>10</v>
      </c>
      <c r="DP17">
        <v>123.7133479212</v>
      </c>
      <c r="DQ17">
        <v>89.5</v>
      </c>
    </row>
    <row r="18" spans="2:121" x14ac:dyDescent="0.2">
      <c r="B18" t="s">
        <v>122</v>
      </c>
      <c r="C18">
        <v>487</v>
      </c>
      <c r="D18">
        <v>20</v>
      </c>
      <c r="F18" t="s">
        <v>65</v>
      </c>
      <c r="G18">
        <v>2949</v>
      </c>
      <c r="H18">
        <v>374.05561207189999</v>
      </c>
      <c r="I18">
        <v>4831</v>
      </c>
      <c r="J18">
        <v>1498</v>
      </c>
      <c r="K18">
        <v>5568</v>
      </c>
      <c r="L18">
        <v>2993</v>
      </c>
      <c r="M18">
        <v>572</v>
      </c>
      <c r="N18">
        <v>458</v>
      </c>
      <c r="O18">
        <v>810</v>
      </c>
      <c r="P18">
        <v>592</v>
      </c>
      <c r="Q18">
        <v>0</v>
      </c>
      <c r="R18">
        <v>1</v>
      </c>
      <c r="T18" t="s">
        <v>379</v>
      </c>
      <c r="U18">
        <v>55056</v>
      </c>
      <c r="V18">
        <v>349.06673205459998</v>
      </c>
      <c r="W18">
        <v>74335</v>
      </c>
      <c r="X18">
        <v>17619</v>
      </c>
      <c r="Y18">
        <v>96023</v>
      </c>
      <c r="Z18">
        <v>51832</v>
      </c>
      <c r="AA18">
        <v>27723</v>
      </c>
      <c r="AB18">
        <v>23205</v>
      </c>
      <c r="AC18">
        <v>26255</v>
      </c>
      <c r="AD18">
        <v>19575</v>
      </c>
      <c r="AE18">
        <v>211</v>
      </c>
      <c r="AF18">
        <v>1392</v>
      </c>
      <c r="AH18" t="s">
        <v>398</v>
      </c>
      <c r="AI18">
        <v>815</v>
      </c>
      <c r="AJ18">
        <v>186.87975460120001</v>
      </c>
      <c r="AK18">
        <v>2761</v>
      </c>
      <c r="AL18">
        <v>401</v>
      </c>
      <c r="AM18">
        <v>2426</v>
      </c>
      <c r="AN18">
        <v>439</v>
      </c>
      <c r="AO18">
        <v>338</v>
      </c>
      <c r="AP18">
        <v>214</v>
      </c>
      <c r="AQ18">
        <v>567</v>
      </c>
      <c r="AR18">
        <v>329</v>
      </c>
      <c r="AS18">
        <v>3</v>
      </c>
      <c r="AT18">
        <v>10</v>
      </c>
      <c r="AV18" t="s">
        <v>398</v>
      </c>
      <c r="AW18">
        <v>178</v>
      </c>
      <c r="AX18">
        <v>58.977528089899998</v>
      </c>
      <c r="AY18">
        <v>282</v>
      </c>
      <c r="AZ18">
        <v>13</v>
      </c>
      <c r="BA18">
        <v>285</v>
      </c>
      <c r="BB18">
        <v>21</v>
      </c>
      <c r="BC18">
        <v>0</v>
      </c>
      <c r="BE18">
        <v>15</v>
      </c>
      <c r="BF18">
        <v>7</v>
      </c>
      <c r="BG18">
        <v>364</v>
      </c>
      <c r="BH18">
        <v>48</v>
      </c>
      <c r="BJ18" t="s">
        <v>568</v>
      </c>
      <c r="BK18" t="s">
        <v>389</v>
      </c>
      <c r="BL18">
        <v>7923</v>
      </c>
      <c r="BM18">
        <v>1773</v>
      </c>
      <c r="BN18">
        <v>94.548908241800007</v>
      </c>
      <c r="BO18">
        <v>19422</v>
      </c>
      <c r="BP18">
        <v>540</v>
      </c>
      <c r="BQ18">
        <v>136.88796210480001</v>
      </c>
      <c r="BR18">
        <v>143.46666666670001</v>
      </c>
      <c r="BS18">
        <v>2022</v>
      </c>
      <c r="BT18">
        <v>667</v>
      </c>
      <c r="BU18">
        <v>111.4381800198</v>
      </c>
      <c r="BV18">
        <v>19948</v>
      </c>
      <c r="BW18">
        <v>533</v>
      </c>
      <c r="BX18">
        <v>135.2276919992</v>
      </c>
      <c r="BY18">
        <v>144.11069418389999</v>
      </c>
      <c r="CA18" t="s">
        <v>391</v>
      </c>
      <c r="CB18" t="s">
        <v>806</v>
      </c>
      <c r="CC18" t="s">
        <v>1002</v>
      </c>
      <c r="CD18">
        <v>5242</v>
      </c>
      <c r="CE18">
        <v>974</v>
      </c>
      <c r="CF18">
        <v>87.494467760399999</v>
      </c>
      <c r="CG18">
        <v>15228</v>
      </c>
      <c r="CH18">
        <v>364</v>
      </c>
      <c r="CI18">
        <v>124.0250197006</v>
      </c>
      <c r="CJ18">
        <v>125.7362637363</v>
      </c>
      <c r="CL18" t="s">
        <v>391</v>
      </c>
      <c r="CM18" t="s">
        <v>781</v>
      </c>
      <c r="CN18" t="s">
        <v>782</v>
      </c>
      <c r="CO18">
        <v>407</v>
      </c>
      <c r="CP18">
        <v>54</v>
      </c>
      <c r="CQ18">
        <v>67.798525798499995</v>
      </c>
      <c r="CR18">
        <v>2282</v>
      </c>
      <c r="CS18">
        <v>57</v>
      </c>
      <c r="CT18">
        <v>72.811568799300005</v>
      </c>
      <c r="CU18">
        <v>58.280701754399999</v>
      </c>
      <c r="CW18" t="s">
        <v>391</v>
      </c>
      <c r="CX18" t="s">
        <v>794</v>
      </c>
      <c r="CY18" t="s">
        <v>795</v>
      </c>
      <c r="CZ18">
        <v>84</v>
      </c>
      <c r="DA18">
        <v>6</v>
      </c>
      <c r="DB18">
        <v>53.6904761905</v>
      </c>
      <c r="DC18">
        <v>251</v>
      </c>
      <c r="DD18">
        <v>3</v>
      </c>
      <c r="DE18">
        <v>136.03585657369999</v>
      </c>
      <c r="DF18">
        <v>224.6666666667</v>
      </c>
      <c r="DH18" t="s">
        <v>391</v>
      </c>
      <c r="DI18" t="s">
        <v>768</v>
      </c>
      <c r="DJ18" t="s">
        <v>769</v>
      </c>
      <c r="DK18">
        <v>46</v>
      </c>
      <c r="DL18">
        <v>6</v>
      </c>
      <c r="DM18">
        <v>68.021739130399993</v>
      </c>
      <c r="DN18">
        <v>217</v>
      </c>
      <c r="DO18">
        <v>4</v>
      </c>
      <c r="DP18">
        <v>134.25806451610001</v>
      </c>
      <c r="DQ18">
        <v>71</v>
      </c>
    </row>
    <row r="19" spans="2:121" x14ac:dyDescent="0.2">
      <c r="B19" t="s">
        <v>89</v>
      </c>
      <c r="C19">
        <v>6</v>
      </c>
      <c r="D19">
        <v>5</v>
      </c>
      <c r="F19" t="s">
        <v>81</v>
      </c>
      <c r="G19">
        <v>1593</v>
      </c>
      <c r="H19">
        <v>209.1839296924</v>
      </c>
      <c r="I19">
        <v>2555</v>
      </c>
      <c r="J19">
        <v>393</v>
      </c>
      <c r="K19">
        <v>3151</v>
      </c>
      <c r="L19">
        <v>1140</v>
      </c>
      <c r="M19">
        <v>1022</v>
      </c>
      <c r="N19">
        <v>508</v>
      </c>
      <c r="O19">
        <v>227</v>
      </c>
      <c r="P19">
        <v>127</v>
      </c>
      <c r="Q19">
        <v>0</v>
      </c>
      <c r="R19">
        <v>8</v>
      </c>
      <c r="T19" t="s">
        <v>460</v>
      </c>
      <c r="U19">
        <v>230326</v>
      </c>
      <c r="V19">
        <v>369.72511570559999</v>
      </c>
      <c r="W19">
        <v>344488</v>
      </c>
      <c r="X19">
        <v>73668</v>
      </c>
      <c r="Y19">
        <v>443553</v>
      </c>
      <c r="Z19">
        <v>217049</v>
      </c>
      <c r="AA19">
        <v>129995</v>
      </c>
      <c r="AB19">
        <v>101220</v>
      </c>
      <c r="AC19">
        <v>171373</v>
      </c>
      <c r="AD19">
        <v>118148</v>
      </c>
      <c r="AE19">
        <v>23494</v>
      </c>
      <c r="AF19">
        <v>4515</v>
      </c>
      <c r="AH19" t="s">
        <v>421</v>
      </c>
      <c r="AI19">
        <v>1664</v>
      </c>
      <c r="AJ19">
        <v>227.2103365385</v>
      </c>
      <c r="AK19">
        <v>2382</v>
      </c>
      <c r="AL19">
        <v>385</v>
      </c>
      <c r="AM19">
        <v>3358</v>
      </c>
      <c r="AN19">
        <v>1277</v>
      </c>
      <c r="AO19">
        <v>1079</v>
      </c>
      <c r="AP19">
        <v>579</v>
      </c>
      <c r="AQ19">
        <v>848</v>
      </c>
      <c r="AR19">
        <v>517</v>
      </c>
      <c r="AS19">
        <v>4</v>
      </c>
      <c r="AT19">
        <v>15</v>
      </c>
      <c r="AV19" t="s">
        <v>387</v>
      </c>
      <c r="AW19">
        <v>554</v>
      </c>
      <c r="AX19">
        <v>62.832129963900002</v>
      </c>
      <c r="AY19">
        <v>806</v>
      </c>
      <c r="AZ19">
        <v>88</v>
      </c>
      <c r="BA19">
        <v>838</v>
      </c>
      <c r="BB19">
        <v>79</v>
      </c>
      <c r="BC19">
        <v>3</v>
      </c>
      <c r="BD19">
        <v>3</v>
      </c>
      <c r="BE19">
        <v>44</v>
      </c>
      <c r="BF19">
        <v>11</v>
      </c>
      <c r="BG19">
        <v>137</v>
      </c>
      <c r="BH19">
        <v>110</v>
      </c>
      <c r="BJ19" t="s">
        <v>632</v>
      </c>
      <c r="BK19" t="s">
        <v>389</v>
      </c>
      <c r="BL19">
        <v>1151</v>
      </c>
      <c r="BM19">
        <v>134</v>
      </c>
      <c r="BN19">
        <v>67.209383145100006</v>
      </c>
      <c r="BO19">
        <v>2948</v>
      </c>
      <c r="BP19">
        <v>58</v>
      </c>
      <c r="BQ19">
        <v>100.0186567164</v>
      </c>
      <c r="BR19">
        <v>113.7413793103</v>
      </c>
      <c r="BS19">
        <v>550</v>
      </c>
      <c r="BT19">
        <v>203</v>
      </c>
      <c r="BU19">
        <v>103.4145454545</v>
      </c>
      <c r="BV19">
        <v>4170</v>
      </c>
      <c r="BW19">
        <v>88</v>
      </c>
      <c r="BX19">
        <v>123.0081534772</v>
      </c>
      <c r="BY19">
        <v>132.63636363640001</v>
      </c>
      <c r="CA19" t="s">
        <v>398</v>
      </c>
      <c r="CB19" t="s">
        <v>806</v>
      </c>
      <c r="CC19" t="s">
        <v>1003</v>
      </c>
      <c r="CD19">
        <v>2677</v>
      </c>
      <c r="CE19">
        <v>391</v>
      </c>
      <c r="CF19">
        <v>76.971983563699993</v>
      </c>
      <c r="CG19">
        <v>7695</v>
      </c>
      <c r="CH19">
        <v>137</v>
      </c>
      <c r="CI19">
        <v>110.3834957765</v>
      </c>
      <c r="CJ19">
        <v>106.27007299269999</v>
      </c>
      <c r="CL19" t="s">
        <v>398</v>
      </c>
      <c r="CM19" t="s">
        <v>781</v>
      </c>
      <c r="CN19" t="s">
        <v>783</v>
      </c>
      <c r="CO19">
        <v>273</v>
      </c>
      <c r="CP19">
        <v>17</v>
      </c>
      <c r="CQ19">
        <v>59.274725274700003</v>
      </c>
      <c r="CR19">
        <v>1444</v>
      </c>
      <c r="CS19">
        <v>43</v>
      </c>
      <c r="CT19">
        <v>66.3573407202</v>
      </c>
      <c r="CU19">
        <v>71.465116279100002</v>
      </c>
      <c r="CW19" t="s">
        <v>398</v>
      </c>
      <c r="CX19" t="s">
        <v>794</v>
      </c>
      <c r="CY19" t="s">
        <v>796</v>
      </c>
      <c r="CZ19">
        <v>42</v>
      </c>
      <c r="DA19">
        <v>3</v>
      </c>
      <c r="DB19">
        <v>49.619047619</v>
      </c>
      <c r="DC19">
        <v>121</v>
      </c>
      <c r="DD19">
        <v>1</v>
      </c>
      <c r="DE19">
        <v>135.57024793389999</v>
      </c>
      <c r="DF19">
        <v>75</v>
      </c>
      <c r="DH19" t="s">
        <v>398</v>
      </c>
      <c r="DI19" t="s">
        <v>768</v>
      </c>
      <c r="DJ19" t="s">
        <v>770</v>
      </c>
      <c r="DK19">
        <v>37</v>
      </c>
      <c r="DL19">
        <v>4</v>
      </c>
      <c r="DM19">
        <v>58.675675675699999</v>
      </c>
      <c r="DN19">
        <v>83</v>
      </c>
      <c r="DO19">
        <v>2</v>
      </c>
      <c r="DP19">
        <v>131.50602409640001</v>
      </c>
      <c r="DQ19">
        <v>161.5</v>
      </c>
    </row>
    <row r="20" spans="2:121" x14ac:dyDescent="0.2">
      <c r="B20" t="s">
        <v>127</v>
      </c>
      <c r="C20">
        <v>66511</v>
      </c>
      <c r="D20">
        <v>56315</v>
      </c>
      <c r="F20" t="s">
        <v>78</v>
      </c>
      <c r="G20">
        <v>1265</v>
      </c>
      <c r="H20">
        <v>278.32411067189997</v>
      </c>
      <c r="I20">
        <v>1434</v>
      </c>
      <c r="J20">
        <v>167</v>
      </c>
      <c r="K20">
        <v>2431</v>
      </c>
      <c r="L20">
        <v>1030</v>
      </c>
      <c r="M20">
        <v>858</v>
      </c>
      <c r="N20">
        <v>666</v>
      </c>
      <c r="O20">
        <v>228</v>
      </c>
      <c r="P20">
        <v>152</v>
      </c>
      <c r="Q20">
        <v>1</v>
      </c>
      <c r="R20">
        <v>0</v>
      </c>
      <c r="AH20" t="s">
        <v>392</v>
      </c>
      <c r="AI20">
        <v>4951</v>
      </c>
      <c r="AJ20">
        <v>523.87093516460004</v>
      </c>
      <c r="AK20">
        <v>3839</v>
      </c>
      <c r="AL20">
        <v>580</v>
      </c>
      <c r="AM20">
        <v>8317</v>
      </c>
      <c r="AN20">
        <v>5327</v>
      </c>
      <c r="AO20">
        <v>2255</v>
      </c>
      <c r="AP20">
        <v>1942</v>
      </c>
      <c r="AQ20">
        <v>2178</v>
      </c>
      <c r="AR20">
        <v>1598</v>
      </c>
      <c r="AS20">
        <v>657</v>
      </c>
      <c r="AT20">
        <v>158</v>
      </c>
      <c r="AV20" t="s">
        <v>422</v>
      </c>
      <c r="AW20">
        <v>57</v>
      </c>
      <c r="AX20">
        <v>109.6140350877</v>
      </c>
      <c r="AY20">
        <v>78</v>
      </c>
      <c r="AZ20">
        <v>12</v>
      </c>
      <c r="BA20">
        <v>87</v>
      </c>
      <c r="BB20">
        <v>24</v>
      </c>
      <c r="BC20">
        <v>2</v>
      </c>
      <c r="BD20">
        <v>2</v>
      </c>
      <c r="BE20">
        <v>6</v>
      </c>
      <c r="BF20">
        <v>1</v>
      </c>
      <c r="BG20">
        <v>13</v>
      </c>
      <c r="BH20">
        <v>10</v>
      </c>
      <c r="BJ20" t="s">
        <v>560</v>
      </c>
      <c r="BK20" t="s">
        <v>389</v>
      </c>
      <c r="BL20">
        <v>5090</v>
      </c>
      <c r="BM20">
        <v>960</v>
      </c>
      <c r="BN20">
        <v>88.158742632599996</v>
      </c>
      <c r="BO20">
        <v>14560</v>
      </c>
      <c r="BP20">
        <v>354</v>
      </c>
      <c r="BQ20">
        <v>127.3565934066</v>
      </c>
      <c r="BR20">
        <v>128.72033898309999</v>
      </c>
      <c r="BS20">
        <v>1595</v>
      </c>
      <c r="BT20">
        <v>509</v>
      </c>
      <c r="BU20">
        <v>106.3015673981</v>
      </c>
      <c r="BV20">
        <v>16049</v>
      </c>
      <c r="BW20">
        <v>383</v>
      </c>
      <c r="BX20">
        <v>128.51810081630001</v>
      </c>
      <c r="BY20">
        <v>137.3002610966</v>
      </c>
      <c r="CA20" t="s">
        <v>421</v>
      </c>
      <c r="CB20" t="s">
        <v>806</v>
      </c>
      <c r="CC20" t="s">
        <v>1004</v>
      </c>
      <c r="CD20">
        <v>2325</v>
      </c>
      <c r="CE20">
        <v>367</v>
      </c>
      <c r="CF20">
        <v>77.018924731200002</v>
      </c>
      <c r="CG20">
        <v>8016</v>
      </c>
      <c r="CH20">
        <v>206</v>
      </c>
      <c r="CI20">
        <v>112.1357285429</v>
      </c>
      <c r="CJ20">
        <v>116.067961165</v>
      </c>
      <c r="CL20" t="s">
        <v>421</v>
      </c>
      <c r="CM20" t="s">
        <v>781</v>
      </c>
      <c r="CN20" t="s">
        <v>784</v>
      </c>
      <c r="CO20">
        <v>217</v>
      </c>
      <c r="CP20">
        <v>20</v>
      </c>
      <c r="CQ20">
        <v>56.8755760369</v>
      </c>
      <c r="CR20">
        <v>1290</v>
      </c>
      <c r="CS20">
        <v>34</v>
      </c>
      <c r="CT20">
        <v>68.469767441900004</v>
      </c>
      <c r="CU20">
        <v>65.264705882399994</v>
      </c>
      <c r="CW20" t="s">
        <v>421</v>
      </c>
      <c r="CX20" t="s">
        <v>794</v>
      </c>
      <c r="CY20" t="s">
        <v>797</v>
      </c>
      <c r="CZ20">
        <v>57</v>
      </c>
      <c r="DA20">
        <v>3</v>
      </c>
      <c r="DB20">
        <v>43.894736842100002</v>
      </c>
      <c r="DC20">
        <v>221</v>
      </c>
      <c r="DD20">
        <v>4</v>
      </c>
      <c r="DE20">
        <v>116.23981900450001</v>
      </c>
      <c r="DF20">
        <v>64.25</v>
      </c>
      <c r="DH20" t="s">
        <v>421</v>
      </c>
      <c r="DI20" t="s">
        <v>768</v>
      </c>
      <c r="DJ20" t="s">
        <v>771</v>
      </c>
      <c r="DK20">
        <v>113</v>
      </c>
      <c r="DL20">
        <v>6</v>
      </c>
      <c r="DM20">
        <v>46.699115044199999</v>
      </c>
      <c r="DN20">
        <v>346</v>
      </c>
      <c r="DO20">
        <v>2</v>
      </c>
      <c r="DP20">
        <v>118.6242774566</v>
      </c>
      <c r="DQ20">
        <v>20.5</v>
      </c>
    </row>
    <row r="21" spans="2:121" x14ac:dyDescent="0.2">
      <c r="B21" t="s">
        <v>126</v>
      </c>
      <c r="C21">
        <v>10497</v>
      </c>
      <c r="D21">
        <v>6869</v>
      </c>
      <c r="F21" t="s">
        <v>181</v>
      </c>
      <c r="G21">
        <v>330</v>
      </c>
      <c r="H21">
        <v>168.896969697</v>
      </c>
      <c r="I21">
        <v>643</v>
      </c>
      <c r="J21">
        <v>52</v>
      </c>
      <c r="K21">
        <v>1175</v>
      </c>
      <c r="L21">
        <v>106</v>
      </c>
      <c r="M21">
        <v>373</v>
      </c>
      <c r="N21">
        <v>202</v>
      </c>
      <c r="O21">
        <v>225</v>
      </c>
      <c r="P21">
        <v>120</v>
      </c>
      <c r="Q21">
        <v>0</v>
      </c>
      <c r="R21">
        <v>3</v>
      </c>
      <c r="AH21" t="s">
        <v>386</v>
      </c>
      <c r="AI21">
        <v>3895</v>
      </c>
      <c r="AJ21">
        <v>407.34916559689998</v>
      </c>
      <c r="AK21">
        <v>5533</v>
      </c>
      <c r="AL21">
        <v>1083</v>
      </c>
      <c r="AM21">
        <v>7524</v>
      </c>
      <c r="AN21">
        <v>3578</v>
      </c>
      <c r="AO21">
        <v>1684</v>
      </c>
      <c r="AP21">
        <v>1191</v>
      </c>
      <c r="AQ21">
        <v>3104</v>
      </c>
      <c r="AR21">
        <v>2060</v>
      </c>
      <c r="AS21">
        <v>346</v>
      </c>
      <c r="AT21">
        <v>273</v>
      </c>
      <c r="AV21" t="s">
        <v>427</v>
      </c>
      <c r="AW21">
        <v>22</v>
      </c>
      <c r="AX21">
        <v>63.4545454545</v>
      </c>
      <c r="AY21">
        <v>19</v>
      </c>
      <c r="AZ21">
        <v>2</v>
      </c>
      <c r="BA21">
        <v>48</v>
      </c>
      <c r="BB21">
        <v>5</v>
      </c>
      <c r="BC21">
        <v>1</v>
      </c>
      <c r="BD21">
        <v>1</v>
      </c>
      <c r="BE21">
        <v>2</v>
      </c>
      <c r="BF21">
        <v>2</v>
      </c>
      <c r="BG21">
        <v>84</v>
      </c>
      <c r="BH21">
        <v>13</v>
      </c>
      <c r="BJ21" t="s">
        <v>577</v>
      </c>
      <c r="BK21" t="s">
        <v>389</v>
      </c>
      <c r="BL21">
        <v>1780</v>
      </c>
      <c r="BM21">
        <v>220</v>
      </c>
      <c r="BN21">
        <v>70.789325842699995</v>
      </c>
      <c r="BO21">
        <v>6215</v>
      </c>
      <c r="BP21">
        <v>156</v>
      </c>
      <c r="BQ21">
        <v>115.4181818182</v>
      </c>
      <c r="BR21">
        <v>108.9871794872</v>
      </c>
      <c r="BS21">
        <v>1502</v>
      </c>
      <c r="BT21">
        <v>270</v>
      </c>
      <c r="BU21">
        <v>81.542609853499997</v>
      </c>
      <c r="BV21">
        <v>15161</v>
      </c>
      <c r="BW21">
        <v>404</v>
      </c>
      <c r="BX21">
        <v>137.05751599499999</v>
      </c>
      <c r="BY21">
        <v>107.0841584158</v>
      </c>
      <c r="CA21" t="s">
        <v>394</v>
      </c>
      <c r="CB21" t="s">
        <v>806</v>
      </c>
      <c r="CC21" t="s">
        <v>1005</v>
      </c>
      <c r="CD21">
        <v>8057</v>
      </c>
      <c r="CE21">
        <v>1800</v>
      </c>
      <c r="CF21">
        <v>94.572793843900001</v>
      </c>
      <c r="CG21">
        <v>20099</v>
      </c>
      <c r="CH21">
        <v>557</v>
      </c>
      <c r="CI21">
        <v>134.8015821683</v>
      </c>
      <c r="CJ21">
        <v>141.40394973069999</v>
      </c>
      <c r="CL21" t="s">
        <v>394</v>
      </c>
      <c r="CM21" t="s">
        <v>781</v>
      </c>
      <c r="CN21" t="s">
        <v>785</v>
      </c>
      <c r="CO21">
        <v>735</v>
      </c>
      <c r="CP21">
        <v>110</v>
      </c>
      <c r="CQ21">
        <v>73.034013605400006</v>
      </c>
      <c r="CR21">
        <v>4353</v>
      </c>
      <c r="CS21">
        <v>107</v>
      </c>
      <c r="CT21">
        <v>72.226969905800004</v>
      </c>
      <c r="CU21">
        <v>76.7570093458</v>
      </c>
      <c r="CW21" t="s">
        <v>394</v>
      </c>
      <c r="CX21" t="s">
        <v>794</v>
      </c>
      <c r="CY21" t="s">
        <v>798</v>
      </c>
      <c r="CZ21">
        <v>103</v>
      </c>
      <c r="DA21">
        <v>12</v>
      </c>
      <c r="DB21">
        <v>64.650485436899999</v>
      </c>
      <c r="DC21">
        <v>382</v>
      </c>
      <c r="DD21">
        <v>7</v>
      </c>
      <c r="DE21">
        <v>140.1047120419</v>
      </c>
      <c r="DF21">
        <v>118.2857142857</v>
      </c>
      <c r="DH21" t="s">
        <v>394</v>
      </c>
      <c r="DI21" t="s">
        <v>768</v>
      </c>
      <c r="DJ21" t="s">
        <v>772</v>
      </c>
      <c r="DK21">
        <v>130</v>
      </c>
      <c r="DL21">
        <v>34</v>
      </c>
      <c r="DM21">
        <v>87.938461538499993</v>
      </c>
      <c r="DN21">
        <v>313</v>
      </c>
      <c r="DO21">
        <v>8</v>
      </c>
      <c r="DP21">
        <v>123.02555910540001</v>
      </c>
      <c r="DQ21">
        <v>132.375</v>
      </c>
    </row>
    <row r="22" spans="2:121" x14ac:dyDescent="0.2">
      <c r="B22" t="s">
        <v>98</v>
      </c>
      <c r="C22">
        <v>95966</v>
      </c>
      <c r="D22">
        <v>72127</v>
      </c>
      <c r="F22" t="s">
        <v>76</v>
      </c>
      <c r="G22">
        <v>3412</v>
      </c>
      <c r="H22">
        <v>166.4202813599</v>
      </c>
      <c r="I22">
        <v>11344</v>
      </c>
      <c r="J22">
        <v>1947</v>
      </c>
      <c r="K22">
        <v>13272</v>
      </c>
      <c r="L22">
        <v>3251</v>
      </c>
      <c r="M22">
        <v>5155</v>
      </c>
      <c r="N22">
        <v>3724</v>
      </c>
      <c r="O22">
        <v>1083</v>
      </c>
      <c r="P22">
        <v>681</v>
      </c>
      <c r="Q22">
        <v>37</v>
      </c>
      <c r="R22">
        <v>0</v>
      </c>
      <c r="AH22" t="s">
        <v>415</v>
      </c>
      <c r="AI22">
        <v>1074</v>
      </c>
      <c r="AJ22">
        <v>307.80540037240002</v>
      </c>
      <c r="AK22">
        <v>1254</v>
      </c>
      <c r="AL22">
        <v>171</v>
      </c>
      <c r="AM22">
        <v>2048</v>
      </c>
      <c r="AN22">
        <v>872</v>
      </c>
      <c r="AO22">
        <v>841</v>
      </c>
      <c r="AP22">
        <v>666</v>
      </c>
      <c r="AQ22">
        <v>464</v>
      </c>
      <c r="AR22">
        <v>296</v>
      </c>
      <c r="AS22">
        <v>402</v>
      </c>
      <c r="AT22">
        <v>2</v>
      </c>
      <c r="AV22" t="s">
        <v>408</v>
      </c>
      <c r="AW22">
        <v>160</v>
      </c>
      <c r="AX22">
        <v>63.143749999999997</v>
      </c>
      <c r="AY22">
        <v>229</v>
      </c>
      <c r="AZ22">
        <v>10</v>
      </c>
      <c r="BA22">
        <v>285</v>
      </c>
      <c r="BB22">
        <v>37</v>
      </c>
      <c r="BC22">
        <v>1</v>
      </c>
      <c r="BD22">
        <v>1</v>
      </c>
      <c r="BE22">
        <v>18</v>
      </c>
      <c r="BF22">
        <v>6</v>
      </c>
      <c r="BG22">
        <v>372</v>
      </c>
      <c r="BH22">
        <v>85</v>
      </c>
      <c r="BJ22" t="s">
        <v>389</v>
      </c>
      <c r="BK22" t="s">
        <v>389</v>
      </c>
      <c r="BL22">
        <v>56277</v>
      </c>
      <c r="BM22">
        <v>11012</v>
      </c>
      <c r="BN22">
        <v>87.953231337800005</v>
      </c>
      <c r="BO22">
        <v>152629</v>
      </c>
      <c r="BP22">
        <v>3656</v>
      </c>
      <c r="BQ22">
        <v>124.9551788979</v>
      </c>
      <c r="BR22">
        <v>125.91493435450001</v>
      </c>
      <c r="BS22">
        <v>19601</v>
      </c>
      <c r="BT22">
        <v>5967</v>
      </c>
      <c r="BU22">
        <v>104.080404061</v>
      </c>
      <c r="BV22">
        <v>173666</v>
      </c>
      <c r="BW22">
        <v>4186</v>
      </c>
      <c r="BX22">
        <v>129.66876648280001</v>
      </c>
      <c r="BY22">
        <v>130.22646918300001</v>
      </c>
      <c r="CA22" t="s">
        <v>400</v>
      </c>
      <c r="CB22" t="s">
        <v>806</v>
      </c>
      <c r="CC22" t="s">
        <v>1006</v>
      </c>
      <c r="CD22">
        <v>5401</v>
      </c>
      <c r="CE22">
        <v>732</v>
      </c>
      <c r="CF22">
        <v>75.189964821299995</v>
      </c>
      <c r="CG22">
        <v>16321</v>
      </c>
      <c r="CH22">
        <v>384</v>
      </c>
      <c r="CI22">
        <v>107.5030941732</v>
      </c>
      <c r="CJ22">
        <v>107.9010416667</v>
      </c>
      <c r="CL22" t="s">
        <v>400</v>
      </c>
      <c r="CM22" t="s">
        <v>781</v>
      </c>
      <c r="CN22" t="s">
        <v>786</v>
      </c>
      <c r="CO22">
        <v>265</v>
      </c>
      <c r="CP22">
        <v>17</v>
      </c>
      <c r="CQ22">
        <v>60.479245282999997</v>
      </c>
      <c r="CR22">
        <v>1811</v>
      </c>
      <c r="CS22">
        <v>49</v>
      </c>
      <c r="CT22">
        <v>63.033130866900002</v>
      </c>
      <c r="CU22">
        <v>66.142857142899999</v>
      </c>
      <c r="CW22" t="s">
        <v>400</v>
      </c>
      <c r="CX22" t="s">
        <v>794</v>
      </c>
      <c r="CY22" t="s">
        <v>799</v>
      </c>
      <c r="CZ22">
        <v>55</v>
      </c>
      <c r="DA22">
        <v>3</v>
      </c>
      <c r="DB22">
        <v>47.163636363599998</v>
      </c>
      <c r="DC22">
        <v>182</v>
      </c>
      <c r="DD22">
        <v>4</v>
      </c>
      <c r="DE22">
        <v>122.1813186813</v>
      </c>
      <c r="DF22">
        <v>95.25</v>
      </c>
      <c r="DH22" t="s">
        <v>400</v>
      </c>
      <c r="DI22" t="s">
        <v>768</v>
      </c>
      <c r="DJ22" t="s">
        <v>773</v>
      </c>
      <c r="DK22">
        <v>32</v>
      </c>
      <c r="DL22">
        <v>2</v>
      </c>
      <c r="DM22">
        <v>60.3125</v>
      </c>
      <c r="DN22">
        <v>101</v>
      </c>
      <c r="DO22">
        <v>0</v>
      </c>
      <c r="DP22">
        <v>128.94059405940001</v>
      </c>
      <c r="DQ22">
        <v>0</v>
      </c>
    </row>
    <row r="23" spans="2:121" x14ac:dyDescent="0.2">
      <c r="B23" t="s">
        <v>107</v>
      </c>
      <c r="C23">
        <v>63389</v>
      </c>
      <c r="D23">
        <v>48543</v>
      </c>
      <c r="F23" t="s">
        <v>48</v>
      </c>
      <c r="G23">
        <v>5320</v>
      </c>
      <c r="H23">
        <v>537.88872180450005</v>
      </c>
      <c r="I23">
        <v>4692</v>
      </c>
      <c r="J23">
        <v>856</v>
      </c>
      <c r="K23">
        <v>10601</v>
      </c>
      <c r="L23">
        <v>6508</v>
      </c>
      <c r="M23">
        <v>2231</v>
      </c>
      <c r="N23">
        <v>1628</v>
      </c>
      <c r="O23">
        <v>2527</v>
      </c>
      <c r="P23">
        <v>1931</v>
      </c>
      <c r="Q23">
        <v>1</v>
      </c>
      <c r="R23">
        <v>238</v>
      </c>
      <c r="AH23" t="s">
        <v>375</v>
      </c>
      <c r="AI23">
        <v>7916</v>
      </c>
      <c r="AJ23">
        <v>634.98155634160003</v>
      </c>
      <c r="AK23">
        <v>6425</v>
      </c>
      <c r="AL23">
        <v>1453</v>
      </c>
      <c r="AM23">
        <v>12262</v>
      </c>
      <c r="AN23">
        <v>7588</v>
      </c>
      <c r="AO23">
        <v>4288</v>
      </c>
      <c r="AP23">
        <v>3704</v>
      </c>
      <c r="AQ23">
        <v>3275</v>
      </c>
      <c r="AR23">
        <v>2334</v>
      </c>
      <c r="AS23">
        <v>524</v>
      </c>
      <c r="AT23">
        <v>6</v>
      </c>
      <c r="AV23" t="s">
        <v>382</v>
      </c>
      <c r="AW23">
        <v>945</v>
      </c>
      <c r="AX23">
        <v>110.9481481481</v>
      </c>
      <c r="AY23">
        <v>939</v>
      </c>
      <c r="AZ23">
        <v>160</v>
      </c>
      <c r="BA23">
        <v>1177</v>
      </c>
      <c r="BB23">
        <v>435</v>
      </c>
      <c r="BC23">
        <v>0</v>
      </c>
      <c r="BE23">
        <v>44</v>
      </c>
      <c r="BF23">
        <v>9</v>
      </c>
      <c r="BG23">
        <v>157</v>
      </c>
      <c r="BH23">
        <v>231</v>
      </c>
      <c r="BJ23" t="s">
        <v>570</v>
      </c>
      <c r="BK23" t="s">
        <v>389</v>
      </c>
      <c r="BL23">
        <v>4740</v>
      </c>
      <c r="BM23">
        <v>686</v>
      </c>
      <c r="BN23">
        <v>76.4544303797</v>
      </c>
      <c r="BO23">
        <v>12591</v>
      </c>
      <c r="BP23">
        <v>285</v>
      </c>
      <c r="BQ23">
        <v>113.9360654436</v>
      </c>
      <c r="BR23">
        <v>115.7684210526</v>
      </c>
      <c r="BS23">
        <v>1408</v>
      </c>
      <c r="BT23">
        <v>396</v>
      </c>
      <c r="BU23">
        <v>95.4921875</v>
      </c>
      <c r="BV23">
        <v>14132</v>
      </c>
      <c r="BW23">
        <v>243</v>
      </c>
      <c r="BX23">
        <v>126.845881687</v>
      </c>
      <c r="BY23">
        <v>134.1069958848</v>
      </c>
      <c r="CA23" t="s">
        <v>396</v>
      </c>
      <c r="CB23" t="s">
        <v>806</v>
      </c>
      <c r="CC23" t="s">
        <v>1007</v>
      </c>
      <c r="CD23">
        <v>6350</v>
      </c>
      <c r="CE23">
        <v>1431</v>
      </c>
      <c r="CF23">
        <v>91.372283464600002</v>
      </c>
      <c r="CG23">
        <v>17671</v>
      </c>
      <c r="CH23">
        <v>413</v>
      </c>
      <c r="CI23">
        <v>117.8477165978</v>
      </c>
      <c r="CJ23">
        <v>123.57384987890001</v>
      </c>
      <c r="CL23" t="s">
        <v>396</v>
      </c>
      <c r="CM23" t="s">
        <v>781</v>
      </c>
      <c r="CN23" t="s">
        <v>787</v>
      </c>
      <c r="CO23">
        <v>551</v>
      </c>
      <c r="CP23">
        <v>82</v>
      </c>
      <c r="CQ23">
        <v>72.885662431900002</v>
      </c>
      <c r="CR23">
        <v>3046</v>
      </c>
      <c r="CS23">
        <v>75</v>
      </c>
      <c r="CT23">
        <v>70.267564018399995</v>
      </c>
      <c r="CU23">
        <v>66.973333333300005</v>
      </c>
      <c r="CW23" t="s">
        <v>396</v>
      </c>
      <c r="CX23" t="s">
        <v>794</v>
      </c>
      <c r="CY23" t="s">
        <v>800</v>
      </c>
      <c r="CZ23">
        <v>101</v>
      </c>
      <c r="DA23">
        <v>8</v>
      </c>
      <c r="DB23">
        <v>54.623762376199998</v>
      </c>
      <c r="DC23">
        <v>428</v>
      </c>
      <c r="DD23">
        <v>8</v>
      </c>
      <c r="DE23">
        <v>122.96962616819999</v>
      </c>
      <c r="DF23">
        <v>98</v>
      </c>
      <c r="DH23" t="s">
        <v>396</v>
      </c>
      <c r="DI23" t="s">
        <v>768</v>
      </c>
      <c r="DJ23" t="s">
        <v>774</v>
      </c>
      <c r="DK23">
        <v>145</v>
      </c>
      <c r="DL23">
        <v>8</v>
      </c>
      <c r="DM23">
        <v>49.993103448299998</v>
      </c>
      <c r="DN23">
        <v>386</v>
      </c>
      <c r="DO23">
        <v>6</v>
      </c>
      <c r="DP23">
        <v>123.7979274611</v>
      </c>
      <c r="DQ23">
        <v>101</v>
      </c>
    </row>
    <row r="24" spans="2:121" x14ac:dyDescent="0.2">
      <c r="B24" t="s">
        <v>128</v>
      </c>
      <c r="C24">
        <v>941</v>
      </c>
      <c r="D24">
        <v>36</v>
      </c>
      <c r="F24" t="s">
        <v>42</v>
      </c>
      <c r="G24">
        <v>2514</v>
      </c>
      <c r="H24">
        <v>394.22911694509997</v>
      </c>
      <c r="I24">
        <v>7257</v>
      </c>
      <c r="J24">
        <v>1746</v>
      </c>
      <c r="K24">
        <v>7760</v>
      </c>
      <c r="L24">
        <v>3491</v>
      </c>
      <c r="M24">
        <v>2557</v>
      </c>
      <c r="N24">
        <v>2320</v>
      </c>
      <c r="O24">
        <v>1119</v>
      </c>
      <c r="P24">
        <v>533</v>
      </c>
      <c r="Q24">
        <v>1</v>
      </c>
      <c r="R24">
        <v>225</v>
      </c>
      <c r="T24" t="s">
        <v>646</v>
      </c>
      <c r="U24" t="s">
        <v>306</v>
      </c>
      <c r="V24" t="s">
        <v>133</v>
      </c>
      <c r="W24" t="s">
        <v>214</v>
      </c>
      <c r="X24" t="s">
        <v>215</v>
      </c>
      <c r="Y24" t="s">
        <v>216</v>
      </c>
      <c r="Z24" t="s">
        <v>217</v>
      </c>
      <c r="AA24" t="s">
        <v>218</v>
      </c>
      <c r="AB24" t="s">
        <v>219</v>
      </c>
      <c r="AC24" t="s">
        <v>220</v>
      </c>
      <c r="AD24" t="s">
        <v>221</v>
      </c>
      <c r="AE24" t="s">
        <v>222</v>
      </c>
      <c r="AF24" t="s">
        <v>223</v>
      </c>
      <c r="AH24" t="s">
        <v>370</v>
      </c>
      <c r="AI24">
        <v>3348</v>
      </c>
      <c r="AJ24">
        <v>558.97968936680002</v>
      </c>
      <c r="AK24">
        <v>4401</v>
      </c>
      <c r="AL24">
        <v>897</v>
      </c>
      <c r="AM24">
        <v>7548</v>
      </c>
      <c r="AN24">
        <v>3675</v>
      </c>
      <c r="AO24">
        <v>2609</v>
      </c>
      <c r="AP24">
        <v>2143</v>
      </c>
      <c r="AQ24">
        <v>1279</v>
      </c>
      <c r="AR24">
        <v>939</v>
      </c>
      <c r="AS24">
        <v>829</v>
      </c>
      <c r="AT24">
        <v>13</v>
      </c>
      <c r="AV24" t="s">
        <v>381</v>
      </c>
      <c r="AW24">
        <v>1482</v>
      </c>
      <c r="AX24">
        <v>110.2145748988</v>
      </c>
      <c r="AY24">
        <v>1372</v>
      </c>
      <c r="AZ24">
        <v>230</v>
      </c>
      <c r="BA24">
        <v>1833</v>
      </c>
      <c r="BB24">
        <v>667</v>
      </c>
      <c r="BC24">
        <v>14</v>
      </c>
      <c r="BD24">
        <v>13</v>
      </c>
      <c r="BE24">
        <v>84</v>
      </c>
      <c r="BF24">
        <v>28</v>
      </c>
      <c r="BG24">
        <v>234</v>
      </c>
      <c r="BH24">
        <v>338</v>
      </c>
      <c r="BJ24" t="s">
        <v>634</v>
      </c>
      <c r="BK24" t="s">
        <v>389</v>
      </c>
      <c r="BL24">
        <v>1441</v>
      </c>
      <c r="BM24">
        <v>244</v>
      </c>
      <c r="BN24">
        <v>75.494795281099996</v>
      </c>
      <c r="BO24">
        <v>2652</v>
      </c>
      <c r="BP24">
        <v>66</v>
      </c>
      <c r="BQ24">
        <v>109.1904223228</v>
      </c>
      <c r="BR24">
        <v>109.1060606061</v>
      </c>
      <c r="BS24">
        <v>653</v>
      </c>
      <c r="BT24">
        <v>223</v>
      </c>
      <c r="BU24">
        <v>105.62021439510001</v>
      </c>
      <c r="BV24">
        <v>4556</v>
      </c>
      <c r="BW24">
        <v>84</v>
      </c>
      <c r="BX24">
        <v>131.46971027219999</v>
      </c>
      <c r="BY24">
        <v>153.67857142860001</v>
      </c>
      <c r="CA24" t="s">
        <v>399</v>
      </c>
      <c r="CB24" t="s">
        <v>806</v>
      </c>
      <c r="CC24" t="s">
        <v>1008</v>
      </c>
      <c r="CD24">
        <v>1778</v>
      </c>
      <c r="CE24">
        <v>221</v>
      </c>
      <c r="CF24">
        <v>70.740719909999996</v>
      </c>
      <c r="CG24">
        <v>6341</v>
      </c>
      <c r="CH24">
        <v>160</v>
      </c>
      <c r="CI24">
        <v>111.9414918783</v>
      </c>
      <c r="CJ24">
        <v>106.35625</v>
      </c>
      <c r="CL24" t="s">
        <v>399</v>
      </c>
      <c r="CM24" t="s">
        <v>781</v>
      </c>
      <c r="CN24" t="s">
        <v>788</v>
      </c>
      <c r="CO24">
        <v>115</v>
      </c>
      <c r="CP24">
        <v>15</v>
      </c>
      <c r="CQ24">
        <v>72.486956521699994</v>
      </c>
      <c r="CR24">
        <v>560</v>
      </c>
      <c r="CS24">
        <v>20</v>
      </c>
      <c r="CT24">
        <v>74.089285714300004</v>
      </c>
      <c r="CU24">
        <v>89.7</v>
      </c>
      <c r="CW24" t="s">
        <v>399</v>
      </c>
      <c r="CX24" t="s">
        <v>794</v>
      </c>
      <c r="CY24" t="s">
        <v>801</v>
      </c>
      <c r="CZ24">
        <v>45</v>
      </c>
      <c r="DA24">
        <v>5</v>
      </c>
      <c r="DB24">
        <v>57.711111111100003</v>
      </c>
      <c r="DC24">
        <v>105</v>
      </c>
      <c r="DD24">
        <v>2</v>
      </c>
      <c r="DE24">
        <v>117.6857142857</v>
      </c>
      <c r="DF24">
        <v>64</v>
      </c>
      <c r="DH24" t="s">
        <v>399</v>
      </c>
      <c r="DI24" t="s">
        <v>768</v>
      </c>
      <c r="DJ24" t="s">
        <v>775</v>
      </c>
      <c r="DK24">
        <v>91</v>
      </c>
      <c r="DL24">
        <v>2</v>
      </c>
      <c r="DM24">
        <v>44.032967032999998</v>
      </c>
      <c r="DN24">
        <v>195</v>
      </c>
      <c r="DO24">
        <v>1</v>
      </c>
      <c r="DP24">
        <v>116.71282051279999</v>
      </c>
      <c r="DQ24">
        <v>3</v>
      </c>
    </row>
    <row r="25" spans="2:121" x14ac:dyDescent="0.2">
      <c r="B25" t="s">
        <v>1060</v>
      </c>
      <c r="C25">
        <v>291</v>
      </c>
      <c r="D25">
        <v>103</v>
      </c>
      <c r="F25" t="s">
        <v>72</v>
      </c>
      <c r="G25">
        <v>693</v>
      </c>
      <c r="H25">
        <v>263.80519480520002</v>
      </c>
      <c r="I25">
        <v>1819</v>
      </c>
      <c r="J25">
        <v>607</v>
      </c>
      <c r="K25">
        <v>3461</v>
      </c>
      <c r="L25">
        <v>945</v>
      </c>
      <c r="M25">
        <v>855</v>
      </c>
      <c r="N25">
        <v>770</v>
      </c>
      <c r="O25">
        <v>785</v>
      </c>
      <c r="P25">
        <v>663</v>
      </c>
      <c r="Q25">
        <v>0</v>
      </c>
      <c r="R25">
        <v>2</v>
      </c>
      <c r="T25" t="s">
        <v>384</v>
      </c>
      <c r="U25">
        <v>40497</v>
      </c>
      <c r="V25">
        <v>332.10101982859999</v>
      </c>
      <c r="W25">
        <v>67106</v>
      </c>
      <c r="X25">
        <v>13179</v>
      </c>
      <c r="Y25">
        <v>80571</v>
      </c>
      <c r="Z25">
        <v>36075</v>
      </c>
      <c r="AA25">
        <v>21621</v>
      </c>
      <c r="AB25">
        <v>15709</v>
      </c>
      <c r="AC25">
        <v>33176</v>
      </c>
      <c r="AD25">
        <v>20305</v>
      </c>
      <c r="AE25">
        <v>1262</v>
      </c>
      <c r="AF25">
        <v>1158</v>
      </c>
      <c r="AH25" t="s">
        <v>394</v>
      </c>
      <c r="AI25">
        <v>3025</v>
      </c>
      <c r="AJ25">
        <v>371.13421487599999</v>
      </c>
      <c r="AK25">
        <v>7878</v>
      </c>
      <c r="AL25">
        <v>1881</v>
      </c>
      <c r="AM25">
        <v>7814</v>
      </c>
      <c r="AN25">
        <v>3704</v>
      </c>
      <c r="AO25">
        <v>2128</v>
      </c>
      <c r="AP25">
        <v>1809</v>
      </c>
      <c r="AQ25">
        <v>2835</v>
      </c>
      <c r="AR25">
        <v>1616</v>
      </c>
      <c r="AS25">
        <v>1010</v>
      </c>
      <c r="AT25">
        <v>231</v>
      </c>
      <c r="AV25" t="s">
        <v>416</v>
      </c>
      <c r="AW25">
        <v>43</v>
      </c>
      <c r="AX25">
        <v>119.1162790698</v>
      </c>
      <c r="AY25">
        <v>46</v>
      </c>
      <c r="AZ25">
        <v>7</v>
      </c>
      <c r="BA25">
        <v>53</v>
      </c>
      <c r="BB25">
        <v>20</v>
      </c>
      <c r="BC25">
        <v>0</v>
      </c>
      <c r="BE25">
        <v>1</v>
      </c>
      <c r="BF25">
        <v>1</v>
      </c>
      <c r="BG25">
        <v>10</v>
      </c>
      <c r="BH25">
        <v>8</v>
      </c>
      <c r="BJ25" t="s">
        <v>573</v>
      </c>
      <c r="BK25" t="s">
        <v>389</v>
      </c>
      <c r="BL25">
        <v>6434</v>
      </c>
      <c r="BM25">
        <v>1446</v>
      </c>
      <c r="BN25">
        <v>91.7805408766</v>
      </c>
      <c r="BO25">
        <v>16719</v>
      </c>
      <c r="BP25">
        <v>412</v>
      </c>
      <c r="BQ25">
        <v>120.7794126443</v>
      </c>
      <c r="BR25">
        <v>128.6723300971</v>
      </c>
      <c r="BS25">
        <v>2666</v>
      </c>
      <c r="BT25">
        <v>710</v>
      </c>
      <c r="BU25">
        <v>95.198424606200007</v>
      </c>
      <c r="BV25">
        <v>18988</v>
      </c>
      <c r="BW25">
        <v>552</v>
      </c>
      <c r="BX25">
        <v>123.37091847480001</v>
      </c>
      <c r="BY25">
        <v>115.9855072464</v>
      </c>
      <c r="CA25" t="s">
        <v>418</v>
      </c>
      <c r="CB25" t="s">
        <v>806</v>
      </c>
      <c r="CC25" t="s">
        <v>1009</v>
      </c>
      <c r="CD25">
        <v>640</v>
      </c>
      <c r="CE25">
        <v>85</v>
      </c>
      <c r="CF25">
        <v>69.9609375</v>
      </c>
      <c r="CG25">
        <v>2191</v>
      </c>
      <c r="CH25">
        <v>34</v>
      </c>
      <c r="CI25">
        <v>98.962117754499999</v>
      </c>
      <c r="CJ25">
        <v>117.6470588235</v>
      </c>
      <c r="CL25" t="s">
        <v>418</v>
      </c>
      <c r="CM25" t="s">
        <v>781</v>
      </c>
      <c r="CN25" t="s">
        <v>789</v>
      </c>
      <c r="CO25">
        <v>31</v>
      </c>
      <c r="CP25">
        <v>3</v>
      </c>
      <c r="CQ25">
        <v>58.064516128999998</v>
      </c>
      <c r="CR25">
        <v>211</v>
      </c>
      <c r="CS25">
        <v>9</v>
      </c>
      <c r="CT25">
        <v>63.857819905200003</v>
      </c>
      <c r="CU25">
        <v>51.888888888899999</v>
      </c>
      <c r="CW25" t="s">
        <v>418</v>
      </c>
      <c r="CX25" t="s">
        <v>794</v>
      </c>
      <c r="CY25" t="s">
        <v>802</v>
      </c>
      <c r="CZ25">
        <v>9</v>
      </c>
      <c r="DA25">
        <v>1</v>
      </c>
      <c r="DB25">
        <v>43.555555555600002</v>
      </c>
      <c r="DC25">
        <v>37</v>
      </c>
      <c r="DD25">
        <v>0</v>
      </c>
      <c r="DE25">
        <v>114.5135135135</v>
      </c>
      <c r="DF25">
        <v>0</v>
      </c>
      <c r="DH25" t="s">
        <v>418</v>
      </c>
      <c r="DI25" t="s">
        <v>768</v>
      </c>
      <c r="DJ25" t="s">
        <v>776</v>
      </c>
      <c r="DK25">
        <v>11</v>
      </c>
      <c r="DL25">
        <v>1</v>
      </c>
      <c r="DM25">
        <v>59.818181818200003</v>
      </c>
      <c r="DN25">
        <v>15</v>
      </c>
      <c r="DO25">
        <v>1</v>
      </c>
      <c r="DP25">
        <v>97.933333333299998</v>
      </c>
      <c r="DQ25">
        <v>81</v>
      </c>
    </row>
    <row r="26" spans="2:121" x14ac:dyDescent="0.2">
      <c r="B26" t="s">
        <v>118</v>
      </c>
      <c r="C26">
        <v>24</v>
      </c>
      <c r="D26">
        <v>17</v>
      </c>
      <c r="F26" t="s">
        <v>50</v>
      </c>
      <c r="G26">
        <v>1581</v>
      </c>
      <c r="H26">
        <v>120.7678684377</v>
      </c>
      <c r="I26">
        <v>1877</v>
      </c>
      <c r="J26">
        <v>224</v>
      </c>
      <c r="K26">
        <v>3333</v>
      </c>
      <c r="L26">
        <v>855</v>
      </c>
      <c r="M26">
        <v>724</v>
      </c>
      <c r="N26">
        <v>462</v>
      </c>
      <c r="O26">
        <v>566</v>
      </c>
      <c r="P26">
        <v>382</v>
      </c>
      <c r="Q26">
        <v>1</v>
      </c>
      <c r="R26">
        <v>18</v>
      </c>
      <c r="T26" t="s">
        <v>389</v>
      </c>
      <c r="U26">
        <v>29180</v>
      </c>
      <c r="V26">
        <v>379.14345442080003</v>
      </c>
      <c r="W26">
        <v>53610</v>
      </c>
      <c r="X26">
        <v>10553</v>
      </c>
      <c r="Y26">
        <v>65200</v>
      </c>
      <c r="Z26">
        <v>27138</v>
      </c>
      <c r="AA26">
        <v>17152</v>
      </c>
      <c r="AB26">
        <v>13418</v>
      </c>
      <c r="AC26">
        <v>22780</v>
      </c>
      <c r="AD26">
        <v>15291</v>
      </c>
      <c r="AE26">
        <v>5323</v>
      </c>
      <c r="AF26">
        <v>1137</v>
      </c>
      <c r="AH26" t="s">
        <v>400</v>
      </c>
      <c r="AI26">
        <v>1482</v>
      </c>
      <c r="AJ26">
        <v>176.70310391359999</v>
      </c>
      <c r="AK26">
        <v>5196</v>
      </c>
      <c r="AL26">
        <v>747</v>
      </c>
      <c r="AM26">
        <v>5356</v>
      </c>
      <c r="AN26">
        <v>890</v>
      </c>
      <c r="AO26">
        <v>1105</v>
      </c>
      <c r="AP26">
        <v>569</v>
      </c>
      <c r="AQ26">
        <v>1167</v>
      </c>
      <c r="AR26">
        <v>708</v>
      </c>
      <c r="AS26">
        <v>9</v>
      </c>
      <c r="AT26">
        <v>5</v>
      </c>
      <c r="AV26" t="s">
        <v>8</v>
      </c>
      <c r="AW26">
        <v>176</v>
      </c>
      <c r="AX26">
        <v>97.806818181799997</v>
      </c>
      <c r="AY26">
        <v>220</v>
      </c>
      <c r="AZ26">
        <v>106</v>
      </c>
      <c r="BA26">
        <v>362</v>
      </c>
      <c r="BB26">
        <v>212</v>
      </c>
      <c r="BC26">
        <v>6</v>
      </c>
      <c r="BD26">
        <v>6</v>
      </c>
      <c r="BE26">
        <v>10</v>
      </c>
      <c r="BF26">
        <v>5</v>
      </c>
      <c r="BG26">
        <v>55</v>
      </c>
      <c r="BH26">
        <v>20</v>
      </c>
      <c r="BJ26" t="s">
        <v>579</v>
      </c>
      <c r="BK26" t="s">
        <v>389</v>
      </c>
      <c r="BL26">
        <v>8417</v>
      </c>
      <c r="BM26">
        <v>1549</v>
      </c>
      <c r="BN26">
        <v>82.705477010799996</v>
      </c>
      <c r="BO26">
        <v>21043</v>
      </c>
      <c r="BP26">
        <v>497</v>
      </c>
      <c r="BQ26">
        <v>115.83414912320001</v>
      </c>
      <c r="BR26">
        <v>120.1629778672</v>
      </c>
      <c r="BS26">
        <v>2495</v>
      </c>
      <c r="BT26">
        <v>780</v>
      </c>
      <c r="BU26">
        <v>107.2977955912</v>
      </c>
      <c r="BV26">
        <v>25484</v>
      </c>
      <c r="BW26">
        <v>523</v>
      </c>
      <c r="BX26">
        <v>125.52448595200001</v>
      </c>
      <c r="BY26">
        <v>135.55831739960001</v>
      </c>
      <c r="CA26" t="s">
        <v>390</v>
      </c>
      <c r="CB26" t="s">
        <v>806</v>
      </c>
      <c r="CC26" t="s">
        <v>1010</v>
      </c>
      <c r="CD26">
        <v>8025</v>
      </c>
      <c r="CE26">
        <v>1669</v>
      </c>
      <c r="CF26">
        <v>96.312772585700003</v>
      </c>
      <c r="CG26">
        <v>25185</v>
      </c>
      <c r="CH26">
        <v>567</v>
      </c>
      <c r="CI26">
        <v>127.7000992654</v>
      </c>
      <c r="CJ26">
        <v>113.7989417989</v>
      </c>
      <c r="CL26" t="s">
        <v>390</v>
      </c>
      <c r="CM26" t="s">
        <v>781</v>
      </c>
      <c r="CN26" t="s">
        <v>790</v>
      </c>
      <c r="CO26">
        <v>772</v>
      </c>
      <c r="CP26">
        <v>114</v>
      </c>
      <c r="CQ26">
        <v>73.747409326400003</v>
      </c>
      <c r="CR26">
        <v>4874</v>
      </c>
      <c r="CS26">
        <v>111</v>
      </c>
      <c r="CT26">
        <v>71.384694296299998</v>
      </c>
      <c r="CU26">
        <v>67.468468468500006</v>
      </c>
      <c r="CW26" t="s">
        <v>390</v>
      </c>
      <c r="CX26" t="s">
        <v>794</v>
      </c>
      <c r="CY26" t="s">
        <v>803</v>
      </c>
      <c r="CZ26">
        <v>162</v>
      </c>
      <c r="DA26">
        <v>14</v>
      </c>
      <c r="DB26">
        <v>57.246913580200001</v>
      </c>
      <c r="DC26">
        <v>561</v>
      </c>
      <c r="DD26">
        <v>19</v>
      </c>
      <c r="DE26">
        <v>134.47593582889999</v>
      </c>
      <c r="DF26">
        <v>85.421052631600006</v>
      </c>
      <c r="DH26" t="s">
        <v>390</v>
      </c>
      <c r="DI26" t="s">
        <v>768</v>
      </c>
      <c r="DJ26" t="s">
        <v>777</v>
      </c>
      <c r="DK26">
        <v>147</v>
      </c>
      <c r="DL26">
        <v>23</v>
      </c>
      <c r="DM26">
        <v>65.734693877599994</v>
      </c>
      <c r="DN26">
        <v>394</v>
      </c>
      <c r="DO26">
        <v>13</v>
      </c>
      <c r="DP26">
        <v>131.0812182741</v>
      </c>
      <c r="DQ26">
        <v>121.4615384615</v>
      </c>
    </row>
    <row r="27" spans="2:121" x14ac:dyDescent="0.2">
      <c r="B27" t="s">
        <v>90</v>
      </c>
      <c r="C27">
        <v>10099</v>
      </c>
      <c r="D27">
        <v>1923</v>
      </c>
      <c r="F27" t="s">
        <v>58</v>
      </c>
      <c r="G27">
        <v>3378</v>
      </c>
      <c r="H27">
        <v>284.82030787449997</v>
      </c>
      <c r="I27">
        <v>9321</v>
      </c>
      <c r="J27">
        <v>1549</v>
      </c>
      <c r="K27">
        <v>8967</v>
      </c>
      <c r="L27">
        <v>2989</v>
      </c>
      <c r="M27">
        <v>3118</v>
      </c>
      <c r="N27">
        <v>2489</v>
      </c>
      <c r="O27">
        <v>1448</v>
      </c>
      <c r="P27">
        <v>1106</v>
      </c>
      <c r="Q27">
        <v>1</v>
      </c>
      <c r="R27">
        <v>286</v>
      </c>
      <c r="T27" t="s">
        <v>368</v>
      </c>
      <c r="U27">
        <v>55692</v>
      </c>
      <c r="V27">
        <v>391.73913668030002</v>
      </c>
      <c r="W27">
        <v>74648</v>
      </c>
      <c r="X27">
        <v>16703</v>
      </c>
      <c r="Y27">
        <v>102274</v>
      </c>
      <c r="Z27">
        <v>50710</v>
      </c>
      <c r="AA27">
        <v>34442</v>
      </c>
      <c r="AB27">
        <v>27645</v>
      </c>
      <c r="AC27">
        <v>39807</v>
      </c>
      <c r="AD27">
        <v>29159</v>
      </c>
      <c r="AE27">
        <v>9724</v>
      </c>
      <c r="AF27">
        <v>138</v>
      </c>
      <c r="AH27" t="s">
        <v>388</v>
      </c>
      <c r="AI27">
        <v>3085</v>
      </c>
      <c r="AJ27">
        <v>392.78184764989999</v>
      </c>
      <c r="AK27">
        <v>4830</v>
      </c>
      <c r="AL27">
        <v>1452</v>
      </c>
      <c r="AM27">
        <v>6805</v>
      </c>
      <c r="AN27">
        <v>3707</v>
      </c>
      <c r="AO27">
        <v>1899</v>
      </c>
      <c r="AP27">
        <v>1370</v>
      </c>
      <c r="AQ27">
        <v>1807</v>
      </c>
      <c r="AR27">
        <v>1221</v>
      </c>
      <c r="AS27">
        <v>448</v>
      </c>
      <c r="AT27">
        <v>250</v>
      </c>
      <c r="AV27" t="s">
        <v>418</v>
      </c>
      <c r="AW27">
        <v>27</v>
      </c>
      <c r="AX27">
        <v>77.814814814800002</v>
      </c>
      <c r="AY27">
        <v>22</v>
      </c>
      <c r="AZ27">
        <v>1</v>
      </c>
      <c r="BA27">
        <v>46</v>
      </c>
      <c r="BB27">
        <v>6</v>
      </c>
      <c r="BC27">
        <v>0</v>
      </c>
      <c r="BE27">
        <v>0</v>
      </c>
      <c r="BG27">
        <v>67</v>
      </c>
      <c r="BH27">
        <v>14</v>
      </c>
      <c r="BJ27" t="s">
        <v>638</v>
      </c>
      <c r="BK27" t="s">
        <v>389</v>
      </c>
      <c r="BL27">
        <v>2519</v>
      </c>
      <c r="BM27">
        <v>379</v>
      </c>
      <c r="BN27">
        <v>75.8161969035</v>
      </c>
      <c r="BO27">
        <v>7402</v>
      </c>
      <c r="BP27">
        <v>187</v>
      </c>
      <c r="BQ27">
        <v>121.6455012159</v>
      </c>
      <c r="BR27">
        <v>123.93582887700001</v>
      </c>
      <c r="BS27">
        <v>611</v>
      </c>
      <c r="BT27">
        <v>205</v>
      </c>
      <c r="BU27">
        <v>101.59083469719999</v>
      </c>
      <c r="BV27">
        <v>6431</v>
      </c>
      <c r="BW27">
        <v>188</v>
      </c>
      <c r="BX27">
        <v>123.1581402581</v>
      </c>
      <c r="BY27">
        <v>145.86702127660001</v>
      </c>
      <c r="CA27" t="s">
        <v>419</v>
      </c>
      <c r="CB27" t="s">
        <v>806</v>
      </c>
      <c r="CC27" t="s">
        <v>1011</v>
      </c>
      <c r="CD27">
        <v>1074</v>
      </c>
      <c r="CE27">
        <v>252</v>
      </c>
      <c r="CF27">
        <v>89.734636871500001</v>
      </c>
      <c r="CG27">
        <v>2786</v>
      </c>
      <c r="CH27">
        <v>65</v>
      </c>
      <c r="CI27">
        <v>108.06640344580001</v>
      </c>
      <c r="CJ27">
        <v>114.8769230769</v>
      </c>
      <c r="CL27" t="s">
        <v>419</v>
      </c>
      <c r="CM27" t="s">
        <v>781</v>
      </c>
      <c r="CN27" t="s">
        <v>791</v>
      </c>
      <c r="CO27">
        <v>60</v>
      </c>
      <c r="CP27">
        <v>3</v>
      </c>
      <c r="CQ27">
        <v>51.4666666667</v>
      </c>
      <c r="CR27">
        <v>389</v>
      </c>
      <c r="CS27">
        <v>9</v>
      </c>
      <c r="CT27">
        <v>62.9023136247</v>
      </c>
      <c r="CU27">
        <v>83.111111111100001</v>
      </c>
      <c r="CW27" t="s">
        <v>419</v>
      </c>
      <c r="CX27" t="s">
        <v>794</v>
      </c>
      <c r="CY27" t="s">
        <v>804</v>
      </c>
      <c r="CZ27">
        <v>14</v>
      </c>
      <c r="DA27">
        <v>1</v>
      </c>
      <c r="DB27">
        <v>54.071428571399998</v>
      </c>
      <c r="DC27">
        <v>31</v>
      </c>
      <c r="DD27">
        <v>1</v>
      </c>
      <c r="DE27">
        <v>132.90322580649999</v>
      </c>
      <c r="DF27">
        <v>69</v>
      </c>
      <c r="DH27" t="s">
        <v>419</v>
      </c>
      <c r="DI27" t="s">
        <v>768</v>
      </c>
      <c r="DJ27" t="s">
        <v>778</v>
      </c>
      <c r="DK27">
        <v>14</v>
      </c>
      <c r="DL27">
        <v>1</v>
      </c>
      <c r="DM27">
        <v>40.714285714299997</v>
      </c>
      <c r="DN27">
        <v>26</v>
      </c>
      <c r="DO27">
        <v>1</v>
      </c>
      <c r="DP27">
        <v>148.69230769230001</v>
      </c>
      <c r="DQ27">
        <v>84</v>
      </c>
    </row>
    <row r="28" spans="2:121" x14ac:dyDescent="0.2">
      <c r="B28" t="s">
        <v>95</v>
      </c>
      <c r="C28">
        <v>1205</v>
      </c>
      <c r="D28">
        <v>743</v>
      </c>
      <c r="F28" t="s">
        <v>74</v>
      </c>
      <c r="G28">
        <v>303</v>
      </c>
      <c r="H28">
        <v>83.7491749175</v>
      </c>
      <c r="I28">
        <v>1377</v>
      </c>
      <c r="J28">
        <v>241</v>
      </c>
      <c r="K28">
        <v>1133</v>
      </c>
      <c r="L28">
        <v>81</v>
      </c>
      <c r="M28">
        <v>389</v>
      </c>
      <c r="N28">
        <v>131</v>
      </c>
      <c r="O28">
        <v>34</v>
      </c>
      <c r="P28">
        <v>16</v>
      </c>
      <c r="Q28">
        <v>0</v>
      </c>
      <c r="R28">
        <v>0</v>
      </c>
      <c r="T28" t="s">
        <v>8</v>
      </c>
      <c r="U28">
        <v>2985</v>
      </c>
      <c r="V28">
        <v>335.40703517589998</v>
      </c>
      <c r="W28">
        <v>4462</v>
      </c>
      <c r="X28">
        <v>1724</v>
      </c>
      <c r="Y28">
        <v>4969</v>
      </c>
      <c r="Z28">
        <v>2826</v>
      </c>
      <c r="AA28">
        <v>1509</v>
      </c>
      <c r="AB28">
        <v>1000</v>
      </c>
      <c r="AC28">
        <v>1326</v>
      </c>
      <c r="AD28">
        <v>846</v>
      </c>
      <c r="AE28">
        <v>494</v>
      </c>
      <c r="AF28">
        <v>126</v>
      </c>
      <c r="AH28" t="s">
        <v>396</v>
      </c>
      <c r="AI28">
        <v>3627</v>
      </c>
      <c r="AJ28">
        <v>240.01902398679999</v>
      </c>
      <c r="AK28">
        <v>6419</v>
      </c>
      <c r="AL28">
        <v>1363</v>
      </c>
      <c r="AM28">
        <v>7627</v>
      </c>
      <c r="AN28">
        <v>3254</v>
      </c>
      <c r="AO28">
        <v>2442</v>
      </c>
      <c r="AP28">
        <v>2031</v>
      </c>
      <c r="AQ28">
        <v>4598</v>
      </c>
      <c r="AR28">
        <v>3399</v>
      </c>
      <c r="AS28">
        <v>908</v>
      </c>
      <c r="AT28">
        <v>62</v>
      </c>
      <c r="AV28" t="s">
        <v>395</v>
      </c>
      <c r="AW28">
        <v>229</v>
      </c>
      <c r="AX28">
        <v>55.751091703100002</v>
      </c>
      <c r="AY28">
        <v>439</v>
      </c>
      <c r="AZ28">
        <v>53</v>
      </c>
      <c r="BA28">
        <v>360</v>
      </c>
      <c r="BB28">
        <v>22</v>
      </c>
      <c r="BC28">
        <v>1</v>
      </c>
      <c r="BD28">
        <v>1</v>
      </c>
      <c r="BE28">
        <v>35</v>
      </c>
      <c r="BF28">
        <v>7</v>
      </c>
      <c r="BG28">
        <v>62</v>
      </c>
      <c r="BH28">
        <v>39</v>
      </c>
      <c r="BJ28" t="s">
        <v>532</v>
      </c>
      <c r="BK28" t="s">
        <v>368</v>
      </c>
      <c r="BL28">
        <v>5514</v>
      </c>
      <c r="BM28">
        <v>1293</v>
      </c>
      <c r="BN28">
        <v>95.203300689200006</v>
      </c>
      <c r="BO28">
        <v>13211</v>
      </c>
      <c r="BP28">
        <v>330</v>
      </c>
      <c r="BQ28">
        <v>142.33631065020001</v>
      </c>
      <c r="BR28">
        <v>130.54545454550001</v>
      </c>
      <c r="BS28">
        <v>735</v>
      </c>
      <c r="BT28">
        <v>268</v>
      </c>
      <c r="BU28">
        <v>113.9850340136</v>
      </c>
      <c r="BV28">
        <v>6694</v>
      </c>
      <c r="BW28">
        <v>122</v>
      </c>
      <c r="BX28">
        <v>143.80221093520001</v>
      </c>
      <c r="BY28">
        <v>137.7459016393</v>
      </c>
      <c r="CA28" t="s">
        <v>395</v>
      </c>
      <c r="CB28" t="s">
        <v>806</v>
      </c>
      <c r="CC28" t="s">
        <v>1012</v>
      </c>
      <c r="CD28">
        <v>4180</v>
      </c>
      <c r="CE28">
        <v>628</v>
      </c>
      <c r="CF28">
        <v>78.138516746400001</v>
      </c>
      <c r="CG28">
        <v>11790</v>
      </c>
      <c r="CH28">
        <v>264</v>
      </c>
      <c r="CI28">
        <v>112.8590330789</v>
      </c>
      <c r="CJ28">
        <v>113.875</v>
      </c>
      <c r="CL28" t="s">
        <v>395</v>
      </c>
      <c r="CM28" t="s">
        <v>781</v>
      </c>
      <c r="CN28" t="s">
        <v>792</v>
      </c>
      <c r="CO28">
        <v>283</v>
      </c>
      <c r="CP28">
        <v>29</v>
      </c>
      <c r="CQ28">
        <v>63.293286219099997</v>
      </c>
      <c r="CR28">
        <v>1880</v>
      </c>
      <c r="CS28">
        <v>38</v>
      </c>
      <c r="CT28">
        <v>60.160106382999999</v>
      </c>
      <c r="CU28">
        <v>57.684210526299999</v>
      </c>
      <c r="CW28" t="s">
        <v>395</v>
      </c>
      <c r="CX28" t="s">
        <v>794</v>
      </c>
      <c r="CY28" t="s">
        <v>805</v>
      </c>
      <c r="CZ28">
        <v>62</v>
      </c>
      <c r="DA28">
        <v>9</v>
      </c>
      <c r="DB28">
        <v>62.645161290300003</v>
      </c>
      <c r="DC28">
        <v>220</v>
      </c>
      <c r="DD28">
        <v>4</v>
      </c>
      <c r="DE28">
        <v>124.6409090909</v>
      </c>
      <c r="DF28">
        <v>74</v>
      </c>
      <c r="DH28" t="s">
        <v>395</v>
      </c>
      <c r="DI28" t="s">
        <v>768</v>
      </c>
      <c r="DJ28" t="s">
        <v>779</v>
      </c>
      <c r="DK28">
        <v>48</v>
      </c>
      <c r="DL28">
        <v>12</v>
      </c>
      <c r="DM28">
        <v>87.166666666699996</v>
      </c>
      <c r="DN28">
        <v>142</v>
      </c>
      <c r="DO28">
        <v>2</v>
      </c>
      <c r="DP28">
        <v>124.28169014079999</v>
      </c>
      <c r="DQ28">
        <v>139</v>
      </c>
    </row>
    <row r="29" spans="2:121" x14ac:dyDescent="0.2">
      <c r="B29" t="s">
        <v>94</v>
      </c>
      <c r="C29">
        <v>245</v>
      </c>
      <c r="D29">
        <v>212</v>
      </c>
      <c r="F29" t="s">
        <v>53</v>
      </c>
      <c r="G29">
        <v>6446</v>
      </c>
      <c r="H29">
        <v>470.29739373249998</v>
      </c>
      <c r="I29">
        <v>4178</v>
      </c>
      <c r="J29">
        <v>962</v>
      </c>
      <c r="K29">
        <v>10035</v>
      </c>
      <c r="L29">
        <v>6561</v>
      </c>
      <c r="M29">
        <v>3339</v>
      </c>
      <c r="N29">
        <v>3151</v>
      </c>
      <c r="O29">
        <v>1697</v>
      </c>
      <c r="P29">
        <v>1328</v>
      </c>
      <c r="Q29">
        <v>123</v>
      </c>
      <c r="R29">
        <v>314</v>
      </c>
      <c r="T29" t="s">
        <v>403</v>
      </c>
      <c r="U29">
        <v>42879</v>
      </c>
      <c r="V29">
        <v>398.68618671140001</v>
      </c>
      <c r="W29">
        <v>64260</v>
      </c>
      <c r="X29">
        <v>12888</v>
      </c>
      <c r="Y29">
        <v>83671</v>
      </c>
      <c r="Z29">
        <v>42722</v>
      </c>
      <c r="AA29">
        <v>24474</v>
      </c>
      <c r="AB29">
        <v>18401</v>
      </c>
      <c r="AC29">
        <v>31392</v>
      </c>
      <c r="AD29">
        <v>22368</v>
      </c>
      <c r="AE29">
        <v>105</v>
      </c>
      <c r="AF29">
        <v>668</v>
      </c>
      <c r="AH29" t="s">
        <v>417</v>
      </c>
      <c r="AI29">
        <v>439</v>
      </c>
      <c r="AJ29">
        <v>223.8132118451</v>
      </c>
      <c r="AK29">
        <v>735</v>
      </c>
      <c r="AL29">
        <v>63</v>
      </c>
      <c r="AM29">
        <v>1300</v>
      </c>
      <c r="AN29">
        <v>283</v>
      </c>
      <c r="AO29">
        <v>358</v>
      </c>
      <c r="AP29">
        <v>214</v>
      </c>
      <c r="AQ29">
        <v>445</v>
      </c>
      <c r="AR29">
        <v>250</v>
      </c>
      <c r="AS29">
        <v>1</v>
      </c>
      <c r="AT29">
        <v>5</v>
      </c>
      <c r="AV29" t="s">
        <v>390</v>
      </c>
      <c r="AW29">
        <v>542</v>
      </c>
      <c r="AX29">
        <v>56.872693726900003</v>
      </c>
      <c r="AY29">
        <v>1157</v>
      </c>
      <c r="AZ29">
        <v>162</v>
      </c>
      <c r="BA29">
        <v>965</v>
      </c>
      <c r="BB29">
        <v>84</v>
      </c>
      <c r="BC29">
        <v>1</v>
      </c>
      <c r="BD29">
        <v>1</v>
      </c>
      <c r="BE29">
        <v>85</v>
      </c>
      <c r="BF29">
        <v>15</v>
      </c>
      <c r="BG29">
        <v>127</v>
      </c>
      <c r="BH29">
        <v>133</v>
      </c>
      <c r="BJ29" t="s">
        <v>511</v>
      </c>
      <c r="BK29" t="s">
        <v>368</v>
      </c>
      <c r="BL29">
        <v>3568</v>
      </c>
      <c r="BM29">
        <v>673</v>
      </c>
      <c r="BN29">
        <v>84.119955157000007</v>
      </c>
      <c r="BO29">
        <v>9628</v>
      </c>
      <c r="BP29">
        <v>182</v>
      </c>
      <c r="BQ29">
        <v>130.09025758210001</v>
      </c>
      <c r="BR29">
        <v>109.4010989011</v>
      </c>
      <c r="BS29">
        <v>1043</v>
      </c>
      <c r="BT29">
        <v>374</v>
      </c>
      <c r="BU29">
        <v>110.58293384469999</v>
      </c>
      <c r="BV29">
        <v>8281</v>
      </c>
      <c r="BW29">
        <v>159</v>
      </c>
      <c r="BX29">
        <v>130.57420601379999</v>
      </c>
      <c r="BY29">
        <v>116.7672955975</v>
      </c>
      <c r="CA29" t="s">
        <v>389</v>
      </c>
      <c r="CB29" t="s">
        <v>806</v>
      </c>
      <c r="CD29">
        <v>53296</v>
      </c>
      <c r="CE29">
        <v>10328</v>
      </c>
      <c r="CF29">
        <v>87.760901380999996</v>
      </c>
      <c r="CG29">
        <v>152165</v>
      </c>
      <c r="CH29">
        <v>3634</v>
      </c>
      <c r="CI29">
        <v>121.94305523609999</v>
      </c>
      <c r="CJ29">
        <v>122.07017061090001</v>
      </c>
      <c r="CL29" t="s">
        <v>389</v>
      </c>
      <c r="CM29" t="s">
        <v>781</v>
      </c>
      <c r="CO29">
        <v>4317</v>
      </c>
      <c r="CP29">
        <v>544</v>
      </c>
      <c r="CQ29">
        <v>68.806347000200006</v>
      </c>
      <c r="CR29">
        <v>26001</v>
      </c>
      <c r="CS29">
        <v>640</v>
      </c>
      <c r="CT29">
        <v>69.809545786699999</v>
      </c>
      <c r="CU29">
        <v>69.029687499999994</v>
      </c>
      <c r="CW29" t="s">
        <v>389</v>
      </c>
      <c r="CX29" t="s">
        <v>794</v>
      </c>
      <c r="CZ29">
        <v>909</v>
      </c>
      <c r="DA29">
        <v>95</v>
      </c>
      <c r="DB29">
        <v>59.190319031900003</v>
      </c>
      <c r="DC29">
        <v>3043</v>
      </c>
      <c r="DD29">
        <v>60</v>
      </c>
      <c r="DE29">
        <v>130.5047650345</v>
      </c>
      <c r="DF29">
        <v>98.95</v>
      </c>
      <c r="DH29" t="s">
        <v>389</v>
      </c>
      <c r="DI29" t="s">
        <v>768</v>
      </c>
      <c r="DK29">
        <v>1007</v>
      </c>
      <c r="DL29">
        <v>123</v>
      </c>
      <c r="DM29">
        <v>61.780536246300002</v>
      </c>
      <c r="DN29">
        <v>2675</v>
      </c>
      <c r="DO29">
        <v>50</v>
      </c>
      <c r="DP29">
        <v>124.9846728972</v>
      </c>
      <c r="DQ29">
        <v>104.66</v>
      </c>
    </row>
    <row r="30" spans="2:121" x14ac:dyDescent="0.2">
      <c r="B30" t="s">
        <v>119</v>
      </c>
      <c r="C30">
        <v>36</v>
      </c>
      <c r="D30">
        <v>29</v>
      </c>
      <c r="F30" t="s">
        <v>67</v>
      </c>
      <c r="G30">
        <v>808</v>
      </c>
      <c r="H30">
        <v>339.18688118810002</v>
      </c>
      <c r="I30">
        <v>2560</v>
      </c>
      <c r="J30">
        <v>352</v>
      </c>
      <c r="K30">
        <v>3163</v>
      </c>
      <c r="L30">
        <v>843</v>
      </c>
      <c r="M30">
        <v>1464</v>
      </c>
      <c r="N30">
        <v>1368</v>
      </c>
      <c r="O30">
        <v>437</v>
      </c>
      <c r="P30">
        <v>257</v>
      </c>
      <c r="Q30">
        <v>0</v>
      </c>
      <c r="R30">
        <v>1</v>
      </c>
      <c r="T30" t="s">
        <v>379</v>
      </c>
      <c r="U30">
        <v>59093</v>
      </c>
      <c r="V30">
        <v>350.83030138930002</v>
      </c>
      <c r="W30">
        <v>80402</v>
      </c>
      <c r="X30">
        <v>18621</v>
      </c>
      <c r="Y30">
        <v>106868</v>
      </c>
      <c r="Z30">
        <v>57578</v>
      </c>
      <c r="AA30">
        <v>30797</v>
      </c>
      <c r="AB30">
        <v>25047</v>
      </c>
      <c r="AC30">
        <v>42892</v>
      </c>
      <c r="AD30">
        <v>30179</v>
      </c>
      <c r="AE30">
        <v>6586</v>
      </c>
      <c r="AF30">
        <v>1288</v>
      </c>
      <c r="AH30" t="s">
        <v>399</v>
      </c>
      <c r="AI30">
        <v>777</v>
      </c>
      <c r="AJ30">
        <v>176.0025740026</v>
      </c>
      <c r="AK30">
        <v>1925</v>
      </c>
      <c r="AL30">
        <v>238</v>
      </c>
      <c r="AM30">
        <v>2234</v>
      </c>
      <c r="AN30">
        <v>454</v>
      </c>
      <c r="AO30">
        <v>711</v>
      </c>
      <c r="AP30">
        <v>452</v>
      </c>
      <c r="AQ30">
        <v>702</v>
      </c>
      <c r="AR30">
        <v>361</v>
      </c>
      <c r="AS30">
        <v>5</v>
      </c>
      <c r="AT30">
        <v>14</v>
      </c>
      <c r="AV30" t="s">
        <v>377</v>
      </c>
      <c r="AW30">
        <v>769</v>
      </c>
      <c r="AX30">
        <v>105.4356306892</v>
      </c>
      <c r="AY30">
        <v>840</v>
      </c>
      <c r="AZ30">
        <v>134</v>
      </c>
      <c r="BA30">
        <v>1056</v>
      </c>
      <c r="BB30">
        <v>308</v>
      </c>
      <c r="BC30">
        <v>134</v>
      </c>
      <c r="BD30">
        <v>131</v>
      </c>
      <c r="BE30">
        <v>45</v>
      </c>
      <c r="BF30">
        <v>22</v>
      </c>
      <c r="BG30">
        <v>196</v>
      </c>
      <c r="BH30">
        <v>244</v>
      </c>
      <c r="BJ30" t="s">
        <v>519</v>
      </c>
      <c r="BK30" t="s">
        <v>368</v>
      </c>
      <c r="BL30">
        <v>3839</v>
      </c>
      <c r="BM30">
        <v>726</v>
      </c>
      <c r="BN30">
        <v>85.639489450400006</v>
      </c>
      <c r="BO30">
        <v>10935</v>
      </c>
      <c r="BP30">
        <v>240</v>
      </c>
      <c r="BQ30">
        <v>133.41536351170001</v>
      </c>
      <c r="BR30">
        <v>129.3125</v>
      </c>
      <c r="BS30">
        <v>1084</v>
      </c>
      <c r="BT30">
        <v>394</v>
      </c>
      <c r="BU30">
        <v>110.2463099631</v>
      </c>
      <c r="BV30">
        <v>8643</v>
      </c>
      <c r="BW30">
        <v>117</v>
      </c>
      <c r="BX30">
        <v>134.21578155730001</v>
      </c>
      <c r="BY30">
        <v>159.90598290599999</v>
      </c>
      <c r="CA30" t="s">
        <v>372</v>
      </c>
      <c r="CB30" t="s">
        <v>855</v>
      </c>
      <c r="CC30" t="s">
        <v>978</v>
      </c>
      <c r="CD30">
        <v>1900</v>
      </c>
      <c r="CE30">
        <v>300</v>
      </c>
      <c r="CF30">
        <v>80.06</v>
      </c>
      <c r="CG30">
        <v>5712</v>
      </c>
      <c r="CH30">
        <v>154</v>
      </c>
      <c r="CI30">
        <v>112.8291316527</v>
      </c>
      <c r="CJ30">
        <v>110.88961038959999</v>
      </c>
      <c r="CL30" t="s">
        <v>372</v>
      </c>
      <c r="CM30" t="s">
        <v>824</v>
      </c>
      <c r="CN30" t="s">
        <v>823</v>
      </c>
      <c r="CO30">
        <v>239</v>
      </c>
      <c r="CP30">
        <v>25</v>
      </c>
      <c r="CQ30">
        <v>69.309623431000006</v>
      </c>
      <c r="CR30">
        <v>768</v>
      </c>
      <c r="CS30">
        <v>26</v>
      </c>
      <c r="CT30">
        <v>97.6953125</v>
      </c>
      <c r="CU30">
        <v>90.038461538500002</v>
      </c>
      <c r="CW30" t="s">
        <v>372</v>
      </c>
      <c r="CX30" t="s">
        <v>840</v>
      </c>
      <c r="CY30" t="s">
        <v>839</v>
      </c>
      <c r="CZ30">
        <v>55</v>
      </c>
      <c r="DA30">
        <v>6</v>
      </c>
      <c r="DB30">
        <v>64.3818181818</v>
      </c>
      <c r="DC30">
        <v>122</v>
      </c>
      <c r="DD30">
        <v>1</v>
      </c>
      <c r="DE30">
        <v>134.62295081970001</v>
      </c>
      <c r="DF30">
        <v>41</v>
      </c>
      <c r="DH30" t="s">
        <v>372</v>
      </c>
      <c r="DI30" t="s">
        <v>808</v>
      </c>
      <c r="DJ30" t="s">
        <v>807</v>
      </c>
      <c r="DK30">
        <v>38</v>
      </c>
      <c r="DL30">
        <v>3</v>
      </c>
      <c r="DM30">
        <v>59.763157894700001</v>
      </c>
      <c r="DN30">
        <v>138</v>
      </c>
      <c r="DO30">
        <v>4</v>
      </c>
      <c r="DP30">
        <v>133.36231884060001</v>
      </c>
      <c r="DQ30">
        <v>63.25</v>
      </c>
    </row>
    <row r="31" spans="2:121" x14ac:dyDescent="0.2">
      <c r="B31" t="s">
        <v>91</v>
      </c>
      <c r="C31">
        <v>451</v>
      </c>
      <c r="D31">
        <v>25</v>
      </c>
      <c r="F31" t="s">
        <v>27</v>
      </c>
      <c r="G31">
        <v>1000</v>
      </c>
      <c r="H31">
        <v>84.179000000000002</v>
      </c>
      <c r="I31">
        <v>6061</v>
      </c>
      <c r="J31">
        <v>552</v>
      </c>
      <c r="K31">
        <v>5598</v>
      </c>
      <c r="L31">
        <v>733</v>
      </c>
      <c r="M31">
        <v>933</v>
      </c>
      <c r="N31">
        <v>422</v>
      </c>
      <c r="O31">
        <v>1559</v>
      </c>
      <c r="P31">
        <v>1021</v>
      </c>
      <c r="Q31">
        <v>1</v>
      </c>
      <c r="R31">
        <v>15</v>
      </c>
      <c r="T31" t="s">
        <v>460</v>
      </c>
      <c r="U31">
        <v>230326</v>
      </c>
      <c r="V31">
        <v>369.72511570559999</v>
      </c>
      <c r="W31">
        <v>344488</v>
      </c>
      <c r="X31">
        <v>73668</v>
      </c>
      <c r="Y31">
        <v>443553</v>
      </c>
      <c r="Z31">
        <v>217049</v>
      </c>
      <c r="AA31">
        <v>129995</v>
      </c>
      <c r="AB31">
        <v>101220</v>
      </c>
      <c r="AC31">
        <v>171373</v>
      </c>
      <c r="AD31">
        <v>118148</v>
      </c>
      <c r="AE31">
        <v>23494</v>
      </c>
      <c r="AF31">
        <v>4515</v>
      </c>
      <c r="AH31" t="s">
        <v>412</v>
      </c>
      <c r="AI31">
        <v>2697</v>
      </c>
      <c r="AJ31">
        <v>434.15202076380001</v>
      </c>
      <c r="AK31">
        <v>4134</v>
      </c>
      <c r="AL31">
        <v>995</v>
      </c>
      <c r="AM31">
        <v>4474</v>
      </c>
      <c r="AN31">
        <v>2546</v>
      </c>
      <c r="AO31">
        <v>1050</v>
      </c>
      <c r="AP31">
        <v>806</v>
      </c>
      <c r="AQ31">
        <v>1937</v>
      </c>
      <c r="AR31">
        <v>1472</v>
      </c>
      <c r="AS31">
        <v>3</v>
      </c>
      <c r="AT31">
        <v>125</v>
      </c>
      <c r="AV31" t="s">
        <v>370</v>
      </c>
      <c r="AW31">
        <v>393</v>
      </c>
      <c r="AX31">
        <v>100.36386768449999</v>
      </c>
      <c r="AY31">
        <v>545</v>
      </c>
      <c r="AZ31">
        <v>101</v>
      </c>
      <c r="BA31">
        <v>537</v>
      </c>
      <c r="BB31">
        <v>156</v>
      </c>
      <c r="BC31">
        <v>4</v>
      </c>
      <c r="BD31">
        <v>4</v>
      </c>
      <c r="BE31">
        <v>34</v>
      </c>
      <c r="BF31">
        <v>6</v>
      </c>
      <c r="BG31">
        <v>55</v>
      </c>
      <c r="BH31">
        <v>123</v>
      </c>
      <c r="BJ31" t="s">
        <v>521</v>
      </c>
      <c r="BK31" t="s">
        <v>368</v>
      </c>
      <c r="BL31">
        <v>1882</v>
      </c>
      <c r="BM31">
        <v>333</v>
      </c>
      <c r="BN31">
        <v>83.181190223200005</v>
      </c>
      <c r="BO31">
        <v>5600</v>
      </c>
      <c r="BP31">
        <v>161</v>
      </c>
      <c r="BQ31">
        <v>115.2373214286</v>
      </c>
      <c r="BR31">
        <v>114.4347826087</v>
      </c>
      <c r="BS31">
        <v>610</v>
      </c>
      <c r="BT31">
        <v>160</v>
      </c>
      <c r="BU31">
        <v>99.513114754100002</v>
      </c>
      <c r="BV31">
        <v>8278</v>
      </c>
      <c r="BW31">
        <v>288</v>
      </c>
      <c r="BX31">
        <v>125.37376177820001</v>
      </c>
      <c r="BY31">
        <v>112.47569444440001</v>
      </c>
      <c r="CA31" t="s">
        <v>422</v>
      </c>
      <c r="CB31" t="s">
        <v>855</v>
      </c>
      <c r="CC31" t="s">
        <v>979</v>
      </c>
      <c r="CD31">
        <v>1004</v>
      </c>
      <c r="CE31">
        <v>231</v>
      </c>
      <c r="CF31">
        <v>99.048804780899999</v>
      </c>
      <c r="CG31">
        <v>2520</v>
      </c>
      <c r="CH31">
        <v>65</v>
      </c>
      <c r="CI31">
        <v>136.9857142857</v>
      </c>
      <c r="CJ31">
        <v>141.96923076920001</v>
      </c>
      <c r="CL31" t="s">
        <v>422</v>
      </c>
      <c r="CM31" t="s">
        <v>824</v>
      </c>
      <c r="CN31" t="s">
        <v>825</v>
      </c>
      <c r="CO31">
        <v>76</v>
      </c>
      <c r="CP31">
        <v>10</v>
      </c>
      <c r="CQ31">
        <v>67.013157894700001</v>
      </c>
      <c r="CR31">
        <v>258</v>
      </c>
      <c r="CS31">
        <v>7</v>
      </c>
      <c r="CT31">
        <v>101.72868217049999</v>
      </c>
      <c r="CU31">
        <v>139.8571428571</v>
      </c>
      <c r="CW31" t="s">
        <v>422</v>
      </c>
      <c r="CX31" t="s">
        <v>840</v>
      </c>
      <c r="CY31" t="s">
        <v>841</v>
      </c>
      <c r="CZ31">
        <v>13</v>
      </c>
      <c r="DA31">
        <v>2</v>
      </c>
      <c r="DB31">
        <v>52.615384615399996</v>
      </c>
      <c r="DC31">
        <v>41</v>
      </c>
      <c r="DD31">
        <v>0</v>
      </c>
      <c r="DE31">
        <v>155.0243902439</v>
      </c>
      <c r="DF31">
        <v>0</v>
      </c>
      <c r="DH31" t="s">
        <v>422</v>
      </c>
      <c r="DI31" t="s">
        <v>808</v>
      </c>
      <c r="DJ31" t="s">
        <v>809</v>
      </c>
      <c r="DK31">
        <v>20</v>
      </c>
      <c r="DL31">
        <v>3</v>
      </c>
      <c r="DM31">
        <v>63.65</v>
      </c>
      <c r="DN31">
        <v>53</v>
      </c>
      <c r="DO31">
        <v>0</v>
      </c>
      <c r="DP31">
        <v>151.86792452829999</v>
      </c>
      <c r="DQ31">
        <v>0</v>
      </c>
    </row>
    <row r="32" spans="2:121" x14ac:dyDescent="0.2">
      <c r="B32" t="s">
        <v>1058</v>
      </c>
      <c r="C32">
        <v>116</v>
      </c>
      <c r="D32">
        <v>105</v>
      </c>
      <c r="F32" t="s">
        <v>40</v>
      </c>
      <c r="G32">
        <v>4847</v>
      </c>
      <c r="H32">
        <v>400.43222611919998</v>
      </c>
      <c r="I32">
        <v>7157</v>
      </c>
      <c r="J32">
        <v>2133</v>
      </c>
      <c r="K32">
        <v>9464</v>
      </c>
      <c r="L32">
        <v>5029</v>
      </c>
      <c r="M32">
        <v>3873</v>
      </c>
      <c r="N32">
        <v>3273</v>
      </c>
      <c r="O32">
        <v>657</v>
      </c>
      <c r="P32">
        <v>480</v>
      </c>
      <c r="Q32">
        <v>0</v>
      </c>
      <c r="R32">
        <v>52</v>
      </c>
      <c r="AH32" t="s">
        <v>414</v>
      </c>
      <c r="AI32">
        <v>984</v>
      </c>
      <c r="AJ32">
        <v>254.92174796750001</v>
      </c>
      <c r="AK32">
        <v>1314</v>
      </c>
      <c r="AL32">
        <v>216</v>
      </c>
      <c r="AM32">
        <v>2013</v>
      </c>
      <c r="AN32">
        <v>838</v>
      </c>
      <c r="AO32">
        <v>380</v>
      </c>
      <c r="AP32">
        <v>260</v>
      </c>
      <c r="AQ32">
        <v>348</v>
      </c>
      <c r="AR32">
        <v>194</v>
      </c>
      <c r="AS32">
        <v>207</v>
      </c>
      <c r="AT32">
        <v>4</v>
      </c>
      <c r="AV32" t="s">
        <v>421</v>
      </c>
      <c r="AW32">
        <v>125</v>
      </c>
      <c r="AX32">
        <v>76.664000000000001</v>
      </c>
      <c r="AY32">
        <v>208</v>
      </c>
      <c r="AZ32">
        <v>8</v>
      </c>
      <c r="BA32">
        <v>204</v>
      </c>
      <c r="BB32">
        <v>29</v>
      </c>
      <c r="BC32">
        <v>1</v>
      </c>
      <c r="BE32">
        <v>14</v>
      </c>
      <c r="BF32">
        <v>6</v>
      </c>
      <c r="BG32">
        <v>202</v>
      </c>
      <c r="BH32">
        <v>39</v>
      </c>
      <c r="BJ32" t="s">
        <v>536</v>
      </c>
      <c r="BK32" t="s">
        <v>368</v>
      </c>
      <c r="BL32">
        <v>2435</v>
      </c>
      <c r="BM32">
        <v>414</v>
      </c>
      <c r="BN32">
        <v>80.126899383999998</v>
      </c>
      <c r="BO32">
        <v>7883</v>
      </c>
      <c r="BP32">
        <v>160</v>
      </c>
      <c r="BQ32">
        <v>117.0874032729</v>
      </c>
      <c r="BR32">
        <v>118.83125</v>
      </c>
      <c r="BS32">
        <v>2498</v>
      </c>
      <c r="BT32">
        <v>380</v>
      </c>
      <c r="BU32">
        <v>81.668935148100005</v>
      </c>
      <c r="BV32">
        <v>14116</v>
      </c>
      <c r="BW32">
        <v>307</v>
      </c>
      <c r="BX32">
        <v>127.0994616039</v>
      </c>
      <c r="BY32">
        <v>111.5570032573</v>
      </c>
      <c r="CA32" t="s">
        <v>413</v>
      </c>
      <c r="CB32" t="s">
        <v>855</v>
      </c>
      <c r="CC32" t="s">
        <v>980</v>
      </c>
      <c r="CD32">
        <v>439</v>
      </c>
      <c r="CE32">
        <v>96</v>
      </c>
      <c r="CF32">
        <v>93.154897494300002</v>
      </c>
      <c r="CG32">
        <v>1151</v>
      </c>
      <c r="CH32">
        <v>31</v>
      </c>
      <c r="CI32">
        <v>142.0104257168</v>
      </c>
      <c r="CJ32">
        <v>173.80645161289999</v>
      </c>
      <c r="CL32" t="s">
        <v>413</v>
      </c>
      <c r="CM32" t="s">
        <v>824</v>
      </c>
      <c r="CN32" t="s">
        <v>826</v>
      </c>
      <c r="CO32">
        <v>42</v>
      </c>
      <c r="CP32">
        <v>8</v>
      </c>
      <c r="CQ32">
        <v>84.952380952400006</v>
      </c>
      <c r="CR32">
        <v>218</v>
      </c>
      <c r="CS32">
        <v>5</v>
      </c>
      <c r="CT32">
        <v>109.2155963303</v>
      </c>
      <c r="CU32">
        <v>90.2</v>
      </c>
      <c r="CW32" t="s">
        <v>413</v>
      </c>
      <c r="CX32" t="s">
        <v>840</v>
      </c>
      <c r="CY32" t="s">
        <v>842</v>
      </c>
      <c r="CZ32">
        <v>10</v>
      </c>
      <c r="DA32">
        <v>1</v>
      </c>
      <c r="DB32">
        <v>43.9</v>
      </c>
      <c r="DC32">
        <v>39</v>
      </c>
      <c r="DD32">
        <v>0</v>
      </c>
      <c r="DE32">
        <v>152.30769230769999</v>
      </c>
      <c r="DF32">
        <v>0</v>
      </c>
      <c r="DH32" t="s">
        <v>413</v>
      </c>
      <c r="DI32" t="s">
        <v>808</v>
      </c>
      <c r="DJ32" t="s">
        <v>810</v>
      </c>
      <c r="DK32">
        <v>15</v>
      </c>
      <c r="DL32">
        <v>0</v>
      </c>
      <c r="DM32">
        <v>35.266666666699997</v>
      </c>
      <c r="DN32">
        <v>56</v>
      </c>
      <c r="DO32">
        <v>1</v>
      </c>
      <c r="DP32">
        <v>129.5178571429</v>
      </c>
      <c r="DQ32">
        <v>61</v>
      </c>
    </row>
    <row r="33" spans="2:121" x14ac:dyDescent="0.2">
      <c r="B33" t="s">
        <v>123</v>
      </c>
      <c r="C33">
        <v>44</v>
      </c>
      <c r="D33">
        <v>30</v>
      </c>
      <c r="F33" t="s">
        <v>429</v>
      </c>
      <c r="G33">
        <v>5213</v>
      </c>
      <c r="H33">
        <v>759.63264914640001</v>
      </c>
      <c r="I33">
        <v>863</v>
      </c>
      <c r="J33">
        <v>135</v>
      </c>
      <c r="K33">
        <v>5615</v>
      </c>
      <c r="L33">
        <v>4278</v>
      </c>
      <c r="M33">
        <v>1054</v>
      </c>
      <c r="N33">
        <v>723</v>
      </c>
      <c r="O33">
        <v>1134</v>
      </c>
      <c r="P33">
        <v>1125</v>
      </c>
      <c r="Q33">
        <v>0</v>
      </c>
      <c r="R33">
        <v>0</v>
      </c>
      <c r="AH33" t="s">
        <v>373</v>
      </c>
      <c r="AI33">
        <v>1534</v>
      </c>
      <c r="AJ33">
        <v>327.89439374189999</v>
      </c>
      <c r="AK33">
        <v>4554</v>
      </c>
      <c r="AL33">
        <v>1219</v>
      </c>
      <c r="AM33">
        <v>4220</v>
      </c>
      <c r="AN33">
        <v>1598</v>
      </c>
      <c r="AO33">
        <v>1349</v>
      </c>
      <c r="AP33">
        <v>1130</v>
      </c>
      <c r="AQ33">
        <v>2451</v>
      </c>
      <c r="AR33">
        <v>1810</v>
      </c>
      <c r="AS33">
        <v>846</v>
      </c>
      <c r="AT33">
        <v>5</v>
      </c>
      <c r="AV33" t="s">
        <v>375</v>
      </c>
      <c r="AW33">
        <v>318</v>
      </c>
      <c r="AX33">
        <v>99.908805031399993</v>
      </c>
      <c r="AY33">
        <v>524</v>
      </c>
      <c r="AZ33">
        <v>95</v>
      </c>
      <c r="BA33">
        <v>503</v>
      </c>
      <c r="BB33">
        <v>148</v>
      </c>
      <c r="BC33">
        <v>7</v>
      </c>
      <c r="BD33">
        <v>5</v>
      </c>
      <c r="BE33">
        <v>28</v>
      </c>
      <c r="BF33">
        <v>9</v>
      </c>
      <c r="BG33">
        <v>83</v>
      </c>
      <c r="BH33">
        <v>138</v>
      </c>
      <c r="BJ33" t="s">
        <v>621</v>
      </c>
      <c r="BK33" t="s">
        <v>368</v>
      </c>
      <c r="BL33">
        <v>1342</v>
      </c>
      <c r="BM33">
        <v>191</v>
      </c>
      <c r="BN33">
        <v>76.274962742200003</v>
      </c>
      <c r="BO33">
        <v>3347</v>
      </c>
      <c r="BP33">
        <v>60</v>
      </c>
      <c r="BQ33">
        <v>126.7131759785</v>
      </c>
      <c r="BR33">
        <v>116.9</v>
      </c>
      <c r="BS33">
        <v>464</v>
      </c>
      <c r="BT33">
        <v>212</v>
      </c>
      <c r="BU33">
        <v>113.29741379310001</v>
      </c>
      <c r="BV33">
        <v>3536</v>
      </c>
      <c r="BW33">
        <v>64</v>
      </c>
      <c r="BX33">
        <v>133.49406108599999</v>
      </c>
      <c r="BY33">
        <v>183</v>
      </c>
      <c r="CA33" t="s">
        <v>415</v>
      </c>
      <c r="CB33" t="s">
        <v>855</v>
      </c>
      <c r="CC33" t="s">
        <v>981</v>
      </c>
      <c r="CD33">
        <v>1189</v>
      </c>
      <c r="CE33">
        <v>167</v>
      </c>
      <c r="CF33">
        <v>74.091673675400003</v>
      </c>
      <c r="CG33">
        <v>4504</v>
      </c>
      <c r="CH33">
        <v>116</v>
      </c>
      <c r="CI33">
        <v>102.9045293073</v>
      </c>
      <c r="CJ33">
        <v>103.2068965517</v>
      </c>
      <c r="CL33" t="s">
        <v>415</v>
      </c>
      <c r="CM33" t="s">
        <v>824</v>
      </c>
      <c r="CN33" t="s">
        <v>827</v>
      </c>
      <c r="CO33">
        <v>120</v>
      </c>
      <c r="CP33">
        <v>10</v>
      </c>
      <c r="CQ33">
        <v>60.35</v>
      </c>
      <c r="CR33">
        <v>486</v>
      </c>
      <c r="CS33">
        <v>13</v>
      </c>
      <c r="CT33">
        <v>87.913580246899997</v>
      </c>
      <c r="CU33">
        <v>97.153846153800004</v>
      </c>
      <c r="CW33" t="s">
        <v>415</v>
      </c>
      <c r="CX33" t="s">
        <v>840</v>
      </c>
      <c r="CY33" t="s">
        <v>843</v>
      </c>
      <c r="CZ33">
        <v>11</v>
      </c>
      <c r="DA33">
        <v>0</v>
      </c>
      <c r="DB33">
        <v>55.5454545455</v>
      </c>
      <c r="DC33">
        <v>52</v>
      </c>
      <c r="DD33">
        <v>2</v>
      </c>
      <c r="DE33">
        <v>147.44230769230001</v>
      </c>
      <c r="DF33">
        <v>215.5</v>
      </c>
      <c r="DH33" t="s">
        <v>415</v>
      </c>
      <c r="DI33" t="s">
        <v>808</v>
      </c>
      <c r="DJ33" t="s">
        <v>811</v>
      </c>
      <c r="DK33">
        <v>12</v>
      </c>
      <c r="DL33">
        <v>0</v>
      </c>
      <c r="DM33">
        <v>35.25</v>
      </c>
      <c r="DN33">
        <v>54</v>
      </c>
      <c r="DO33">
        <v>2</v>
      </c>
      <c r="DP33">
        <v>128.9074074074</v>
      </c>
      <c r="DQ33">
        <v>47</v>
      </c>
    </row>
    <row r="34" spans="2:121" x14ac:dyDescent="0.2">
      <c r="B34" t="s">
        <v>116</v>
      </c>
      <c r="C34">
        <v>14589</v>
      </c>
      <c r="D34">
        <v>4644</v>
      </c>
      <c r="F34" t="s">
        <v>68</v>
      </c>
      <c r="G34">
        <v>2349</v>
      </c>
      <c r="H34">
        <v>453.4614729672</v>
      </c>
      <c r="I34">
        <v>3690</v>
      </c>
      <c r="J34">
        <v>952</v>
      </c>
      <c r="K34">
        <v>3682</v>
      </c>
      <c r="L34">
        <v>2124</v>
      </c>
      <c r="M34">
        <v>617</v>
      </c>
      <c r="N34">
        <v>473</v>
      </c>
      <c r="O34">
        <v>1132</v>
      </c>
      <c r="P34">
        <v>939</v>
      </c>
      <c r="Q34">
        <v>0</v>
      </c>
      <c r="R34">
        <v>126</v>
      </c>
      <c r="AH34" t="s">
        <v>404</v>
      </c>
      <c r="AI34">
        <v>805</v>
      </c>
      <c r="AJ34">
        <v>242.0944099379</v>
      </c>
      <c r="AK34">
        <v>2788</v>
      </c>
      <c r="AL34">
        <v>630</v>
      </c>
      <c r="AM34">
        <v>2049</v>
      </c>
      <c r="AN34">
        <v>673</v>
      </c>
      <c r="AO34">
        <v>542</v>
      </c>
      <c r="AP34">
        <v>331</v>
      </c>
      <c r="AQ34">
        <v>981</v>
      </c>
      <c r="AR34">
        <v>588</v>
      </c>
      <c r="AS34">
        <v>7</v>
      </c>
      <c r="AT34">
        <v>12</v>
      </c>
      <c r="AV34" t="s">
        <v>413</v>
      </c>
      <c r="AW34">
        <v>40</v>
      </c>
      <c r="AX34">
        <v>85.674999999999997</v>
      </c>
      <c r="AY34">
        <v>36</v>
      </c>
      <c r="AZ34">
        <v>8</v>
      </c>
      <c r="BA34">
        <v>57</v>
      </c>
      <c r="BB34">
        <v>13</v>
      </c>
      <c r="BC34">
        <v>2</v>
      </c>
      <c r="BD34">
        <v>2</v>
      </c>
      <c r="BE34">
        <v>2</v>
      </c>
      <c r="BF34">
        <v>1</v>
      </c>
      <c r="BG34">
        <v>7</v>
      </c>
      <c r="BH34">
        <v>13</v>
      </c>
      <c r="BJ34" t="s">
        <v>517</v>
      </c>
      <c r="BK34" t="s">
        <v>368</v>
      </c>
      <c r="BL34">
        <v>4940</v>
      </c>
      <c r="BM34">
        <v>1455</v>
      </c>
      <c r="BN34">
        <v>110.29008097169999</v>
      </c>
      <c r="BO34">
        <v>12130</v>
      </c>
      <c r="BP34">
        <v>338</v>
      </c>
      <c r="BQ34">
        <v>137.1976092333</v>
      </c>
      <c r="BR34">
        <v>131.67455621299999</v>
      </c>
      <c r="BS34">
        <v>1419</v>
      </c>
      <c r="BT34">
        <v>516</v>
      </c>
      <c r="BU34">
        <v>124.39252995069999</v>
      </c>
      <c r="BV34">
        <v>9577</v>
      </c>
      <c r="BW34">
        <v>229</v>
      </c>
      <c r="BX34">
        <v>133.4201733319</v>
      </c>
      <c r="BY34">
        <v>143.19650655020001</v>
      </c>
      <c r="CA34" t="s">
        <v>375</v>
      </c>
      <c r="CB34" t="s">
        <v>855</v>
      </c>
      <c r="CC34" t="s">
        <v>982</v>
      </c>
      <c r="CD34">
        <v>6070</v>
      </c>
      <c r="CE34">
        <v>1411</v>
      </c>
      <c r="CF34">
        <v>97.210543657299993</v>
      </c>
      <c r="CG34">
        <v>15306</v>
      </c>
      <c r="CH34">
        <v>398</v>
      </c>
      <c r="CI34">
        <v>136.58878871030001</v>
      </c>
      <c r="CJ34">
        <v>129.93718592959999</v>
      </c>
      <c r="CL34" t="s">
        <v>375</v>
      </c>
      <c r="CM34" t="s">
        <v>824</v>
      </c>
      <c r="CN34" t="s">
        <v>828</v>
      </c>
      <c r="CO34">
        <v>480</v>
      </c>
      <c r="CP34">
        <v>74</v>
      </c>
      <c r="CQ34">
        <v>69.785416666700002</v>
      </c>
      <c r="CR34">
        <v>1678</v>
      </c>
      <c r="CS34">
        <v>49</v>
      </c>
      <c r="CT34">
        <v>101.6323003576</v>
      </c>
      <c r="CU34">
        <v>125.51020408159999</v>
      </c>
      <c r="CW34" t="s">
        <v>375</v>
      </c>
      <c r="CX34" t="s">
        <v>840</v>
      </c>
      <c r="CY34" t="s">
        <v>844</v>
      </c>
      <c r="CZ34">
        <v>181</v>
      </c>
      <c r="DA34">
        <v>26</v>
      </c>
      <c r="DB34">
        <v>67.276243093900007</v>
      </c>
      <c r="DC34">
        <v>511</v>
      </c>
      <c r="DD34">
        <v>6</v>
      </c>
      <c r="DE34">
        <v>145.56751467710001</v>
      </c>
      <c r="DF34">
        <v>139.1666666667</v>
      </c>
      <c r="DH34" t="s">
        <v>375</v>
      </c>
      <c r="DI34" t="s">
        <v>808</v>
      </c>
      <c r="DJ34" t="s">
        <v>812</v>
      </c>
      <c r="DK34">
        <v>208</v>
      </c>
      <c r="DL34">
        <v>23</v>
      </c>
      <c r="DM34">
        <v>57.879807692299998</v>
      </c>
      <c r="DN34">
        <v>716</v>
      </c>
      <c r="DO34">
        <v>11</v>
      </c>
      <c r="DP34">
        <v>142.1634078212</v>
      </c>
      <c r="DQ34">
        <v>109.9090909091</v>
      </c>
    </row>
    <row r="35" spans="2:121" x14ac:dyDescent="0.2">
      <c r="B35" t="s">
        <v>115</v>
      </c>
      <c r="C35">
        <v>5874</v>
      </c>
      <c r="D35">
        <v>1545</v>
      </c>
      <c r="F35" t="s">
        <v>37</v>
      </c>
      <c r="G35">
        <v>4365</v>
      </c>
      <c r="H35">
        <v>495.00710194729999</v>
      </c>
      <c r="I35">
        <v>6415</v>
      </c>
      <c r="J35">
        <v>1701</v>
      </c>
      <c r="K35">
        <v>7667</v>
      </c>
      <c r="L35">
        <v>4481</v>
      </c>
      <c r="M35">
        <v>1742</v>
      </c>
      <c r="N35">
        <v>1620</v>
      </c>
      <c r="O35">
        <v>1498</v>
      </c>
      <c r="P35">
        <v>925</v>
      </c>
      <c r="Q35">
        <v>0</v>
      </c>
      <c r="R35">
        <v>217</v>
      </c>
      <c r="AH35" t="s">
        <v>60</v>
      </c>
      <c r="AI35">
        <v>3384</v>
      </c>
      <c r="AJ35">
        <v>284.7041962175</v>
      </c>
      <c r="AK35">
        <v>9234</v>
      </c>
      <c r="AL35">
        <v>2208</v>
      </c>
      <c r="AM35">
        <v>9272</v>
      </c>
      <c r="AN35">
        <v>3575</v>
      </c>
      <c r="AO35">
        <v>3197</v>
      </c>
      <c r="AP35">
        <v>2533</v>
      </c>
      <c r="AQ35">
        <v>6137</v>
      </c>
      <c r="AR35">
        <v>4347</v>
      </c>
      <c r="AS35">
        <v>1746</v>
      </c>
      <c r="AT35">
        <v>10</v>
      </c>
      <c r="AV35" t="s">
        <v>406</v>
      </c>
      <c r="AW35">
        <v>1091</v>
      </c>
      <c r="AX35">
        <v>65.363886342800001</v>
      </c>
      <c r="AY35">
        <v>1728</v>
      </c>
      <c r="AZ35">
        <v>80</v>
      </c>
      <c r="BA35">
        <v>1961</v>
      </c>
      <c r="BB35">
        <v>225</v>
      </c>
      <c r="BC35">
        <v>10</v>
      </c>
      <c r="BD35">
        <v>8</v>
      </c>
      <c r="BE35">
        <v>98</v>
      </c>
      <c r="BF35">
        <v>46</v>
      </c>
      <c r="BG35">
        <v>1657</v>
      </c>
      <c r="BH35">
        <v>499</v>
      </c>
      <c r="BJ35" t="s">
        <v>523</v>
      </c>
      <c r="BK35" t="s">
        <v>368</v>
      </c>
      <c r="BL35">
        <v>2897</v>
      </c>
      <c r="BM35">
        <v>718</v>
      </c>
      <c r="BN35">
        <v>96.417673455300005</v>
      </c>
      <c r="BO35">
        <v>6747</v>
      </c>
      <c r="BP35">
        <v>134</v>
      </c>
      <c r="BQ35">
        <v>138.04965169709999</v>
      </c>
      <c r="BR35">
        <v>154.56716417909999</v>
      </c>
      <c r="BS35">
        <v>855</v>
      </c>
      <c r="BT35">
        <v>374</v>
      </c>
      <c r="BU35">
        <v>124.7356725146</v>
      </c>
      <c r="BV35">
        <v>4475</v>
      </c>
      <c r="BW35">
        <v>99</v>
      </c>
      <c r="BX35">
        <v>144.38011173180001</v>
      </c>
      <c r="BY35">
        <v>179.19191919190001</v>
      </c>
      <c r="CA35" t="s">
        <v>370</v>
      </c>
      <c r="CB35" t="s">
        <v>855</v>
      </c>
      <c r="CC35" t="s">
        <v>983</v>
      </c>
      <c r="CD35">
        <v>4427</v>
      </c>
      <c r="CE35">
        <v>866</v>
      </c>
      <c r="CF35">
        <v>86.250056471700006</v>
      </c>
      <c r="CG35">
        <v>11945</v>
      </c>
      <c r="CH35">
        <v>233</v>
      </c>
      <c r="CI35">
        <v>126.37329426540001</v>
      </c>
      <c r="CJ35">
        <v>109.4763948498</v>
      </c>
      <c r="CL35" t="s">
        <v>370</v>
      </c>
      <c r="CM35" t="s">
        <v>824</v>
      </c>
      <c r="CN35" t="s">
        <v>829</v>
      </c>
      <c r="CO35">
        <v>441</v>
      </c>
      <c r="CP35">
        <v>59</v>
      </c>
      <c r="CQ35">
        <v>68.714285714300004</v>
      </c>
      <c r="CR35">
        <v>1596</v>
      </c>
      <c r="CS35">
        <v>45</v>
      </c>
      <c r="CT35">
        <v>94.077067669200005</v>
      </c>
      <c r="CU35">
        <v>97.488888888899993</v>
      </c>
      <c r="CW35" t="s">
        <v>370</v>
      </c>
      <c r="CX35" t="s">
        <v>840</v>
      </c>
      <c r="CY35" t="s">
        <v>845</v>
      </c>
      <c r="CZ35">
        <v>79</v>
      </c>
      <c r="DA35">
        <v>5</v>
      </c>
      <c r="DB35">
        <v>55.265822784800001</v>
      </c>
      <c r="DC35">
        <v>198</v>
      </c>
      <c r="DD35">
        <v>5</v>
      </c>
      <c r="DE35">
        <v>136.14141414139999</v>
      </c>
      <c r="DF35">
        <v>94.4</v>
      </c>
      <c r="DH35" t="s">
        <v>370</v>
      </c>
      <c r="DI35" t="s">
        <v>808</v>
      </c>
      <c r="DJ35" t="s">
        <v>813</v>
      </c>
      <c r="DK35">
        <v>60</v>
      </c>
      <c r="DL35">
        <v>4</v>
      </c>
      <c r="DM35">
        <v>55</v>
      </c>
      <c r="DN35">
        <v>121</v>
      </c>
      <c r="DO35">
        <v>3</v>
      </c>
      <c r="DP35">
        <v>122.2314049587</v>
      </c>
      <c r="DQ35">
        <v>41</v>
      </c>
    </row>
    <row r="36" spans="2:121" x14ac:dyDescent="0.2">
      <c r="B36" t="s">
        <v>108</v>
      </c>
      <c r="C36">
        <v>479</v>
      </c>
      <c r="D36">
        <v>390</v>
      </c>
      <c r="F36" t="s">
        <v>8</v>
      </c>
      <c r="G36">
        <v>79</v>
      </c>
      <c r="H36">
        <v>380.88607594939998</v>
      </c>
      <c r="I36">
        <v>85</v>
      </c>
      <c r="J36">
        <v>68</v>
      </c>
      <c r="K36">
        <v>241</v>
      </c>
      <c r="L36">
        <v>93</v>
      </c>
      <c r="M36">
        <v>100</v>
      </c>
      <c r="N36">
        <v>54</v>
      </c>
      <c r="O36">
        <v>65414</v>
      </c>
      <c r="P36">
        <v>39768</v>
      </c>
      <c r="Q36">
        <v>0</v>
      </c>
      <c r="R36">
        <v>1</v>
      </c>
      <c r="T36" t="s">
        <v>645</v>
      </c>
      <c r="U36" t="s">
        <v>306</v>
      </c>
      <c r="V36" t="s">
        <v>133</v>
      </c>
      <c r="W36" t="s">
        <v>214</v>
      </c>
      <c r="X36" t="s">
        <v>458</v>
      </c>
      <c r="Y36" t="s">
        <v>216</v>
      </c>
      <c r="Z36" t="s">
        <v>217</v>
      </c>
      <c r="AA36" t="s">
        <v>218</v>
      </c>
      <c r="AB36" t="s">
        <v>459</v>
      </c>
      <c r="AC36" t="s">
        <v>220</v>
      </c>
      <c r="AD36" t="s">
        <v>221</v>
      </c>
      <c r="AE36" t="s">
        <v>222</v>
      </c>
      <c r="AF36" t="s">
        <v>223</v>
      </c>
      <c r="AH36" t="s">
        <v>381</v>
      </c>
      <c r="AI36">
        <v>13148</v>
      </c>
      <c r="AJ36">
        <v>350.32058107699999</v>
      </c>
      <c r="AK36">
        <v>17842</v>
      </c>
      <c r="AL36">
        <v>4119</v>
      </c>
      <c r="AM36">
        <v>20621</v>
      </c>
      <c r="AN36">
        <v>11624</v>
      </c>
      <c r="AO36">
        <v>8972</v>
      </c>
      <c r="AP36">
        <v>7112</v>
      </c>
      <c r="AQ36">
        <v>7569</v>
      </c>
      <c r="AR36">
        <v>5200</v>
      </c>
      <c r="AS36">
        <v>1285</v>
      </c>
      <c r="AT36">
        <v>43</v>
      </c>
      <c r="AV36" t="s">
        <v>402</v>
      </c>
      <c r="AW36">
        <v>140</v>
      </c>
      <c r="AX36">
        <v>80.457142857099996</v>
      </c>
      <c r="AY36">
        <v>252</v>
      </c>
      <c r="AZ36">
        <v>8</v>
      </c>
      <c r="BA36">
        <v>328</v>
      </c>
      <c r="BB36">
        <v>40</v>
      </c>
      <c r="BC36">
        <v>4</v>
      </c>
      <c r="BD36">
        <v>3</v>
      </c>
      <c r="BE36">
        <v>14</v>
      </c>
      <c r="BF36">
        <v>8</v>
      </c>
      <c r="BG36">
        <v>404</v>
      </c>
      <c r="BH36">
        <v>87</v>
      </c>
      <c r="BJ36" t="s">
        <v>368</v>
      </c>
      <c r="BK36" t="s">
        <v>368</v>
      </c>
      <c r="BL36">
        <v>74554</v>
      </c>
      <c r="BM36">
        <v>17113</v>
      </c>
      <c r="BN36">
        <v>94.190948842400005</v>
      </c>
      <c r="BO36">
        <v>198911</v>
      </c>
      <c r="BP36">
        <v>4734</v>
      </c>
      <c r="BQ36">
        <v>130.65186942899999</v>
      </c>
      <c r="BR36">
        <v>130.2653147444</v>
      </c>
      <c r="BS36">
        <v>23772</v>
      </c>
      <c r="BT36">
        <v>7079</v>
      </c>
      <c r="BU36">
        <v>105.7915194346</v>
      </c>
      <c r="BV36">
        <v>190651</v>
      </c>
      <c r="BW36">
        <v>4694</v>
      </c>
      <c r="BX36">
        <v>129.73332424169999</v>
      </c>
      <c r="BY36">
        <v>127.0125692373</v>
      </c>
      <c r="CA36" t="s">
        <v>414</v>
      </c>
      <c r="CB36" t="s">
        <v>855</v>
      </c>
      <c r="CC36" t="s">
        <v>984</v>
      </c>
      <c r="CD36">
        <v>1362</v>
      </c>
      <c r="CE36">
        <v>204</v>
      </c>
      <c r="CF36">
        <v>75.809838472799996</v>
      </c>
      <c r="CG36">
        <v>3579</v>
      </c>
      <c r="CH36">
        <v>62</v>
      </c>
      <c r="CI36">
        <v>125.7974294496</v>
      </c>
      <c r="CJ36">
        <v>121.6612903226</v>
      </c>
      <c r="CL36" t="s">
        <v>414</v>
      </c>
      <c r="CM36" t="s">
        <v>824</v>
      </c>
      <c r="CN36" t="s">
        <v>830</v>
      </c>
      <c r="CO36">
        <v>113</v>
      </c>
      <c r="CP36">
        <v>16</v>
      </c>
      <c r="CQ36">
        <v>68.2831858407</v>
      </c>
      <c r="CR36">
        <v>400</v>
      </c>
      <c r="CS36">
        <v>14</v>
      </c>
      <c r="CT36">
        <v>93.364999999999995</v>
      </c>
      <c r="CU36">
        <v>89.857142857100001</v>
      </c>
      <c r="CW36" t="s">
        <v>414</v>
      </c>
      <c r="CX36" t="s">
        <v>840</v>
      </c>
      <c r="CY36" t="s">
        <v>846</v>
      </c>
      <c r="CZ36">
        <v>25</v>
      </c>
      <c r="DA36">
        <v>2</v>
      </c>
      <c r="DB36">
        <v>70.56</v>
      </c>
      <c r="DC36">
        <v>52</v>
      </c>
      <c r="DD36">
        <v>0</v>
      </c>
      <c r="DE36">
        <v>144.23076923080001</v>
      </c>
      <c r="DF36">
        <v>0</v>
      </c>
      <c r="DH36" t="s">
        <v>414</v>
      </c>
      <c r="DI36" t="s">
        <v>808</v>
      </c>
      <c r="DJ36" t="s">
        <v>814</v>
      </c>
      <c r="DK36">
        <v>8</v>
      </c>
      <c r="DL36">
        <v>1</v>
      </c>
      <c r="DM36">
        <v>37.5</v>
      </c>
      <c r="DN36">
        <v>51</v>
      </c>
      <c r="DO36">
        <v>1</v>
      </c>
      <c r="DP36">
        <v>136.9411764706</v>
      </c>
      <c r="DQ36">
        <v>66</v>
      </c>
    </row>
    <row r="37" spans="2:121" x14ac:dyDescent="0.2">
      <c r="B37" t="s">
        <v>117</v>
      </c>
      <c r="C37">
        <v>4901</v>
      </c>
      <c r="D37">
        <v>1025</v>
      </c>
      <c r="F37" t="s">
        <v>62</v>
      </c>
      <c r="G37">
        <v>6898</v>
      </c>
      <c r="H37">
        <v>456.03203827200002</v>
      </c>
      <c r="I37">
        <v>11328</v>
      </c>
      <c r="J37">
        <v>2802</v>
      </c>
      <c r="K37">
        <v>12573</v>
      </c>
      <c r="L37">
        <v>7854</v>
      </c>
      <c r="M37">
        <v>3770</v>
      </c>
      <c r="N37">
        <v>3398</v>
      </c>
      <c r="O37">
        <v>2648</v>
      </c>
      <c r="P37">
        <v>2113</v>
      </c>
      <c r="Q37">
        <v>0</v>
      </c>
      <c r="R37">
        <v>49</v>
      </c>
      <c r="T37" t="s">
        <v>389</v>
      </c>
      <c r="U37">
        <v>3048</v>
      </c>
      <c r="V37">
        <v>63.877952755899997</v>
      </c>
      <c r="W37">
        <v>5715</v>
      </c>
      <c r="X37">
        <v>676</v>
      </c>
      <c r="Y37">
        <v>4899</v>
      </c>
      <c r="Z37">
        <v>428</v>
      </c>
      <c r="AA37">
        <v>10</v>
      </c>
      <c r="AB37">
        <v>9</v>
      </c>
      <c r="AC37">
        <v>380</v>
      </c>
      <c r="AD37">
        <v>103</v>
      </c>
      <c r="AE37">
        <v>2403</v>
      </c>
      <c r="AF37">
        <v>797</v>
      </c>
      <c r="AH37" t="s">
        <v>418</v>
      </c>
      <c r="AI37">
        <v>238</v>
      </c>
      <c r="AJ37">
        <v>149.90336134450001</v>
      </c>
      <c r="AK37">
        <v>589</v>
      </c>
      <c r="AL37">
        <v>88</v>
      </c>
      <c r="AM37">
        <v>885</v>
      </c>
      <c r="AN37">
        <v>111</v>
      </c>
      <c r="AO37">
        <v>161</v>
      </c>
      <c r="AP37">
        <v>76</v>
      </c>
      <c r="AQ37">
        <v>153</v>
      </c>
      <c r="AR37">
        <v>96</v>
      </c>
      <c r="AS37">
        <v>1</v>
      </c>
      <c r="AT37">
        <v>2</v>
      </c>
      <c r="AV37" t="s">
        <v>80</v>
      </c>
      <c r="AW37">
        <v>189</v>
      </c>
      <c r="AX37">
        <v>65.026455026500003</v>
      </c>
      <c r="AY37">
        <v>349</v>
      </c>
      <c r="AZ37">
        <v>18</v>
      </c>
      <c r="BA37">
        <v>418</v>
      </c>
      <c r="BB37">
        <v>68</v>
      </c>
      <c r="BC37">
        <v>0</v>
      </c>
      <c r="BE37">
        <v>27</v>
      </c>
      <c r="BF37">
        <v>10</v>
      </c>
      <c r="BG37">
        <v>507</v>
      </c>
      <c r="BH37">
        <v>129</v>
      </c>
      <c r="BJ37" t="s">
        <v>525</v>
      </c>
      <c r="BK37" t="s">
        <v>368</v>
      </c>
      <c r="BL37">
        <v>8468</v>
      </c>
      <c r="BM37">
        <v>2695</v>
      </c>
      <c r="BN37">
        <v>119.8430562116</v>
      </c>
      <c r="BO37">
        <v>19581</v>
      </c>
      <c r="BP37">
        <v>403</v>
      </c>
      <c r="BQ37">
        <v>149.1080639395</v>
      </c>
      <c r="BR37">
        <v>170.0669975186</v>
      </c>
      <c r="BS37">
        <v>2950</v>
      </c>
      <c r="BT37">
        <v>1138</v>
      </c>
      <c r="BU37">
        <v>131.4010169492</v>
      </c>
      <c r="BV37">
        <v>20121</v>
      </c>
      <c r="BW37">
        <v>457</v>
      </c>
      <c r="BX37">
        <v>145.43139009000001</v>
      </c>
      <c r="BY37">
        <v>140.9781181619</v>
      </c>
      <c r="CA37" t="s">
        <v>373</v>
      </c>
      <c r="CB37" t="s">
        <v>855</v>
      </c>
      <c r="CC37" t="s">
        <v>985</v>
      </c>
      <c r="CD37">
        <v>4430</v>
      </c>
      <c r="CE37">
        <v>1222</v>
      </c>
      <c r="CF37">
        <v>105.3963882619</v>
      </c>
      <c r="CG37">
        <v>10406</v>
      </c>
      <c r="CH37">
        <v>225</v>
      </c>
      <c r="CI37">
        <v>139.1579857774</v>
      </c>
      <c r="CJ37">
        <v>170.18222222220001</v>
      </c>
      <c r="CL37" t="s">
        <v>373</v>
      </c>
      <c r="CM37" t="s">
        <v>824</v>
      </c>
      <c r="CN37" t="s">
        <v>831</v>
      </c>
      <c r="CO37">
        <v>499</v>
      </c>
      <c r="CP37">
        <v>65</v>
      </c>
      <c r="CQ37">
        <v>69.120240480999996</v>
      </c>
      <c r="CR37">
        <v>1753</v>
      </c>
      <c r="CS37">
        <v>56</v>
      </c>
      <c r="CT37">
        <v>97.144894466599993</v>
      </c>
      <c r="CU37">
        <v>100.3571428571</v>
      </c>
      <c r="CW37" t="s">
        <v>373</v>
      </c>
      <c r="CX37" t="s">
        <v>840</v>
      </c>
      <c r="CY37" t="s">
        <v>847</v>
      </c>
      <c r="CZ37">
        <v>95</v>
      </c>
      <c r="DA37">
        <v>10</v>
      </c>
      <c r="DB37">
        <v>58.157894736800003</v>
      </c>
      <c r="DC37">
        <v>236</v>
      </c>
      <c r="DD37">
        <v>7</v>
      </c>
      <c r="DE37">
        <v>145.04661016950001</v>
      </c>
      <c r="DF37">
        <v>140.42857142860001</v>
      </c>
      <c r="DH37" t="s">
        <v>373</v>
      </c>
      <c r="DI37" t="s">
        <v>808</v>
      </c>
      <c r="DJ37" t="s">
        <v>815</v>
      </c>
      <c r="DK37">
        <v>73</v>
      </c>
      <c r="DL37">
        <v>9</v>
      </c>
      <c r="DM37">
        <v>62.301369862999998</v>
      </c>
      <c r="DN37">
        <v>178</v>
      </c>
      <c r="DO37">
        <v>3</v>
      </c>
      <c r="DP37">
        <v>135.95505617980001</v>
      </c>
      <c r="DQ37">
        <v>80.666666666699996</v>
      </c>
    </row>
    <row r="38" spans="2:121" x14ac:dyDescent="0.2">
      <c r="B38" t="s">
        <v>99</v>
      </c>
      <c r="C38">
        <v>23046</v>
      </c>
      <c r="D38">
        <v>4361</v>
      </c>
      <c r="F38" t="s">
        <v>44</v>
      </c>
      <c r="G38">
        <v>551</v>
      </c>
      <c r="H38">
        <v>292.77676951000001</v>
      </c>
      <c r="I38">
        <v>1715</v>
      </c>
      <c r="J38">
        <v>322</v>
      </c>
      <c r="K38">
        <v>2472</v>
      </c>
      <c r="L38">
        <v>686</v>
      </c>
      <c r="M38">
        <v>439</v>
      </c>
      <c r="N38">
        <v>260</v>
      </c>
      <c r="O38">
        <v>837</v>
      </c>
      <c r="P38">
        <v>695</v>
      </c>
      <c r="Q38">
        <v>0</v>
      </c>
      <c r="R38">
        <v>5</v>
      </c>
      <c r="T38" t="s">
        <v>379</v>
      </c>
      <c r="U38">
        <v>7716</v>
      </c>
      <c r="V38">
        <v>101.19310523590001</v>
      </c>
      <c r="W38">
        <v>8449</v>
      </c>
      <c r="X38">
        <v>1283</v>
      </c>
      <c r="Y38">
        <v>10296</v>
      </c>
      <c r="Z38">
        <v>3232</v>
      </c>
      <c r="AA38">
        <v>26</v>
      </c>
      <c r="AB38">
        <v>24</v>
      </c>
      <c r="AC38">
        <v>472</v>
      </c>
      <c r="AD38">
        <v>140</v>
      </c>
      <c r="AE38">
        <v>1248</v>
      </c>
      <c r="AF38">
        <v>1544</v>
      </c>
      <c r="AH38" t="s">
        <v>390</v>
      </c>
      <c r="AI38">
        <v>4677</v>
      </c>
      <c r="AJ38">
        <v>508.32178747059999</v>
      </c>
      <c r="AK38">
        <v>8384</v>
      </c>
      <c r="AL38">
        <v>1740</v>
      </c>
      <c r="AM38">
        <v>9724</v>
      </c>
      <c r="AN38">
        <v>4560</v>
      </c>
      <c r="AO38">
        <v>2957</v>
      </c>
      <c r="AP38">
        <v>2622</v>
      </c>
      <c r="AQ38">
        <v>4366</v>
      </c>
      <c r="AR38">
        <v>3177</v>
      </c>
      <c r="AS38">
        <v>1111</v>
      </c>
      <c r="AT38">
        <v>337</v>
      </c>
      <c r="AV38" t="s">
        <v>396</v>
      </c>
      <c r="AW38">
        <v>418</v>
      </c>
      <c r="AX38">
        <v>66.528708133999999</v>
      </c>
      <c r="AY38">
        <v>736</v>
      </c>
      <c r="AZ38">
        <v>91</v>
      </c>
      <c r="BA38">
        <v>639</v>
      </c>
      <c r="BB38">
        <v>45</v>
      </c>
      <c r="BC38">
        <v>2</v>
      </c>
      <c r="BD38">
        <v>2</v>
      </c>
      <c r="BE38">
        <v>48</v>
      </c>
      <c r="BF38">
        <v>13</v>
      </c>
      <c r="BG38">
        <v>125</v>
      </c>
      <c r="BH38">
        <v>69</v>
      </c>
      <c r="BJ38" t="s">
        <v>528</v>
      </c>
      <c r="BK38" t="s">
        <v>368</v>
      </c>
      <c r="BL38">
        <v>4590</v>
      </c>
      <c r="BM38">
        <v>1472</v>
      </c>
      <c r="BN38">
        <v>114.0235294118</v>
      </c>
      <c r="BO38">
        <v>11216</v>
      </c>
      <c r="BP38">
        <v>303</v>
      </c>
      <c r="BQ38">
        <v>157.63890870189999</v>
      </c>
      <c r="BR38">
        <v>162.32343234320001</v>
      </c>
      <c r="BS38">
        <v>854</v>
      </c>
      <c r="BT38">
        <v>387</v>
      </c>
      <c r="BU38">
        <v>142.4180327869</v>
      </c>
      <c r="BV38">
        <v>9389</v>
      </c>
      <c r="BW38">
        <v>162</v>
      </c>
      <c r="BX38">
        <v>173.99904143149999</v>
      </c>
      <c r="BY38">
        <v>195.29012345679999</v>
      </c>
      <c r="CA38" t="s">
        <v>60</v>
      </c>
      <c r="CB38" t="s">
        <v>855</v>
      </c>
      <c r="CC38" t="s">
        <v>517</v>
      </c>
      <c r="CD38">
        <v>9033</v>
      </c>
      <c r="CE38">
        <v>2168</v>
      </c>
      <c r="CF38">
        <v>97.677294365099996</v>
      </c>
      <c r="CG38">
        <v>23972</v>
      </c>
      <c r="CH38">
        <v>596</v>
      </c>
      <c r="CI38">
        <v>129.5877273486</v>
      </c>
      <c r="CJ38">
        <v>125.5100671141</v>
      </c>
      <c r="CL38" t="s">
        <v>60</v>
      </c>
      <c r="CM38" t="s">
        <v>824</v>
      </c>
      <c r="CN38" t="s">
        <v>832</v>
      </c>
      <c r="CO38">
        <v>1146</v>
      </c>
      <c r="CP38">
        <v>144</v>
      </c>
      <c r="CQ38">
        <v>67.672774869099996</v>
      </c>
      <c r="CR38">
        <v>4477</v>
      </c>
      <c r="CS38">
        <v>139</v>
      </c>
      <c r="CT38">
        <v>99.544561090000002</v>
      </c>
      <c r="CU38">
        <v>107.6690647482</v>
      </c>
      <c r="CW38" t="s">
        <v>60</v>
      </c>
      <c r="CX38" t="s">
        <v>840</v>
      </c>
      <c r="CY38" t="s">
        <v>848</v>
      </c>
      <c r="CZ38">
        <v>219</v>
      </c>
      <c r="DA38">
        <v>16</v>
      </c>
      <c r="DB38">
        <v>56.260273972599997</v>
      </c>
      <c r="DC38">
        <v>530</v>
      </c>
      <c r="DD38">
        <v>15</v>
      </c>
      <c r="DE38">
        <v>137.94339622640001</v>
      </c>
      <c r="DF38">
        <v>127.8666666667</v>
      </c>
      <c r="DH38" t="s">
        <v>60</v>
      </c>
      <c r="DI38" t="s">
        <v>808</v>
      </c>
      <c r="DJ38" t="s">
        <v>816</v>
      </c>
      <c r="DK38">
        <v>150</v>
      </c>
      <c r="DL38">
        <v>23</v>
      </c>
      <c r="DM38">
        <v>58.66</v>
      </c>
      <c r="DN38">
        <v>384</v>
      </c>
      <c r="DO38">
        <v>11</v>
      </c>
      <c r="DP38">
        <v>129.7317708333</v>
      </c>
      <c r="DQ38">
        <v>105.54545454549999</v>
      </c>
    </row>
    <row r="39" spans="2:121" x14ac:dyDescent="0.2">
      <c r="B39" t="s">
        <v>109</v>
      </c>
      <c r="C39">
        <v>17472</v>
      </c>
      <c r="D39">
        <v>14378</v>
      </c>
      <c r="F39" t="s">
        <v>43</v>
      </c>
      <c r="G39">
        <v>258</v>
      </c>
      <c r="H39">
        <v>80.418604651199999</v>
      </c>
      <c r="I39">
        <v>1036</v>
      </c>
      <c r="J39">
        <v>134</v>
      </c>
      <c r="K39">
        <v>1077</v>
      </c>
      <c r="L39">
        <v>45</v>
      </c>
      <c r="M39">
        <v>174</v>
      </c>
      <c r="N39">
        <v>70</v>
      </c>
      <c r="O39">
        <v>68</v>
      </c>
      <c r="P39">
        <v>45</v>
      </c>
      <c r="Q39">
        <v>0</v>
      </c>
      <c r="R39">
        <v>0</v>
      </c>
      <c r="T39" t="s">
        <v>384</v>
      </c>
      <c r="U39">
        <v>2245</v>
      </c>
      <c r="V39">
        <v>67.780846325200002</v>
      </c>
      <c r="W39">
        <v>3165</v>
      </c>
      <c r="X39">
        <v>194</v>
      </c>
      <c r="Y39">
        <v>3719</v>
      </c>
      <c r="Z39">
        <v>368</v>
      </c>
      <c r="AA39">
        <v>22</v>
      </c>
      <c r="AB39">
        <v>20</v>
      </c>
      <c r="AC39">
        <v>224</v>
      </c>
      <c r="AD39">
        <v>76</v>
      </c>
      <c r="AE39">
        <v>3284</v>
      </c>
      <c r="AF39">
        <v>887</v>
      </c>
      <c r="AH39" t="s">
        <v>411</v>
      </c>
      <c r="AI39">
        <v>1422</v>
      </c>
      <c r="AJ39">
        <v>169.2812939522</v>
      </c>
      <c r="AK39">
        <v>6364</v>
      </c>
      <c r="AL39">
        <v>634</v>
      </c>
      <c r="AM39">
        <v>4660</v>
      </c>
      <c r="AN39">
        <v>693</v>
      </c>
      <c r="AO39">
        <v>1026</v>
      </c>
      <c r="AP39">
        <v>539</v>
      </c>
      <c r="AQ39">
        <v>2933</v>
      </c>
      <c r="AR39">
        <v>1849</v>
      </c>
      <c r="AS39">
        <v>6</v>
      </c>
      <c r="AT39">
        <v>19</v>
      </c>
      <c r="AV39" t="s">
        <v>424</v>
      </c>
      <c r="AW39">
        <v>2678</v>
      </c>
      <c r="AX39">
        <v>98.802091112799999</v>
      </c>
      <c r="AY39">
        <v>3326</v>
      </c>
      <c r="AZ39">
        <v>534</v>
      </c>
      <c r="BA39">
        <v>3547</v>
      </c>
      <c r="BB39">
        <v>1123</v>
      </c>
      <c r="BC39">
        <v>16</v>
      </c>
      <c r="BD39">
        <v>15</v>
      </c>
      <c r="BE39">
        <v>143</v>
      </c>
      <c r="BF39">
        <v>47</v>
      </c>
      <c r="BG39">
        <v>431</v>
      </c>
      <c r="BH39">
        <v>573</v>
      </c>
      <c r="BJ39" t="s">
        <v>513</v>
      </c>
      <c r="BK39" t="s">
        <v>368</v>
      </c>
      <c r="BL39">
        <v>2924</v>
      </c>
      <c r="BM39">
        <v>367</v>
      </c>
      <c r="BN39">
        <v>67.344733242100006</v>
      </c>
      <c r="BO39">
        <v>18398</v>
      </c>
      <c r="BP39">
        <v>439</v>
      </c>
      <c r="BQ39">
        <v>56.558538971600001</v>
      </c>
      <c r="BR39">
        <v>58.993166287000001</v>
      </c>
      <c r="BS39">
        <v>1872</v>
      </c>
      <c r="BT39">
        <v>326</v>
      </c>
      <c r="BU39">
        <v>79.568376068399999</v>
      </c>
      <c r="BV39">
        <v>22429</v>
      </c>
      <c r="BW39">
        <v>575</v>
      </c>
      <c r="BX39">
        <v>72.309019572899999</v>
      </c>
      <c r="BY39">
        <v>72.537391304300002</v>
      </c>
      <c r="CA39" t="s">
        <v>381</v>
      </c>
      <c r="CB39" t="s">
        <v>855</v>
      </c>
      <c r="CC39" t="s">
        <v>986</v>
      </c>
      <c r="CD39">
        <v>17276</v>
      </c>
      <c r="CE39">
        <v>3980</v>
      </c>
      <c r="CF39">
        <v>91.017133595700003</v>
      </c>
      <c r="CG39">
        <v>43510</v>
      </c>
      <c r="CH39">
        <v>1089</v>
      </c>
      <c r="CI39">
        <v>135.4893587681</v>
      </c>
      <c r="CJ39">
        <v>124.7401285583</v>
      </c>
      <c r="CL39" t="s">
        <v>381</v>
      </c>
      <c r="CM39" t="s">
        <v>824</v>
      </c>
      <c r="CN39" t="s">
        <v>833</v>
      </c>
      <c r="CO39">
        <v>1271</v>
      </c>
      <c r="CP39">
        <v>187</v>
      </c>
      <c r="CQ39">
        <v>72.079464988200002</v>
      </c>
      <c r="CR39">
        <v>4524</v>
      </c>
      <c r="CS39">
        <v>151</v>
      </c>
      <c r="CT39">
        <v>97.935455349199998</v>
      </c>
      <c r="CU39">
        <v>110.7152317881</v>
      </c>
      <c r="CW39" t="s">
        <v>381</v>
      </c>
      <c r="CX39" t="s">
        <v>840</v>
      </c>
      <c r="CY39" t="s">
        <v>849</v>
      </c>
      <c r="CZ39">
        <v>489</v>
      </c>
      <c r="DA39">
        <v>64</v>
      </c>
      <c r="DB39">
        <v>68.6871165644</v>
      </c>
      <c r="DC39">
        <v>1156</v>
      </c>
      <c r="DD39">
        <v>27</v>
      </c>
      <c r="DE39">
        <v>149.90224913489999</v>
      </c>
      <c r="DF39">
        <v>145.4074074074</v>
      </c>
      <c r="DH39" t="s">
        <v>381</v>
      </c>
      <c r="DI39" t="s">
        <v>808</v>
      </c>
      <c r="DJ39" t="s">
        <v>817</v>
      </c>
      <c r="DK39">
        <v>816</v>
      </c>
      <c r="DL39">
        <v>62</v>
      </c>
      <c r="DM39">
        <v>49.672794117599999</v>
      </c>
      <c r="DN39">
        <v>2056</v>
      </c>
      <c r="DO39">
        <v>27</v>
      </c>
      <c r="DP39">
        <v>140.82441634240001</v>
      </c>
      <c r="DQ39">
        <v>106.7777777778</v>
      </c>
    </row>
    <row r="40" spans="2:121" x14ac:dyDescent="0.2">
      <c r="B40" t="s">
        <v>21</v>
      </c>
      <c r="C40">
        <v>36618</v>
      </c>
      <c r="D40">
        <v>9840</v>
      </c>
      <c r="F40" t="s">
        <v>71</v>
      </c>
      <c r="G40">
        <v>4870</v>
      </c>
      <c r="H40">
        <v>337.19568788499998</v>
      </c>
      <c r="I40">
        <v>12453</v>
      </c>
      <c r="J40">
        <v>2075</v>
      </c>
      <c r="K40">
        <v>17770</v>
      </c>
      <c r="L40">
        <v>8125</v>
      </c>
      <c r="M40">
        <v>6552</v>
      </c>
      <c r="N40">
        <v>4541</v>
      </c>
      <c r="O40">
        <v>2299</v>
      </c>
      <c r="P40">
        <v>1623</v>
      </c>
      <c r="Q40">
        <v>0</v>
      </c>
      <c r="R40">
        <v>61</v>
      </c>
      <c r="T40" t="s">
        <v>368</v>
      </c>
      <c r="U40">
        <v>7008</v>
      </c>
      <c r="V40">
        <v>104.0515125571</v>
      </c>
      <c r="W40">
        <v>9300</v>
      </c>
      <c r="X40">
        <v>1613</v>
      </c>
      <c r="Y40">
        <v>9581</v>
      </c>
      <c r="Z40">
        <v>2947</v>
      </c>
      <c r="AA40">
        <v>172</v>
      </c>
      <c r="AB40">
        <v>165</v>
      </c>
      <c r="AC40">
        <v>429</v>
      </c>
      <c r="AD40">
        <v>139</v>
      </c>
      <c r="AE40">
        <v>1176</v>
      </c>
      <c r="AF40">
        <v>1765</v>
      </c>
      <c r="AH40" t="s">
        <v>408</v>
      </c>
      <c r="AI40">
        <v>5214</v>
      </c>
      <c r="AJ40">
        <v>393.07211354050003</v>
      </c>
      <c r="AK40">
        <v>4837</v>
      </c>
      <c r="AL40">
        <v>939</v>
      </c>
      <c r="AM40">
        <v>8905</v>
      </c>
      <c r="AN40">
        <v>4767</v>
      </c>
      <c r="AO40">
        <v>3332</v>
      </c>
      <c r="AP40">
        <v>2840</v>
      </c>
      <c r="AQ40">
        <v>3212</v>
      </c>
      <c r="AR40">
        <v>2318</v>
      </c>
      <c r="AS40">
        <v>8</v>
      </c>
      <c r="AT40">
        <v>108</v>
      </c>
      <c r="AV40" t="s">
        <v>373</v>
      </c>
      <c r="AW40">
        <v>469</v>
      </c>
      <c r="AX40">
        <v>104.93390191899999</v>
      </c>
      <c r="AY40">
        <v>655</v>
      </c>
      <c r="AZ40">
        <v>116</v>
      </c>
      <c r="BA40">
        <v>639</v>
      </c>
      <c r="BB40">
        <v>191</v>
      </c>
      <c r="BC40">
        <v>1</v>
      </c>
      <c r="BD40">
        <v>1</v>
      </c>
      <c r="BE40">
        <v>22</v>
      </c>
      <c r="BF40">
        <v>11</v>
      </c>
      <c r="BG40">
        <v>66</v>
      </c>
      <c r="BH40">
        <v>137</v>
      </c>
      <c r="BJ40" t="s">
        <v>534</v>
      </c>
      <c r="BK40" t="s">
        <v>368</v>
      </c>
      <c r="BL40">
        <v>11320</v>
      </c>
      <c r="BM40">
        <v>2210</v>
      </c>
      <c r="BN40">
        <v>87.914752650200001</v>
      </c>
      <c r="BO40">
        <v>29516</v>
      </c>
      <c r="BP40">
        <v>722</v>
      </c>
      <c r="BQ40">
        <v>135.89937660929999</v>
      </c>
      <c r="BR40">
        <v>144.89889196679999</v>
      </c>
      <c r="BS40">
        <v>3073</v>
      </c>
      <c r="BT40">
        <v>918</v>
      </c>
      <c r="BU40">
        <v>106.7461763749</v>
      </c>
      <c r="BV40">
        <v>29836</v>
      </c>
      <c r="BW40">
        <v>936</v>
      </c>
      <c r="BX40">
        <v>132.7118581579</v>
      </c>
      <c r="BY40">
        <v>128.4038461538</v>
      </c>
      <c r="CA40" t="s">
        <v>374</v>
      </c>
      <c r="CB40" t="s">
        <v>855</v>
      </c>
      <c r="CC40" t="s">
        <v>987</v>
      </c>
      <c r="CD40">
        <v>9579</v>
      </c>
      <c r="CE40">
        <v>2879</v>
      </c>
      <c r="CF40">
        <v>113.2281031423</v>
      </c>
      <c r="CG40">
        <v>24208</v>
      </c>
      <c r="CH40">
        <v>535</v>
      </c>
      <c r="CI40">
        <v>140.70563450099999</v>
      </c>
      <c r="CJ40">
        <v>152.96448598129999</v>
      </c>
      <c r="CL40" t="s">
        <v>374</v>
      </c>
      <c r="CM40" t="s">
        <v>824</v>
      </c>
      <c r="CN40" t="s">
        <v>834</v>
      </c>
      <c r="CO40">
        <v>1414</v>
      </c>
      <c r="CP40">
        <v>160</v>
      </c>
      <c r="CQ40">
        <v>69.665487977400005</v>
      </c>
      <c r="CR40">
        <v>5253</v>
      </c>
      <c r="CS40">
        <v>170</v>
      </c>
      <c r="CT40">
        <v>97.031981724700003</v>
      </c>
      <c r="CU40">
        <v>100.90588235289999</v>
      </c>
      <c r="CW40" t="s">
        <v>374</v>
      </c>
      <c r="CX40" t="s">
        <v>840</v>
      </c>
      <c r="CY40" t="s">
        <v>850</v>
      </c>
      <c r="CZ40">
        <v>165</v>
      </c>
      <c r="DA40">
        <v>18</v>
      </c>
      <c r="DB40">
        <v>66.303030303</v>
      </c>
      <c r="DC40">
        <v>426</v>
      </c>
      <c r="DD40">
        <v>8</v>
      </c>
      <c r="DE40">
        <v>140.7676056338</v>
      </c>
      <c r="DF40">
        <v>117.625</v>
      </c>
      <c r="DH40" t="s">
        <v>374</v>
      </c>
      <c r="DI40" t="s">
        <v>808</v>
      </c>
      <c r="DJ40" t="s">
        <v>818</v>
      </c>
      <c r="DK40">
        <v>126</v>
      </c>
      <c r="DL40">
        <v>24</v>
      </c>
      <c r="DM40">
        <v>68.206349206300004</v>
      </c>
      <c r="DN40">
        <v>360</v>
      </c>
      <c r="DO40">
        <v>14</v>
      </c>
      <c r="DP40">
        <v>128.71944444440001</v>
      </c>
      <c r="DQ40">
        <v>75.857142857100001</v>
      </c>
    </row>
    <row r="41" spans="2:121" x14ac:dyDescent="0.2">
      <c r="B41" t="s">
        <v>102</v>
      </c>
      <c r="C41">
        <v>25007</v>
      </c>
      <c r="D41">
        <v>17185</v>
      </c>
      <c r="F41" t="s">
        <v>59</v>
      </c>
      <c r="G41">
        <v>3499</v>
      </c>
      <c r="H41">
        <v>434.74507002000001</v>
      </c>
      <c r="I41">
        <v>4912</v>
      </c>
      <c r="J41">
        <v>999</v>
      </c>
      <c r="K41">
        <v>6556</v>
      </c>
      <c r="L41">
        <v>3166</v>
      </c>
      <c r="M41">
        <v>1239</v>
      </c>
      <c r="N41">
        <v>867</v>
      </c>
      <c r="O41">
        <v>1930</v>
      </c>
      <c r="P41">
        <v>1344</v>
      </c>
      <c r="Q41">
        <v>2</v>
      </c>
      <c r="R41">
        <v>274</v>
      </c>
      <c r="T41" t="s">
        <v>8</v>
      </c>
      <c r="U41">
        <v>176</v>
      </c>
      <c r="V41">
        <v>97.806818181799997</v>
      </c>
      <c r="W41">
        <v>220</v>
      </c>
      <c r="X41">
        <v>106</v>
      </c>
      <c r="Y41">
        <v>362</v>
      </c>
      <c r="Z41">
        <v>212</v>
      </c>
      <c r="AA41">
        <v>6</v>
      </c>
      <c r="AB41">
        <v>6</v>
      </c>
      <c r="AC41">
        <v>10</v>
      </c>
      <c r="AD41">
        <v>5</v>
      </c>
      <c r="AE41">
        <v>55</v>
      </c>
      <c r="AF41">
        <v>20</v>
      </c>
      <c r="AH41" t="s">
        <v>8</v>
      </c>
      <c r="AI41">
        <v>2985</v>
      </c>
      <c r="AJ41">
        <v>335.40703517589998</v>
      </c>
      <c r="AK41">
        <v>4462</v>
      </c>
      <c r="AL41">
        <v>1724</v>
      </c>
      <c r="AM41">
        <v>4969</v>
      </c>
      <c r="AN41">
        <v>2826</v>
      </c>
      <c r="AO41">
        <v>1509</v>
      </c>
      <c r="AP41">
        <v>1000</v>
      </c>
      <c r="AQ41">
        <v>1326</v>
      </c>
      <c r="AR41">
        <v>846</v>
      </c>
      <c r="AS41">
        <v>494</v>
      </c>
      <c r="AT41">
        <v>126</v>
      </c>
      <c r="AV41" t="s">
        <v>386</v>
      </c>
      <c r="AW41">
        <v>350</v>
      </c>
      <c r="AX41">
        <v>68.131428571399994</v>
      </c>
      <c r="AY41">
        <v>491</v>
      </c>
      <c r="AZ41">
        <v>50</v>
      </c>
      <c r="BA41">
        <v>497</v>
      </c>
      <c r="BB41">
        <v>54</v>
      </c>
      <c r="BC41">
        <v>2</v>
      </c>
      <c r="BD41">
        <v>2</v>
      </c>
      <c r="BE41">
        <v>39</v>
      </c>
      <c r="BF41">
        <v>10</v>
      </c>
      <c r="BG41">
        <v>99</v>
      </c>
      <c r="BH41">
        <v>76</v>
      </c>
      <c r="BJ41" t="s">
        <v>626</v>
      </c>
      <c r="BK41" t="s">
        <v>368</v>
      </c>
      <c r="BL41">
        <v>1469</v>
      </c>
      <c r="BM41">
        <v>177</v>
      </c>
      <c r="BN41">
        <v>72.734513274299999</v>
      </c>
      <c r="BO41">
        <v>4399</v>
      </c>
      <c r="BP41">
        <v>121</v>
      </c>
      <c r="BQ41">
        <v>103.9027051603</v>
      </c>
      <c r="BR41">
        <v>106.2727272727</v>
      </c>
      <c r="BS41">
        <v>1572</v>
      </c>
      <c r="BT41">
        <v>238</v>
      </c>
      <c r="BU41">
        <v>85.907124681900001</v>
      </c>
      <c r="BV41">
        <v>14819</v>
      </c>
      <c r="BW41">
        <v>432</v>
      </c>
      <c r="BX41">
        <v>124.1091841555</v>
      </c>
      <c r="BY41">
        <v>95.576388888899999</v>
      </c>
      <c r="CA41" t="s">
        <v>371</v>
      </c>
      <c r="CB41" t="s">
        <v>855</v>
      </c>
      <c r="CC41" t="s">
        <v>988</v>
      </c>
      <c r="CD41">
        <v>905</v>
      </c>
      <c r="CE41">
        <v>167</v>
      </c>
      <c r="CF41">
        <v>87.180110497200005</v>
      </c>
      <c r="CG41">
        <v>2834</v>
      </c>
      <c r="CH41">
        <v>55</v>
      </c>
      <c r="CI41">
        <v>106.7364149612</v>
      </c>
      <c r="CJ41">
        <v>104.8727272727</v>
      </c>
      <c r="CL41" t="s">
        <v>371</v>
      </c>
      <c r="CM41" t="s">
        <v>824</v>
      </c>
      <c r="CN41" t="s">
        <v>835</v>
      </c>
      <c r="CO41">
        <v>95</v>
      </c>
      <c r="CP41">
        <v>13</v>
      </c>
      <c r="CQ41">
        <v>70.610526315800001</v>
      </c>
      <c r="CR41">
        <v>404</v>
      </c>
      <c r="CS41">
        <v>16</v>
      </c>
      <c r="CT41">
        <v>98.103960396000005</v>
      </c>
      <c r="CU41">
        <v>91.5</v>
      </c>
      <c r="CW41" t="s">
        <v>371</v>
      </c>
      <c r="CX41" t="s">
        <v>840</v>
      </c>
      <c r="CY41" t="s">
        <v>851</v>
      </c>
      <c r="CZ41">
        <v>6</v>
      </c>
      <c r="DA41">
        <v>0</v>
      </c>
      <c r="DB41">
        <v>49.666666666700003</v>
      </c>
      <c r="DC41">
        <v>29</v>
      </c>
      <c r="DD41">
        <v>1</v>
      </c>
      <c r="DE41">
        <v>152.7586206897</v>
      </c>
      <c r="DF41">
        <v>123</v>
      </c>
      <c r="DH41" t="s">
        <v>371</v>
      </c>
      <c r="DI41" t="s">
        <v>808</v>
      </c>
      <c r="DJ41" t="s">
        <v>819</v>
      </c>
      <c r="DK41">
        <v>11</v>
      </c>
      <c r="DL41">
        <v>1</v>
      </c>
      <c r="DM41">
        <v>57.636363636399999</v>
      </c>
      <c r="DN41">
        <v>23</v>
      </c>
      <c r="DO41">
        <v>0</v>
      </c>
      <c r="DP41">
        <v>124.9565217391</v>
      </c>
      <c r="DQ41">
        <v>0</v>
      </c>
    </row>
    <row r="42" spans="2:121" x14ac:dyDescent="0.2">
      <c r="B42" t="s">
        <v>110</v>
      </c>
      <c r="C42">
        <v>959</v>
      </c>
      <c r="D42">
        <v>349</v>
      </c>
      <c r="F42" t="s">
        <v>54</v>
      </c>
      <c r="G42">
        <v>943</v>
      </c>
      <c r="H42">
        <v>255.4199363733</v>
      </c>
      <c r="I42">
        <v>1216</v>
      </c>
      <c r="J42">
        <v>186</v>
      </c>
      <c r="K42">
        <v>1819</v>
      </c>
      <c r="L42">
        <v>758</v>
      </c>
      <c r="M42">
        <v>235</v>
      </c>
      <c r="N42">
        <v>141</v>
      </c>
      <c r="O42">
        <v>134</v>
      </c>
      <c r="P42">
        <v>56</v>
      </c>
      <c r="Q42">
        <v>0</v>
      </c>
      <c r="R42">
        <v>1</v>
      </c>
      <c r="T42" t="s">
        <v>403</v>
      </c>
      <c r="U42">
        <v>1971</v>
      </c>
      <c r="V42">
        <v>64.986301369900005</v>
      </c>
      <c r="W42">
        <v>3109</v>
      </c>
      <c r="X42">
        <v>143</v>
      </c>
      <c r="Y42">
        <v>3643</v>
      </c>
      <c r="Z42">
        <v>434</v>
      </c>
      <c r="AA42">
        <v>13</v>
      </c>
      <c r="AB42">
        <v>11</v>
      </c>
      <c r="AC42">
        <v>190</v>
      </c>
      <c r="AD42">
        <v>82</v>
      </c>
      <c r="AE42">
        <v>3706</v>
      </c>
      <c r="AF42">
        <v>969</v>
      </c>
      <c r="AH42" t="s">
        <v>374</v>
      </c>
      <c r="AI42">
        <v>5026</v>
      </c>
      <c r="AJ42">
        <v>376.50457620370003</v>
      </c>
      <c r="AK42">
        <v>9758</v>
      </c>
      <c r="AL42">
        <v>2846</v>
      </c>
      <c r="AM42">
        <v>11392</v>
      </c>
      <c r="AN42">
        <v>5445</v>
      </c>
      <c r="AO42">
        <v>2396</v>
      </c>
      <c r="AP42">
        <v>1984</v>
      </c>
      <c r="AQ42">
        <v>6468</v>
      </c>
      <c r="AR42">
        <v>5260</v>
      </c>
      <c r="AS42">
        <v>1677</v>
      </c>
      <c r="AT42">
        <v>16</v>
      </c>
      <c r="AV42" t="s">
        <v>372</v>
      </c>
      <c r="AW42">
        <v>212</v>
      </c>
      <c r="AX42">
        <v>105.8726415094</v>
      </c>
      <c r="AY42">
        <v>359</v>
      </c>
      <c r="AZ42">
        <v>52</v>
      </c>
      <c r="BA42">
        <v>280</v>
      </c>
      <c r="BB42">
        <v>89</v>
      </c>
      <c r="BC42">
        <v>0</v>
      </c>
      <c r="BE42">
        <v>19</v>
      </c>
      <c r="BF42">
        <v>4</v>
      </c>
      <c r="BG42">
        <v>27</v>
      </c>
      <c r="BH42">
        <v>48</v>
      </c>
      <c r="BJ42" t="s">
        <v>628</v>
      </c>
      <c r="BK42" t="s">
        <v>368</v>
      </c>
      <c r="BL42">
        <v>518</v>
      </c>
      <c r="BM42">
        <v>121</v>
      </c>
      <c r="BN42">
        <v>93.113899613900003</v>
      </c>
      <c r="BO42">
        <v>1306</v>
      </c>
      <c r="BP42">
        <v>31</v>
      </c>
      <c r="BQ42">
        <v>138.8637059724</v>
      </c>
      <c r="BR42">
        <v>179.87096774189999</v>
      </c>
      <c r="BS42">
        <v>332</v>
      </c>
      <c r="BT42">
        <v>99</v>
      </c>
      <c r="BU42">
        <v>95.424698795200001</v>
      </c>
      <c r="BV42">
        <v>1905</v>
      </c>
      <c r="BW42">
        <v>46</v>
      </c>
      <c r="BX42">
        <v>146.4398950131</v>
      </c>
      <c r="BY42">
        <v>229.91304347830001</v>
      </c>
      <c r="CA42" t="s">
        <v>416</v>
      </c>
      <c r="CB42" t="s">
        <v>855</v>
      </c>
      <c r="CC42" t="s">
        <v>989</v>
      </c>
      <c r="CD42">
        <v>523</v>
      </c>
      <c r="CE42">
        <v>124</v>
      </c>
      <c r="CF42">
        <v>92.820267686400001</v>
      </c>
      <c r="CG42">
        <v>1279</v>
      </c>
      <c r="CH42">
        <v>25</v>
      </c>
      <c r="CI42">
        <v>133.22517591869999</v>
      </c>
      <c r="CJ42">
        <v>188.6</v>
      </c>
      <c r="CL42" t="s">
        <v>416</v>
      </c>
      <c r="CM42" t="s">
        <v>824</v>
      </c>
      <c r="CN42" t="s">
        <v>836</v>
      </c>
      <c r="CO42">
        <v>44</v>
      </c>
      <c r="CP42">
        <v>4</v>
      </c>
      <c r="CQ42">
        <v>58.477272727299997</v>
      </c>
      <c r="CR42">
        <v>143</v>
      </c>
      <c r="CS42">
        <v>4</v>
      </c>
      <c r="CT42">
        <v>100.7902097902</v>
      </c>
      <c r="CU42">
        <v>81.75</v>
      </c>
      <c r="CW42" t="s">
        <v>416</v>
      </c>
      <c r="CX42" t="s">
        <v>840</v>
      </c>
      <c r="CY42" t="s">
        <v>852</v>
      </c>
      <c r="CZ42">
        <v>9</v>
      </c>
      <c r="DA42">
        <v>1</v>
      </c>
      <c r="DB42">
        <v>36.666666666700003</v>
      </c>
      <c r="DC42">
        <v>13</v>
      </c>
      <c r="DD42">
        <v>0</v>
      </c>
      <c r="DE42">
        <v>148.61538461539999</v>
      </c>
      <c r="DF42">
        <v>0</v>
      </c>
      <c r="DH42" t="s">
        <v>416</v>
      </c>
      <c r="DI42" t="s">
        <v>808</v>
      </c>
      <c r="DJ42" t="s">
        <v>820</v>
      </c>
      <c r="DK42">
        <v>11</v>
      </c>
      <c r="DL42">
        <v>1</v>
      </c>
      <c r="DM42">
        <v>55.5454545455</v>
      </c>
      <c r="DN42">
        <v>12</v>
      </c>
      <c r="DO42">
        <v>0</v>
      </c>
      <c r="DP42">
        <v>115.4166666667</v>
      </c>
      <c r="DQ42">
        <v>0</v>
      </c>
    </row>
    <row r="43" spans="2:121" x14ac:dyDescent="0.2">
      <c r="B43" t="s">
        <v>1057</v>
      </c>
      <c r="C43">
        <v>1149</v>
      </c>
      <c r="D43">
        <v>526</v>
      </c>
      <c r="F43" t="s">
        <v>64</v>
      </c>
      <c r="G43">
        <v>2947</v>
      </c>
      <c r="H43">
        <v>250.90397013910001</v>
      </c>
      <c r="I43">
        <v>4909</v>
      </c>
      <c r="J43">
        <v>662</v>
      </c>
      <c r="K43">
        <v>5903</v>
      </c>
      <c r="L43">
        <v>1961</v>
      </c>
      <c r="M43">
        <v>1436</v>
      </c>
      <c r="N43">
        <v>914</v>
      </c>
      <c r="O43">
        <v>1240</v>
      </c>
      <c r="P43">
        <v>761</v>
      </c>
      <c r="Q43">
        <v>0</v>
      </c>
      <c r="R43">
        <v>82</v>
      </c>
      <c r="AH43" t="s">
        <v>426</v>
      </c>
      <c r="AI43">
        <v>1214</v>
      </c>
      <c r="AJ43">
        <v>231.06754530480001</v>
      </c>
      <c r="AK43">
        <v>3033</v>
      </c>
      <c r="AL43">
        <v>660</v>
      </c>
      <c r="AM43">
        <v>4558</v>
      </c>
      <c r="AN43">
        <v>1616</v>
      </c>
      <c r="AO43">
        <v>1009</v>
      </c>
      <c r="AP43">
        <v>819</v>
      </c>
      <c r="AQ43">
        <v>1759</v>
      </c>
      <c r="AR43">
        <v>1261</v>
      </c>
      <c r="AS43">
        <v>423</v>
      </c>
      <c r="AT43">
        <v>2</v>
      </c>
      <c r="AV43" t="s">
        <v>405</v>
      </c>
      <c r="AW43">
        <v>80</v>
      </c>
      <c r="AX43">
        <v>61.225000000000001</v>
      </c>
      <c r="AY43">
        <v>152</v>
      </c>
      <c r="AZ43">
        <v>3</v>
      </c>
      <c r="BA43">
        <v>146</v>
      </c>
      <c r="BB43">
        <v>15</v>
      </c>
      <c r="BC43">
        <v>0</v>
      </c>
      <c r="BE43">
        <v>3</v>
      </c>
      <c r="BG43">
        <v>181</v>
      </c>
      <c r="BH43">
        <v>30</v>
      </c>
      <c r="BJ43" t="s">
        <v>642</v>
      </c>
      <c r="BK43" t="s">
        <v>368</v>
      </c>
      <c r="BL43">
        <v>828</v>
      </c>
      <c r="BM43">
        <v>168</v>
      </c>
      <c r="BN43">
        <v>87.266908212600001</v>
      </c>
      <c r="BO43">
        <v>2101</v>
      </c>
      <c r="BP43">
        <v>56</v>
      </c>
      <c r="BQ43">
        <v>140.38886244650001</v>
      </c>
      <c r="BR43">
        <v>134.9821428571</v>
      </c>
      <c r="BS43">
        <v>200</v>
      </c>
      <c r="BT43">
        <v>127</v>
      </c>
      <c r="BU43">
        <v>166.82499999999999</v>
      </c>
      <c r="BV43">
        <v>1257</v>
      </c>
      <c r="BW43">
        <v>32</v>
      </c>
      <c r="BX43">
        <v>136.25298329360001</v>
      </c>
      <c r="BY43">
        <v>192.09375</v>
      </c>
      <c r="CA43" t="s">
        <v>377</v>
      </c>
      <c r="CB43" t="s">
        <v>855</v>
      </c>
      <c r="CC43" t="s">
        <v>990</v>
      </c>
      <c r="CD43">
        <v>11190</v>
      </c>
      <c r="CE43">
        <v>2005</v>
      </c>
      <c r="CF43">
        <v>83.971671134900006</v>
      </c>
      <c r="CG43">
        <v>30603</v>
      </c>
      <c r="CH43">
        <v>731</v>
      </c>
      <c r="CI43">
        <v>130.07567885500001</v>
      </c>
      <c r="CJ43">
        <v>130.67852257179999</v>
      </c>
      <c r="CL43" t="s">
        <v>377</v>
      </c>
      <c r="CM43" t="s">
        <v>824</v>
      </c>
      <c r="CN43" t="s">
        <v>837</v>
      </c>
      <c r="CO43">
        <v>898</v>
      </c>
      <c r="CP43">
        <v>140</v>
      </c>
      <c r="CQ43">
        <v>71.557906458800005</v>
      </c>
      <c r="CR43">
        <v>2837</v>
      </c>
      <c r="CS43">
        <v>92</v>
      </c>
      <c r="CT43">
        <v>101.5477617201</v>
      </c>
      <c r="CU43">
        <v>110.03260869570001</v>
      </c>
      <c r="CW43" t="s">
        <v>377</v>
      </c>
      <c r="CX43" t="s">
        <v>840</v>
      </c>
      <c r="CY43" t="s">
        <v>853</v>
      </c>
      <c r="CZ43">
        <v>577</v>
      </c>
      <c r="DA43">
        <v>82</v>
      </c>
      <c r="DB43">
        <v>68.175043327599994</v>
      </c>
      <c r="DC43">
        <v>1325</v>
      </c>
      <c r="DD43">
        <v>14</v>
      </c>
      <c r="DE43">
        <v>153.41358490569999</v>
      </c>
      <c r="DF43">
        <v>139.42857142860001</v>
      </c>
      <c r="DH43" t="s">
        <v>377</v>
      </c>
      <c r="DI43" t="s">
        <v>808</v>
      </c>
      <c r="DJ43" t="s">
        <v>821</v>
      </c>
      <c r="DK43">
        <v>858</v>
      </c>
      <c r="DL43">
        <v>89</v>
      </c>
      <c r="DM43">
        <v>53.194638694600002</v>
      </c>
      <c r="DN43">
        <v>2234</v>
      </c>
      <c r="DO43">
        <v>27</v>
      </c>
      <c r="DP43">
        <v>147.017905103</v>
      </c>
      <c r="DQ43">
        <v>124.5185185185</v>
      </c>
    </row>
    <row r="44" spans="2:121" x14ac:dyDescent="0.2">
      <c r="B44" t="s">
        <v>100</v>
      </c>
      <c r="C44">
        <v>345</v>
      </c>
      <c r="D44">
        <v>276</v>
      </c>
      <c r="F44" t="s">
        <v>24</v>
      </c>
      <c r="G44">
        <v>556</v>
      </c>
      <c r="H44">
        <v>161.47482014389999</v>
      </c>
      <c r="I44">
        <v>3793</v>
      </c>
      <c r="J44">
        <v>738</v>
      </c>
      <c r="K44">
        <v>2918</v>
      </c>
      <c r="L44">
        <v>903</v>
      </c>
      <c r="M44">
        <v>964</v>
      </c>
      <c r="N44">
        <v>663</v>
      </c>
      <c r="O44">
        <v>315</v>
      </c>
      <c r="P44">
        <v>157</v>
      </c>
      <c r="Q44">
        <v>0</v>
      </c>
      <c r="R44">
        <v>0</v>
      </c>
      <c r="AH44" t="s">
        <v>371</v>
      </c>
      <c r="AI44">
        <v>234</v>
      </c>
      <c r="AJ44">
        <v>241.01709401709999</v>
      </c>
      <c r="AK44">
        <v>921</v>
      </c>
      <c r="AL44">
        <v>170</v>
      </c>
      <c r="AM44">
        <v>1019</v>
      </c>
      <c r="AN44">
        <v>246</v>
      </c>
      <c r="AO44">
        <v>218</v>
      </c>
      <c r="AP44">
        <v>164</v>
      </c>
      <c r="AQ44">
        <v>227</v>
      </c>
      <c r="AR44">
        <v>131</v>
      </c>
      <c r="AS44">
        <v>198</v>
      </c>
      <c r="AT44">
        <v>3</v>
      </c>
      <c r="AV44" t="s">
        <v>407</v>
      </c>
      <c r="AW44">
        <v>72</v>
      </c>
      <c r="AX44">
        <v>73.125</v>
      </c>
      <c r="AY44">
        <v>99</v>
      </c>
      <c r="AZ44">
        <v>3</v>
      </c>
      <c r="BA44">
        <v>126</v>
      </c>
      <c r="BB44">
        <v>17</v>
      </c>
      <c r="BC44">
        <v>1</v>
      </c>
      <c r="BD44">
        <v>1</v>
      </c>
      <c r="BE44">
        <v>6</v>
      </c>
      <c r="BG44">
        <v>115</v>
      </c>
      <c r="BH44">
        <v>24</v>
      </c>
      <c r="BJ44" t="s">
        <v>542</v>
      </c>
      <c r="BK44" t="s">
        <v>368</v>
      </c>
      <c r="BL44">
        <v>18020</v>
      </c>
      <c r="BM44">
        <v>4100</v>
      </c>
      <c r="BN44">
        <v>90.601109877900001</v>
      </c>
      <c r="BO44">
        <v>42913</v>
      </c>
      <c r="BP44">
        <v>1054</v>
      </c>
      <c r="BQ44">
        <v>142.97073148000001</v>
      </c>
      <c r="BR44">
        <v>131.64231499050001</v>
      </c>
      <c r="BS44">
        <v>4211</v>
      </c>
      <c r="BT44">
        <v>1168</v>
      </c>
      <c r="BU44">
        <v>97.239373070499994</v>
      </c>
      <c r="BV44">
        <v>27295</v>
      </c>
      <c r="BW44">
        <v>669</v>
      </c>
      <c r="BX44">
        <v>141.83033522619999</v>
      </c>
      <c r="BY44">
        <v>145.38266068760001</v>
      </c>
      <c r="CA44" t="s">
        <v>378</v>
      </c>
      <c r="CB44" t="s">
        <v>855</v>
      </c>
      <c r="CC44" t="s">
        <v>991</v>
      </c>
      <c r="CD44">
        <v>2472</v>
      </c>
      <c r="CE44">
        <v>434</v>
      </c>
      <c r="CF44">
        <v>80.601537216799997</v>
      </c>
      <c r="CG44">
        <v>8064</v>
      </c>
      <c r="CH44">
        <v>163</v>
      </c>
      <c r="CI44">
        <v>116.7942708333</v>
      </c>
      <c r="CJ44">
        <v>116.89570552150001</v>
      </c>
      <c r="CL44" t="s">
        <v>378</v>
      </c>
      <c r="CM44" t="s">
        <v>824</v>
      </c>
      <c r="CN44" t="s">
        <v>838</v>
      </c>
      <c r="CO44">
        <v>234</v>
      </c>
      <c r="CP44">
        <v>25</v>
      </c>
      <c r="CQ44">
        <v>63.743589743599998</v>
      </c>
      <c r="CR44">
        <v>934</v>
      </c>
      <c r="CS44">
        <v>26</v>
      </c>
      <c r="CT44">
        <v>99.638115631700003</v>
      </c>
      <c r="CU44">
        <v>108.5769230769</v>
      </c>
      <c r="CW44" t="s">
        <v>378</v>
      </c>
      <c r="CX44" t="s">
        <v>840</v>
      </c>
      <c r="CY44" t="s">
        <v>854</v>
      </c>
      <c r="CZ44">
        <v>22</v>
      </c>
      <c r="DA44">
        <v>4</v>
      </c>
      <c r="DB44">
        <v>69.363636363599994</v>
      </c>
      <c r="DC44">
        <v>46</v>
      </c>
      <c r="DD44">
        <v>0</v>
      </c>
      <c r="DE44">
        <v>140.21739130430001</v>
      </c>
      <c r="DF44">
        <v>0</v>
      </c>
      <c r="DH44" t="s">
        <v>378</v>
      </c>
      <c r="DI44" t="s">
        <v>808</v>
      </c>
      <c r="DJ44" t="s">
        <v>822</v>
      </c>
      <c r="DK44">
        <v>14</v>
      </c>
      <c r="DL44">
        <v>2</v>
      </c>
      <c r="DM44">
        <v>56.5</v>
      </c>
      <c r="DN44">
        <v>77</v>
      </c>
      <c r="DO44">
        <v>2</v>
      </c>
      <c r="DP44">
        <v>125.0649350649</v>
      </c>
      <c r="DQ44">
        <v>103.5</v>
      </c>
    </row>
    <row r="45" spans="2:121" x14ac:dyDescent="0.2">
      <c r="B45" t="s">
        <v>92</v>
      </c>
      <c r="C45">
        <v>4</v>
      </c>
      <c r="D45">
        <v>1</v>
      </c>
      <c r="F45" t="s">
        <v>39</v>
      </c>
      <c r="G45">
        <v>7254</v>
      </c>
      <c r="H45">
        <v>325.54204576789999</v>
      </c>
      <c r="I45">
        <v>9616</v>
      </c>
      <c r="J45">
        <v>2450</v>
      </c>
      <c r="K45">
        <v>13922</v>
      </c>
      <c r="L45">
        <v>8081</v>
      </c>
      <c r="M45">
        <v>2869</v>
      </c>
      <c r="N45">
        <v>2288</v>
      </c>
      <c r="O45">
        <v>1600</v>
      </c>
      <c r="P45">
        <v>1068</v>
      </c>
      <c r="Q45">
        <v>1</v>
      </c>
      <c r="R45">
        <v>60</v>
      </c>
      <c r="AH45" t="s">
        <v>382</v>
      </c>
      <c r="AI45">
        <v>6723</v>
      </c>
      <c r="AJ45">
        <v>337.14264465270003</v>
      </c>
      <c r="AK45">
        <v>10093</v>
      </c>
      <c r="AL45">
        <v>2607</v>
      </c>
      <c r="AM45">
        <v>12630</v>
      </c>
      <c r="AN45">
        <v>7032</v>
      </c>
      <c r="AO45">
        <v>3114</v>
      </c>
      <c r="AP45">
        <v>2446</v>
      </c>
      <c r="AQ45">
        <v>3786</v>
      </c>
      <c r="AR45">
        <v>2534</v>
      </c>
      <c r="AS45">
        <v>756</v>
      </c>
      <c r="AT45">
        <v>64</v>
      </c>
      <c r="AV45" t="s">
        <v>380</v>
      </c>
      <c r="AW45">
        <v>1253</v>
      </c>
      <c r="AX45">
        <v>106.3447725459</v>
      </c>
      <c r="AY45">
        <v>1503</v>
      </c>
      <c r="AZ45">
        <v>252</v>
      </c>
      <c r="BA45">
        <v>1708</v>
      </c>
      <c r="BB45">
        <v>630</v>
      </c>
      <c r="BC45">
        <v>2</v>
      </c>
      <c r="BD45">
        <v>2</v>
      </c>
      <c r="BE45">
        <v>86</v>
      </c>
      <c r="BF45">
        <v>28</v>
      </c>
      <c r="BG45">
        <v>209</v>
      </c>
      <c r="BH45">
        <v>384</v>
      </c>
      <c r="BJ45" t="s">
        <v>8</v>
      </c>
      <c r="BK45" t="s">
        <v>8</v>
      </c>
      <c r="BL45">
        <v>108</v>
      </c>
      <c r="BM45">
        <v>88</v>
      </c>
      <c r="BN45">
        <v>182.7222222222</v>
      </c>
      <c r="BO45">
        <v>572</v>
      </c>
      <c r="BP45">
        <v>3</v>
      </c>
      <c r="BQ45">
        <v>228.93706293709999</v>
      </c>
      <c r="BR45">
        <v>305.6666666667</v>
      </c>
      <c r="BS45">
        <v>225935</v>
      </c>
      <c r="BT45">
        <v>41048</v>
      </c>
      <c r="BU45">
        <v>84.655679730900005</v>
      </c>
      <c r="BV45">
        <v>17</v>
      </c>
      <c r="BW45">
        <v>2</v>
      </c>
      <c r="BX45">
        <v>136.6470588235</v>
      </c>
      <c r="BY45">
        <v>65.5</v>
      </c>
      <c r="CA45" t="s">
        <v>368</v>
      </c>
      <c r="CB45" t="s">
        <v>855</v>
      </c>
      <c r="CD45">
        <v>71799</v>
      </c>
      <c r="CE45">
        <v>16254</v>
      </c>
      <c r="CF45">
        <v>93.709954177599997</v>
      </c>
      <c r="CG45">
        <v>189593</v>
      </c>
      <c r="CH45">
        <v>4478</v>
      </c>
      <c r="CI45">
        <v>131.43062243860001</v>
      </c>
      <c r="CJ45">
        <v>130.47498883430001</v>
      </c>
      <c r="CL45" t="s">
        <v>368</v>
      </c>
      <c r="CM45" t="s">
        <v>824</v>
      </c>
      <c r="CO45">
        <v>7112</v>
      </c>
      <c r="CP45">
        <v>940</v>
      </c>
      <c r="CQ45">
        <v>69.5449943757</v>
      </c>
      <c r="CR45">
        <v>25729</v>
      </c>
      <c r="CS45">
        <v>813</v>
      </c>
      <c r="CT45">
        <v>98.323603715700003</v>
      </c>
      <c r="CU45">
        <v>105.8105781058</v>
      </c>
      <c r="CW45" t="s">
        <v>368</v>
      </c>
      <c r="CX45" t="s">
        <v>840</v>
      </c>
      <c r="CZ45">
        <v>1956</v>
      </c>
      <c r="DA45">
        <v>237</v>
      </c>
      <c r="DB45">
        <v>65.156952965200006</v>
      </c>
      <c r="DC45">
        <v>4776</v>
      </c>
      <c r="DD45">
        <v>86</v>
      </c>
      <c r="DE45">
        <v>146.96566164149999</v>
      </c>
      <c r="DF45">
        <v>135.13953488370001</v>
      </c>
      <c r="DH45" t="s">
        <v>368</v>
      </c>
      <c r="DI45" t="s">
        <v>808</v>
      </c>
      <c r="DK45">
        <v>2420</v>
      </c>
      <c r="DL45">
        <v>245</v>
      </c>
      <c r="DM45">
        <v>53.837190082600003</v>
      </c>
      <c r="DN45">
        <v>6513</v>
      </c>
      <c r="DO45">
        <v>106</v>
      </c>
      <c r="DP45">
        <v>140.71057884230001</v>
      </c>
      <c r="DQ45">
        <v>101.1603773585</v>
      </c>
    </row>
    <row r="46" spans="2:121" x14ac:dyDescent="0.2">
      <c r="B46" t="s">
        <v>101</v>
      </c>
      <c r="C46">
        <v>131351</v>
      </c>
      <c r="D46">
        <v>82145</v>
      </c>
      <c r="F46" t="s">
        <v>79</v>
      </c>
      <c r="G46">
        <v>9830</v>
      </c>
      <c r="H46">
        <v>294.678636826</v>
      </c>
      <c r="I46">
        <v>17075</v>
      </c>
      <c r="J46">
        <v>2974</v>
      </c>
      <c r="K46">
        <v>16600</v>
      </c>
      <c r="L46">
        <v>6914</v>
      </c>
      <c r="M46">
        <v>3567</v>
      </c>
      <c r="N46">
        <v>2337</v>
      </c>
      <c r="O46">
        <v>8654</v>
      </c>
      <c r="P46">
        <v>4183</v>
      </c>
      <c r="Q46">
        <v>3</v>
      </c>
      <c r="R46">
        <v>219</v>
      </c>
      <c r="AH46" t="s">
        <v>419</v>
      </c>
      <c r="AI46">
        <v>337</v>
      </c>
      <c r="AJ46">
        <v>161.0652818991</v>
      </c>
      <c r="AK46">
        <v>1057</v>
      </c>
      <c r="AL46">
        <v>256</v>
      </c>
      <c r="AM46">
        <v>1170</v>
      </c>
      <c r="AN46">
        <v>149</v>
      </c>
      <c r="AO46">
        <v>327</v>
      </c>
      <c r="AP46">
        <v>129</v>
      </c>
      <c r="AQ46">
        <v>181</v>
      </c>
      <c r="AR46">
        <v>101</v>
      </c>
      <c r="AS46">
        <v>3</v>
      </c>
      <c r="AT46">
        <v>0</v>
      </c>
      <c r="AV46" t="s">
        <v>409</v>
      </c>
      <c r="AW46">
        <v>1002</v>
      </c>
      <c r="AX46">
        <v>66.916167664699998</v>
      </c>
      <c r="AY46">
        <v>1345</v>
      </c>
      <c r="AZ46">
        <v>58</v>
      </c>
      <c r="BA46">
        <v>1695</v>
      </c>
      <c r="BB46">
        <v>135</v>
      </c>
      <c r="BC46">
        <v>7</v>
      </c>
      <c r="BD46">
        <v>6</v>
      </c>
      <c r="BE46">
        <v>87</v>
      </c>
      <c r="BF46">
        <v>32</v>
      </c>
      <c r="BG46">
        <v>1634</v>
      </c>
      <c r="BH46">
        <v>522</v>
      </c>
      <c r="BJ46" t="s">
        <v>685</v>
      </c>
      <c r="BK46" t="s">
        <v>8</v>
      </c>
      <c r="BL46">
        <v>108</v>
      </c>
      <c r="BM46">
        <v>88</v>
      </c>
      <c r="BN46">
        <v>182.7222222222</v>
      </c>
      <c r="BO46">
        <v>572</v>
      </c>
      <c r="BP46">
        <v>3</v>
      </c>
      <c r="BQ46">
        <v>228.93706293709999</v>
      </c>
      <c r="BR46">
        <v>305.6666666667</v>
      </c>
      <c r="BS46">
        <v>225935</v>
      </c>
      <c r="BT46">
        <v>41048</v>
      </c>
      <c r="BU46">
        <v>84.655679730900005</v>
      </c>
      <c r="BV46">
        <v>17</v>
      </c>
      <c r="BW46">
        <v>2</v>
      </c>
      <c r="BX46">
        <v>136.6470588235</v>
      </c>
      <c r="BY46">
        <v>65.5</v>
      </c>
      <c r="CA46" t="s">
        <v>8</v>
      </c>
      <c r="CB46" t="s">
        <v>685</v>
      </c>
      <c r="CC46" t="s">
        <v>685</v>
      </c>
      <c r="CD46">
        <v>3638</v>
      </c>
      <c r="CE46">
        <v>1287</v>
      </c>
      <c r="CF46">
        <v>118.102528862</v>
      </c>
      <c r="CG46">
        <v>7992</v>
      </c>
      <c r="CH46">
        <v>202</v>
      </c>
      <c r="CI46">
        <v>170.48385885889999</v>
      </c>
      <c r="CJ46">
        <v>161.2524752475</v>
      </c>
      <c r="CL46" t="s">
        <v>8</v>
      </c>
      <c r="CM46" t="s">
        <v>857</v>
      </c>
      <c r="CN46" t="s">
        <v>857</v>
      </c>
      <c r="CO46">
        <v>233</v>
      </c>
      <c r="CP46">
        <v>47</v>
      </c>
      <c r="CQ46">
        <v>96.124463519299994</v>
      </c>
      <c r="CR46">
        <v>770</v>
      </c>
      <c r="CS46">
        <v>21</v>
      </c>
      <c r="CT46">
        <v>100.55844155840001</v>
      </c>
      <c r="CU46">
        <v>143.76190476190001</v>
      </c>
      <c r="CW46" t="s">
        <v>8</v>
      </c>
      <c r="CX46" t="s">
        <v>858</v>
      </c>
      <c r="CY46" t="s">
        <v>858</v>
      </c>
      <c r="CZ46">
        <v>39</v>
      </c>
      <c r="DA46">
        <v>3</v>
      </c>
      <c r="DB46">
        <v>57.384615384600004</v>
      </c>
      <c r="DC46">
        <v>54</v>
      </c>
      <c r="DD46">
        <v>3</v>
      </c>
      <c r="DE46">
        <v>140.3888888889</v>
      </c>
      <c r="DF46">
        <v>151.3333333333</v>
      </c>
      <c r="DH46" t="s">
        <v>8</v>
      </c>
      <c r="DI46" t="s">
        <v>856</v>
      </c>
      <c r="DJ46" t="s">
        <v>856</v>
      </c>
      <c r="DK46">
        <v>99</v>
      </c>
      <c r="DL46">
        <v>8</v>
      </c>
      <c r="DM46">
        <v>52.121212121200003</v>
      </c>
      <c r="DN46">
        <v>141</v>
      </c>
      <c r="DO46">
        <v>3</v>
      </c>
      <c r="DP46">
        <v>115.0354609929</v>
      </c>
      <c r="DQ46">
        <v>115.6666666667</v>
      </c>
    </row>
    <row r="47" spans="2:121" x14ac:dyDescent="0.2">
      <c r="B47" t="s">
        <v>125</v>
      </c>
      <c r="C47">
        <v>35366</v>
      </c>
      <c r="D47">
        <v>7830</v>
      </c>
      <c r="F47" t="s">
        <v>57</v>
      </c>
      <c r="G47">
        <v>9933</v>
      </c>
      <c r="H47">
        <v>348.87073391720003</v>
      </c>
      <c r="I47">
        <v>7645</v>
      </c>
      <c r="J47">
        <v>1882</v>
      </c>
      <c r="K47">
        <v>13857</v>
      </c>
      <c r="L47">
        <v>8046</v>
      </c>
      <c r="M47">
        <v>4073</v>
      </c>
      <c r="N47">
        <v>3726</v>
      </c>
      <c r="O47">
        <v>1614</v>
      </c>
      <c r="P47">
        <v>658</v>
      </c>
      <c r="Q47">
        <v>1</v>
      </c>
      <c r="R47">
        <v>418</v>
      </c>
      <c r="AH47" t="s">
        <v>383</v>
      </c>
      <c r="AI47">
        <v>4225</v>
      </c>
      <c r="AJ47">
        <v>281.8809467456</v>
      </c>
      <c r="AK47">
        <v>9526</v>
      </c>
      <c r="AL47">
        <v>1638</v>
      </c>
      <c r="AM47">
        <v>9612</v>
      </c>
      <c r="AN47">
        <v>3634</v>
      </c>
      <c r="AO47">
        <v>2810</v>
      </c>
      <c r="AP47">
        <v>2226</v>
      </c>
      <c r="AQ47">
        <v>3171</v>
      </c>
      <c r="AR47">
        <v>2135</v>
      </c>
      <c r="AS47">
        <v>760</v>
      </c>
      <c r="AT47">
        <v>290</v>
      </c>
      <c r="AV47" t="s">
        <v>391</v>
      </c>
      <c r="AW47">
        <v>228</v>
      </c>
      <c r="AX47">
        <v>71.346491228100007</v>
      </c>
      <c r="AY47">
        <v>618</v>
      </c>
      <c r="AZ47">
        <v>85</v>
      </c>
      <c r="BA47">
        <v>432</v>
      </c>
      <c r="BB47">
        <v>39</v>
      </c>
      <c r="BC47">
        <v>2</v>
      </c>
      <c r="BD47">
        <v>2</v>
      </c>
      <c r="BE47">
        <v>38</v>
      </c>
      <c r="BF47">
        <v>13</v>
      </c>
      <c r="BG47">
        <v>65</v>
      </c>
      <c r="BH47">
        <v>84</v>
      </c>
      <c r="BJ47" t="s">
        <v>585</v>
      </c>
      <c r="BK47" t="s">
        <v>403</v>
      </c>
      <c r="BL47">
        <v>2972</v>
      </c>
      <c r="BM47">
        <v>643</v>
      </c>
      <c r="BN47">
        <v>89.576043068600001</v>
      </c>
      <c r="BO47">
        <v>7685</v>
      </c>
      <c r="BP47">
        <v>152</v>
      </c>
      <c r="BQ47">
        <v>133.86115810019999</v>
      </c>
      <c r="BR47">
        <v>132.2697368421</v>
      </c>
      <c r="BS47">
        <v>728</v>
      </c>
      <c r="BT47">
        <v>237</v>
      </c>
      <c r="BU47">
        <v>109.04532967030001</v>
      </c>
      <c r="BV47">
        <v>8052</v>
      </c>
      <c r="BW47">
        <v>275</v>
      </c>
      <c r="BX47">
        <v>130.99677098859999</v>
      </c>
      <c r="BY47">
        <v>119.27636363640001</v>
      </c>
      <c r="CA47" t="s">
        <v>8</v>
      </c>
      <c r="CB47" t="s">
        <v>685</v>
      </c>
      <c r="CC47" t="s">
        <v>685</v>
      </c>
      <c r="CD47">
        <v>3638</v>
      </c>
      <c r="CE47">
        <v>1287</v>
      </c>
      <c r="CF47">
        <v>118.102528862</v>
      </c>
      <c r="CG47">
        <v>7992</v>
      </c>
      <c r="CH47">
        <v>202</v>
      </c>
      <c r="CI47">
        <v>170.48385885889999</v>
      </c>
      <c r="CJ47">
        <v>161.2524752475</v>
      </c>
      <c r="CL47" t="s">
        <v>8</v>
      </c>
      <c r="CM47" t="s">
        <v>857</v>
      </c>
      <c r="CN47" t="s">
        <v>857</v>
      </c>
      <c r="CO47">
        <v>233</v>
      </c>
      <c r="CP47">
        <v>47</v>
      </c>
      <c r="CQ47">
        <v>96.124463519299994</v>
      </c>
      <c r="CR47">
        <v>770</v>
      </c>
      <c r="CS47">
        <v>21</v>
      </c>
      <c r="CT47">
        <v>100.55844155840001</v>
      </c>
      <c r="CU47">
        <v>143.76190476190001</v>
      </c>
      <c r="CW47" t="s">
        <v>8</v>
      </c>
      <c r="CX47" t="s">
        <v>858</v>
      </c>
      <c r="CY47" t="s">
        <v>858</v>
      </c>
      <c r="CZ47">
        <v>39</v>
      </c>
      <c r="DA47">
        <v>3</v>
      </c>
      <c r="DB47">
        <v>57.384615384600004</v>
      </c>
      <c r="DC47">
        <v>54</v>
      </c>
      <c r="DD47">
        <v>3</v>
      </c>
      <c r="DE47">
        <v>140.3888888889</v>
      </c>
      <c r="DF47">
        <v>151.3333333333</v>
      </c>
      <c r="DH47" t="s">
        <v>8</v>
      </c>
      <c r="DI47" t="s">
        <v>856</v>
      </c>
      <c r="DJ47" t="s">
        <v>856</v>
      </c>
      <c r="DK47">
        <v>99</v>
      </c>
      <c r="DL47">
        <v>8</v>
      </c>
      <c r="DM47">
        <v>52.121212121200003</v>
      </c>
      <c r="DN47">
        <v>141</v>
      </c>
      <c r="DO47">
        <v>3</v>
      </c>
      <c r="DP47">
        <v>115.0354609929</v>
      </c>
      <c r="DQ47">
        <v>115.6666666667</v>
      </c>
    </row>
    <row r="48" spans="2:121" x14ac:dyDescent="0.2">
      <c r="B48" t="s">
        <v>104</v>
      </c>
      <c r="C48">
        <v>34589</v>
      </c>
      <c r="D48">
        <v>24056</v>
      </c>
      <c r="F48" t="s">
        <v>33</v>
      </c>
      <c r="G48">
        <v>7731</v>
      </c>
      <c r="H48">
        <v>699.33229853839998</v>
      </c>
      <c r="I48">
        <v>5488</v>
      </c>
      <c r="J48">
        <v>1271</v>
      </c>
      <c r="K48">
        <v>10574</v>
      </c>
      <c r="L48">
        <v>7399</v>
      </c>
      <c r="M48">
        <v>3420</v>
      </c>
      <c r="N48">
        <v>3076</v>
      </c>
      <c r="O48">
        <v>1507</v>
      </c>
      <c r="P48">
        <v>1217</v>
      </c>
      <c r="Q48">
        <v>0</v>
      </c>
      <c r="R48">
        <v>7</v>
      </c>
      <c r="AH48" t="s">
        <v>409</v>
      </c>
      <c r="AI48">
        <v>22255</v>
      </c>
      <c r="AJ48">
        <v>326.66982700519998</v>
      </c>
      <c r="AK48">
        <v>37267</v>
      </c>
      <c r="AL48">
        <v>7586</v>
      </c>
      <c r="AM48">
        <v>41024</v>
      </c>
      <c r="AN48">
        <v>19551</v>
      </c>
      <c r="AO48">
        <v>9575</v>
      </c>
      <c r="AP48">
        <v>7060</v>
      </c>
      <c r="AQ48">
        <v>19579</v>
      </c>
      <c r="AR48">
        <v>11532</v>
      </c>
      <c r="AS48">
        <v>21</v>
      </c>
      <c r="AT48">
        <v>444</v>
      </c>
      <c r="AV48" t="s">
        <v>392</v>
      </c>
      <c r="AW48">
        <v>221</v>
      </c>
      <c r="AX48">
        <v>68.9819004525</v>
      </c>
      <c r="AY48">
        <v>431</v>
      </c>
      <c r="AZ48">
        <v>56</v>
      </c>
      <c r="BA48">
        <v>415</v>
      </c>
      <c r="BB48">
        <v>52</v>
      </c>
      <c r="BC48">
        <v>2</v>
      </c>
      <c r="BD48">
        <v>1</v>
      </c>
      <c r="BE48">
        <v>50</v>
      </c>
      <c r="BF48">
        <v>9</v>
      </c>
      <c r="BG48">
        <v>84</v>
      </c>
      <c r="BH48">
        <v>67</v>
      </c>
      <c r="BJ48" t="s">
        <v>644</v>
      </c>
      <c r="BK48" t="s">
        <v>403</v>
      </c>
      <c r="BL48">
        <v>1151</v>
      </c>
      <c r="BM48">
        <v>278</v>
      </c>
      <c r="BN48">
        <v>97.583840139000003</v>
      </c>
      <c r="BO48">
        <v>2803</v>
      </c>
      <c r="BP48">
        <v>88</v>
      </c>
      <c r="BQ48">
        <v>139.66357474130001</v>
      </c>
      <c r="BR48">
        <v>146.3522727273</v>
      </c>
      <c r="BS48">
        <v>393</v>
      </c>
      <c r="BT48">
        <v>177</v>
      </c>
      <c r="BU48">
        <v>118.7455470738</v>
      </c>
      <c r="BV48">
        <v>2222</v>
      </c>
      <c r="BW48">
        <v>30</v>
      </c>
      <c r="BX48">
        <v>149.00945094510001</v>
      </c>
      <c r="BY48">
        <v>180.76666666669999</v>
      </c>
      <c r="CA48" t="s">
        <v>8</v>
      </c>
      <c r="CB48" t="s">
        <v>685</v>
      </c>
      <c r="CC48" t="s">
        <v>685</v>
      </c>
      <c r="CD48">
        <v>3638</v>
      </c>
      <c r="CE48">
        <v>1287</v>
      </c>
      <c r="CF48">
        <v>118.102528862</v>
      </c>
      <c r="CG48">
        <v>7992</v>
      </c>
      <c r="CH48">
        <v>202</v>
      </c>
      <c r="CI48">
        <v>170.48385885889999</v>
      </c>
      <c r="CJ48">
        <v>161.2524752475</v>
      </c>
      <c r="CL48" t="s">
        <v>8</v>
      </c>
      <c r="CM48" t="s">
        <v>857</v>
      </c>
      <c r="CN48" t="s">
        <v>857</v>
      </c>
      <c r="CO48">
        <v>233</v>
      </c>
      <c r="CP48">
        <v>47</v>
      </c>
      <c r="CQ48">
        <v>96.124463519299994</v>
      </c>
      <c r="CR48">
        <v>770</v>
      </c>
      <c r="CS48">
        <v>21</v>
      </c>
      <c r="CT48">
        <v>100.55844155840001</v>
      </c>
      <c r="CU48">
        <v>143.76190476190001</v>
      </c>
      <c r="CW48" t="s">
        <v>8</v>
      </c>
      <c r="CX48" t="s">
        <v>858</v>
      </c>
      <c r="CY48" t="s">
        <v>858</v>
      </c>
      <c r="CZ48">
        <v>39</v>
      </c>
      <c r="DA48">
        <v>3</v>
      </c>
      <c r="DB48">
        <v>57.384615384600004</v>
      </c>
      <c r="DC48">
        <v>54</v>
      </c>
      <c r="DD48">
        <v>3</v>
      </c>
      <c r="DE48">
        <v>140.3888888889</v>
      </c>
      <c r="DF48">
        <v>151.3333333333</v>
      </c>
      <c r="DH48" t="s">
        <v>8</v>
      </c>
      <c r="DI48" t="s">
        <v>856</v>
      </c>
      <c r="DJ48" t="s">
        <v>856</v>
      </c>
      <c r="DK48">
        <v>99</v>
      </c>
      <c r="DL48">
        <v>8</v>
      </c>
      <c r="DM48">
        <v>52.121212121200003</v>
      </c>
      <c r="DN48">
        <v>141</v>
      </c>
      <c r="DO48">
        <v>3</v>
      </c>
      <c r="DP48">
        <v>115.0354609929</v>
      </c>
      <c r="DQ48">
        <v>115.6666666667</v>
      </c>
    </row>
    <row r="49" spans="2:121" x14ac:dyDescent="0.2">
      <c r="B49" t="s">
        <v>124</v>
      </c>
      <c r="C49">
        <v>254</v>
      </c>
      <c r="D49">
        <v>91</v>
      </c>
      <c r="F49" t="s">
        <v>35</v>
      </c>
      <c r="G49">
        <v>3245</v>
      </c>
      <c r="H49">
        <v>610.48844375960005</v>
      </c>
      <c r="I49">
        <v>3238</v>
      </c>
      <c r="J49">
        <v>666</v>
      </c>
      <c r="K49">
        <v>6663</v>
      </c>
      <c r="L49">
        <v>3557</v>
      </c>
      <c r="M49">
        <v>2563</v>
      </c>
      <c r="N49">
        <v>2094</v>
      </c>
      <c r="O49">
        <v>553</v>
      </c>
      <c r="P49">
        <v>474</v>
      </c>
      <c r="Q49">
        <v>0</v>
      </c>
      <c r="R49">
        <v>4</v>
      </c>
      <c r="AH49" t="s">
        <v>405</v>
      </c>
      <c r="AI49">
        <v>678</v>
      </c>
      <c r="AJ49">
        <v>223.592920354</v>
      </c>
      <c r="AK49">
        <v>1858</v>
      </c>
      <c r="AL49">
        <v>446</v>
      </c>
      <c r="AM49">
        <v>2035</v>
      </c>
      <c r="AN49">
        <v>467</v>
      </c>
      <c r="AO49">
        <v>578</v>
      </c>
      <c r="AP49">
        <v>305</v>
      </c>
      <c r="AQ49">
        <v>576</v>
      </c>
      <c r="AR49">
        <v>315</v>
      </c>
      <c r="AS49">
        <v>1</v>
      </c>
      <c r="AT49">
        <v>5</v>
      </c>
      <c r="AV49" t="s">
        <v>60</v>
      </c>
      <c r="AW49">
        <v>1075</v>
      </c>
      <c r="AX49">
        <v>100.65395348840001</v>
      </c>
      <c r="AY49">
        <v>1864</v>
      </c>
      <c r="AZ49">
        <v>343</v>
      </c>
      <c r="BA49">
        <v>1552</v>
      </c>
      <c r="BB49">
        <v>438</v>
      </c>
      <c r="BC49">
        <v>5</v>
      </c>
      <c r="BD49">
        <v>5</v>
      </c>
      <c r="BE49">
        <v>51</v>
      </c>
      <c r="BF49">
        <v>19</v>
      </c>
      <c r="BG49">
        <v>190</v>
      </c>
      <c r="BH49">
        <v>270</v>
      </c>
      <c r="BJ49" t="s">
        <v>600</v>
      </c>
      <c r="BK49" t="s">
        <v>403</v>
      </c>
      <c r="BL49">
        <v>1707</v>
      </c>
      <c r="BM49">
        <v>449</v>
      </c>
      <c r="BN49">
        <v>96.5202108963</v>
      </c>
      <c r="BO49">
        <v>3962</v>
      </c>
      <c r="BP49">
        <v>102</v>
      </c>
      <c r="BQ49">
        <v>116.8649671883</v>
      </c>
      <c r="BR49">
        <v>134.4117647059</v>
      </c>
      <c r="BS49">
        <v>1057</v>
      </c>
      <c r="BT49">
        <v>348</v>
      </c>
      <c r="BU49">
        <v>107.38126773889999</v>
      </c>
      <c r="BV49">
        <v>5467</v>
      </c>
      <c r="BW49">
        <v>172</v>
      </c>
      <c r="BX49">
        <v>118.6034388147</v>
      </c>
      <c r="BY49">
        <v>130.7558139535</v>
      </c>
      <c r="CA49" t="s">
        <v>8</v>
      </c>
      <c r="CB49" t="s">
        <v>685</v>
      </c>
      <c r="CD49">
        <v>3638</v>
      </c>
      <c r="CE49">
        <v>1287</v>
      </c>
      <c r="CF49">
        <v>118.102528862</v>
      </c>
      <c r="CG49">
        <v>7992</v>
      </c>
      <c r="CH49">
        <v>202</v>
      </c>
      <c r="CI49">
        <v>170.48385885889999</v>
      </c>
      <c r="CJ49">
        <v>161.2524752475</v>
      </c>
      <c r="CL49" t="s">
        <v>8</v>
      </c>
      <c r="CM49" t="s">
        <v>857</v>
      </c>
      <c r="CO49">
        <v>233</v>
      </c>
      <c r="CP49">
        <v>47</v>
      </c>
      <c r="CQ49">
        <v>96.124463519299994</v>
      </c>
      <c r="CR49">
        <v>770</v>
      </c>
      <c r="CS49">
        <v>21</v>
      </c>
      <c r="CT49">
        <v>100.55844155840001</v>
      </c>
      <c r="CU49">
        <v>143.76190476190001</v>
      </c>
      <c r="CW49" t="s">
        <v>8</v>
      </c>
      <c r="CX49" t="s">
        <v>858</v>
      </c>
      <c r="CZ49">
        <v>39</v>
      </c>
      <c r="DA49">
        <v>3</v>
      </c>
      <c r="DB49">
        <v>57.384615384600004</v>
      </c>
      <c r="DC49">
        <v>54</v>
      </c>
      <c r="DD49">
        <v>3</v>
      </c>
      <c r="DE49">
        <v>140.3888888889</v>
      </c>
      <c r="DF49">
        <v>151.3333333333</v>
      </c>
      <c r="DH49" t="s">
        <v>8</v>
      </c>
      <c r="DI49" t="s">
        <v>856</v>
      </c>
      <c r="DK49">
        <v>99</v>
      </c>
      <c r="DL49">
        <v>8</v>
      </c>
      <c r="DM49">
        <v>52.121212121200003</v>
      </c>
      <c r="DN49">
        <v>141</v>
      </c>
      <c r="DO49">
        <v>3</v>
      </c>
      <c r="DP49">
        <v>115.0354609929</v>
      </c>
      <c r="DQ49">
        <v>115.6666666667</v>
      </c>
    </row>
    <row r="50" spans="2:121" x14ac:dyDescent="0.2">
      <c r="B50" t="s">
        <v>120</v>
      </c>
      <c r="C50">
        <v>189</v>
      </c>
      <c r="D50">
        <v>189</v>
      </c>
      <c r="F50" t="s">
        <v>34</v>
      </c>
      <c r="G50">
        <v>342</v>
      </c>
      <c r="H50">
        <v>75.909356725099997</v>
      </c>
      <c r="I50">
        <v>1697</v>
      </c>
      <c r="J50">
        <v>446</v>
      </c>
      <c r="K50">
        <v>1194</v>
      </c>
      <c r="L50">
        <v>111</v>
      </c>
      <c r="M50">
        <v>171</v>
      </c>
      <c r="N50">
        <v>33</v>
      </c>
      <c r="O50">
        <v>131</v>
      </c>
      <c r="P50">
        <v>78</v>
      </c>
      <c r="Q50">
        <v>0</v>
      </c>
      <c r="R50">
        <v>4</v>
      </c>
      <c r="AH50" t="s">
        <v>416</v>
      </c>
      <c r="AI50">
        <v>412</v>
      </c>
      <c r="AJ50">
        <v>335.604368932</v>
      </c>
      <c r="AK50">
        <v>532</v>
      </c>
      <c r="AL50">
        <v>125</v>
      </c>
      <c r="AM50">
        <v>1054</v>
      </c>
      <c r="AN50">
        <v>414</v>
      </c>
      <c r="AO50">
        <v>240</v>
      </c>
      <c r="AP50">
        <v>185</v>
      </c>
      <c r="AQ50">
        <v>192</v>
      </c>
      <c r="AR50">
        <v>109</v>
      </c>
      <c r="AS50">
        <v>78</v>
      </c>
      <c r="AT50">
        <v>2</v>
      </c>
      <c r="AV50" t="s">
        <v>378</v>
      </c>
      <c r="AW50">
        <v>285</v>
      </c>
      <c r="AX50">
        <v>110.5263157895</v>
      </c>
      <c r="AY50">
        <v>228</v>
      </c>
      <c r="AZ50">
        <v>33</v>
      </c>
      <c r="BA50">
        <v>376</v>
      </c>
      <c r="BB50">
        <v>130</v>
      </c>
      <c r="BC50">
        <v>0</v>
      </c>
      <c r="BE50">
        <v>11</v>
      </c>
      <c r="BF50">
        <v>4</v>
      </c>
      <c r="BG50">
        <v>59</v>
      </c>
      <c r="BH50">
        <v>68</v>
      </c>
      <c r="BJ50" t="s">
        <v>640</v>
      </c>
      <c r="BK50" t="s">
        <v>403</v>
      </c>
      <c r="BL50">
        <v>2442</v>
      </c>
      <c r="BM50">
        <v>397</v>
      </c>
      <c r="BN50">
        <v>79.101146601099998</v>
      </c>
      <c r="BO50">
        <v>6059</v>
      </c>
      <c r="BP50">
        <v>134</v>
      </c>
      <c r="BQ50">
        <v>125.1874896848</v>
      </c>
      <c r="BR50">
        <v>109</v>
      </c>
      <c r="BS50">
        <v>608</v>
      </c>
      <c r="BT50">
        <v>200</v>
      </c>
      <c r="BU50">
        <v>99.136513157899998</v>
      </c>
      <c r="BV50">
        <v>5730</v>
      </c>
      <c r="BW50">
        <v>130</v>
      </c>
      <c r="BX50">
        <v>123.53246073299999</v>
      </c>
      <c r="BY50">
        <v>131.86923076919999</v>
      </c>
      <c r="CA50" t="s">
        <v>423</v>
      </c>
      <c r="CB50" t="s">
        <v>889</v>
      </c>
      <c r="CC50" t="s">
        <v>1013</v>
      </c>
      <c r="CD50">
        <v>1148</v>
      </c>
      <c r="CE50">
        <v>277</v>
      </c>
      <c r="CF50">
        <v>97.486062717799996</v>
      </c>
      <c r="CG50">
        <v>3456</v>
      </c>
      <c r="CH50">
        <v>98</v>
      </c>
      <c r="CI50">
        <v>114.3000578704</v>
      </c>
      <c r="CJ50">
        <v>117.0918367347</v>
      </c>
      <c r="CL50" t="s">
        <v>423</v>
      </c>
      <c r="CM50" t="s">
        <v>870</v>
      </c>
      <c r="CN50" t="s">
        <v>869</v>
      </c>
      <c r="CO50">
        <v>33</v>
      </c>
      <c r="CP50">
        <v>4</v>
      </c>
      <c r="CQ50">
        <v>75.909090909100001</v>
      </c>
      <c r="CR50">
        <v>177</v>
      </c>
      <c r="CS50">
        <v>6</v>
      </c>
      <c r="CT50">
        <v>74.892655367200007</v>
      </c>
      <c r="CU50">
        <v>81.833333333300004</v>
      </c>
      <c r="CW50" t="s">
        <v>423</v>
      </c>
      <c r="CX50" t="s">
        <v>880</v>
      </c>
      <c r="CY50" t="s">
        <v>879</v>
      </c>
      <c r="CZ50">
        <v>28</v>
      </c>
      <c r="DA50">
        <v>2</v>
      </c>
      <c r="DB50">
        <v>54.392857142899999</v>
      </c>
      <c r="DC50">
        <v>54</v>
      </c>
      <c r="DD50">
        <v>0</v>
      </c>
      <c r="DE50">
        <v>120.6666666667</v>
      </c>
      <c r="DF50">
        <v>0</v>
      </c>
      <c r="DH50" t="s">
        <v>423</v>
      </c>
      <c r="DI50" t="s">
        <v>860</v>
      </c>
      <c r="DJ50" t="s">
        <v>859</v>
      </c>
      <c r="DK50">
        <v>28</v>
      </c>
      <c r="DL50">
        <v>4</v>
      </c>
      <c r="DM50">
        <v>66.607142857100001</v>
      </c>
      <c r="DN50">
        <v>98</v>
      </c>
      <c r="DO50">
        <v>4</v>
      </c>
      <c r="DP50">
        <v>120.9387755102</v>
      </c>
      <c r="DQ50">
        <v>63.25</v>
      </c>
    </row>
    <row r="51" spans="2:121" x14ac:dyDescent="0.2">
      <c r="B51" t="s">
        <v>103</v>
      </c>
      <c r="C51">
        <v>23</v>
      </c>
      <c r="D51">
        <v>21</v>
      </c>
      <c r="F51" t="s">
        <v>46</v>
      </c>
      <c r="G51">
        <v>9787</v>
      </c>
      <c r="H51">
        <v>369.45713701850002</v>
      </c>
      <c r="I51">
        <v>17561</v>
      </c>
      <c r="J51">
        <v>4232</v>
      </c>
      <c r="K51">
        <v>17625</v>
      </c>
      <c r="L51">
        <v>9699</v>
      </c>
      <c r="M51">
        <v>3639</v>
      </c>
      <c r="N51">
        <v>2962</v>
      </c>
      <c r="O51">
        <v>3475</v>
      </c>
      <c r="P51">
        <v>2799</v>
      </c>
      <c r="Q51">
        <v>1</v>
      </c>
      <c r="R51">
        <v>251</v>
      </c>
      <c r="AH51" t="s">
        <v>377</v>
      </c>
      <c r="AI51">
        <v>14974</v>
      </c>
      <c r="AJ51">
        <v>329.52537732069999</v>
      </c>
      <c r="AK51">
        <v>12607</v>
      </c>
      <c r="AL51">
        <v>2196</v>
      </c>
      <c r="AM51">
        <v>22741</v>
      </c>
      <c r="AN51">
        <v>11284</v>
      </c>
      <c r="AO51">
        <v>8422</v>
      </c>
      <c r="AP51">
        <v>6673</v>
      </c>
      <c r="AQ51">
        <v>7934</v>
      </c>
      <c r="AR51">
        <v>6067</v>
      </c>
      <c r="AS51">
        <v>1119</v>
      </c>
      <c r="AT51">
        <v>24</v>
      </c>
      <c r="AV51" t="s">
        <v>410</v>
      </c>
      <c r="AW51">
        <v>208</v>
      </c>
      <c r="AX51">
        <v>67.197115384599996</v>
      </c>
      <c r="AY51">
        <v>255</v>
      </c>
      <c r="AZ51">
        <v>25</v>
      </c>
      <c r="BA51">
        <v>295</v>
      </c>
      <c r="BB51">
        <v>30</v>
      </c>
      <c r="BC51">
        <v>4</v>
      </c>
      <c r="BD51">
        <v>4</v>
      </c>
      <c r="BE51">
        <v>26</v>
      </c>
      <c r="BF51">
        <v>9</v>
      </c>
      <c r="BG51">
        <v>74</v>
      </c>
      <c r="BH51">
        <v>40</v>
      </c>
      <c r="BJ51" t="s">
        <v>592</v>
      </c>
      <c r="BK51" t="s">
        <v>403</v>
      </c>
      <c r="BL51">
        <v>10971</v>
      </c>
      <c r="BM51">
        <v>2208</v>
      </c>
      <c r="BN51">
        <v>84.603955883699996</v>
      </c>
      <c r="BO51">
        <v>24728</v>
      </c>
      <c r="BP51">
        <v>709</v>
      </c>
      <c r="BQ51">
        <v>133.25270947909999</v>
      </c>
      <c r="BR51">
        <v>134.78138222850001</v>
      </c>
      <c r="BS51">
        <v>2512</v>
      </c>
      <c r="BT51">
        <v>743</v>
      </c>
      <c r="BU51">
        <v>100.09514331210001</v>
      </c>
      <c r="BV51">
        <v>20248</v>
      </c>
      <c r="BW51">
        <v>490</v>
      </c>
      <c r="BX51">
        <v>126.3940636112</v>
      </c>
      <c r="BY51">
        <v>145.387755102</v>
      </c>
      <c r="CA51" t="s">
        <v>425</v>
      </c>
      <c r="CB51" t="s">
        <v>889</v>
      </c>
      <c r="CC51" t="s">
        <v>1014</v>
      </c>
      <c r="CD51">
        <v>5586</v>
      </c>
      <c r="CE51">
        <v>942</v>
      </c>
      <c r="CF51">
        <v>83.746688148900006</v>
      </c>
      <c r="CG51">
        <v>17647</v>
      </c>
      <c r="CH51">
        <v>357</v>
      </c>
      <c r="CI51">
        <v>122.98305661019999</v>
      </c>
      <c r="CJ51">
        <v>124.1036414566</v>
      </c>
      <c r="CL51" t="s">
        <v>425</v>
      </c>
      <c r="CM51" t="s">
        <v>870</v>
      </c>
      <c r="CN51" t="s">
        <v>871</v>
      </c>
      <c r="CO51">
        <v>512</v>
      </c>
      <c r="CP51">
        <v>40</v>
      </c>
      <c r="CQ51">
        <v>63.333984375</v>
      </c>
      <c r="CR51">
        <v>2950</v>
      </c>
      <c r="CS51">
        <v>80</v>
      </c>
      <c r="CT51">
        <v>68.541016949199999</v>
      </c>
      <c r="CU51">
        <v>80.512500000000003</v>
      </c>
      <c r="CW51" t="s">
        <v>425</v>
      </c>
      <c r="CX51" t="s">
        <v>880</v>
      </c>
      <c r="CY51" t="s">
        <v>881</v>
      </c>
      <c r="CZ51">
        <v>153</v>
      </c>
      <c r="DA51">
        <v>15</v>
      </c>
      <c r="DB51">
        <v>56.869281045800001</v>
      </c>
      <c r="DC51">
        <v>469</v>
      </c>
      <c r="DD51">
        <v>8</v>
      </c>
      <c r="DE51">
        <v>127.8251599147</v>
      </c>
      <c r="DF51">
        <v>80.625</v>
      </c>
      <c r="DH51" t="s">
        <v>425</v>
      </c>
      <c r="DI51" t="s">
        <v>860</v>
      </c>
      <c r="DJ51" t="s">
        <v>861</v>
      </c>
      <c r="DK51">
        <v>110</v>
      </c>
      <c r="DL51">
        <v>9</v>
      </c>
      <c r="DM51">
        <v>62.709090909099999</v>
      </c>
      <c r="DN51">
        <v>352</v>
      </c>
      <c r="DO51">
        <v>4</v>
      </c>
      <c r="DP51">
        <v>125.3125</v>
      </c>
      <c r="DQ51">
        <v>73.75</v>
      </c>
    </row>
    <row r="52" spans="2:121" x14ac:dyDescent="0.2">
      <c r="B52" t="s">
        <v>1061</v>
      </c>
      <c r="C52">
        <v>1</v>
      </c>
      <c r="F52" t="s">
        <v>135</v>
      </c>
      <c r="G52">
        <v>476</v>
      </c>
      <c r="H52">
        <v>342.43487394959999</v>
      </c>
      <c r="I52">
        <v>497</v>
      </c>
      <c r="J52">
        <v>118</v>
      </c>
      <c r="K52">
        <v>1054</v>
      </c>
      <c r="L52">
        <v>437</v>
      </c>
      <c r="M52">
        <v>158</v>
      </c>
      <c r="N52">
        <v>126</v>
      </c>
      <c r="O52">
        <v>190</v>
      </c>
      <c r="P52">
        <v>109</v>
      </c>
      <c r="Q52">
        <v>0</v>
      </c>
      <c r="R52">
        <v>2</v>
      </c>
      <c r="AH52" t="s">
        <v>80</v>
      </c>
      <c r="AI52">
        <v>8530</v>
      </c>
      <c r="AJ52">
        <v>379.75205158260002</v>
      </c>
      <c r="AK52">
        <v>7491</v>
      </c>
      <c r="AL52">
        <v>1398</v>
      </c>
      <c r="AM52">
        <v>15674</v>
      </c>
      <c r="AN52">
        <v>8663</v>
      </c>
      <c r="AO52">
        <v>4146</v>
      </c>
      <c r="AP52">
        <v>2851</v>
      </c>
      <c r="AQ52">
        <v>5888</v>
      </c>
      <c r="AR52">
        <v>4493</v>
      </c>
      <c r="AS52">
        <v>16</v>
      </c>
      <c r="AT52">
        <v>155</v>
      </c>
      <c r="AV52" t="s">
        <v>400</v>
      </c>
      <c r="AW52">
        <v>219</v>
      </c>
      <c r="AX52">
        <v>67.794520547900007</v>
      </c>
      <c r="AY52">
        <v>258</v>
      </c>
      <c r="AZ52">
        <v>9</v>
      </c>
      <c r="BA52">
        <v>332</v>
      </c>
      <c r="BB52">
        <v>40</v>
      </c>
      <c r="BC52">
        <v>1</v>
      </c>
      <c r="BD52">
        <v>1</v>
      </c>
      <c r="BE52">
        <v>19</v>
      </c>
      <c r="BF52">
        <v>5</v>
      </c>
      <c r="BG52">
        <v>819</v>
      </c>
      <c r="BH52">
        <v>73</v>
      </c>
      <c r="BJ52" t="s">
        <v>614</v>
      </c>
      <c r="BK52" t="s">
        <v>403</v>
      </c>
      <c r="BL52">
        <v>788</v>
      </c>
      <c r="BM52">
        <v>235</v>
      </c>
      <c r="BN52">
        <v>102.7944162437</v>
      </c>
      <c r="BO52">
        <v>2314</v>
      </c>
      <c r="BP52">
        <v>45</v>
      </c>
      <c r="BQ52">
        <v>131.297752809</v>
      </c>
      <c r="BR52">
        <v>159.02222222220001</v>
      </c>
      <c r="BS52">
        <v>858</v>
      </c>
      <c r="BT52">
        <v>300</v>
      </c>
      <c r="BU52">
        <v>112.83100233099999</v>
      </c>
      <c r="BV52">
        <v>5138</v>
      </c>
      <c r="BW52">
        <v>106</v>
      </c>
      <c r="BX52">
        <v>153.52063059560001</v>
      </c>
      <c r="BY52">
        <v>160.34905660379999</v>
      </c>
      <c r="CA52" t="s">
        <v>406</v>
      </c>
      <c r="CB52" t="s">
        <v>889</v>
      </c>
      <c r="CC52" t="s">
        <v>1015</v>
      </c>
      <c r="CD52">
        <v>32713</v>
      </c>
      <c r="CE52">
        <v>6976</v>
      </c>
      <c r="CF52">
        <v>88.305963989899993</v>
      </c>
      <c r="CG52">
        <v>79059</v>
      </c>
      <c r="CH52">
        <v>1951</v>
      </c>
      <c r="CI52">
        <v>130.9527062068</v>
      </c>
      <c r="CJ52">
        <v>127.525884162</v>
      </c>
      <c r="CL52" t="s">
        <v>406</v>
      </c>
      <c r="CM52" t="s">
        <v>870</v>
      </c>
      <c r="CN52" t="s">
        <v>872</v>
      </c>
      <c r="CO52">
        <v>2092</v>
      </c>
      <c r="CP52">
        <v>147</v>
      </c>
      <c r="CQ52">
        <v>59.432600382399997</v>
      </c>
      <c r="CR52">
        <v>11756</v>
      </c>
      <c r="CS52">
        <v>337</v>
      </c>
      <c r="CT52">
        <v>66.989111942799994</v>
      </c>
      <c r="CU52">
        <v>68.741839762599994</v>
      </c>
      <c r="CW52" t="s">
        <v>406</v>
      </c>
      <c r="CX52" t="s">
        <v>880</v>
      </c>
      <c r="CY52" t="s">
        <v>882</v>
      </c>
      <c r="CZ52">
        <v>1191</v>
      </c>
      <c r="DA52">
        <v>144</v>
      </c>
      <c r="DB52">
        <v>62.774979009200003</v>
      </c>
      <c r="DC52">
        <v>3164</v>
      </c>
      <c r="DD52">
        <v>72</v>
      </c>
      <c r="DE52">
        <v>127.20512010109999</v>
      </c>
      <c r="DF52">
        <v>96.638888888899999</v>
      </c>
      <c r="DH52" t="s">
        <v>406</v>
      </c>
      <c r="DI52" t="s">
        <v>860</v>
      </c>
      <c r="DJ52" t="s">
        <v>862</v>
      </c>
      <c r="DK52">
        <v>773</v>
      </c>
      <c r="DL52">
        <v>81</v>
      </c>
      <c r="DM52">
        <v>60.420439844800001</v>
      </c>
      <c r="DN52">
        <v>1856</v>
      </c>
      <c r="DO52">
        <v>26</v>
      </c>
      <c r="DP52">
        <v>119.1185344828</v>
      </c>
      <c r="DQ52">
        <v>98.269230769200007</v>
      </c>
    </row>
    <row r="53" spans="2:121" x14ac:dyDescent="0.2">
      <c r="F53" t="s">
        <v>47</v>
      </c>
      <c r="G53">
        <v>1838</v>
      </c>
      <c r="H53">
        <v>260.57780195869998</v>
      </c>
      <c r="I53">
        <v>2257</v>
      </c>
      <c r="J53">
        <v>396</v>
      </c>
      <c r="K53">
        <v>3501</v>
      </c>
      <c r="L53">
        <v>1791</v>
      </c>
      <c r="M53">
        <v>466</v>
      </c>
      <c r="N53">
        <v>374</v>
      </c>
      <c r="O53">
        <v>1330</v>
      </c>
      <c r="P53">
        <v>970</v>
      </c>
      <c r="Q53">
        <v>1</v>
      </c>
      <c r="R53">
        <v>3</v>
      </c>
      <c r="AH53" t="s">
        <v>378</v>
      </c>
      <c r="AI53">
        <v>1914</v>
      </c>
      <c r="AJ53">
        <v>288.44043887150002</v>
      </c>
      <c r="AK53">
        <v>2488</v>
      </c>
      <c r="AL53">
        <v>449</v>
      </c>
      <c r="AM53">
        <v>3468</v>
      </c>
      <c r="AN53">
        <v>1833</v>
      </c>
      <c r="AO53">
        <v>487</v>
      </c>
      <c r="AP53">
        <v>361</v>
      </c>
      <c r="AQ53">
        <v>1574</v>
      </c>
      <c r="AR53">
        <v>1086</v>
      </c>
      <c r="AS53">
        <v>399</v>
      </c>
      <c r="AT53">
        <v>5</v>
      </c>
      <c r="AV53" t="s">
        <v>417</v>
      </c>
      <c r="AW53">
        <v>35</v>
      </c>
      <c r="AX53">
        <v>84.857142857100001</v>
      </c>
      <c r="AY53">
        <v>71</v>
      </c>
      <c r="AZ53">
        <v>5</v>
      </c>
      <c r="BA53">
        <v>76</v>
      </c>
      <c r="BB53">
        <v>10</v>
      </c>
      <c r="BC53">
        <v>0</v>
      </c>
      <c r="BE53">
        <v>1</v>
      </c>
      <c r="BG53">
        <v>126</v>
      </c>
      <c r="BH53">
        <v>23</v>
      </c>
      <c r="BJ53" t="s">
        <v>590</v>
      </c>
      <c r="BK53" t="s">
        <v>403</v>
      </c>
      <c r="BL53">
        <v>11341</v>
      </c>
      <c r="BM53">
        <v>2923</v>
      </c>
      <c r="BN53">
        <v>100.42394850540001</v>
      </c>
      <c r="BO53">
        <v>26589</v>
      </c>
      <c r="BP53">
        <v>674</v>
      </c>
      <c r="BQ53">
        <v>145.44341645040001</v>
      </c>
      <c r="BR53">
        <v>136.47477744810001</v>
      </c>
      <c r="BS53">
        <v>2727</v>
      </c>
      <c r="BT53">
        <v>831</v>
      </c>
      <c r="BU53">
        <v>111.41730839749999</v>
      </c>
      <c r="BV53">
        <v>15294</v>
      </c>
      <c r="BW53">
        <v>408</v>
      </c>
      <c r="BX53">
        <v>149.64639728</v>
      </c>
      <c r="BY53">
        <v>148.7892156863</v>
      </c>
      <c r="CA53" t="s">
        <v>427</v>
      </c>
      <c r="CB53" t="s">
        <v>889</v>
      </c>
      <c r="CC53" t="s">
        <v>1016</v>
      </c>
      <c r="CD53">
        <v>1999</v>
      </c>
      <c r="CE53">
        <v>293</v>
      </c>
      <c r="CF53">
        <v>76.9109554777</v>
      </c>
      <c r="CG53">
        <v>6177</v>
      </c>
      <c r="CH53">
        <v>126</v>
      </c>
      <c r="CI53">
        <v>107.7485834548</v>
      </c>
      <c r="CJ53">
        <v>95.214285714300004</v>
      </c>
      <c r="CL53" t="s">
        <v>427</v>
      </c>
      <c r="CM53" t="s">
        <v>870</v>
      </c>
      <c r="CN53" t="s">
        <v>873</v>
      </c>
      <c r="CO53">
        <v>58</v>
      </c>
      <c r="CP53">
        <v>10</v>
      </c>
      <c r="CQ53">
        <v>87.586206896600004</v>
      </c>
      <c r="CR53">
        <v>365</v>
      </c>
      <c r="CS53">
        <v>12</v>
      </c>
      <c r="CT53">
        <v>71.726027397300001</v>
      </c>
      <c r="CU53">
        <v>79.833333333300004</v>
      </c>
      <c r="CW53" t="s">
        <v>427</v>
      </c>
      <c r="CX53" t="s">
        <v>880</v>
      </c>
      <c r="CY53" t="s">
        <v>883</v>
      </c>
      <c r="CZ53">
        <v>29</v>
      </c>
      <c r="DA53">
        <v>1</v>
      </c>
      <c r="DB53">
        <v>55.551724137900003</v>
      </c>
      <c r="DC53">
        <v>104</v>
      </c>
      <c r="DD53">
        <v>4</v>
      </c>
      <c r="DE53">
        <v>121.89423076920001</v>
      </c>
      <c r="DF53">
        <v>68.25</v>
      </c>
      <c r="DH53" t="s">
        <v>427</v>
      </c>
      <c r="DI53" t="s">
        <v>860</v>
      </c>
      <c r="DJ53" t="s">
        <v>863</v>
      </c>
      <c r="DK53">
        <v>140</v>
      </c>
      <c r="DL53">
        <v>11</v>
      </c>
      <c r="DM53">
        <v>52.9</v>
      </c>
      <c r="DN53">
        <v>183</v>
      </c>
      <c r="DO53">
        <v>5</v>
      </c>
      <c r="DP53">
        <v>116.2513661202</v>
      </c>
      <c r="DQ53">
        <v>92.2</v>
      </c>
    </row>
    <row r="54" spans="2:121" x14ac:dyDescent="0.2">
      <c r="F54" t="s">
        <v>82</v>
      </c>
      <c r="G54">
        <v>476</v>
      </c>
      <c r="H54">
        <v>418.63655462179997</v>
      </c>
      <c r="I54">
        <v>798</v>
      </c>
      <c r="J54">
        <v>164</v>
      </c>
      <c r="K54">
        <v>808</v>
      </c>
      <c r="L54">
        <v>387</v>
      </c>
      <c r="M54">
        <v>49</v>
      </c>
      <c r="N54">
        <v>46</v>
      </c>
      <c r="O54">
        <v>81</v>
      </c>
      <c r="P54">
        <v>47</v>
      </c>
      <c r="Q54">
        <v>0</v>
      </c>
      <c r="R54">
        <v>0</v>
      </c>
      <c r="AH54" t="s">
        <v>395</v>
      </c>
      <c r="AI54">
        <v>3024</v>
      </c>
      <c r="AJ54">
        <v>220.9897486772</v>
      </c>
      <c r="AK54">
        <v>4053</v>
      </c>
      <c r="AL54">
        <v>662</v>
      </c>
      <c r="AM54">
        <v>5956</v>
      </c>
      <c r="AN54">
        <v>2056</v>
      </c>
      <c r="AO54">
        <v>920</v>
      </c>
      <c r="AP54">
        <v>638</v>
      </c>
      <c r="AQ54">
        <v>1053</v>
      </c>
      <c r="AR54">
        <v>657</v>
      </c>
      <c r="AS54">
        <v>646</v>
      </c>
      <c r="AT54">
        <v>6</v>
      </c>
      <c r="AV54" t="s">
        <v>423</v>
      </c>
      <c r="AW54">
        <v>12</v>
      </c>
      <c r="AX54">
        <v>59.833333333299997</v>
      </c>
      <c r="AY54">
        <v>13</v>
      </c>
      <c r="AZ54">
        <v>1</v>
      </c>
      <c r="BA54">
        <v>25</v>
      </c>
      <c r="BB54">
        <v>2</v>
      </c>
      <c r="BC54">
        <v>0</v>
      </c>
      <c r="BE54">
        <v>2</v>
      </c>
      <c r="BF54">
        <v>1</v>
      </c>
      <c r="BG54">
        <v>40</v>
      </c>
      <c r="BH54">
        <v>12</v>
      </c>
      <c r="BJ54" t="s">
        <v>403</v>
      </c>
      <c r="BK54" t="s">
        <v>403</v>
      </c>
      <c r="BL54">
        <v>64581</v>
      </c>
      <c r="BM54">
        <v>13254</v>
      </c>
      <c r="BN54">
        <v>87.819064430699996</v>
      </c>
      <c r="BO54">
        <v>186141</v>
      </c>
      <c r="BP54">
        <v>4361</v>
      </c>
      <c r="BQ54">
        <v>114.82287083449999</v>
      </c>
      <c r="BR54">
        <v>115.8108232057</v>
      </c>
      <c r="BS54">
        <v>20672</v>
      </c>
      <c r="BT54">
        <v>5719</v>
      </c>
      <c r="BU54">
        <v>99.394640092900005</v>
      </c>
      <c r="BV54">
        <v>185370</v>
      </c>
      <c r="BW54">
        <v>4716</v>
      </c>
      <c r="BX54">
        <v>112.9499487511</v>
      </c>
      <c r="BY54">
        <v>116.10072095</v>
      </c>
      <c r="CA54" t="s">
        <v>407</v>
      </c>
      <c r="CB54" t="s">
        <v>889</v>
      </c>
      <c r="CC54" t="s">
        <v>1017</v>
      </c>
      <c r="CD54">
        <v>1806</v>
      </c>
      <c r="CE54">
        <v>468</v>
      </c>
      <c r="CF54">
        <v>95.638427464000003</v>
      </c>
      <c r="CG54">
        <v>4289</v>
      </c>
      <c r="CH54">
        <v>97</v>
      </c>
      <c r="CI54">
        <v>113.9584984845</v>
      </c>
      <c r="CJ54">
        <v>131.38144329900001</v>
      </c>
      <c r="CL54" t="s">
        <v>407</v>
      </c>
      <c r="CM54" t="s">
        <v>870</v>
      </c>
      <c r="CN54" t="s">
        <v>874</v>
      </c>
      <c r="CO54">
        <v>124</v>
      </c>
      <c r="CP54">
        <v>10</v>
      </c>
      <c r="CQ54">
        <v>64.870967741900003</v>
      </c>
      <c r="CR54">
        <v>678</v>
      </c>
      <c r="CS54">
        <v>17</v>
      </c>
      <c r="CT54">
        <v>66.026548672600001</v>
      </c>
      <c r="CU54">
        <v>57.411764705899998</v>
      </c>
      <c r="CW54" t="s">
        <v>407</v>
      </c>
      <c r="CX54" t="s">
        <v>880</v>
      </c>
      <c r="CY54" t="s">
        <v>884</v>
      </c>
      <c r="CZ54">
        <v>34</v>
      </c>
      <c r="DA54">
        <v>4</v>
      </c>
      <c r="DB54">
        <v>57.764705882400001</v>
      </c>
      <c r="DC54">
        <v>87</v>
      </c>
      <c r="DD54">
        <v>4</v>
      </c>
      <c r="DE54">
        <v>140.28735632179999</v>
      </c>
      <c r="DF54">
        <v>191.5</v>
      </c>
      <c r="DH54" t="s">
        <v>407</v>
      </c>
      <c r="DI54" t="s">
        <v>860</v>
      </c>
      <c r="DJ54" t="s">
        <v>864</v>
      </c>
      <c r="DK54">
        <v>48</v>
      </c>
      <c r="DL54">
        <v>4</v>
      </c>
      <c r="DM54">
        <v>56.416666666700003</v>
      </c>
      <c r="DN54">
        <v>124</v>
      </c>
      <c r="DO54">
        <v>1</v>
      </c>
      <c r="DP54">
        <v>117.75</v>
      </c>
      <c r="DQ54">
        <v>64</v>
      </c>
    </row>
    <row r="55" spans="2:121" x14ac:dyDescent="0.2">
      <c r="F55" t="s">
        <v>56</v>
      </c>
      <c r="G55">
        <v>4708</v>
      </c>
      <c r="H55">
        <v>160.55862361940001</v>
      </c>
      <c r="I55">
        <v>6789</v>
      </c>
      <c r="J55">
        <v>1166</v>
      </c>
      <c r="K55">
        <v>8682</v>
      </c>
      <c r="L55">
        <v>2287</v>
      </c>
      <c r="M55">
        <v>985</v>
      </c>
      <c r="N55">
        <v>664</v>
      </c>
      <c r="O55">
        <v>637</v>
      </c>
      <c r="P55">
        <v>376</v>
      </c>
      <c r="Q55">
        <v>8324</v>
      </c>
      <c r="R55">
        <v>0</v>
      </c>
      <c r="AH55" t="s">
        <v>420</v>
      </c>
      <c r="AI55">
        <v>294</v>
      </c>
      <c r="AJ55">
        <v>315.34693877550001</v>
      </c>
      <c r="AK55">
        <v>750</v>
      </c>
      <c r="AL55">
        <v>74</v>
      </c>
      <c r="AM55">
        <v>821</v>
      </c>
      <c r="AN55">
        <v>317</v>
      </c>
      <c r="AO55">
        <v>217</v>
      </c>
      <c r="AP55">
        <v>139</v>
      </c>
      <c r="AQ55">
        <v>191</v>
      </c>
      <c r="AR55">
        <v>115</v>
      </c>
      <c r="AS55">
        <v>2</v>
      </c>
      <c r="AT55">
        <v>1</v>
      </c>
      <c r="AV55" t="s">
        <v>415</v>
      </c>
      <c r="AW55">
        <v>113</v>
      </c>
      <c r="AX55">
        <v>97.5575221239</v>
      </c>
      <c r="AY55">
        <v>129</v>
      </c>
      <c r="AZ55">
        <v>23</v>
      </c>
      <c r="BA55">
        <v>159</v>
      </c>
      <c r="BB55">
        <v>45</v>
      </c>
      <c r="BC55">
        <v>1</v>
      </c>
      <c r="BD55">
        <v>1</v>
      </c>
      <c r="BE55">
        <v>10</v>
      </c>
      <c r="BF55">
        <v>5</v>
      </c>
      <c r="BG55">
        <v>25</v>
      </c>
      <c r="BH55">
        <v>20</v>
      </c>
      <c r="BJ55" t="s">
        <v>594</v>
      </c>
      <c r="BK55" t="s">
        <v>403</v>
      </c>
      <c r="BL55">
        <v>5127</v>
      </c>
      <c r="BM55">
        <v>676</v>
      </c>
      <c r="BN55">
        <v>79.530914765000006</v>
      </c>
      <c r="BO55">
        <v>13583</v>
      </c>
      <c r="BP55">
        <v>310</v>
      </c>
      <c r="BQ55">
        <v>124.9380843702</v>
      </c>
      <c r="BR55">
        <v>123.30645161290001</v>
      </c>
      <c r="BS55">
        <v>2431</v>
      </c>
      <c r="BT55">
        <v>506</v>
      </c>
      <c r="BU55">
        <v>86.4508432744</v>
      </c>
      <c r="BV55">
        <v>22083</v>
      </c>
      <c r="BW55">
        <v>642</v>
      </c>
      <c r="BX55">
        <v>124.59529955169999</v>
      </c>
      <c r="BY55">
        <v>113.72741433020001</v>
      </c>
      <c r="CA55" t="s">
        <v>412</v>
      </c>
      <c r="CB55" t="s">
        <v>889</v>
      </c>
      <c r="CC55" t="s">
        <v>1018</v>
      </c>
      <c r="CD55">
        <v>4058</v>
      </c>
      <c r="CE55">
        <v>1002</v>
      </c>
      <c r="CF55">
        <v>95.3817151306</v>
      </c>
      <c r="CG55">
        <v>9969</v>
      </c>
      <c r="CH55">
        <v>235</v>
      </c>
      <c r="CI55">
        <v>137.27314675490001</v>
      </c>
      <c r="CJ55">
        <v>139.34468085110001</v>
      </c>
      <c r="CL55" t="s">
        <v>412</v>
      </c>
      <c r="CM55" t="s">
        <v>870</v>
      </c>
      <c r="CN55" t="s">
        <v>875</v>
      </c>
      <c r="CO55">
        <v>203</v>
      </c>
      <c r="CP55">
        <v>19</v>
      </c>
      <c r="CQ55">
        <v>61.980295566499997</v>
      </c>
      <c r="CR55">
        <v>1297</v>
      </c>
      <c r="CS55">
        <v>39</v>
      </c>
      <c r="CT55">
        <v>68.323053199699999</v>
      </c>
      <c r="CU55">
        <v>72.179487179500001</v>
      </c>
      <c r="CW55" t="s">
        <v>412</v>
      </c>
      <c r="CX55" t="s">
        <v>880</v>
      </c>
      <c r="CY55" t="s">
        <v>885</v>
      </c>
      <c r="CZ55">
        <v>66</v>
      </c>
      <c r="DA55">
        <v>5</v>
      </c>
      <c r="DB55">
        <v>53.363636363600001</v>
      </c>
      <c r="DC55">
        <v>256</v>
      </c>
      <c r="DD55">
        <v>7</v>
      </c>
      <c r="DE55">
        <v>129.875</v>
      </c>
      <c r="DF55">
        <v>113.42857142859999</v>
      </c>
      <c r="DH55" t="s">
        <v>412</v>
      </c>
      <c r="DI55" t="s">
        <v>860</v>
      </c>
      <c r="DJ55" t="s">
        <v>865</v>
      </c>
      <c r="DK55">
        <v>97</v>
      </c>
      <c r="DL55">
        <v>6</v>
      </c>
      <c r="DM55">
        <v>51.597938144300002</v>
      </c>
      <c r="DN55">
        <v>282</v>
      </c>
      <c r="DO55">
        <v>5</v>
      </c>
      <c r="DP55">
        <v>118.1063829787</v>
      </c>
      <c r="DQ55">
        <v>95.2</v>
      </c>
    </row>
    <row r="56" spans="2:121" x14ac:dyDescent="0.2">
      <c r="F56" t="s">
        <v>38</v>
      </c>
      <c r="G56">
        <v>4155</v>
      </c>
      <c r="H56">
        <v>380.46666666670001</v>
      </c>
      <c r="I56">
        <v>7568</v>
      </c>
      <c r="J56">
        <v>1531</v>
      </c>
      <c r="K56">
        <v>7914</v>
      </c>
      <c r="L56">
        <v>3277</v>
      </c>
      <c r="M56">
        <v>1960</v>
      </c>
      <c r="N56">
        <v>1766</v>
      </c>
      <c r="O56">
        <v>2942</v>
      </c>
      <c r="P56">
        <v>2308</v>
      </c>
      <c r="Q56">
        <v>1</v>
      </c>
      <c r="R56">
        <v>331</v>
      </c>
      <c r="BJ56" t="s">
        <v>602</v>
      </c>
      <c r="BK56" t="s">
        <v>403</v>
      </c>
      <c r="BL56">
        <v>5183</v>
      </c>
      <c r="BM56">
        <v>983</v>
      </c>
      <c r="BN56">
        <v>84.881149913200005</v>
      </c>
      <c r="BO56">
        <v>13129</v>
      </c>
      <c r="BP56">
        <v>314</v>
      </c>
      <c r="BQ56">
        <v>135.02338334980001</v>
      </c>
      <c r="BR56">
        <v>114.49044585990001</v>
      </c>
      <c r="BS56">
        <v>1948</v>
      </c>
      <c r="BT56">
        <v>536</v>
      </c>
      <c r="BU56">
        <v>99.862936344999994</v>
      </c>
      <c r="BV56">
        <v>12702</v>
      </c>
      <c r="BW56">
        <v>297</v>
      </c>
      <c r="BX56">
        <v>135.4161549362</v>
      </c>
      <c r="BY56">
        <v>118.734006734</v>
      </c>
      <c r="CA56" t="s">
        <v>404</v>
      </c>
      <c r="CB56" t="s">
        <v>889</v>
      </c>
      <c r="CC56" t="s">
        <v>1019</v>
      </c>
      <c r="CD56">
        <v>2762</v>
      </c>
      <c r="CE56">
        <v>615</v>
      </c>
      <c r="CF56">
        <v>88.814265025300003</v>
      </c>
      <c r="CG56">
        <v>7188</v>
      </c>
      <c r="CH56">
        <v>142</v>
      </c>
      <c r="CI56">
        <v>133.19393433499999</v>
      </c>
      <c r="CJ56">
        <v>130.4154929577</v>
      </c>
      <c r="CL56" t="s">
        <v>404</v>
      </c>
      <c r="CM56" t="s">
        <v>870</v>
      </c>
      <c r="CN56" t="s">
        <v>876</v>
      </c>
      <c r="CO56">
        <v>192</v>
      </c>
      <c r="CP56">
        <v>17</v>
      </c>
      <c r="CQ56">
        <v>65.994791666699996</v>
      </c>
      <c r="CR56">
        <v>1029</v>
      </c>
      <c r="CS56">
        <v>21</v>
      </c>
      <c r="CT56">
        <v>61.650145772599998</v>
      </c>
      <c r="CU56">
        <v>70.619047619</v>
      </c>
      <c r="CW56" t="s">
        <v>404</v>
      </c>
      <c r="CX56" t="s">
        <v>880</v>
      </c>
      <c r="CY56" t="s">
        <v>886</v>
      </c>
      <c r="CZ56">
        <v>69</v>
      </c>
      <c r="DA56">
        <v>11</v>
      </c>
      <c r="DB56">
        <v>67.710144927499996</v>
      </c>
      <c r="DC56">
        <v>132</v>
      </c>
      <c r="DD56">
        <v>3</v>
      </c>
      <c r="DE56">
        <v>145.54545454550001</v>
      </c>
      <c r="DF56">
        <v>164.6666666667</v>
      </c>
      <c r="DH56" t="s">
        <v>404</v>
      </c>
      <c r="DI56" t="s">
        <v>860</v>
      </c>
      <c r="DJ56" t="s">
        <v>866</v>
      </c>
      <c r="DK56">
        <v>71</v>
      </c>
      <c r="DL56">
        <v>6</v>
      </c>
      <c r="DM56">
        <v>53.507042253500003</v>
      </c>
      <c r="DN56">
        <v>175</v>
      </c>
      <c r="DO56">
        <v>3</v>
      </c>
      <c r="DP56">
        <v>127.1542857143</v>
      </c>
      <c r="DQ56">
        <v>99.666666666699996</v>
      </c>
    </row>
    <row r="57" spans="2:121" x14ac:dyDescent="0.2">
      <c r="F57" t="s">
        <v>52</v>
      </c>
      <c r="G57">
        <v>5958</v>
      </c>
      <c r="H57">
        <v>439.90651225239998</v>
      </c>
      <c r="I57">
        <v>10920</v>
      </c>
      <c r="J57">
        <v>2099</v>
      </c>
      <c r="K57">
        <v>10497</v>
      </c>
      <c r="L57">
        <v>5372</v>
      </c>
      <c r="M57">
        <v>1033</v>
      </c>
      <c r="N57">
        <v>869</v>
      </c>
      <c r="O57">
        <v>3980</v>
      </c>
      <c r="P57">
        <v>3280</v>
      </c>
      <c r="Q57">
        <v>4</v>
      </c>
      <c r="R57">
        <v>36</v>
      </c>
      <c r="BJ57" t="s">
        <v>610</v>
      </c>
      <c r="BK57" t="s">
        <v>403</v>
      </c>
      <c r="BL57">
        <v>3716</v>
      </c>
      <c r="BM57">
        <v>973</v>
      </c>
      <c r="BN57">
        <v>99.541442411199995</v>
      </c>
      <c r="BO57">
        <v>9206</v>
      </c>
      <c r="BP57">
        <v>223</v>
      </c>
      <c r="BQ57">
        <v>141.57364762110001</v>
      </c>
      <c r="BR57">
        <v>142.05381165919999</v>
      </c>
      <c r="BS57">
        <v>761</v>
      </c>
      <c r="BT57">
        <v>257</v>
      </c>
      <c r="BU57">
        <v>111.2693823916</v>
      </c>
      <c r="BV57">
        <v>8281</v>
      </c>
      <c r="BW57">
        <v>258</v>
      </c>
      <c r="BX57">
        <v>132.3919816447</v>
      </c>
      <c r="BY57">
        <v>146.7596899225</v>
      </c>
      <c r="CA57" t="s">
        <v>408</v>
      </c>
      <c r="CB57" t="s">
        <v>889</v>
      </c>
      <c r="CC57" t="s">
        <v>1020</v>
      </c>
      <c r="CD57">
        <v>5079</v>
      </c>
      <c r="CE57">
        <v>904</v>
      </c>
      <c r="CF57">
        <v>84.679858239799998</v>
      </c>
      <c r="CG57">
        <v>13248</v>
      </c>
      <c r="CH57">
        <v>306</v>
      </c>
      <c r="CI57">
        <v>134.57480374400001</v>
      </c>
      <c r="CJ57">
        <v>113.2843137255</v>
      </c>
      <c r="CL57" t="s">
        <v>408</v>
      </c>
      <c r="CM57" t="s">
        <v>870</v>
      </c>
      <c r="CN57" t="s">
        <v>877</v>
      </c>
      <c r="CO57">
        <v>333</v>
      </c>
      <c r="CP57">
        <v>34</v>
      </c>
      <c r="CQ57">
        <v>65.525525525500001</v>
      </c>
      <c r="CR57">
        <v>1918</v>
      </c>
      <c r="CS57">
        <v>60</v>
      </c>
      <c r="CT57">
        <v>69.523983315999999</v>
      </c>
      <c r="CU57">
        <v>71.116666666699999</v>
      </c>
      <c r="CW57" t="s">
        <v>408</v>
      </c>
      <c r="CX57" t="s">
        <v>880</v>
      </c>
      <c r="CY57" t="s">
        <v>887</v>
      </c>
      <c r="CZ57">
        <v>63</v>
      </c>
      <c r="DA57">
        <v>7</v>
      </c>
      <c r="DB57">
        <v>60.746031746</v>
      </c>
      <c r="DC57">
        <v>234</v>
      </c>
      <c r="DD57">
        <v>2</v>
      </c>
      <c r="DE57">
        <v>133.99145299150001</v>
      </c>
      <c r="DF57">
        <v>91</v>
      </c>
      <c r="DH57" t="s">
        <v>408</v>
      </c>
      <c r="DI57" t="s">
        <v>860</v>
      </c>
      <c r="DJ57" t="s">
        <v>867</v>
      </c>
      <c r="DK57">
        <v>37</v>
      </c>
      <c r="DL57">
        <v>5</v>
      </c>
      <c r="DM57">
        <v>62.567567567600001</v>
      </c>
      <c r="DN57">
        <v>129</v>
      </c>
      <c r="DO57">
        <v>0</v>
      </c>
      <c r="DP57">
        <v>123.3410852713</v>
      </c>
      <c r="DQ57">
        <v>0</v>
      </c>
    </row>
    <row r="58" spans="2:121" x14ac:dyDescent="0.2">
      <c r="F58" t="s">
        <v>49</v>
      </c>
      <c r="G58">
        <v>2676</v>
      </c>
      <c r="H58">
        <v>402.75298953660001</v>
      </c>
      <c r="I58">
        <v>4557</v>
      </c>
      <c r="J58">
        <v>1433</v>
      </c>
      <c r="K58">
        <v>6586</v>
      </c>
      <c r="L58">
        <v>3669</v>
      </c>
      <c r="M58">
        <v>2602</v>
      </c>
      <c r="N58">
        <v>2032</v>
      </c>
      <c r="O58">
        <v>836</v>
      </c>
      <c r="P58">
        <v>646</v>
      </c>
      <c r="Q58">
        <v>46</v>
      </c>
      <c r="R58">
        <v>291</v>
      </c>
      <c r="BJ58" t="s">
        <v>623</v>
      </c>
      <c r="BK58" t="s">
        <v>403</v>
      </c>
      <c r="BL58">
        <v>10931</v>
      </c>
      <c r="BM58">
        <v>2021</v>
      </c>
      <c r="BN58">
        <v>82.326228158399999</v>
      </c>
      <c r="BO58">
        <v>27587</v>
      </c>
      <c r="BP58">
        <v>555</v>
      </c>
      <c r="BQ58">
        <v>123.6882589626</v>
      </c>
      <c r="BR58">
        <v>122.7891891892</v>
      </c>
      <c r="BS58">
        <v>3589</v>
      </c>
      <c r="BT58">
        <v>924</v>
      </c>
      <c r="BU58">
        <v>99.318473112299998</v>
      </c>
      <c r="BV58">
        <v>29077</v>
      </c>
      <c r="BW58">
        <v>720</v>
      </c>
      <c r="BX58">
        <v>125.8487808233</v>
      </c>
      <c r="BY58">
        <v>117.8791666667</v>
      </c>
      <c r="CA58" t="s">
        <v>80</v>
      </c>
      <c r="CB58" t="s">
        <v>889</v>
      </c>
      <c r="CC58" t="s">
        <v>1021</v>
      </c>
      <c r="CD58">
        <v>7197</v>
      </c>
      <c r="CE58">
        <v>1386</v>
      </c>
      <c r="CF58">
        <v>87.731832708100001</v>
      </c>
      <c r="CG58">
        <v>20775</v>
      </c>
      <c r="CH58">
        <v>508</v>
      </c>
      <c r="CI58">
        <v>109.3479663057</v>
      </c>
      <c r="CJ58">
        <v>130.71850393700001</v>
      </c>
      <c r="CL58" t="s">
        <v>80</v>
      </c>
      <c r="CM58" t="s">
        <v>870</v>
      </c>
      <c r="CN58" t="s">
        <v>878</v>
      </c>
      <c r="CO58">
        <v>495</v>
      </c>
      <c r="CP58">
        <v>45</v>
      </c>
      <c r="CQ58">
        <v>71.090909090899999</v>
      </c>
      <c r="CR58">
        <v>2862</v>
      </c>
      <c r="CS58">
        <v>71</v>
      </c>
      <c r="CT58">
        <v>71.890985324900001</v>
      </c>
      <c r="CU58">
        <v>75.619718309899994</v>
      </c>
      <c r="CW58" t="s">
        <v>80</v>
      </c>
      <c r="CX58" t="s">
        <v>880</v>
      </c>
      <c r="CY58" t="s">
        <v>888</v>
      </c>
      <c r="CZ58">
        <v>297</v>
      </c>
      <c r="DA58">
        <v>30</v>
      </c>
      <c r="DB58">
        <v>58.6464646465</v>
      </c>
      <c r="DC58">
        <v>775</v>
      </c>
      <c r="DD58">
        <v>12</v>
      </c>
      <c r="DE58">
        <v>121.46193548390001</v>
      </c>
      <c r="DF58">
        <v>63.083333333299997</v>
      </c>
      <c r="DH58" t="s">
        <v>80</v>
      </c>
      <c r="DI58" t="s">
        <v>860</v>
      </c>
      <c r="DJ58" t="s">
        <v>868</v>
      </c>
      <c r="DK58">
        <v>473</v>
      </c>
      <c r="DL58">
        <v>41</v>
      </c>
      <c r="DM58">
        <v>52.871035940799999</v>
      </c>
      <c r="DN58">
        <v>1132</v>
      </c>
      <c r="DO58">
        <v>14</v>
      </c>
      <c r="DP58">
        <v>118.93639575970001</v>
      </c>
      <c r="DQ58">
        <v>102.2857142857</v>
      </c>
    </row>
    <row r="59" spans="2:121" x14ac:dyDescent="0.2">
      <c r="F59" t="s">
        <v>36</v>
      </c>
      <c r="G59">
        <v>203</v>
      </c>
      <c r="H59">
        <v>288.79802955669999</v>
      </c>
      <c r="I59">
        <v>702</v>
      </c>
      <c r="J59">
        <v>72</v>
      </c>
      <c r="K59">
        <v>670</v>
      </c>
      <c r="L59">
        <v>205</v>
      </c>
      <c r="M59">
        <v>166</v>
      </c>
      <c r="N59">
        <v>95</v>
      </c>
      <c r="O59">
        <v>111</v>
      </c>
      <c r="P59">
        <v>44</v>
      </c>
      <c r="Q59">
        <v>2</v>
      </c>
      <c r="R59">
        <v>4</v>
      </c>
      <c r="BJ59" t="s">
        <v>596</v>
      </c>
      <c r="BK59" t="s">
        <v>403</v>
      </c>
      <c r="BL59">
        <v>8252</v>
      </c>
      <c r="BM59">
        <v>1468</v>
      </c>
      <c r="BN59">
        <v>81.117426078500003</v>
      </c>
      <c r="BO59">
        <v>48496</v>
      </c>
      <c r="BP59">
        <v>1055</v>
      </c>
      <c r="BQ59">
        <v>63.513526888800001</v>
      </c>
      <c r="BR59">
        <v>71.137440758300002</v>
      </c>
      <c r="BS59">
        <v>3060</v>
      </c>
      <c r="BT59">
        <v>660</v>
      </c>
      <c r="BU59">
        <v>83.970261437900007</v>
      </c>
      <c r="BV59">
        <v>51076</v>
      </c>
      <c r="BW59">
        <v>1188</v>
      </c>
      <c r="BX59">
        <v>65.227425796899993</v>
      </c>
      <c r="BY59">
        <v>75.519360269399996</v>
      </c>
      <c r="CA59" t="s">
        <v>403</v>
      </c>
      <c r="CB59" t="s">
        <v>889</v>
      </c>
      <c r="CD59">
        <v>62348</v>
      </c>
      <c r="CE59">
        <v>12863</v>
      </c>
      <c r="CF59">
        <v>88.034948995999997</v>
      </c>
      <c r="CG59">
        <v>161808</v>
      </c>
      <c r="CH59">
        <v>3820</v>
      </c>
      <c r="CI59">
        <v>126.40320008899999</v>
      </c>
      <c r="CJ59">
        <v>126.08874345549999</v>
      </c>
      <c r="CL59" t="s">
        <v>403</v>
      </c>
      <c r="CM59" t="s">
        <v>870</v>
      </c>
      <c r="CO59">
        <v>4042</v>
      </c>
      <c r="CP59">
        <v>326</v>
      </c>
      <c r="CQ59">
        <v>63.001484413699998</v>
      </c>
      <c r="CR59">
        <v>23032</v>
      </c>
      <c r="CS59">
        <v>643</v>
      </c>
      <c r="CT59">
        <v>67.952153525499995</v>
      </c>
      <c r="CU59">
        <v>71.486780715400002</v>
      </c>
      <c r="CW59" t="s">
        <v>403</v>
      </c>
      <c r="CX59" t="s">
        <v>880</v>
      </c>
      <c r="CZ59">
        <v>1930</v>
      </c>
      <c r="DA59">
        <v>219</v>
      </c>
      <c r="DB59">
        <v>61.141450777199999</v>
      </c>
      <c r="DC59">
        <v>5275</v>
      </c>
      <c r="DD59">
        <v>112</v>
      </c>
      <c r="DE59">
        <v>127.35014218009999</v>
      </c>
      <c r="DF59">
        <v>97.044642857100001</v>
      </c>
      <c r="DH59" t="s">
        <v>403</v>
      </c>
      <c r="DI59" t="s">
        <v>860</v>
      </c>
      <c r="DK59">
        <v>1777</v>
      </c>
      <c r="DL59">
        <v>167</v>
      </c>
      <c r="DM59">
        <v>57.236353404600003</v>
      </c>
      <c r="DN59">
        <v>4331</v>
      </c>
      <c r="DO59">
        <v>62</v>
      </c>
      <c r="DP59">
        <v>119.83975987069999</v>
      </c>
      <c r="DQ59">
        <v>94.112903225799997</v>
      </c>
    </row>
    <row r="60" spans="2:121" x14ac:dyDescent="0.2">
      <c r="F60" t="s">
        <v>60</v>
      </c>
      <c r="G60">
        <v>2243</v>
      </c>
      <c r="H60">
        <v>300.85198395010002</v>
      </c>
      <c r="I60">
        <v>4685</v>
      </c>
      <c r="J60">
        <v>1405</v>
      </c>
      <c r="K60">
        <v>5018</v>
      </c>
      <c r="L60">
        <v>2003</v>
      </c>
      <c r="M60">
        <v>1959</v>
      </c>
      <c r="N60">
        <v>1689</v>
      </c>
      <c r="O60">
        <v>4037</v>
      </c>
      <c r="P60">
        <v>3043</v>
      </c>
      <c r="Q60">
        <v>0</v>
      </c>
      <c r="R60">
        <v>1</v>
      </c>
      <c r="BJ60" t="s">
        <v>538</v>
      </c>
      <c r="BK60" t="s">
        <v>379</v>
      </c>
      <c r="BL60">
        <v>18415</v>
      </c>
      <c r="BM60">
        <v>5202</v>
      </c>
      <c r="BN60">
        <v>97.872875373300005</v>
      </c>
      <c r="BO60">
        <v>39921</v>
      </c>
      <c r="BP60">
        <v>1055</v>
      </c>
      <c r="BQ60">
        <v>145.40287066959999</v>
      </c>
      <c r="BR60">
        <v>151.85971563979999</v>
      </c>
      <c r="BS60">
        <v>2411</v>
      </c>
      <c r="BT60">
        <v>775</v>
      </c>
      <c r="BU60">
        <v>115.0933222729</v>
      </c>
      <c r="BV60">
        <v>30002</v>
      </c>
      <c r="BW60">
        <v>701</v>
      </c>
      <c r="BX60">
        <v>141.7563829078</v>
      </c>
      <c r="BY60">
        <v>159.71041369470001</v>
      </c>
      <c r="CA60" t="s">
        <v>387</v>
      </c>
      <c r="CB60" t="s">
        <v>914</v>
      </c>
      <c r="CC60" t="s">
        <v>1022</v>
      </c>
      <c r="CD60">
        <v>8190</v>
      </c>
      <c r="CE60">
        <v>2019</v>
      </c>
      <c r="CF60">
        <v>95.680952380999997</v>
      </c>
      <c r="CG60">
        <v>20745</v>
      </c>
      <c r="CH60">
        <v>469</v>
      </c>
      <c r="CI60">
        <v>146.1956616052</v>
      </c>
      <c r="CJ60">
        <v>148.9061833689</v>
      </c>
      <c r="CL60" t="s">
        <v>387</v>
      </c>
      <c r="CM60" t="s">
        <v>899</v>
      </c>
      <c r="CN60" t="s">
        <v>898</v>
      </c>
      <c r="CO60">
        <v>594</v>
      </c>
      <c r="CP60">
        <v>81</v>
      </c>
      <c r="CQ60">
        <v>76.459595959599994</v>
      </c>
      <c r="CR60">
        <v>3973</v>
      </c>
      <c r="CS60">
        <v>89</v>
      </c>
      <c r="CT60">
        <v>67.650893531299999</v>
      </c>
      <c r="CU60">
        <v>60.022471910100002</v>
      </c>
      <c r="CW60" t="s">
        <v>387</v>
      </c>
      <c r="CX60" t="s">
        <v>907</v>
      </c>
      <c r="CY60" t="s">
        <v>906</v>
      </c>
      <c r="CZ60">
        <v>143</v>
      </c>
      <c r="DA60">
        <v>24</v>
      </c>
      <c r="DB60">
        <v>72.300699300700003</v>
      </c>
      <c r="DC60">
        <v>366</v>
      </c>
      <c r="DD60">
        <v>7</v>
      </c>
      <c r="DE60">
        <v>153.84153005460001</v>
      </c>
      <c r="DF60">
        <v>97.285714285699996</v>
      </c>
      <c r="DH60" t="s">
        <v>387</v>
      </c>
      <c r="DI60" t="s">
        <v>891</v>
      </c>
      <c r="DJ60" t="s">
        <v>890</v>
      </c>
      <c r="DK60">
        <v>129</v>
      </c>
      <c r="DL60">
        <v>14</v>
      </c>
      <c r="DM60">
        <v>66.689922480600003</v>
      </c>
      <c r="DN60">
        <v>438</v>
      </c>
      <c r="DO60">
        <v>9</v>
      </c>
      <c r="DP60">
        <v>145.11187214610001</v>
      </c>
      <c r="DQ60">
        <v>104.6666666667</v>
      </c>
    </row>
    <row r="61" spans="2:121" x14ac:dyDescent="0.2">
      <c r="F61" t="s">
        <v>55</v>
      </c>
      <c r="G61">
        <v>476</v>
      </c>
      <c r="H61">
        <v>194.1617647059</v>
      </c>
      <c r="I61">
        <v>857</v>
      </c>
      <c r="J61">
        <v>250</v>
      </c>
      <c r="K61">
        <v>817</v>
      </c>
      <c r="L61">
        <v>337</v>
      </c>
      <c r="M61">
        <v>380</v>
      </c>
      <c r="N61">
        <v>316</v>
      </c>
      <c r="O61">
        <v>289</v>
      </c>
      <c r="P61">
        <v>136</v>
      </c>
      <c r="Q61">
        <v>457</v>
      </c>
      <c r="R61">
        <v>133</v>
      </c>
      <c r="BJ61" t="s">
        <v>546</v>
      </c>
      <c r="BK61" t="s">
        <v>379</v>
      </c>
      <c r="BL61">
        <v>9677</v>
      </c>
      <c r="BM61">
        <v>2417</v>
      </c>
      <c r="BN61">
        <v>96.898625607100001</v>
      </c>
      <c r="BO61">
        <v>22006</v>
      </c>
      <c r="BP61">
        <v>554</v>
      </c>
      <c r="BQ61">
        <v>134.49622830140001</v>
      </c>
      <c r="BR61">
        <v>133.09927797829999</v>
      </c>
      <c r="BS61">
        <v>4363</v>
      </c>
      <c r="BT61">
        <v>1379</v>
      </c>
      <c r="BU61">
        <v>104.40499656199999</v>
      </c>
      <c r="BV61">
        <v>22950</v>
      </c>
      <c r="BW61">
        <v>494</v>
      </c>
      <c r="BX61">
        <v>132.50069716780001</v>
      </c>
      <c r="BY61">
        <v>146.13157894739999</v>
      </c>
      <c r="CA61" t="s">
        <v>424</v>
      </c>
      <c r="CB61" t="s">
        <v>914</v>
      </c>
      <c r="CC61" t="s">
        <v>1023</v>
      </c>
      <c r="CD61">
        <v>25922</v>
      </c>
      <c r="CE61">
        <v>6411</v>
      </c>
      <c r="CF61">
        <v>94.901975156199995</v>
      </c>
      <c r="CG61">
        <v>62632</v>
      </c>
      <c r="CH61">
        <v>1716</v>
      </c>
      <c r="CI61">
        <v>138.38327053259999</v>
      </c>
      <c r="CJ61">
        <v>134.78379953379999</v>
      </c>
      <c r="CL61" t="s">
        <v>424</v>
      </c>
      <c r="CM61" t="s">
        <v>899</v>
      </c>
      <c r="CN61" t="s">
        <v>900</v>
      </c>
      <c r="CO61">
        <v>2623</v>
      </c>
      <c r="CP61">
        <v>332</v>
      </c>
      <c r="CQ61">
        <v>66.653069005000006</v>
      </c>
      <c r="CR61">
        <v>9218</v>
      </c>
      <c r="CS61">
        <v>339</v>
      </c>
      <c r="CT61">
        <v>96.541657626399996</v>
      </c>
      <c r="CU61">
        <v>106.7079646018</v>
      </c>
      <c r="CW61" t="s">
        <v>424</v>
      </c>
      <c r="CX61" t="s">
        <v>907</v>
      </c>
      <c r="CY61" t="s">
        <v>908</v>
      </c>
      <c r="CZ61">
        <v>681</v>
      </c>
      <c r="DA61">
        <v>84</v>
      </c>
      <c r="DB61">
        <v>68.046989721000003</v>
      </c>
      <c r="DC61">
        <v>1632</v>
      </c>
      <c r="DD61">
        <v>24</v>
      </c>
      <c r="DE61">
        <v>149.6917892157</v>
      </c>
      <c r="DF61">
        <v>132.2916666667</v>
      </c>
      <c r="DH61" t="s">
        <v>424</v>
      </c>
      <c r="DI61" t="s">
        <v>891</v>
      </c>
      <c r="DJ61" t="s">
        <v>892</v>
      </c>
      <c r="DK61">
        <v>745</v>
      </c>
      <c r="DL61">
        <v>92</v>
      </c>
      <c r="DM61">
        <v>58.402684563800001</v>
      </c>
      <c r="DN61">
        <v>2342</v>
      </c>
      <c r="DO61">
        <v>56</v>
      </c>
      <c r="DP61">
        <v>138.67805294620001</v>
      </c>
      <c r="DQ61">
        <v>101.4107142857</v>
      </c>
    </row>
    <row r="62" spans="2:121" x14ac:dyDescent="0.2">
      <c r="BJ62" t="s">
        <v>562</v>
      </c>
      <c r="BK62" t="s">
        <v>379</v>
      </c>
      <c r="BL62">
        <v>4123</v>
      </c>
      <c r="BM62">
        <v>804</v>
      </c>
      <c r="BN62">
        <v>92.329129274799996</v>
      </c>
      <c r="BO62">
        <v>13212</v>
      </c>
      <c r="BP62">
        <v>269</v>
      </c>
      <c r="BQ62">
        <v>129.14115955189999</v>
      </c>
      <c r="BR62">
        <v>119.3159851301</v>
      </c>
      <c r="BS62">
        <v>1490</v>
      </c>
      <c r="BT62">
        <v>580</v>
      </c>
      <c r="BU62">
        <v>133.46711409400001</v>
      </c>
      <c r="BV62">
        <v>19294</v>
      </c>
      <c r="BW62">
        <v>489</v>
      </c>
      <c r="BX62">
        <v>148.2398154867</v>
      </c>
      <c r="BY62">
        <v>135.86503067480001</v>
      </c>
      <c r="CA62" t="s">
        <v>380</v>
      </c>
      <c r="CB62" t="s">
        <v>914</v>
      </c>
      <c r="CC62" t="s">
        <v>1024</v>
      </c>
      <c r="CD62">
        <v>19504</v>
      </c>
      <c r="CE62">
        <v>5315</v>
      </c>
      <c r="CF62">
        <v>98.181655045100001</v>
      </c>
      <c r="CG62">
        <v>44986</v>
      </c>
      <c r="CH62">
        <v>1202</v>
      </c>
      <c r="CI62">
        <v>136.81460898949999</v>
      </c>
      <c r="CJ62">
        <v>144.69550748750001</v>
      </c>
      <c r="CL62" t="s">
        <v>380</v>
      </c>
      <c r="CM62" t="s">
        <v>899</v>
      </c>
      <c r="CN62" t="s">
        <v>901</v>
      </c>
      <c r="CO62">
        <v>1333</v>
      </c>
      <c r="CP62">
        <v>168</v>
      </c>
      <c r="CQ62">
        <v>68.447111777900005</v>
      </c>
      <c r="CR62">
        <v>4626</v>
      </c>
      <c r="CS62">
        <v>148</v>
      </c>
      <c r="CT62">
        <v>99.881539126700005</v>
      </c>
      <c r="CU62">
        <v>109.3986486486</v>
      </c>
      <c r="CW62" t="s">
        <v>380</v>
      </c>
      <c r="CX62" t="s">
        <v>907</v>
      </c>
      <c r="CY62" t="s">
        <v>909</v>
      </c>
      <c r="CZ62">
        <v>430</v>
      </c>
      <c r="DA62">
        <v>57</v>
      </c>
      <c r="DB62">
        <v>73.290697674399993</v>
      </c>
      <c r="DC62">
        <v>957</v>
      </c>
      <c r="DD62">
        <v>9</v>
      </c>
      <c r="DE62">
        <v>150.80146290490001</v>
      </c>
      <c r="DF62">
        <v>166.55555555559999</v>
      </c>
      <c r="DH62" t="s">
        <v>380</v>
      </c>
      <c r="DI62" t="s">
        <v>891</v>
      </c>
      <c r="DJ62" t="s">
        <v>893</v>
      </c>
      <c r="DK62">
        <v>413</v>
      </c>
      <c r="DL62">
        <v>57</v>
      </c>
      <c r="DM62">
        <v>67.116222760300005</v>
      </c>
      <c r="DN62">
        <v>1139</v>
      </c>
      <c r="DO62">
        <v>17</v>
      </c>
      <c r="DP62">
        <v>137.39332748020001</v>
      </c>
      <c r="DQ62">
        <v>104.70588235290001</v>
      </c>
    </row>
    <row r="63" spans="2:121" x14ac:dyDescent="0.2">
      <c r="BJ63" t="s">
        <v>552</v>
      </c>
      <c r="BK63" t="s">
        <v>379</v>
      </c>
      <c r="BL63">
        <v>7924</v>
      </c>
      <c r="BM63">
        <v>2005</v>
      </c>
      <c r="BN63">
        <v>98.248233215499994</v>
      </c>
      <c r="BO63">
        <v>19893</v>
      </c>
      <c r="BP63">
        <v>455</v>
      </c>
      <c r="BQ63">
        <v>153.48760870660001</v>
      </c>
      <c r="BR63">
        <v>157.38021978020001</v>
      </c>
      <c r="BS63">
        <v>2370</v>
      </c>
      <c r="BT63">
        <v>809</v>
      </c>
      <c r="BU63">
        <v>109.0848101266</v>
      </c>
      <c r="BV63">
        <v>18683</v>
      </c>
      <c r="BW63">
        <v>375</v>
      </c>
      <c r="BX63">
        <v>150.45340684039999</v>
      </c>
      <c r="BY63">
        <v>161.21600000000001</v>
      </c>
      <c r="CA63" t="s">
        <v>392</v>
      </c>
      <c r="CB63" t="s">
        <v>914</v>
      </c>
      <c r="CC63" t="s">
        <v>1025</v>
      </c>
      <c r="CD63">
        <v>3746</v>
      </c>
      <c r="CE63">
        <v>526</v>
      </c>
      <c r="CF63">
        <v>76.904431393500005</v>
      </c>
      <c r="CG63">
        <v>13461</v>
      </c>
      <c r="CH63">
        <v>278</v>
      </c>
      <c r="CI63">
        <v>114.97407324860001</v>
      </c>
      <c r="CJ63">
        <v>103.99640287770001</v>
      </c>
      <c r="CL63" t="s">
        <v>392</v>
      </c>
      <c r="CM63" t="s">
        <v>899</v>
      </c>
      <c r="CN63" t="s">
        <v>902</v>
      </c>
      <c r="CO63">
        <v>352</v>
      </c>
      <c r="CP63">
        <v>56</v>
      </c>
      <c r="CQ63">
        <v>69.056818181799997</v>
      </c>
      <c r="CR63">
        <v>2075</v>
      </c>
      <c r="CS63">
        <v>39</v>
      </c>
      <c r="CT63">
        <v>70.527228915699993</v>
      </c>
      <c r="CU63">
        <v>75.589743589700007</v>
      </c>
      <c r="CW63" t="s">
        <v>392</v>
      </c>
      <c r="CX63" t="s">
        <v>907</v>
      </c>
      <c r="CY63" t="s">
        <v>910</v>
      </c>
      <c r="CZ63">
        <v>80</v>
      </c>
      <c r="DA63">
        <v>8</v>
      </c>
      <c r="DB63">
        <v>65.075000000000003</v>
      </c>
      <c r="DC63">
        <v>234</v>
      </c>
      <c r="DD63">
        <v>6</v>
      </c>
      <c r="DE63">
        <v>142.8632478632</v>
      </c>
      <c r="DF63">
        <v>80</v>
      </c>
      <c r="DH63" t="s">
        <v>392</v>
      </c>
      <c r="DI63" t="s">
        <v>891</v>
      </c>
      <c r="DJ63" t="s">
        <v>894</v>
      </c>
      <c r="DK63">
        <v>136</v>
      </c>
      <c r="DL63">
        <v>16</v>
      </c>
      <c r="DM63">
        <v>55.551470588199997</v>
      </c>
      <c r="DN63">
        <v>364</v>
      </c>
      <c r="DO63">
        <v>3</v>
      </c>
      <c r="DP63">
        <v>133.1840659341</v>
      </c>
      <c r="DQ63">
        <v>70.666666666699996</v>
      </c>
    </row>
    <row r="64" spans="2:121" x14ac:dyDescent="0.2">
      <c r="BJ64" t="s">
        <v>548</v>
      </c>
      <c r="BK64" t="s">
        <v>379</v>
      </c>
      <c r="BL64">
        <v>9537</v>
      </c>
      <c r="BM64">
        <v>1449</v>
      </c>
      <c r="BN64">
        <v>78.757995176700007</v>
      </c>
      <c r="BO64">
        <v>26212</v>
      </c>
      <c r="BP64">
        <v>597</v>
      </c>
      <c r="BQ64">
        <v>119.84571951780001</v>
      </c>
      <c r="BR64">
        <v>118.2897822446</v>
      </c>
      <c r="BS64">
        <v>3001</v>
      </c>
      <c r="BT64">
        <v>834</v>
      </c>
      <c r="BU64">
        <v>99.040319893399996</v>
      </c>
      <c r="BV64">
        <v>27089</v>
      </c>
      <c r="BW64">
        <v>601</v>
      </c>
      <c r="BX64">
        <v>124.9116246447</v>
      </c>
      <c r="BY64">
        <v>129.66389351079999</v>
      </c>
      <c r="CA64" t="s">
        <v>426</v>
      </c>
      <c r="CB64" t="s">
        <v>914</v>
      </c>
      <c r="CC64" t="s">
        <v>1026</v>
      </c>
      <c r="CD64">
        <v>2965</v>
      </c>
      <c r="CE64">
        <v>627</v>
      </c>
      <c r="CF64">
        <v>95.776391231000005</v>
      </c>
      <c r="CG64">
        <v>8088</v>
      </c>
      <c r="CH64">
        <v>223</v>
      </c>
      <c r="CI64">
        <v>147.2611275964</v>
      </c>
      <c r="CJ64">
        <v>123.3811659193</v>
      </c>
      <c r="CL64" t="s">
        <v>426</v>
      </c>
      <c r="CM64" t="s">
        <v>899</v>
      </c>
      <c r="CN64" t="s">
        <v>903</v>
      </c>
      <c r="CO64">
        <v>544</v>
      </c>
      <c r="CP64">
        <v>65</v>
      </c>
      <c r="CQ64">
        <v>70.628676470599999</v>
      </c>
      <c r="CR64">
        <v>1691</v>
      </c>
      <c r="CS64">
        <v>76</v>
      </c>
      <c r="CT64">
        <v>108.94145476049999</v>
      </c>
      <c r="CU64">
        <v>119.6052631579</v>
      </c>
      <c r="CW64" t="s">
        <v>426</v>
      </c>
      <c r="CX64" t="s">
        <v>907</v>
      </c>
      <c r="CY64" t="s">
        <v>911</v>
      </c>
      <c r="CZ64">
        <v>21</v>
      </c>
      <c r="DA64">
        <v>5</v>
      </c>
      <c r="DB64">
        <v>93.380952381</v>
      </c>
      <c r="DC64">
        <v>21</v>
      </c>
      <c r="DD64">
        <v>0</v>
      </c>
      <c r="DE64">
        <v>129.6666666667</v>
      </c>
      <c r="DF64">
        <v>0</v>
      </c>
      <c r="DH64" t="s">
        <v>426</v>
      </c>
      <c r="DI64" t="s">
        <v>891</v>
      </c>
      <c r="DJ64" t="s">
        <v>895</v>
      </c>
      <c r="DK64">
        <v>14</v>
      </c>
      <c r="DL64">
        <v>2</v>
      </c>
      <c r="DM64">
        <v>74.285714285699996</v>
      </c>
      <c r="DN64">
        <v>44</v>
      </c>
      <c r="DO64">
        <v>2</v>
      </c>
      <c r="DP64">
        <v>123.70454545450001</v>
      </c>
      <c r="DQ64">
        <v>124</v>
      </c>
    </row>
    <row r="65" spans="62:121" x14ac:dyDescent="0.2">
      <c r="BJ65" t="s">
        <v>612</v>
      </c>
      <c r="BK65" t="s">
        <v>379</v>
      </c>
      <c r="BL65">
        <v>1887</v>
      </c>
      <c r="BM65">
        <v>605</v>
      </c>
      <c r="BN65">
        <v>110.17488076310001</v>
      </c>
      <c r="BO65">
        <v>7929</v>
      </c>
      <c r="BP65">
        <v>186</v>
      </c>
      <c r="BQ65">
        <v>150.45302055740001</v>
      </c>
      <c r="BR65">
        <v>134.27956989250001</v>
      </c>
      <c r="BS65">
        <v>920</v>
      </c>
      <c r="BT65">
        <v>322</v>
      </c>
      <c r="BU65">
        <v>117.2956521739</v>
      </c>
      <c r="BV65">
        <v>9255</v>
      </c>
      <c r="BW65">
        <v>286</v>
      </c>
      <c r="BX65">
        <v>148.77093462990001</v>
      </c>
      <c r="BY65">
        <v>132.33916083919999</v>
      </c>
      <c r="CA65" t="s">
        <v>382</v>
      </c>
      <c r="CB65" t="s">
        <v>914</v>
      </c>
      <c r="CC65" t="s">
        <v>1027</v>
      </c>
      <c r="CD65">
        <v>9753</v>
      </c>
      <c r="CE65">
        <v>2470</v>
      </c>
      <c r="CF65">
        <v>97.8195427048</v>
      </c>
      <c r="CG65">
        <v>23407</v>
      </c>
      <c r="CH65">
        <v>565</v>
      </c>
      <c r="CI65">
        <v>132.0081599522</v>
      </c>
      <c r="CJ65">
        <v>137.67964601770001</v>
      </c>
      <c r="CL65" t="s">
        <v>382</v>
      </c>
      <c r="CM65" t="s">
        <v>899</v>
      </c>
      <c r="CN65" t="s">
        <v>904</v>
      </c>
      <c r="CO65">
        <v>866</v>
      </c>
      <c r="CP65">
        <v>134</v>
      </c>
      <c r="CQ65">
        <v>74.278290993100001</v>
      </c>
      <c r="CR65">
        <v>2799</v>
      </c>
      <c r="CS65">
        <v>124</v>
      </c>
      <c r="CT65">
        <v>95.290818149299994</v>
      </c>
      <c r="CU65">
        <v>101.3629032258</v>
      </c>
      <c r="CW65" t="s">
        <v>382</v>
      </c>
      <c r="CX65" t="s">
        <v>907</v>
      </c>
      <c r="CY65" t="s">
        <v>912</v>
      </c>
      <c r="CZ65">
        <v>187</v>
      </c>
      <c r="DA65">
        <v>35</v>
      </c>
      <c r="DB65">
        <v>79.711229946499998</v>
      </c>
      <c r="DC65">
        <v>489</v>
      </c>
      <c r="DD65">
        <v>4</v>
      </c>
      <c r="DE65">
        <v>160.3476482618</v>
      </c>
      <c r="DF65">
        <v>128.25</v>
      </c>
      <c r="DH65" t="s">
        <v>382</v>
      </c>
      <c r="DI65" t="s">
        <v>891</v>
      </c>
      <c r="DJ65" t="s">
        <v>896</v>
      </c>
      <c r="DK65">
        <v>205</v>
      </c>
      <c r="DL65">
        <v>33</v>
      </c>
      <c r="DM65">
        <v>68.990243902399996</v>
      </c>
      <c r="DN65">
        <v>584</v>
      </c>
      <c r="DO65">
        <v>11</v>
      </c>
      <c r="DP65">
        <v>139.47602739729999</v>
      </c>
      <c r="DQ65">
        <v>134.8181818182</v>
      </c>
    </row>
    <row r="66" spans="62:121" x14ac:dyDescent="0.2">
      <c r="BJ66" t="s">
        <v>379</v>
      </c>
      <c r="BK66" t="s">
        <v>379</v>
      </c>
      <c r="BL66">
        <v>76490</v>
      </c>
      <c r="BM66">
        <v>18444</v>
      </c>
      <c r="BN66">
        <v>94.241992417299997</v>
      </c>
      <c r="BO66">
        <v>186072</v>
      </c>
      <c r="BP66">
        <v>4706</v>
      </c>
      <c r="BQ66">
        <v>139.59662388749999</v>
      </c>
      <c r="BR66">
        <v>138.85656608580001</v>
      </c>
      <c r="BS66">
        <v>24040</v>
      </c>
      <c r="BT66">
        <v>7305</v>
      </c>
      <c r="BU66">
        <v>106.3989184692</v>
      </c>
      <c r="BV66">
        <v>173058</v>
      </c>
      <c r="BW66">
        <v>3370</v>
      </c>
      <c r="BX66">
        <v>139.19679529410001</v>
      </c>
      <c r="BY66">
        <v>143.5866468843</v>
      </c>
      <c r="CA66" t="s">
        <v>383</v>
      </c>
      <c r="CB66" t="s">
        <v>914</v>
      </c>
      <c r="CC66" t="s">
        <v>1028</v>
      </c>
      <c r="CD66">
        <v>9652</v>
      </c>
      <c r="CE66">
        <v>1503</v>
      </c>
      <c r="CF66">
        <v>79.453895565699995</v>
      </c>
      <c r="CG66">
        <v>27033</v>
      </c>
      <c r="CH66">
        <v>633</v>
      </c>
      <c r="CI66">
        <v>117.0088410461</v>
      </c>
      <c r="CJ66">
        <v>119.6097946288</v>
      </c>
      <c r="CL66" t="s">
        <v>383</v>
      </c>
      <c r="CM66" t="s">
        <v>899</v>
      </c>
      <c r="CN66" t="s">
        <v>905</v>
      </c>
      <c r="CO66">
        <v>612</v>
      </c>
      <c r="CP66">
        <v>86</v>
      </c>
      <c r="CQ66">
        <v>70.035947712400002</v>
      </c>
      <c r="CR66">
        <v>3633</v>
      </c>
      <c r="CS66">
        <v>114</v>
      </c>
      <c r="CT66">
        <v>69.299477016200001</v>
      </c>
      <c r="CU66">
        <v>64.824561403499999</v>
      </c>
      <c r="CW66" t="s">
        <v>383</v>
      </c>
      <c r="CX66" t="s">
        <v>907</v>
      </c>
      <c r="CY66" t="s">
        <v>913</v>
      </c>
      <c r="CZ66">
        <v>206</v>
      </c>
      <c r="DA66">
        <v>38</v>
      </c>
      <c r="DB66">
        <v>81.990291262100001</v>
      </c>
      <c r="DC66">
        <v>477</v>
      </c>
      <c r="DD66">
        <v>7</v>
      </c>
      <c r="DE66">
        <v>155.570230608</v>
      </c>
      <c r="DF66">
        <v>128.8571428571</v>
      </c>
      <c r="DH66" t="s">
        <v>383</v>
      </c>
      <c r="DI66" t="s">
        <v>891</v>
      </c>
      <c r="DJ66" t="s">
        <v>897</v>
      </c>
      <c r="DK66">
        <v>296</v>
      </c>
      <c r="DL66">
        <v>46</v>
      </c>
      <c r="DM66">
        <v>64.283783783800004</v>
      </c>
      <c r="DN66">
        <v>957</v>
      </c>
      <c r="DO66">
        <v>12</v>
      </c>
      <c r="DP66">
        <v>137.83594566350001</v>
      </c>
      <c r="DQ66">
        <v>84.083333333300004</v>
      </c>
    </row>
    <row r="67" spans="62:121" x14ac:dyDescent="0.2">
      <c r="BJ67" t="s">
        <v>540</v>
      </c>
      <c r="BK67" t="s">
        <v>379</v>
      </c>
      <c r="BL67">
        <v>24927</v>
      </c>
      <c r="BM67">
        <v>5962</v>
      </c>
      <c r="BN67">
        <v>94.289164359899999</v>
      </c>
      <c r="BO67">
        <v>56899</v>
      </c>
      <c r="BP67">
        <v>1590</v>
      </c>
      <c r="BQ67">
        <v>142.65261252389999</v>
      </c>
      <c r="BR67">
        <v>138.49748427669999</v>
      </c>
      <c r="BS67">
        <v>9485</v>
      </c>
      <c r="BT67">
        <v>2606</v>
      </c>
      <c r="BU67">
        <v>101.454085398</v>
      </c>
      <c r="BV67">
        <v>45785</v>
      </c>
      <c r="BW67">
        <v>424</v>
      </c>
      <c r="BX67">
        <v>138.98846783880001</v>
      </c>
      <c r="BY67">
        <v>134.59905660379999</v>
      </c>
      <c r="CA67" t="s">
        <v>379</v>
      </c>
      <c r="CB67" t="s">
        <v>914</v>
      </c>
      <c r="CD67">
        <v>79732</v>
      </c>
      <c r="CE67">
        <v>18871</v>
      </c>
      <c r="CF67">
        <v>93.458021873299998</v>
      </c>
      <c r="CG67">
        <v>200352</v>
      </c>
      <c r="CH67">
        <v>5086</v>
      </c>
      <c r="CI67">
        <v>133.9967706836</v>
      </c>
      <c r="CJ67">
        <v>134.67892253240001</v>
      </c>
      <c r="CL67" t="s">
        <v>379</v>
      </c>
      <c r="CM67" t="s">
        <v>899</v>
      </c>
      <c r="CO67">
        <v>6924</v>
      </c>
      <c r="CP67">
        <v>922</v>
      </c>
      <c r="CQ67">
        <v>69.527007510100006</v>
      </c>
      <c r="CR67">
        <v>28015</v>
      </c>
      <c r="CS67">
        <v>929</v>
      </c>
      <c r="CT67">
        <v>88.159842941299999</v>
      </c>
      <c r="CU67">
        <v>96.559741657700002</v>
      </c>
      <c r="CW67" t="s">
        <v>379</v>
      </c>
      <c r="CX67" t="s">
        <v>907</v>
      </c>
      <c r="CZ67">
        <v>1748</v>
      </c>
      <c r="DA67">
        <v>251</v>
      </c>
      <c r="DB67">
        <v>72.744279176199996</v>
      </c>
      <c r="DC67">
        <v>4176</v>
      </c>
      <c r="DD67">
        <v>57</v>
      </c>
      <c r="DE67">
        <v>151.74568965520001</v>
      </c>
      <c r="DF67">
        <v>127.1929824561</v>
      </c>
      <c r="DH67" t="s">
        <v>379</v>
      </c>
      <c r="DI67" t="s">
        <v>891</v>
      </c>
      <c r="DK67">
        <v>1938</v>
      </c>
      <c r="DL67">
        <v>260</v>
      </c>
      <c r="DM67">
        <v>62.744066047499999</v>
      </c>
      <c r="DN67">
        <v>5868</v>
      </c>
      <c r="DO67">
        <v>110</v>
      </c>
      <c r="DP67">
        <v>138.39792092709999</v>
      </c>
      <c r="DQ67">
        <v>103.2090909091</v>
      </c>
    </row>
    <row r="68" spans="62:121" x14ac:dyDescent="0.2">
      <c r="BJ68" t="s">
        <v>308</v>
      </c>
      <c r="BK68" t="s">
        <v>694</v>
      </c>
      <c r="BL68">
        <v>7887</v>
      </c>
      <c r="BM68">
        <v>873</v>
      </c>
      <c r="BN68">
        <v>58.335742360799998</v>
      </c>
      <c r="BO68">
        <v>20580</v>
      </c>
      <c r="BP68">
        <v>330</v>
      </c>
      <c r="BQ68">
        <v>128.62711370260001</v>
      </c>
      <c r="BR68">
        <v>104.1606060606</v>
      </c>
      <c r="BS68">
        <v>7755</v>
      </c>
      <c r="BT68">
        <v>654</v>
      </c>
      <c r="BU68">
        <v>51.7923920052</v>
      </c>
      <c r="BV68">
        <v>5905</v>
      </c>
      <c r="BW68">
        <v>56</v>
      </c>
      <c r="BX68">
        <v>127.62438611349999</v>
      </c>
      <c r="BY68">
        <v>105.5892857143</v>
      </c>
      <c r="CA68" t="s">
        <v>697</v>
      </c>
      <c r="CD68">
        <v>380286</v>
      </c>
      <c r="CE68">
        <v>77963</v>
      </c>
      <c r="CF68">
        <v>87.801959577800005</v>
      </c>
      <c r="CG68">
        <v>1071637</v>
      </c>
      <c r="CH68">
        <v>26021</v>
      </c>
      <c r="CI68">
        <v>123.1194266342</v>
      </c>
      <c r="CJ68">
        <v>121.4122055263</v>
      </c>
      <c r="CL68" t="s">
        <v>697</v>
      </c>
      <c r="CO68">
        <v>380286</v>
      </c>
      <c r="CP68">
        <v>77963</v>
      </c>
      <c r="CQ68">
        <v>87.801959577800005</v>
      </c>
      <c r="CR68">
        <v>1071637</v>
      </c>
      <c r="CS68">
        <v>26021</v>
      </c>
      <c r="CT68">
        <v>123.1194266342</v>
      </c>
      <c r="CU68">
        <v>121.4122055263</v>
      </c>
      <c r="CW68" t="s">
        <v>697</v>
      </c>
      <c r="CZ68">
        <v>380286</v>
      </c>
      <c r="DA68">
        <v>77963</v>
      </c>
      <c r="DB68">
        <v>87.801959577800005</v>
      </c>
      <c r="DC68">
        <v>1071637</v>
      </c>
      <c r="DD68">
        <v>26021</v>
      </c>
      <c r="DE68">
        <v>123.1194266342</v>
      </c>
      <c r="DF68">
        <v>121.4122055263</v>
      </c>
      <c r="DH68" t="s">
        <v>697</v>
      </c>
      <c r="DK68">
        <v>380286</v>
      </c>
      <c r="DL68">
        <v>77963</v>
      </c>
      <c r="DM68">
        <v>87.801959577800005</v>
      </c>
      <c r="DN68">
        <v>1071637</v>
      </c>
      <c r="DO68">
        <v>26021</v>
      </c>
      <c r="DP68">
        <v>123.1194266342</v>
      </c>
      <c r="DQ68">
        <v>121.4122055263</v>
      </c>
    </row>
    <row r="69" spans="62:121" x14ac:dyDescent="0.2">
      <c r="BJ69" t="s">
        <v>211</v>
      </c>
      <c r="BK69" t="s">
        <v>694</v>
      </c>
      <c r="BL69">
        <v>63</v>
      </c>
      <c r="BM69">
        <v>7</v>
      </c>
      <c r="BN69">
        <v>56.714285714299997</v>
      </c>
      <c r="BO69">
        <v>189</v>
      </c>
      <c r="BP69">
        <v>4</v>
      </c>
      <c r="BQ69">
        <v>128.39153439149999</v>
      </c>
      <c r="BR69">
        <v>72.5</v>
      </c>
      <c r="BS69">
        <v>514</v>
      </c>
      <c r="BT69">
        <v>157</v>
      </c>
      <c r="BU69">
        <v>114.0019455253</v>
      </c>
      <c r="BV69">
        <v>9917</v>
      </c>
      <c r="BW69">
        <v>146</v>
      </c>
      <c r="BX69">
        <v>118.50932741760001</v>
      </c>
      <c r="BY69">
        <v>101.5410958904</v>
      </c>
    </row>
    <row r="70" spans="62:121" x14ac:dyDescent="0.2">
      <c r="BJ70" t="s">
        <v>694</v>
      </c>
      <c r="BK70" t="s">
        <v>694</v>
      </c>
      <c r="BL70">
        <v>9094</v>
      </c>
      <c r="BM70">
        <v>991</v>
      </c>
      <c r="BN70">
        <v>57.927094787800002</v>
      </c>
      <c r="BO70">
        <v>24674</v>
      </c>
      <c r="BP70">
        <v>398</v>
      </c>
      <c r="BQ70">
        <v>130.6547783092</v>
      </c>
      <c r="BR70">
        <v>102.1457286432</v>
      </c>
      <c r="BS70">
        <v>9094</v>
      </c>
      <c r="BT70">
        <v>991</v>
      </c>
      <c r="BU70">
        <v>57.927094787800002</v>
      </c>
      <c r="BV70">
        <v>24674</v>
      </c>
      <c r="BW70">
        <v>398</v>
      </c>
      <c r="BX70">
        <v>130.6547783092</v>
      </c>
      <c r="BY70">
        <v>102.1457286432</v>
      </c>
    </row>
    <row r="71" spans="62:121" x14ac:dyDescent="0.2">
      <c r="BJ71" t="s">
        <v>213</v>
      </c>
      <c r="BK71" t="s">
        <v>694</v>
      </c>
      <c r="BL71">
        <v>1144</v>
      </c>
      <c r="BM71">
        <v>111</v>
      </c>
      <c r="BN71">
        <v>55.176573426600001</v>
      </c>
      <c r="BO71">
        <v>3905</v>
      </c>
      <c r="BP71">
        <v>64</v>
      </c>
      <c r="BQ71">
        <v>141.4504481434</v>
      </c>
      <c r="BR71">
        <v>93.609375</v>
      </c>
      <c r="BS71">
        <v>825</v>
      </c>
      <c r="BT71">
        <v>180</v>
      </c>
      <c r="BU71">
        <v>80.656969696999994</v>
      </c>
      <c r="BV71">
        <v>8852</v>
      </c>
      <c r="BW71">
        <v>196</v>
      </c>
      <c r="BX71">
        <v>146.2829868956</v>
      </c>
      <c r="BY71">
        <v>101.612244898</v>
      </c>
    </row>
    <row r="72" spans="62:121" x14ac:dyDescent="0.2">
      <c r="BJ72" t="s">
        <v>209</v>
      </c>
      <c r="BK72" t="s">
        <v>695</v>
      </c>
      <c r="BL72">
        <v>5769</v>
      </c>
      <c r="BM72">
        <v>748</v>
      </c>
      <c r="BN72">
        <v>67.856300918700001</v>
      </c>
      <c r="BO72">
        <v>35004</v>
      </c>
      <c r="BP72">
        <v>842</v>
      </c>
      <c r="BQ72">
        <v>70.779025254299995</v>
      </c>
      <c r="BR72">
        <v>68.179334916900004</v>
      </c>
      <c r="BS72">
        <v>5875</v>
      </c>
      <c r="BT72">
        <v>728</v>
      </c>
      <c r="BU72">
        <v>67.508425531900002</v>
      </c>
      <c r="BV72">
        <v>35385</v>
      </c>
      <c r="BW72">
        <v>861</v>
      </c>
      <c r="BX72">
        <v>71.066977532899998</v>
      </c>
      <c r="BY72">
        <v>69.565621370499997</v>
      </c>
    </row>
    <row r="73" spans="62:121" x14ac:dyDescent="0.2">
      <c r="BJ73" t="s">
        <v>224</v>
      </c>
      <c r="BK73" t="s">
        <v>695</v>
      </c>
      <c r="BL73">
        <v>862</v>
      </c>
      <c r="BM73">
        <v>410</v>
      </c>
      <c r="BN73">
        <v>181.67981438519999</v>
      </c>
      <c r="BO73">
        <v>4628</v>
      </c>
      <c r="BP73">
        <v>149</v>
      </c>
      <c r="BQ73">
        <v>64.232065687100004</v>
      </c>
      <c r="BR73">
        <v>79.060402684600007</v>
      </c>
      <c r="BS73">
        <v>854</v>
      </c>
      <c r="BT73">
        <v>467</v>
      </c>
      <c r="BU73">
        <v>199.18618266979999</v>
      </c>
      <c r="BV73">
        <v>3758</v>
      </c>
      <c r="BW73">
        <v>103</v>
      </c>
      <c r="BX73">
        <v>51.755188930300001</v>
      </c>
      <c r="BY73">
        <v>67.087378640799997</v>
      </c>
    </row>
    <row r="74" spans="62:121" x14ac:dyDescent="0.2">
      <c r="BJ74" t="s">
        <v>210</v>
      </c>
      <c r="BK74" t="s">
        <v>695</v>
      </c>
      <c r="BL74">
        <v>12150</v>
      </c>
      <c r="BM74">
        <v>1472</v>
      </c>
      <c r="BN74">
        <v>65.483456790100007</v>
      </c>
      <c r="BO74">
        <v>42033</v>
      </c>
      <c r="BP74">
        <v>1428</v>
      </c>
      <c r="BQ74">
        <v>99.463302643199995</v>
      </c>
      <c r="BR74">
        <v>107.7072829132</v>
      </c>
      <c r="BS74">
        <v>11868</v>
      </c>
      <c r="BT74">
        <v>1454</v>
      </c>
      <c r="BU74">
        <v>64.619396696999999</v>
      </c>
      <c r="BV74">
        <v>41989</v>
      </c>
      <c r="BW74">
        <v>1412</v>
      </c>
      <c r="BX74">
        <v>100.0334611446</v>
      </c>
      <c r="BY74">
        <v>108.2549575071</v>
      </c>
    </row>
    <row r="75" spans="62:121" x14ac:dyDescent="0.2">
      <c r="BJ75" t="s">
        <v>212</v>
      </c>
      <c r="BK75" t="s">
        <v>695</v>
      </c>
      <c r="BL75">
        <v>7885</v>
      </c>
      <c r="BM75">
        <v>562</v>
      </c>
      <c r="BN75">
        <v>59.051363348099997</v>
      </c>
      <c r="BO75">
        <v>44280</v>
      </c>
      <c r="BP75">
        <v>1243</v>
      </c>
      <c r="BQ75">
        <v>68.441621499500002</v>
      </c>
      <c r="BR75">
        <v>72.3539823009</v>
      </c>
      <c r="BS75">
        <v>8068</v>
      </c>
      <c r="BT75">
        <v>542</v>
      </c>
      <c r="BU75">
        <v>58.894273673800001</v>
      </c>
      <c r="BV75">
        <v>44813</v>
      </c>
      <c r="BW75">
        <v>1286</v>
      </c>
      <c r="BX75">
        <v>68.655189342400007</v>
      </c>
      <c r="BY75">
        <v>72.524883359300006</v>
      </c>
    </row>
    <row r="76" spans="62:121" x14ac:dyDescent="0.2">
      <c r="BJ76" t="s">
        <v>695</v>
      </c>
      <c r="BK76" t="s">
        <v>695</v>
      </c>
      <c r="BL76">
        <v>26666</v>
      </c>
      <c r="BM76">
        <v>3192</v>
      </c>
      <c r="BN76">
        <v>67.8510087752</v>
      </c>
      <c r="BO76">
        <v>125945</v>
      </c>
      <c r="BP76">
        <v>3662</v>
      </c>
      <c r="BQ76">
        <v>79.289777283700005</v>
      </c>
      <c r="BR76">
        <v>85.453031130499994</v>
      </c>
      <c r="BS76">
        <v>26665</v>
      </c>
      <c r="BT76">
        <v>3191</v>
      </c>
      <c r="BU76">
        <v>67.833452090799994</v>
      </c>
      <c r="BV76">
        <v>125945</v>
      </c>
      <c r="BW76">
        <v>3662</v>
      </c>
      <c r="BX76">
        <v>79.289777283700005</v>
      </c>
      <c r="BY76">
        <v>85.453031130499994</v>
      </c>
    </row>
    <row r="77" spans="62:121" x14ac:dyDescent="0.2">
      <c r="BJ77" t="s">
        <v>307</v>
      </c>
      <c r="BK77" t="s">
        <v>696</v>
      </c>
      <c r="BL77">
        <v>5424</v>
      </c>
      <c r="BM77">
        <v>744</v>
      </c>
      <c r="BN77">
        <v>67.332595870199995</v>
      </c>
      <c r="BO77">
        <v>14333</v>
      </c>
      <c r="BP77">
        <v>273</v>
      </c>
      <c r="BQ77">
        <v>138.69036489219999</v>
      </c>
      <c r="BR77">
        <v>116.3846153846</v>
      </c>
      <c r="BS77">
        <v>6678</v>
      </c>
      <c r="BT77">
        <v>688</v>
      </c>
      <c r="BU77">
        <v>59.938005390800001</v>
      </c>
      <c r="BV77">
        <v>3871</v>
      </c>
      <c r="BW77">
        <v>32</v>
      </c>
      <c r="BX77">
        <v>133.4869542754</v>
      </c>
      <c r="BY77">
        <v>130.15625</v>
      </c>
    </row>
    <row r="78" spans="62:121" x14ac:dyDescent="0.2">
      <c r="BJ78" t="s">
        <v>955</v>
      </c>
      <c r="BK78" t="s">
        <v>696</v>
      </c>
      <c r="BL78">
        <v>1415</v>
      </c>
      <c r="BM78">
        <v>133</v>
      </c>
      <c r="BN78">
        <v>58.156183745600003</v>
      </c>
      <c r="BO78">
        <v>3991</v>
      </c>
      <c r="BP78">
        <v>72</v>
      </c>
      <c r="BQ78">
        <v>123.4845903282</v>
      </c>
      <c r="BR78">
        <v>103.2916666667</v>
      </c>
      <c r="BS78">
        <v>835</v>
      </c>
      <c r="BT78">
        <v>166</v>
      </c>
      <c r="BU78">
        <v>82.146107784400002</v>
      </c>
      <c r="BV78">
        <v>9841</v>
      </c>
      <c r="BW78">
        <v>242</v>
      </c>
      <c r="BX78">
        <v>124.22680621889999</v>
      </c>
      <c r="BY78">
        <v>100.57851239670001</v>
      </c>
    </row>
    <row r="79" spans="62:121" x14ac:dyDescent="0.2">
      <c r="BJ79" t="s">
        <v>696</v>
      </c>
      <c r="BK79" t="s">
        <v>696</v>
      </c>
      <c r="BL79">
        <v>8010</v>
      </c>
      <c r="BM79">
        <v>1004</v>
      </c>
      <c r="BN79">
        <v>65.303495630499995</v>
      </c>
      <c r="BO79">
        <v>21758</v>
      </c>
      <c r="BP79">
        <v>403</v>
      </c>
      <c r="BQ79">
        <v>137.45284493060001</v>
      </c>
      <c r="BR79">
        <v>113.0868486352</v>
      </c>
      <c r="BS79">
        <v>8010</v>
      </c>
      <c r="BT79">
        <v>1004</v>
      </c>
      <c r="BU79">
        <v>65.303495630499995</v>
      </c>
      <c r="BV79">
        <v>21758</v>
      </c>
      <c r="BW79">
        <v>403</v>
      </c>
      <c r="BX79">
        <v>137.45284493060001</v>
      </c>
      <c r="BY79">
        <v>113.0868486352</v>
      </c>
    </row>
    <row r="80" spans="62:121" x14ac:dyDescent="0.2">
      <c r="BJ80" t="s">
        <v>956</v>
      </c>
      <c r="BK80" t="s">
        <v>696</v>
      </c>
      <c r="BL80">
        <v>1171</v>
      </c>
      <c r="BM80">
        <v>127</v>
      </c>
      <c r="BN80">
        <v>64.541417591799998</v>
      </c>
      <c r="BO80">
        <v>3434</v>
      </c>
      <c r="BP80">
        <v>58</v>
      </c>
      <c r="BQ80">
        <v>148.52154921370001</v>
      </c>
      <c r="BR80">
        <v>109.724137931</v>
      </c>
      <c r="BS80">
        <v>497</v>
      </c>
      <c r="BT80">
        <v>150</v>
      </c>
      <c r="BU80">
        <v>109.1006036217</v>
      </c>
      <c r="BV80">
        <v>8046</v>
      </c>
      <c r="BW80">
        <v>129</v>
      </c>
      <c r="BX80">
        <v>155.53753417850001</v>
      </c>
      <c r="BY80">
        <v>132.31782945739999</v>
      </c>
    </row>
    <row r="81" spans="62:77" x14ac:dyDescent="0.2">
      <c r="BJ81" t="s">
        <v>697</v>
      </c>
      <c r="BL81">
        <v>380286</v>
      </c>
      <c r="BM81">
        <v>77963</v>
      </c>
      <c r="BN81" s="153">
        <v>87.801959577800005</v>
      </c>
      <c r="BO81">
        <v>1071637</v>
      </c>
      <c r="BP81">
        <v>26021</v>
      </c>
      <c r="BQ81">
        <v>123.1194266342</v>
      </c>
      <c r="BR81">
        <v>121.4122055263</v>
      </c>
      <c r="BS81">
        <v>380286</v>
      </c>
      <c r="BT81">
        <v>77963</v>
      </c>
      <c r="BU81">
        <v>87.801959577800005</v>
      </c>
      <c r="BV81">
        <v>1071637</v>
      </c>
      <c r="BW81">
        <v>26021</v>
      </c>
      <c r="BX81">
        <v>123.1194266342</v>
      </c>
      <c r="BY81">
        <v>121.4122055263</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380286</CP_Inventory>
    <Fiscal_Year xmlns="c9744be7-b815-40bc-84fa-afc9c406d9bc">2016</Fiscal_Year>
    <CP_Backlog xmlns="c9744be7-b815-40bc-84fa-afc9c406d9bc">77963</CP_Backlog>
    <Creation_date xmlns="c9744be7-b815-40bc-84fa-afc9c406d9bc">2016-08-08T03:00:00</Creation_date>
    <Data_date xmlns="c9744be7-b815-40bc-84fa-afc9c406d9bc">2016-08-06T01:00:00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purl.org/dc/terms/"/>
    <ds:schemaRef ds:uri="fef9c9dc-374b-4157-9e06-089f148416e5"/>
    <ds:schemaRef ds:uri="http://purl.org/dc/elements/1.1/"/>
    <ds:schemaRef ds:uri="http://schemas.microsoft.com/office/infopath/2007/PartnerControls"/>
    <ds:schemaRef ds:uri="c9744be7-b815-40bc-84fa-afc9c406d9bc"/>
    <ds:schemaRef ds:uri="http://www.w3.org/XML/1998/namespac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8,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2016-08-08T12:40:31Z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