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40" yWindow="570" windowWidth="17640" windowHeight="1125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'Accrued_Data'!$A$2:$D$52</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<sst xmlns="http://schemas.openxmlformats.org/spreadsheetml/2006/main" count="1442" uniqueCount="597">
  <si>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</si>
  <si>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</si>
  <si>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</si>
  <si>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</si>
  <si>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</si>
  <si>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</si>
  <si>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</si>
  <si>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</si>
  <si>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</si>
  <si>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</si>
  <si>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</si>
  <si>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</si>
  <si>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</si>
  <si>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</si>
  <si>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</si>
  <si>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</si>
  <si>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</si>
  <si>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</si>
  <si>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</si>
  <si>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</si>
  <si>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</si>
  <si>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</si>
  <si>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</si>
  <si>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</si>
  <si>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</si>
  <si>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</si>
  <si>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</si>
  <si>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</si>
  <si>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</si>
  <si>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</si>
  <si>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</si>
  <si>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</si>
  <si>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</si>
  <si>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</si>
  <si>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</si>
  <si>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</si>
  <si>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</si>
  <si>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</si>
  <si>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</si>
  <si>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</si>
  <si>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</si>
  <si>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</si>
  <si>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</si>
  <si>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</si>
  <si>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</si>
  <si>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</si>
  <si>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</si>
  <si>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</si>
  <si>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</si>
  <si>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</si>
  <si>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</si>
  <si>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</si>
  <si>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</si>
  <si>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</si>
  <si>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</si>
  <si>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</si>
  <si>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</si>
  <si>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</si>
  <si>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</si>
  <si>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</si>
  <si>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</si>
  <si>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</si>
  <si>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</si>
  <si>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</si>
  <si>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</si>
  <si>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</si>
  <si>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</si>
  <si>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</si>
  <si>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</si>
  <si>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</si>
  <si>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</si>
  <si>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</si>
  <si>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</si>
  <si>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</si>
  <si>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</si>
  <si>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</si>
  <si>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</si>
  <si>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</si>
  <si>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</si>
  <si>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</si>
  <si>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</si>
  <si>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</si>
  <si>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</si>
  <si>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</si>
  <si>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</si>
  <si>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</si>
  <si>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</si>
  <si>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</si>
  <si>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</si>
  <si>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</si>
  <si>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</si>
  <si>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</si>
  <si>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</si>
  <si>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</si>
  <si>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</si>
  <si>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</si>
  <si>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</si>
  <si>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</si>
  <si>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</si>
  <si>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</si>
  <si>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</si>
  <si>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</si>
  <si>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</si>
  <si>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</si>
  <si>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</si>
  <si>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</si>
  <si>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</si>
  <si>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</si>
  <si>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</si>
  <si>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</si>
  <si>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</si>
  <si>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</si>
  <si>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</si>
  <si>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</si>
  <si>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</si>
  <si>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</si>
  <si>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</si>
  <si>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</si>
  <si>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</si>
  <si>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</si>
  <si>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</si>
  <si>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</si>
  <si>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</si>
  <si>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</si>
  <si>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</si>
  <si>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</si>
  <si>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</si>
  <si>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</si>
  <si>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</si>
  <si>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</si>
  <si>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</si>
  <si>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</si>
  <si>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</si>
  <si>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</si>
  <si>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</si>
  <si>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</si>
  <si>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</si>
  <si>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</si>
  <si>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</si>
  <si>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</si>
  <si>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</si>
  <si>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</si>
  <si>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</si>
  <si>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</si>
  <si>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</si>
  <si>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</si>
  <si>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</si>
  <si>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</si>
  <si>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</si>
  <si>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</si>
  <si>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</si>
  <si>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</si>
  <si>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</si>
  <si>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</si>
  <si>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</si>
  <si>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</si>
  <si>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</si>
  <si>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</si>
  <si>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</si>
  <si>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</si>
  <si>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</si>
  <si>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</si>
  <si>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</si>
  <si>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</si>
  <si>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</si>
  <si>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</si>
  <si>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</si>
  <si>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</si>
  <si>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</si>
  <si>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</si>
  <si>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</si>
  <si>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</si>
  <si>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</si>
  <si>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</si>
  <si>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</si>
  <si>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</si>
  <si>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</si>
  <si>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</si>
  <si>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</si>
  <si>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</si>
  <si>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</si>
  <si>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</si>
  <si>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</si>
  <si>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</si>
  <si>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</si>
  <si>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</si>
  <si>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</si>
  <si>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</si>
  <si>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</si>
  <si>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</si>
  <si>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</si>
  <si>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</si>
  <si>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</si>
  <si>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</si>
  <si>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</si>
  <si>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</si>
  <si>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</si>
  <si>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</si>
  <si>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</si>
  <si>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</si>
  <si>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</si>
  <si>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</si>
  <si>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</si>
  <si>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</si>
  <si>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</si>
  <si>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</si>
  <si>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</si>
  <si>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</si>
  <si>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</si>
  <si>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</si>
  <si>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</si>
  <si>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</si>
  <si>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</si>
  <si>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</si>
  <si>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</si>
  <si>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</si>
  <si>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</si>
  <si>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</si>
  <si>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</si>
  <si>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</si>
  <si>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</si>
  <si>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</si>
  <si>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</si>
  <si>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</si>
  <si>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</si>
  <si>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</si>
  <si>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</si>
  <si>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</si>
  <si>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</si>
  <si>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</si>
  <si>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</si>
  <si>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</si>
  <si>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</si>
  <si>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</si>
  <si>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</si>
  <si>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</si>
  <si>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</si>
  <si>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</si>
  <si>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</si>
  <si>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</si>
  <si>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</si>
  <si>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</si>
  <si>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</si>
  <si>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</si>
  <si>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</si>
  <si>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</si>
  <si>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</si>
  <si>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</si>
  <si>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</si>
  <si>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</si>
  <si>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</si>
  <si>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</si>
  <si>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</si>
  <si>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</si>
  <si>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</si>
  <si>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</si>
  <si>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</si>
  <si>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</si>
  <si>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</si>
  <si>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</si>
  <si>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</si>
  <si>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</si>
  <si>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</si>
  <si>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</si>
  <si>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</si>
  <si>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</si>
  <si>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</si>
  <si>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</si>
  <si>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</si>
  <si>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</si>
  <si>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</si>
  <si>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</si>
  <si>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</si>
  <si>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</si>
  <si>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</si>
  <si>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</si>
  <si>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</si>
  <si>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</si>
  <si>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</si>
  <si>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</si>
  <si>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</si>
  <si>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</si>
  <si>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</si>
  <si>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</si>
  <si>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</si>
  <si>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</si>
  <si>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</si>
  <si>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</si>
  <si>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</si>
  <si>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</si>
  <si>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</si>
  <si>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</si>
  <si>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</si>
  <si>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</si>
  <si>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</si>
  <si>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</si>
  <si>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</si>
  <si>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</si>
  <si>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</si>
  <si>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</si>
  <si>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</si>
  <si>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</si>
  <si>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</si>
  <si>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</si>
  <si>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</si>
  <si>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</si>
  <si>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</si>
  <si>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</si>
  <si>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</si>
  <si>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</si>
  <si>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</si>
  <si>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</si>
  <si>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</si>
  <si>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</si>
  <si>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</si>
  <si>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</si>
  <si>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</si>
  <si>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</si>
  <si>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</si>
  <si>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</si>
  <si>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</si>
  <si>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</si>
  <si>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</si>
  <si>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</si>
  <si>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</si>
  <si>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</si>
  <si>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</si>
  <si>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</si>
  <si>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</si>
  <si>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</si>
  <si>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</si>
  <si>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</si>
  <si>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</si>
  <si>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</si>
  <si>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</si>
  <si>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</si>
  <si>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</si>
  <si>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</si>
  <si>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</si>
  <si>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</si>
  <si>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</si>
  <si>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</si>
  <si>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</si>
  <si>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</si>
  <si>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</si>
  <si>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</si>
  <si>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</si>
  <si>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</si>
  <si>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</si>
  <si>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</si>
  <si>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</si>
  <si>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</si>
  <si>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</si>
  <si>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</si>
  <si>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</si>
  <si>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</si>
  <si>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</si>
  <si>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</si>
  <si>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</si>
  <si>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</si>
  <si>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</si>
  <si>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</si>
  <si>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</si>
  <si>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</si>
  <si>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</si>
  <si>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</si>
  <si>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</si>
  <si>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</si>
  <si>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</si>
  <si>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</si>
  <si>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</si>
  <si>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</si>
  <si>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</si>
  <si>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</si>
  <si>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</si>
  <si>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</si>
  <si>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</si>
  <si>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</si>
  <si>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</si>
  <si>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</si>
  <si>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</si>
  <si>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</si>
  <si>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</si>
  <si>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</si>
  <si>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</si>
  <si>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</si>
  <si>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</si>
  <si>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</si>
  <si>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</si>
  <si>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</si>
  <si>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</si>
  <si>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</si>
  <si>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</si>
  <si>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</si>
  <si>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</si>
  <si>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</si>
  <si>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</si>
  <si>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</si>
  <si>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</si>
  <si>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</si>
  <si>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</si>
  <si>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</si>
  <si>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</si>
  <si>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</si>
  <si>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</si>
  <si>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</si>
  <si>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</si>
  <si>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</si>
  <si>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</si>
  <si>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</si>
  <si>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</si>
  <si>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</si>
  <si>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</si>
  <si>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</si>
  <si>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</si>
  <si>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</si>
  <si>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</si>
  <si>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</si>
  <si>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</si>
  <si>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</si>
  <si>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</si>
  <si>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</si>
  <si>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</si>
  <si>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</si>
  <si>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</si>
  <si>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</si>
  <si>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</si>
  <si>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</si>
  <si>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</si>
  <si>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</si>
  <si>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</si>
  <si>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</si>
  <si>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</si>
  <si>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</si>
  <si>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</si>
  <si>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</si>
  <si>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</si>
  <si>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</si>
  <si>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</si>
  <si>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</si>
  <si>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</si>
  <si>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</si>
  <si>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</si>
  <si>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</si>
  <si>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</si>
  <si>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</si>
  <si>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</si>
  <si>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</si>
  <si>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</si>
  <si>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</si>
  <si>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</si>
  <si>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</si>
  <si>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</si>
  <si>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</si>
  <si>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</si>
  <si>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</si>
  <si>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</si>
  <si>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</si>
  <si>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</si>
  <si>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</si>
  <si>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</si>
  <si>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</si>
  <si>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</si>
  <si>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</si>
  <si>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</si>
  <si>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</si>
  <si>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</si>
  <si>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</si>
  <si>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</si>
  <si>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</si>
  <si>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</si>
  <si>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</si>
  <si>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</si>
  <si>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</si>
  <si>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</si>
  <si>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</si>
  <si>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</si>
  <si>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</si>
  <si>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</si>
  <si>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</si>
  <si>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</si>
  <si>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</si>
  <si>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</si>
  <si>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</si>
  <si>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</si>
  <si>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</si>
  <si>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</si>
  <si>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</si>
  <si>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</si>
  <si>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</si>
  <si>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</si>
  <si>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</si>
  <si>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</si>
  <si>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</si>
  <si>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</si>
  <si>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</si>
  <si>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</si>
  <si>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</si>
  <si>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</si>
  <si>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</si>
  <si>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</si>
  <si>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</si>
  <si>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</si>
  <si>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</si>
  <si>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</si>
  <si>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</si>
  <si>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</si>
  <si>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</si>
  <si>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</si>
  <si>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</si>
  <si>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</si>
  <si>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</si>
  <si>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</si>
  <si>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</si>
  <si>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</si>
  <si>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</si>
  <si>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</si>
  <si>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</si>
  <si>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</si>
  <si>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</si>
  <si>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</si>
  <si>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</si>
  <si>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</si>
  <si>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</si>
  <si>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</si>
  <si>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</si>
  <si>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</si>
  <si>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</si>
  <si>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</si>
  <si>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</si>
  <si>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</si>
  <si>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</si>
  <si>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</si>
  <si>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</si>
  <si>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</si>
  <si>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</si>
  <si>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</si>
  <si>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</si>
  <si>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</si>
  <si>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</si>
  <si>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</si>
  <si>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</si>
  <si>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</si>
  <si>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</si>
  <si>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</si>
  <si>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</si>
  <si>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</si>
  <si>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</si>
  <si>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</si>
  <si>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</si>
  <si>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</si>
  <si>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</si>
  <si>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</si>
  <si>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</si>
  <si>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</si>
  <si>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</si>
  <si>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</si>
  <si>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</si>
  <si>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</si>
  <si>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</si>
  <si>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</si>
  <si>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</si>
  <si>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</si>
  <si>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</si>
  <si>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</si>
  <si>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</si>
  <si>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</si>
  <si>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</si>
  <si>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</si>
  <si>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</si>
  <si>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</si>
  <si>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</si>
  <si>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</si>
  <si>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</si>
  <si>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</si>
  <si>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</si>
  <si>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</si>
  <si>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</si>
  <si>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</si>
  <si>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</si>
  <si>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</si>
  <si>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</si>
  <si>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</si>
  <si>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</si>
  <si>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</si>
  <si>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</si>
  <si>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</si>
  <si>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</si>
  <si>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</si>
  <si>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</si>
  <si>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</si>
  <si>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</si>
  <si>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</si>
  <si>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</si>
  <si>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</si>
  <si>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</si>
  <si>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November 03,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</si>
</sst>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AUTOMATED_REPORTS\MMWL_Reports\Weekly_Appeals\WeeklyAppeals_Hist\AppealsPndg_Weekly%2005-No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ResultingReport"/>
      <sheetName val="F_EDW"/>
      <sheetName val="Macros"/>
    </sheetNames>
    <sheetDataSet>
      <sheetData sheetId="1">
        <row r="7">
          <cell r="M7">
            <v>13943</v>
          </cell>
        </row>
        <row r="8">
          <cell r="J8">
            <v>3363</v>
          </cell>
        </row>
        <row r="9">
          <cell r="J9">
            <v>3992</v>
          </cell>
        </row>
        <row r="10">
          <cell r="J10">
            <v>1146</v>
          </cell>
        </row>
        <row r="11">
          <cell r="J11">
            <v>8057</v>
          </cell>
        </row>
        <row r="12">
          <cell r="J12">
            <v>5874</v>
          </cell>
        </row>
        <row r="13">
          <cell r="J13">
            <v>848</v>
          </cell>
        </row>
        <row r="14">
          <cell r="J14">
            <v>4594</v>
          </cell>
        </row>
        <row r="15">
          <cell r="J15">
            <v>725</v>
          </cell>
        </row>
        <row r="16">
          <cell r="J16">
            <v>3976</v>
          </cell>
        </row>
        <row r="17">
          <cell r="J17">
            <v>2190</v>
          </cell>
        </row>
        <row r="19">
          <cell r="J19">
            <v>3402</v>
          </cell>
        </row>
        <row r="20">
          <cell r="J20">
            <v>758</v>
          </cell>
        </row>
        <row r="21">
          <cell r="J21">
            <v>2748</v>
          </cell>
        </row>
        <row r="24">
          <cell r="J24">
            <v>965</v>
          </cell>
        </row>
        <row r="25">
          <cell r="J25">
            <v>513</v>
          </cell>
        </row>
        <row r="26">
          <cell r="J26">
            <v>410</v>
          </cell>
        </row>
        <row r="29">
          <cell r="J29">
            <v>555</v>
          </cell>
        </row>
        <row r="31">
          <cell r="J31">
            <v>11905</v>
          </cell>
        </row>
        <row r="32">
          <cell r="J32">
            <v>6064</v>
          </cell>
        </row>
        <row r="33">
          <cell r="J33">
            <v>3345</v>
          </cell>
        </row>
        <row r="34">
          <cell r="J34">
            <v>4028</v>
          </cell>
        </row>
        <row r="35">
          <cell r="J35">
            <v>3188</v>
          </cell>
        </row>
        <row r="36">
          <cell r="J36">
            <v>10939</v>
          </cell>
        </row>
        <row r="37">
          <cell r="J37">
            <v>6346</v>
          </cell>
        </row>
        <row r="38">
          <cell r="J38">
            <v>6611</v>
          </cell>
        </row>
        <row r="39">
          <cell r="J39">
            <v>4996</v>
          </cell>
        </row>
        <row r="40">
          <cell r="J40">
            <v>20481</v>
          </cell>
        </row>
        <row r="41">
          <cell r="J41">
            <v>0</v>
          </cell>
        </row>
        <row r="42">
          <cell r="J42">
            <v>11255</v>
          </cell>
        </row>
        <row r="44">
          <cell r="J44">
            <v>5667</v>
          </cell>
        </row>
        <row r="45">
          <cell r="J45">
            <v>1233</v>
          </cell>
        </row>
        <row r="46">
          <cell r="J46">
            <v>325</v>
          </cell>
        </row>
        <row r="47">
          <cell r="J47">
            <v>13950</v>
          </cell>
        </row>
        <row r="50">
          <cell r="J50">
            <v>1529</v>
          </cell>
        </row>
        <row r="51">
          <cell r="J51">
            <v>5206</v>
          </cell>
        </row>
        <row r="53">
          <cell r="J53">
            <v>3289</v>
          </cell>
        </row>
        <row r="54">
          <cell r="J54">
            <v>692</v>
          </cell>
        </row>
        <row r="55">
          <cell r="J55">
            <v>3206</v>
          </cell>
        </row>
        <row r="56">
          <cell r="J56">
            <v>4760</v>
          </cell>
        </row>
        <row r="57">
          <cell r="J57">
            <v>245</v>
          </cell>
        </row>
        <row r="58">
          <cell r="J58">
            <v>5640</v>
          </cell>
        </row>
        <row r="60">
          <cell r="J60">
            <v>1375</v>
          </cell>
        </row>
        <row r="61">
          <cell r="J61">
            <v>944</v>
          </cell>
        </row>
        <row r="62">
          <cell r="J62">
            <v>12640</v>
          </cell>
        </row>
        <row r="63">
          <cell r="J63">
            <v>952</v>
          </cell>
        </row>
        <row r="65">
          <cell r="J65">
            <v>1773</v>
          </cell>
        </row>
        <row r="66">
          <cell r="J66">
            <v>159</v>
          </cell>
        </row>
        <row r="67">
          <cell r="J67">
            <v>965</v>
          </cell>
        </row>
        <row r="68">
          <cell r="J68">
            <v>292</v>
          </cell>
        </row>
        <row r="69">
          <cell r="J69">
            <v>3862</v>
          </cell>
        </row>
        <row r="70">
          <cell r="J70">
            <v>293</v>
          </cell>
        </row>
        <row r="71">
          <cell r="J71">
            <v>758</v>
          </cell>
        </row>
        <row r="72">
          <cell r="J72">
            <v>6075</v>
          </cell>
        </row>
        <row r="73">
          <cell r="J73">
            <v>1797</v>
          </cell>
        </row>
        <row r="74">
          <cell r="J74">
            <v>7503</v>
          </cell>
        </row>
        <row r="75">
          <cell r="J75">
            <v>4951</v>
          </cell>
        </row>
        <row r="76">
          <cell r="J76">
            <v>5277</v>
          </cell>
        </row>
        <row r="77">
          <cell r="J77">
            <v>944</v>
          </cell>
        </row>
        <row r="78">
          <cell r="J78">
            <v>1657</v>
          </cell>
        </row>
        <row r="79">
          <cell r="J79">
            <v>3832</v>
          </cell>
        </row>
        <row r="80">
          <cell r="J80">
            <v>5813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22</v>
      </c>
      <c r="D3">
        <v>15</v>
      </c>
    </row>
    <row r="4" spans="1:4" ht="12.75">
      <c r="A4" t="s">
        <v>499</v>
      </c>
      <c r="B4">
        <v>11287</v>
      </c>
      <c r="C4" t="s">
        <v>499</v>
      </c>
      <c r="D4">
        <v>6626</v>
      </c>
    </row>
    <row r="5" spans="1:4" ht="12.75">
      <c r="A5" t="s">
        <v>560</v>
      </c>
      <c r="B5">
        <v>75543</v>
      </c>
      <c r="C5" t="s">
        <v>560</v>
      </c>
      <c r="D5">
        <v>28509</v>
      </c>
    </row>
    <row r="6" spans="1:4" ht="12.75">
      <c r="A6" t="s">
        <v>500</v>
      </c>
      <c r="B6">
        <v>20980</v>
      </c>
      <c r="C6" t="s">
        <v>500</v>
      </c>
      <c r="D6">
        <v>12735</v>
      </c>
    </row>
    <row r="7" spans="1:4" ht="12.75">
      <c r="A7" t="s">
        <v>501</v>
      </c>
      <c r="B7">
        <v>5980</v>
      </c>
      <c r="C7" t="s">
        <v>501</v>
      </c>
      <c r="D7">
        <v>5934</v>
      </c>
    </row>
    <row r="8" spans="1:4" ht="12.75">
      <c r="A8" t="s">
        <v>502</v>
      </c>
      <c r="B8">
        <v>10086</v>
      </c>
      <c r="C8" t="s">
        <v>502</v>
      </c>
      <c r="D8">
        <v>6402</v>
      </c>
    </row>
    <row r="9" spans="1:4" ht="12.75">
      <c r="A9" t="s">
        <v>503</v>
      </c>
      <c r="B9">
        <v>646</v>
      </c>
      <c r="C9" t="s">
        <v>503</v>
      </c>
      <c r="D9">
        <v>478</v>
      </c>
    </row>
    <row r="10" spans="1:4" ht="12.75">
      <c r="A10" t="s">
        <v>487</v>
      </c>
      <c r="B10">
        <v>321</v>
      </c>
      <c r="C10" t="s">
        <v>487</v>
      </c>
      <c r="D10">
        <v>201</v>
      </c>
    </row>
    <row r="11" spans="1:4" ht="12.75">
      <c r="A11" t="s">
        <v>488</v>
      </c>
      <c r="B11">
        <v>109</v>
      </c>
      <c r="C11" t="s">
        <v>488</v>
      </c>
      <c r="D11">
        <v>93</v>
      </c>
    </row>
    <row r="12" spans="1:4" ht="12.75">
      <c r="A12" t="s">
        <v>490</v>
      </c>
      <c r="B12">
        <v>7</v>
      </c>
      <c r="C12" t="s">
        <v>490</v>
      </c>
      <c r="D12">
        <v>7</v>
      </c>
    </row>
    <row r="13" spans="1:4" ht="12.75">
      <c r="A13" t="s">
        <v>504</v>
      </c>
      <c r="B13">
        <v>1617</v>
      </c>
      <c r="C13" t="s">
        <v>504</v>
      </c>
      <c r="D13">
        <v>165</v>
      </c>
    </row>
    <row r="14" spans="1:4" ht="12.75">
      <c r="A14" t="s">
        <v>505</v>
      </c>
      <c r="B14">
        <v>21328</v>
      </c>
      <c r="C14" t="s">
        <v>505</v>
      </c>
      <c r="D14">
        <v>7333</v>
      </c>
    </row>
    <row r="15" spans="1:4" ht="12.75">
      <c r="A15" t="s">
        <v>506</v>
      </c>
      <c r="B15">
        <v>209</v>
      </c>
      <c r="C15" t="s">
        <v>506</v>
      </c>
      <c r="D15">
        <v>71</v>
      </c>
    </row>
    <row r="16" spans="1:4" ht="12.75">
      <c r="A16" t="s">
        <v>507</v>
      </c>
      <c r="B16">
        <v>1</v>
      </c>
      <c r="C16" t="s">
        <v>507</v>
      </c>
      <c r="D16">
        <v>1</v>
      </c>
    </row>
    <row r="17" spans="1:4" ht="12.75">
      <c r="A17" t="s">
        <v>27</v>
      </c>
      <c r="B17">
        <v>12389</v>
      </c>
      <c r="C17" t="s">
        <v>27</v>
      </c>
      <c r="D17">
        <v>9194</v>
      </c>
    </row>
    <row r="18" spans="1:4" ht="12.75">
      <c r="A18" t="s">
        <v>234</v>
      </c>
      <c r="B18">
        <v>62312</v>
      </c>
      <c r="C18" t="s">
        <v>234</v>
      </c>
      <c r="D18">
        <v>32840</v>
      </c>
    </row>
    <row r="19" spans="1:4" ht="12.75">
      <c r="A19" t="s">
        <v>508</v>
      </c>
      <c r="B19">
        <v>9281</v>
      </c>
      <c r="C19" t="s">
        <v>508</v>
      </c>
      <c r="D19">
        <v>5680</v>
      </c>
    </row>
    <row r="20" spans="1:4" ht="12.75">
      <c r="A20" t="s">
        <v>509</v>
      </c>
      <c r="B20">
        <v>1740</v>
      </c>
      <c r="C20" t="s">
        <v>509</v>
      </c>
      <c r="D20">
        <v>321</v>
      </c>
    </row>
    <row r="21" spans="1:4" ht="12.75">
      <c r="A21" t="s">
        <v>510</v>
      </c>
      <c r="B21">
        <v>1130</v>
      </c>
      <c r="C21" t="s">
        <v>510</v>
      </c>
      <c r="D21">
        <v>443</v>
      </c>
    </row>
    <row r="22" spans="1:4" ht="12.75">
      <c r="A22" t="s">
        <v>511</v>
      </c>
      <c r="B22">
        <v>22466</v>
      </c>
      <c r="C22" t="s">
        <v>511</v>
      </c>
      <c r="D22">
        <v>17123</v>
      </c>
    </row>
    <row r="23" spans="1:4" ht="12.75">
      <c r="A23" t="s">
        <v>512</v>
      </c>
      <c r="B23">
        <v>157</v>
      </c>
      <c r="C23" t="s">
        <v>512</v>
      </c>
      <c r="D23">
        <v>149</v>
      </c>
    </row>
    <row r="24" spans="1:4" ht="12.75">
      <c r="A24" t="s">
        <v>214</v>
      </c>
      <c r="B24">
        <v>161626</v>
      </c>
      <c r="C24" t="s">
        <v>214</v>
      </c>
      <c r="D24">
        <v>100522</v>
      </c>
    </row>
    <row r="25" spans="1:4" ht="12.75">
      <c r="A25" t="s">
        <v>513</v>
      </c>
      <c r="B25">
        <v>41581</v>
      </c>
      <c r="C25" t="s">
        <v>513</v>
      </c>
      <c r="D25">
        <v>17921</v>
      </c>
    </row>
    <row r="26" spans="1:4" ht="12.75">
      <c r="A26" t="s">
        <v>514</v>
      </c>
      <c r="B26">
        <v>5036</v>
      </c>
      <c r="C26" t="s">
        <v>514</v>
      </c>
      <c r="D26">
        <v>4840</v>
      </c>
    </row>
    <row r="27" spans="1:4" ht="12.75">
      <c r="A27" t="s">
        <v>515</v>
      </c>
      <c r="B27">
        <v>25808</v>
      </c>
      <c r="C27" t="s">
        <v>515</v>
      </c>
      <c r="D27">
        <v>12710</v>
      </c>
    </row>
    <row r="28" spans="1:4" ht="12.75">
      <c r="A28" t="s">
        <v>516</v>
      </c>
      <c r="B28">
        <v>13250</v>
      </c>
      <c r="C28" t="s">
        <v>516</v>
      </c>
      <c r="D28">
        <v>5770</v>
      </c>
    </row>
    <row r="29" spans="1:4" ht="12.75">
      <c r="A29" t="s">
        <v>517</v>
      </c>
      <c r="B29">
        <v>1990</v>
      </c>
      <c r="C29" t="s">
        <v>517</v>
      </c>
      <c r="D29">
        <v>723</v>
      </c>
    </row>
    <row r="30" spans="1:4" ht="12.75">
      <c r="A30" t="s">
        <v>518</v>
      </c>
      <c r="B30">
        <v>480517</v>
      </c>
      <c r="C30" t="s">
        <v>518</v>
      </c>
      <c r="D30">
        <v>325116</v>
      </c>
    </row>
    <row r="31" spans="1:4" ht="12.75">
      <c r="A31" t="s">
        <v>519</v>
      </c>
      <c r="B31">
        <v>45043</v>
      </c>
      <c r="C31" t="s">
        <v>519</v>
      </c>
      <c r="D31">
        <v>33550</v>
      </c>
    </row>
    <row r="32" spans="1:4" ht="12.75">
      <c r="A32" t="s">
        <v>520</v>
      </c>
      <c r="B32">
        <v>8089</v>
      </c>
      <c r="C32" t="s">
        <v>520</v>
      </c>
      <c r="D32">
        <v>2683</v>
      </c>
    </row>
    <row r="33" spans="1:4" ht="12.75">
      <c r="A33" t="s">
        <v>521</v>
      </c>
      <c r="B33">
        <v>16548</v>
      </c>
      <c r="C33" t="s">
        <v>521</v>
      </c>
      <c r="D33">
        <v>5579</v>
      </c>
    </row>
    <row r="34" spans="1:4" ht="12.75">
      <c r="A34" t="s">
        <v>522</v>
      </c>
      <c r="B34">
        <v>2053</v>
      </c>
      <c r="C34" t="s">
        <v>522</v>
      </c>
      <c r="D34">
        <v>660</v>
      </c>
    </row>
    <row r="35" spans="1:4" ht="12.75">
      <c r="A35" t="s">
        <v>523</v>
      </c>
      <c r="B35">
        <v>240057</v>
      </c>
      <c r="C35" t="s">
        <v>523</v>
      </c>
      <c r="D35">
        <v>167757</v>
      </c>
    </row>
    <row r="36" spans="1:4" ht="12.75">
      <c r="A36" t="s">
        <v>524</v>
      </c>
      <c r="B36">
        <v>74428</v>
      </c>
      <c r="C36" t="s">
        <v>524</v>
      </c>
      <c r="D36">
        <v>50509</v>
      </c>
    </row>
    <row r="37" spans="1:4" ht="12.75">
      <c r="A37" t="s">
        <v>525</v>
      </c>
      <c r="B37">
        <v>13841</v>
      </c>
      <c r="C37" t="s">
        <v>525</v>
      </c>
      <c r="D37">
        <v>5862</v>
      </c>
    </row>
    <row r="38" spans="1:4" ht="12.75">
      <c r="A38" t="s">
        <v>526</v>
      </c>
      <c r="B38">
        <v>47948</v>
      </c>
      <c r="C38" t="s">
        <v>526</v>
      </c>
      <c r="D38">
        <v>29134</v>
      </c>
    </row>
    <row r="39" spans="1:4" ht="12.75">
      <c r="A39" t="s">
        <v>527</v>
      </c>
      <c r="B39">
        <v>11807</v>
      </c>
      <c r="C39" t="s">
        <v>527</v>
      </c>
      <c r="D39">
        <v>4394</v>
      </c>
    </row>
    <row r="40" spans="1:4" ht="12.75">
      <c r="A40" t="s">
        <v>558</v>
      </c>
      <c r="B40">
        <v>2572</v>
      </c>
      <c r="C40" t="s">
        <v>558</v>
      </c>
      <c r="D40">
        <v>1979</v>
      </c>
    </row>
    <row r="41" spans="1:4" ht="12.75">
      <c r="A41" t="s">
        <v>528</v>
      </c>
      <c r="B41">
        <v>72088</v>
      </c>
      <c r="C41" t="s">
        <v>528</v>
      </c>
      <c r="D41">
        <v>43520</v>
      </c>
    </row>
    <row r="42" spans="1:4" ht="12.75">
      <c r="A42" t="s">
        <v>529</v>
      </c>
      <c r="B42">
        <v>1200</v>
      </c>
      <c r="C42" t="s">
        <v>529</v>
      </c>
      <c r="D42">
        <v>427</v>
      </c>
    </row>
    <row r="43" spans="1:4" ht="12.75">
      <c r="A43" t="s">
        <v>530</v>
      </c>
      <c r="B43">
        <v>2241</v>
      </c>
      <c r="C43" t="s">
        <v>530</v>
      </c>
      <c r="D43">
        <v>1648</v>
      </c>
    </row>
    <row r="44" spans="1:4" ht="12.75">
      <c r="A44" t="s">
        <v>531</v>
      </c>
      <c r="B44">
        <v>137</v>
      </c>
      <c r="C44" t="s">
        <v>531</v>
      </c>
      <c r="D44">
        <v>135</v>
      </c>
    </row>
    <row r="45" spans="1:4" ht="12.75">
      <c r="A45" t="s">
        <v>532</v>
      </c>
      <c r="B45">
        <v>29</v>
      </c>
      <c r="C45" t="s">
        <v>532</v>
      </c>
      <c r="D45">
        <v>24</v>
      </c>
    </row>
    <row r="46" spans="1:4" ht="12.75">
      <c r="A46" t="s">
        <v>533</v>
      </c>
      <c r="B46">
        <v>29512</v>
      </c>
      <c r="C46" t="s">
        <v>533</v>
      </c>
      <c r="D46">
        <v>23595</v>
      </c>
    </row>
    <row r="47" spans="1:4" ht="12.75">
      <c r="A47" t="s">
        <v>534</v>
      </c>
      <c r="B47">
        <v>22867</v>
      </c>
      <c r="C47" t="s">
        <v>534</v>
      </c>
      <c r="D47">
        <v>14</v>
      </c>
    </row>
    <row r="48" spans="1:4" ht="12.75">
      <c r="A48" t="s">
        <v>535</v>
      </c>
      <c r="B48">
        <v>978</v>
      </c>
      <c r="C48" t="s">
        <v>535</v>
      </c>
      <c r="D48">
        <v>886</v>
      </c>
    </row>
    <row r="49" spans="1:4" ht="12.75">
      <c r="A49" t="s">
        <v>536</v>
      </c>
      <c r="B49">
        <v>34137</v>
      </c>
      <c r="C49" t="s">
        <v>536</v>
      </c>
      <c r="D49">
        <v>22284</v>
      </c>
    </row>
    <row r="50" spans="1:4" ht="12.75">
      <c r="A50" t="s">
        <v>537</v>
      </c>
      <c r="B50">
        <v>31</v>
      </c>
      <c r="C50" t="s">
        <v>537</v>
      </c>
      <c r="D50">
        <v>15</v>
      </c>
    </row>
    <row r="51" spans="1:4" ht="12.75">
      <c r="A51" t="s">
        <v>538</v>
      </c>
      <c r="B51">
        <v>1944</v>
      </c>
      <c r="C51" t="s">
        <v>538</v>
      </c>
      <c r="D51">
        <v>1548</v>
      </c>
    </row>
    <row r="55" spans="1:3" ht="12.75">
      <c r="A55" s="292" t="s">
        <v>561</v>
      </c>
      <c r="C55" s="292" t="s">
        <v>562</v>
      </c>
    </row>
    <row r="56" spans="1:4" ht="12.75">
      <c r="A56">
        <v>1775</v>
      </c>
      <c r="B56">
        <f>VLOOKUP(Transformation!C35,Query_from_MS_Access_Database_5,2,FALSE)-A56</f>
        <v>215</v>
      </c>
      <c r="C56">
        <v>564</v>
      </c>
      <c r="D56">
        <f>VLOOKUP(Transformation!C35,Query_from_MS_Access_Database_6,2,FALSE)-C56</f>
        <v>159</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909</v>
      </c>
      <c r="C4">
        <v>433</v>
      </c>
      <c r="D4">
        <v>3</v>
      </c>
      <c r="E4">
        <v>3</v>
      </c>
    </row>
    <row r="5" spans="1:5" ht="12.75">
      <c r="A5" t="s">
        <v>433</v>
      </c>
      <c r="B5">
        <v>1279</v>
      </c>
      <c r="C5">
        <v>519</v>
      </c>
      <c r="D5">
        <v>4</v>
      </c>
      <c r="E5">
        <v>4</v>
      </c>
    </row>
    <row r="6" spans="1:3" ht="12.75">
      <c r="A6" t="s">
        <v>334</v>
      </c>
      <c r="B6">
        <v>328</v>
      </c>
      <c r="C6">
        <v>112</v>
      </c>
    </row>
    <row r="7" spans="1:3" ht="12.75">
      <c r="A7" t="s">
        <v>436</v>
      </c>
      <c r="B7">
        <v>2082</v>
      </c>
      <c r="C7">
        <v>1137</v>
      </c>
    </row>
    <row r="8" spans="1:5" ht="12.75">
      <c r="A8" t="s">
        <v>440</v>
      </c>
      <c r="B8">
        <v>2034</v>
      </c>
      <c r="C8">
        <v>302</v>
      </c>
      <c r="D8">
        <v>4</v>
      </c>
      <c r="E8">
        <v>3</v>
      </c>
    </row>
    <row r="9" spans="1:5" ht="12.75">
      <c r="A9" t="s">
        <v>443</v>
      </c>
      <c r="B9">
        <v>156</v>
      </c>
      <c r="C9">
        <v>6</v>
      </c>
      <c r="D9">
        <v>2</v>
      </c>
      <c r="E9">
        <v>2</v>
      </c>
    </row>
    <row r="10" spans="1:5" ht="12.75">
      <c r="A10" t="s">
        <v>447</v>
      </c>
      <c r="B10">
        <v>777</v>
      </c>
      <c r="C10">
        <v>362</v>
      </c>
      <c r="D10">
        <v>2</v>
      </c>
      <c r="E10">
        <v>2</v>
      </c>
    </row>
    <row r="11" spans="1:5" ht="12.75">
      <c r="A11" t="s">
        <v>453</v>
      </c>
      <c r="B11">
        <v>216</v>
      </c>
      <c r="C11">
        <v>74</v>
      </c>
      <c r="D11">
        <v>2</v>
      </c>
      <c r="E11">
        <v>2</v>
      </c>
    </row>
    <row r="12" spans="1:5" ht="12.75">
      <c r="A12" t="s">
        <v>459</v>
      </c>
      <c r="B12">
        <v>855</v>
      </c>
      <c r="C12">
        <v>256</v>
      </c>
      <c r="D12">
        <v>2</v>
      </c>
      <c r="E12">
        <v>2</v>
      </c>
    </row>
    <row r="13" spans="1:4" ht="12.75">
      <c r="A13" t="s">
        <v>460</v>
      </c>
      <c r="B13">
        <v>1042</v>
      </c>
      <c r="C13">
        <v>41</v>
      </c>
      <c r="D13">
        <v>1</v>
      </c>
    </row>
    <row r="14" spans="1:5" ht="12.75">
      <c r="A14" t="s">
        <v>462</v>
      </c>
      <c r="B14">
        <v>6412</v>
      </c>
      <c r="C14">
        <v>3132</v>
      </c>
      <c r="D14">
        <v>30058</v>
      </c>
      <c r="E14">
        <v>12940</v>
      </c>
    </row>
    <row r="15" spans="1:5" ht="12.75">
      <c r="A15" t="s">
        <v>464</v>
      </c>
      <c r="B15">
        <v>800</v>
      </c>
      <c r="C15">
        <v>393</v>
      </c>
      <c r="D15">
        <v>38</v>
      </c>
      <c r="E15">
        <v>37</v>
      </c>
    </row>
    <row r="16" spans="1:3" ht="12.75">
      <c r="A16" t="s">
        <v>466</v>
      </c>
      <c r="B16">
        <v>388</v>
      </c>
      <c r="C16">
        <v>175</v>
      </c>
    </row>
    <row r="17" spans="1:4" ht="12.75">
      <c r="A17" t="s">
        <v>477</v>
      </c>
      <c r="B17">
        <v>757</v>
      </c>
      <c r="C17">
        <v>218</v>
      </c>
      <c r="D17">
        <v>1</v>
      </c>
    </row>
    <row r="18" spans="1:3" ht="12.75">
      <c r="A18" t="s">
        <v>481</v>
      </c>
      <c r="B18">
        <v>106</v>
      </c>
      <c r="C18">
        <v>28</v>
      </c>
    </row>
    <row r="19" spans="1:3" ht="12.75">
      <c r="A19" t="s">
        <v>483</v>
      </c>
      <c r="B19">
        <v>75</v>
      </c>
      <c r="C19">
        <v>5</v>
      </c>
    </row>
    <row r="20" spans="1:5" ht="12.75">
      <c r="A20" t="s">
        <v>335</v>
      </c>
      <c r="B20">
        <v>2071</v>
      </c>
      <c r="C20">
        <v>354</v>
      </c>
      <c r="D20">
        <v>3</v>
      </c>
      <c r="E20">
        <v>3</v>
      </c>
    </row>
    <row r="21" spans="1:5" ht="12.75">
      <c r="A21" t="s">
        <v>437</v>
      </c>
      <c r="B21">
        <v>880</v>
      </c>
      <c r="C21">
        <v>352</v>
      </c>
      <c r="D21">
        <v>3</v>
      </c>
      <c r="E21">
        <v>3</v>
      </c>
    </row>
    <row r="22" spans="1:5" ht="12.75">
      <c r="A22" t="s">
        <v>446</v>
      </c>
      <c r="B22">
        <v>423</v>
      </c>
      <c r="C22">
        <v>119</v>
      </c>
      <c r="D22">
        <v>3</v>
      </c>
      <c r="E22">
        <v>2</v>
      </c>
    </row>
    <row r="23" spans="1:5" ht="12.75">
      <c r="A23" t="s">
        <v>448</v>
      </c>
      <c r="B23">
        <v>1465</v>
      </c>
      <c r="C23">
        <v>1030</v>
      </c>
      <c r="D23">
        <v>7</v>
      </c>
      <c r="E23">
        <v>6</v>
      </c>
    </row>
    <row r="24" spans="1:5" ht="12.75">
      <c r="A24" t="s">
        <v>452</v>
      </c>
      <c r="B24">
        <v>1526</v>
      </c>
      <c r="C24">
        <v>1051</v>
      </c>
      <c r="D24">
        <v>1</v>
      </c>
      <c r="E24">
        <v>1</v>
      </c>
    </row>
    <row r="25" spans="1:5" ht="12.75">
      <c r="A25" t="s">
        <v>456</v>
      </c>
      <c r="B25">
        <v>3104</v>
      </c>
      <c r="C25">
        <v>1558</v>
      </c>
      <c r="D25">
        <v>2</v>
      </c>
      <c r="E25">
        <v>2</v>
      </c>
    </row>
    <row r="26" spans="1:5" ht="12.75">
      <c r="A26" t="s">
        <v>457</v>
      </c>
      <c r="B26">
        <v>961</v>
      </c>
      <c r="C26">
        <v>301</v>
      </c>
      <c r="D26">
        <v>2</v>
      </c>
      <c r="E26">
        <v>2</v>
      </c>
    </row>
    <row r="27" spans="1:5" ht="12.75">
      <c r="A27" t="s">
        <v>468</v>
      </c>
      <c r="B27">
        <v>1132</v>
      </c>
      <c r="C27">
        <v>302</v>
      </c>
      <c r="D27">
        <v>3</v>
      </c>
      <c r="E27">
        <v>3</v>
      </c>
    </row>
    <row r="28" spans="1:5" ht="12.75">
      <c r="A28" t="s">
        <v>471</v>
      </c>
      <c r="B28">
        <v>560</v>
      </c>
      <c r="C28">
        <v>148</v>
      </c>
      <c r="D28">
        <v>2</v>
      </c>
      <c r="E28">
        <v>2</v>
      </c>
    </row>
    <row r="29" spans="1:5" ht="12.75">
      <c r="A29" t="s">
        <v>476</v>
      </c>
      <c r="B29">
        <v>2286</v>
      </c>
      <c r="C29">
        <v>363</v>
      </c>
      <c r="D29">
        <v>12</v>
      </c>
      <c r="E29">
        <v>9</v>
      </c>
    </row>
    <row r="30" spans="1:3" ht="12.75">
      <c r="A30" t="s">
        <v>479</v>
      </c>
      <c r="B30">
        <v>86</v>
      </c>
      <c r="C30">
        <v>29</v>
      </c>
    </row>
    <row r="31" spans="1:5" ht="12.75">
      <c r="A31" t="s">
        <v>484</v>
      </c>
      <c r="B31">
        <v>6145</v>
      </c>
      <c r="C31">
        <v>5064</v>
      </c>
      <c r="D31">
        <v>17</v>
      </c>
      <c r="E31">
        <v>5</v>
      </c>
    </row>
    <row r="32" spans="1:4" ht="12.75">
      <c r="A32" t="s">
        <v>435</v>
      </c>
      <c r="B32">
        <v>1405</v>
      </c>
      <c r="C32">
        <v>686</v>
      </c>
      <c r="D32">
        <v>1</v>
      </c>
    </row>
    <row r="33" spans="1:3" ht="12.75">
      <c r="A33" t="s">
        <v>439</v>
      </c>
      <c r="B33">
        <v>285</v>
      </c>
      <c r="C33">
        <v>98</v>
      </c>
    </row>
    <row r="34" spans="1:3" ht="12.75">
      <c r="A34" t="s">
        <v>441</v>
      </c>
      <c r="B34">
        <v>101</v>
      </c>
      <c r="C34">
        <v>16</v>
      </c>
    </row>
    <row r="35" spans="1:5" ht="12.75">
      <c r="A35" t="s">
        <v>445</v>
      </c>
      <c r="B35">
        <v>1872</v>
      </c>
      <c r="C35">
        <v>944</v>
      </c>
      <c r="D35">
        <v>1</v>
      </c>
      <c r="E35">
        <v>1</v>
      </c>
    </row>
    <row r="36" spans="1:3" ht="12.75">
      <c r="A36" t="s">
        <v>449</v>
      </c>
      <c r="B36">
        <v>434</v>
      </c>
      <c r="C36">
        <v>47</v>
      </c>
    </row>
    <row r="37" spans="1:5" ht="12.75">
      <c r="A37" t="s">
        <v>450</v>
      </c>
      <c r="B37">
        <v>1576</v>
      </c>
      <c r="C37">
        <v>871</v>
      </c>
      <c r="D37">
        <v>2</v>
      </c>
      <c r="E37">
        <v>2</v>
      </c>
    </row>
    <row r="38" spans="1:5" ht="12.75">
      <c r="A38" t="s">
        <v>455</v>
      </c>
      <c r="B38">
        <v>2461</v>
      </c>
      <c r="C38">
        <v>422</v>
      </c>
      <c r="D38">
        <v>21846</v>
      </c>
      <c r="E38">
        <v>6093</v>
      </c>
    </row>
    <row r="39" spans="1:5" ht="12.75">
      <c r="A39" t="s">
        <v>337</v>
      </c>
      <c r="B39">
        <v>1167</v>
      </c>
      <c r="C39">
        <v>218</v>
      </c>
      <c r="D39">
        <v>2</v>
      </c>
      <c r="E39">
        <v>2</v>
      </c>
    </row>
    <row r="40" spans="1:5" ht="12.75">
      <c r="A40" t="s">
        <v>458</v>
      </c>
      <c r="B40">
        <v>441</v>
      </c>
      <c r="C40">
        <v>184</v>
      </c>
      <c r="D40">
        <v>6</v>
      </c>
      <c r="E40">
        <v>6</v>
      </c>
    </row>
    <row r="41" spans="1:3" ht="12.75">
      <c r="A41" t="s">
        <v>473</v>
      </c>
      <c r="B41">
        <v>170</v>
      </c>
      <c r="C41">
        <v>17</v>
      </c>
    </row>
    <row r="42" spans="1:5" ht="12.75">
      <c r="A42" t="s">
        <v>474</v>
      </c>
      <c r="B42">
        <v>1428</v>
      </c>
      <c r="C42">
        <v>626</v>
      </c>
      <c r="D42">
        <v>2</v>
      </c>
      <c r="E42">
        <v>2</v>
      </c>
    </row>
    <row r="43" spans="1:5" ht="12.75">
      <c r="A43" t="s">
        <v>475</v>
      </c>
      <c r="B43">
        <v>5602</v>
      </c>
      <c r="C43">
        <v>891</v>
      </c>
      <c r="D43">
        <v>24778</v>
      </c>
      <c r="E43">
        <v>9877</v>
      </c>
    </row>
    <row r="44" spans="1:5" ht="12.75">
      <c r="A44" t="s">
        <v>478</v>
      </c>
      <c r="B44">
        <v>1654</v>
      </c>
      <c r="C44">
        <v>562</v>
      </c>
      <c r="D44">
        <v>7</v>
      </c>
      <c r="E44">
        <v>6</v>
      </c>
    </row>
    <row r="45" spans="1:5" ht="12.75">
      <c r="A45" t="s">
        <v>482</v>
      </c>
      <c r="B45">
        <v>180</v>
      </c>
      <c r="C45">
        <v>36</v>
      </c>
      <c r="D45">
        <v>1</v>
      </c>
      <c r="E45">
        <v>1</v>
      </c>
    </row>
    <row r="46" spans="1:5" ht="12.75">
      <c r="A46" t="s">
        <v>428</v>
      </c>
      <c r="B46">
        <v>426</v>
      </c>
      <c r="C46">
        <v>107</v>
      </c>
      <c r="D46">
        <v>2</v>
      </c>
      <c r="E46">
        <v>2</v>
      </c>
    </row>
    <row r="47" spans="1:3" ht="12.75">
      <c r="A47" t="s">
        <v>430</v>
      </c>
      <c r="B47">
        <v>1020</v>
      </c>
      <c r="C47">
        <v>702</v>
      </c>
    </row>
    <row r="48" spans="1:3" ht="12.75">
      <c r="A48" t="s">
        <v>432</v>
      </c>
      <c r="B48">
        <v>257</v>
      </c>
      <c r="C48">
        <v>69</v>
      </c>
    </row>
    <row r="49" spans="1:5" ht="12.75">
      <c r="A49" t="s">
        <v>438</v>
      </c>
      <c r="B49">
        <v>1408</v>
      </c>
      <c r="C49">
        <v>604</v>
      </c>
      <c r="D49">
        <v>1</v>
      </c>
      <c r="E49">
        <v>1</v>
      </c>
    </row>
    <row r="50" spans="1:3" ht="12.75">
      <c r="A50" t="s">
        <v>434</v>
      </c>
      <c r="B50">
        <v>64</v>
      </c>
      <c r="C50">
        <v>28</v>
      </c>
    </row>
    <row r="51" spans="1:3" ht="12.75">
      <c r="A51" t="s">
        <v>442</v>
      </c>
      <c r="B51">
        <v>205</v>
      </c>
      <c r="C51">
        <v>68</v>
      </c>
    </row>
    <row r="52" spans="1:5" ht="12.75">
      <c r="A52" t="s">
        <v>444</v>
      </c>
      <c r="B52">
        <v>280</v>
      </c>
      <c r="C52">
        <v>31</v>
      </c>
      <c r="D52">
        <v>1</v>
      </c>
      <c r="E52">
        <v>1</v>
      </c>
    </row>
    <row r="53" spans="1:4" ht="12.75">
      <c r="A53" t="s">
        <v>451</v>
      </c>
      <c r="B53">
        <v>2246</v>
      </c>
      <c r="C53">
        <v>979</v>
      </c>
      <c r="D53">
        <v>1</v>
      </c>
    </row>
    <row r="54" spans="1:5" ht="12.75">
      <c r="A54" t="s">
        <v>454</v>
      </c>
      <c r="B54">
        <v>204</v>
      </c>
      <c r="C54">
        <v>96</v>
      </c>
      <c r="D54">
        <v>68</v>
      </c>
      <c r="E54">
        <v>49</v>
      </c>
    </row>
    <row r="55" spans="1:5" ht="12.75">
      <c r="A55" t="s">
        <v>461</v>
      </c>
      <c r="B55">
        <v>1503</v>
      </c>
      <c r="C55">
        <v>758</v>
      </c>
      <c r="D55">
        <v>3</v>
      </c>
      <c r="E55">
        <v>3</v>
      </c>
    </row>
    <row r="56" spans="1:5" ht="12.75">
      <c r="A56" t="s">
        <v>463</v>
      </c>
      <c r="B56">
        <v>1227</v>
      </c>
      <c r="C56">
        <v>610</v>
      </c>
      <c r="D56">
        <v>1</v>
      </c>
      <c r="E56">
        <v>1</v>
      </c>
    </row>
    <row r="57" spans="1:5" ht="12.75">
      <c r="A57" t="s">
        <v>465</v>
      </c>
      <c r="B57">
        <v>2129</v>
      </c>
      <c r="C57">
        <v>1029</v>
      </c>
      <c r="D57">
        <v>2</v>
      </c>
      <c r="E57">
        <v>2</v>
      </c>
    </row>
    <row r="58" spans="1:5" ht="12.75">
      <c r="A58" t="s">
        <v>467</v>
      </c>
      <c r="B58">
        <v>488</v>
      </c>
      <c r="C58">
        <v>95</v>
      </c>
      <c r="D58">
        <v>1</v>
      </c>
      <c r="E58">
        <v>1</v>
      </c>
    </row>
    <row r="59" spans="1:3" ht="12.75">
      <c r="A59" t="s">
        <v>469</v>
      </c>
      <c r="B59">
        <v>1051</v>
      </c>
      <c r="C59">
        <v>726</v>
      </c>
    </row>
    <row r="60" spans="1:5" ht="12.75">
      <c r="A60" t="s">
        <v>470</v>
      </c>
      <c r="B60">
        <v>2352</v>
      </c>
      <c r="C60">
        <v>1244</v>
      </c>
      <c r="D60">
        <v>1</v>
      </c>
      <c r="E60">
        <v>1</v>
      </c>
    </row>
    <row r="61" spans="1:5" ht="12.75">
      <c r="A61" t="s">
        <v>472</v>
      </c>
      <c r="B61">
        <v>3027</v>
      </c>
      <c r="C61">
        <v>1078</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0</v>
      </c>
      <c r="C2" s="332">
        <f>SUM(C3:C4)</f>
        <v>0</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0</v>
      </c>
      <c r="C4" s="33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2261</v>
      </c>
      <c r="C4">
        <v>1540</v>
      </c>
      <c r="D4">
        <v>5</v>
      </c>
      <c r="E4">
        <v>5</v>
      </c>
    </row>
    <row r="5" spans="1:5" ht="12.75">
      <c r="A5" t="s">
        <v>433</v>
      </c>
      <c r="B5">
        <v>814</v>
      </c>
      <c r="C5">
        <v>620</v>
      </c>
      <c r="D5">
        <v>8</v>
      </c>
      <c r="E5">
        <v>7</v>
      </c>
    </row>
    <row r="6" spans="1:5" ht="12.75">
      <c r="A6" t="s">
        <v>334</v>
      </c>
      <c r="B6">
        <v>650</v>
      </c>
      <c r="C6">
        <v>425</v>
      </c>
      <c r="D6">
        <v>12</v>
      </c>
      <c r="E6">
        <v>10</v>
      </c>
    </row>
    <row r="7" spans="1:5" ht="12.75">
      <c r="A7" t="s">
        <v>436</v>
      </c>
      <c r="B7">
        <v>2067</v>
      </c>
      <c r="C7">
        <v>1365</v>
      </c>
      <c r="D7">
        <v>14</v>
      </c>
      <c r="E7">
        <v>13</v>
      </c>
    </row>
    <row r="8" spans="1:5" ht="12.75">
      <c r="A8" t="s">
        <v>440</v>
      </c>
      <c r="B8">
        <v>2017</v>
      </c>
      <c r="C8">
        <v>1583</v>
      </c>
      <c r="D8">
        <v>3</v>
      </c>
      <c r="E8">
        <v>3</v>
      </c>
    </row>
    <row r="9" spans="1:3" ht="12.75">
      <c r="A9" t="s">
        <v>443</v>
      </c>
      <c r="B9">
        <v>189</v>
      </c>
      <c r="C9">
        <v>80</v>
      </c>
    </row>
    <row r="10" spans="1:5" ht="12.75">
      <c r="A10" t="s">
        <v>447</v>
      </c>
      <c r="B10">
        <v>2050</v>
      </c>
      <c r="C10">
        <v>1538</v>
      </c>
      <c r="D10">
        <v>8</v>
      </c>
      <c r="E10">
        <v>7</v>
      </c>
    </row>
    <row r="11" spans="1:5" ht="12.75">
      <c r="A11" t="s">
        <v>453</v>
      </c>
      <c r="B11">
        <v>156</v>
      </c>
      <c r="C11">
        <v>104</v>
      </c>
      <c r="D11">
        <v>1</v>
      </c>
      <c r="E11">
        <v>1</v>
      </c>
    </row>
    <row r="12" spans="1:5" ht="12.75">
      <c r="A12" t="s">
        <v>459</v>
      </c>
      <c r="B12">
        <v>791</v>
      </c>
      <c r="C12">
        <v>605</v>
      </c>
      <c r="D12">
        <v>16</v>
      </c>
      <c r="E12">
        <v>16</v>
      </c>
    </row>
    <row r="13" spans="1:5" ht="12.75">
      <c r="A13" t="s">
        <v>460</v>
      </c>
      <c r="B13">
        <v>418</v>
      </c>
      <c r="C13">
        <v>271</v>
      </c>
      <c r="D13">
        <v>5</v>
      </c>
      <c r="E13">
        <v>5</v>
      </c>
    </row>
    <row r="14" spans="1:5" ht="12.75">
      <c r="A14" t="s">
        <v>462</v>
      </c>
      <c r="B14">
        <v>3559</v>
      </c>
      <c r="C14">
        <v>2624</v>
      </c>
      <c r="D14">
        <v>7744</v>
      </c>
      <c r="E14">
        <v>4066</v>
      </c>
    </row>
    <row r="15" spans="1:5" ht="12.75">
      <c r="A15" t="s">
        <v>464</v>
      </c>
      <c r="B15">
        <v>962</v>
      </c>
      <c r="C15">
        <v>651</v>
      </c>
      <c r="D15">
        <v>13</v>
      </c>
      <c r="E15">
        <v>11</v>
      </c>
    </row>
    <row r="16" spans="1:3" ht="12.75">
      <c r="A16" t="s">
        <v>466</v>
      </c>
      <c r="B16">
        <v>357</v>
      </c>
      <c r="C16">
        <v>147</v>
      </c>
    </row>
    <row r="17" spans="1:5" ht="12.75">
      <c r="A17" t="s">
        <v>477</v>
      </c>
      <c r="B17">
        <v>157</v>
      </c>
      <c r="C17">
        <v>93</v>
      </c>
      <c r="D17">
        <v>2</v>
      </c>
      <c r="E17">
        <v>2</v>
      </c>
    </row>
    <row r="18" spans="1:5" ht="12.75">
      <c r="A18" t="s">
        <v>481</v>
      </c>
      <c r="B18">
        <v>138</v>
      </c>
      <c r="C18">
        <v>99</v>
      </c>
      <c r="D18">
        <v>1</v>
      </c>
      <c r="E18">
        <v>1</v>
      </c>
    </row>
    <row r="19" spans="1:5" ht="12.75">
      <c r="A19" t="s">
        <v>483</v>
      </c>
      <c r="B19">
        <v>198</v>
      </c>
      <c r="C19">
        <v>137</v>
      </c>
      <c r="D19">
        <v>1</v>
      </c>
      <c r="E19">
        <v>1</v>
      </c>
    </row>
    <row r="20" spans="1:5" ht="12.75">
      <c r="A20" t="s">
        <v>335</v>
      </c>
      <c r="B20">
        <v>5192</v>
      </c>
      <c r="C20">
        <v>3113</v>
      </c>
      <c r="D20">
        <v>16</v>
      </c>
      <c r="E20">
        <v>10</v>
      </c>
    </row>
    <row r="21" spans="1:5" ht="12.75">
      <c r="A21" t="s">
        <v>437</v>
      </c>
      <c r="B21">
        <v>994</v>
      </c>
      <c r="C21">
        <v>706</v>
      </c>
      <c r="D21">
        <v>41</v>
      </c>
      <c r="E21">
        <v>30</v>
      </c>
    </row>
    <row r="22" spans="1:3" ht="12.75">
      <c r="A22" t="s">
        <v>446</v>
      </c>
      <c r="B22">
        <v>653</v>
      </c>
      <c r="C22">
        <v>298</v>
      </c>
    </row>
    <row r="23" spans="1:5" ht="12.75">
      <c r="A23" t="s">
        <v>448</v>
      </c>
      <c r="B23">
        <v>809</v>
      </c>
      <c r="C23">
        <v>581</v>
      </c>
      <c r="D23">
        <v>15</v>
      </c>
      <c r="E23">
        <v>10</v>
      </c>
    </row>
    <row r="24" spans="1:5" ht="12.75">
      <c r="A24" t="s">
        <v>452</v>
      </c>
      <c r="B24">
        <v>1450</v>
      </c>
      <c r="C24">
        <v>1057</v>
      </c>
      <c r="D24">
        <v>6</v>
      </c>
      <c r="E24">
        <v>5</v>
      </c>
    </row>
    <row r="25" spans="1:5" ht="12.75">
      <c r="A25" t="s">
        <v>456</v>
      </c>
      <c r="B25">
        <v>1172</v>
      </c>
      <c r="C25">
        <v>814</v>
      </c>
      <c r="D25">
        <v>7</v>
      </c>
      <c r="E25">
        <v>7</v>
      </c>
    </row>
    <row r="26" spans="1:5" ht="12.75">
      <c r="A26" t="s">
        <v>457</v>
      </c>
      <c r="B26">
        <v>1361</v>
      </c>
      <c r="C26">
        <v>535</v>
      </c>
      <c r="D26">
        <v>6</v>
      </c>
      <c r="E26">
        <v>6</v>
      </c>
    </row>
    <row r="27" spans="1:5" ht="12.75">
      <c r="A27" t="s">
        <v>468</v>
      </c>
      <c r="B27">
        <v>2532</v>
      </c>
      <c r="C27">
        <v>1868</v>
      </c>
      <c r="D27">
        <v>13</v>
      </c>
      <c r="E27">
        <v>13</v>
      </c>
    </row>
    <row r="28" spans="1:5" ht="12.75">
      <c r="A28" t="s">
        <v>471</v>
      </c>
      <c r="B28">
        <v>1007</v>
      </c>
      <c r="C28">
        <v>845</v>
      </c>
      <c r="D28">
        <v>3</v>
      </c>
      <c r="E28">
        <v>3</v>
      </c>
    </row>
    <row r="29" spans="1:5" ht="12.75">
      <c r="A29" t="s">
        <v>476</v>
      </c>
      <c r="B29">
        <v>2541</v>
      </c>
      <c r="C29">
        <v>1562</v>
      </c>
      <c r="D29">
        <v>6</v>
      </c>
      <c r="E29">
        <v>5</v>
      </c>
    </row>
    <row r="30" spans="1:3" ht="12.75">
      <c r="A30" t="s">
        <v>479</v>
      </c>
      <c r="B30">
        <v>1071</v>
      </c>
      <c r="C30">
        <v>1063</v>
      </c>
    </row>
    <row r="31" spans="1:5" ht="12.75">
      <c r="A31" t="s">
        <v>484</v>
      </c>
      <c r="B31">
        <v>2917</v>
      </c>
      <c r="C31">
        <v>1468</v>
      </c>
      <c r="D31">
        <v>79</v>
      </c>
      <c r="E31">
        <v>64</v>
      </c>
    </row>
    <row r="32" spans="1:5" ht="12.75">
      <c r="A32" t="s">
        <v>435</v>
      </c>
      <c r="B32">
        <v>2840</v>
      </c>
      <c r="C32">
        <v>2327</v>
      </c>
      <c r="D32">
        <v>3</v>
      </c>
      <c r="E32">
        <v>3</v>
      </c>
    </row>
    <row r="33" spans="1:3" ht="12.75">
      <c r="A33" t="s">
        <v>439</v>
      </c>
      <c r="B33">
        <v>242</v>
      </c>
      <c r="C33">
        <v>196</v>
      </c>
    </row>
    <row r="34" spans="1:3" ht="12.75">
      <c r="A34" t="s">
        <v>441</v>
      </c>
      <c r="B34">
        <v>53</v>
      </c>
      <c r="C34">
        <v>27</v>
      </c>
    </row>
    <row r="35" spans="1:5" ht="12.75">
      <c r="A35" t="s">
        <v>445</v>
      </c>
      <c r="B35">
        <v>6289</v>
      </c>
      <c r="C35">
        <v>4955</v>
      </c>
      <c r="D35">
        <v>25</v>
      </c>
      <c r="E35">
        <v>21</v>
      </c>
    </row>
    <row r="36" spans="1:4" ht="12.75">
      <c r="A36" t="s">
        <v>449</v>
      </c>
      <c r="B36">
        <v>521</v>
      </c>
      <c r="C36">
        <v>217</v>
      </c>
      <c r="D36">
        <v>2</v>
      </c>
    </row>
    <row r="37" spans="1:5" ht="12.75">
      <c r="A37" t="s">
        <v>450</v>
      </c>
      <c r="B37">
        <v>1429</v>
      </c>
      <c r="C37">
        <v>1077</v>
      </c>
      <c r="D37">
        <v>2</v>
      </c>
      <c r="E37">
        <v>2</v>
      </c>
    </row>
    <row r="38" spans="1:5" ht="12.75">
      <c r="A38" t="s">
        <v>455</v>
      </c>
      <c r="B38">
        <v>622</v>
      </c>
      <c r="C38">
        <v>207</v>
      </c>
      <c r="D38">
        <v>571</v>
      </c>
      <c r="E38">
        <v>286</v>
      </c>
    </row>
    <row r="39" spans="1:5" ht="12.75">
      <c r="A39" t="s">
        <v>337</v>
      </c>
      <c r="B39">
        <v>766</v>
      </c>
      <c r="C39">
        <v>369</v>
      </c>
      <c r="D39">
        <v>3</v>
      </c>
      <c r="E39">
        <v>3</v>
      </c>
    </row>
    <row r="40" spans="1:5" ht="12.75">
      <c r="A40" t="s">
        <v>458</v>
      </c>
      <c r="B40">
        <v>1824</v>
      </c>
      <c r="C40">
        <v>1352</v>
      </c>
      <c r="D40">
        <v>4</v>
      </c>
      <c r="E40">
        <v>4</v>
      </c>
    </row>
    <row r="41" spans="1:3" ht="12.75">
      <c r="A41" t="s">
        <v>473</v>
      </c>
      <c r="B41">
        <v>164</v>
      </c>
      <c r="C41">
        <v>78</v>
      </c>
    </row>
    <row r="42" spans="1:5" ht="12.75">
      <c r="A42" t="s">
        <v>474</v>
      </c>
      <c r="B42">
        <v>1540</v>
      </c>
      <c r="C42">
        <v>995</v>
      </c>
      <c r="D42">
        <v>4</v>
      </c>
      <c r="E42">
        <v>4</v>
      </c>
    </row>
    <row r="43" spans="1:5" ht="12.75">
      <c r="A43" t="s">
        <v>475</v>
      </c>
      <c r="B43">
        <v>549</v>
      </c>
      <c r="C43">
        <v>272</v>
      </c>
      <c r="D43">
        <v>5606</v>
      </c>
      <c r="E43">
        <v>3897</v>
      </c>
    </row>
    <row r="44" spans="1:5" ht="12.75">
      <c r="A44" t="s">
        <v>478</v>
      </c>
      <c r="B44">
        <v>3221</v>
      </c>
      <c r="C44">
        <v>2236</v>
      </c>
      <c r="D44">
        <v>4</v>
      </c>
      <c r="E44">
        <v>2</v>
      </c>
    </row>
    <row r="45" spans="1:5" ht="12.75">
      <c r="A45" t="s">
        <v>482</v>
      </c>
      <c r="B45">
        <v>669</v>
      </c>
      <c r="C45">
        <v>379</v>
      </c>
      <c r="D45">
        <v>1</v>
      </c>
      <c r="E45">
        <v>1</v>
      </c>
    </row>
    <row r="46" spans="1:5" ht="12.75">
      <c r="A46" t="s">
        <v>428</v>
      </c>
      <c r="B46">
        <v>608</v>
      </c>
      <c r="C46">
        <v>397</v>
      </c>
      <c r="D46">
        <v>2</v>
      </c>
      <c r="E46">
        <v>2</v>
      </c>
    </row>
    <row r="47" spans="1:3" ht="12.75">
      <c r="A47" t="s">
        <v>430</v>
      </c>
      <c r="B47">
        <v>352</v>
      </c>
      <c r="C47">
        <v>296</v>
      </c>
    </row>
    <row r="48" spans="1:3" ht="12.75">
      <c r="A48" t="s">
        <v>432</v>
      </c>
      <c r="B48">
        <v>386</v>
      </c>
      <c r="C48">
        <v>226</v>
      </c>
    </row>
    <row r="49" spans="1:5" ht="12.75">
      <c r="A49" t="s">
        <v>438</v>
      </c>
      <c r="B49">
        <v>1638</v>
      </c>
      <c r="C49">
        <v>836</v>
      </c>
      <c r="D49">
        <v>4</v>
      </c>
      <c r="E49">
        <v>3</v>
      </c>
    </row>
    <row r="50" spans="1:3" ht="12.75">
      <c r="A50" t="s">
        <v>434</v>
      </c>
      <c r="B50">
        <v>176</v>
      </c>
      <c r="C50">
        <v>79</v>
      </c>
    </row>
    <row r="51" spans="1:3" ht="12.75">
      <c r="A51" t="s">
        <v>442</v>
      </c>
      <c r="B51">
        <v>378</v>
      </c>
      <c r="C51">
        <v>226</v>
      </c>
    </row>
    <row r="52" spans="1:3" ht="12.75">
      <c r="A52" t="s">
        <v>444</v>
      </c>
      <c r="B52">
        <v>814</v>
      </c>
      <c r="C52">
        <v>710</v>
      </c>
    </row>
    <row r="53" spans="1:5" ht="12.75">
      <c r="A53" t="s">
        <v>451</v>
      </c>
      <c r="B53">
        <v>1208</v>
      </c>
      <c r="C53">
        <v>1100</v>
      </c>
      <c r="D53">
        <v>3</v>
      </c>
      <c r="E53">
        <v>3</v>
      </c>
    </row>
    <row r="54" spans="1:3" ht="12.75">
      <c r="A54" t="s">
        <v>454</v>
      </c>
      <c r="B54">
        <v>716</v>
      </c>
      <c r="C54">
        <v>504</v>
      </c>
    </row>
    <row r="55" spans="1:5" ht="12.75">
      <c r="A55" t="s">
        <v>461</v>
      </c>
      <c r="B55">
        <v>4764</v>
      </c>
      <c r="C55">
        <v>3865</v>
      </c>
      <c r="D55">
        <v>1</v>
      </c>
      <c r="E55">
        <v>1</v>
      </c>
    </row>
    <row r="56" spans="1:3" ht="12.75">
      <c r="A56" t="s">
        <v>463</v>
      </c>
      <c r="B56">
        <v>2807</v>
      </c>
      <c r="C56">
        <v>854</v>
      </c>
    </row>
    <row r="57" spans="1:5" ht="12.75">
      <c r="A57" t="s">
        <v>465</v>
      </c>
      <c r="B57">
        <v>662</v>
      </c>
      <c r="C57">
        <v>444</v>
      </c>
      <c r="D57">
        <v>2</v>
      </c>
      <c r="E57">
        <v>2</v>
      </c>
    </row>
    <row r="58" spans="1:5" ht="12.75">
      <c r="A58" t="s">
        <v>467</v>
      </c>
      <c r="B58">
        <v>714</v>
      </c>
      <c r="C58">
        <v>566</v>
      </c>
      <c r="D58">
        <v>1</v>
      </c>
      <c r="E58">
        <v>1</v>
      </c>
    </row>
    <row r="59" spans="1:5" ht="12.75">
      <c r="A59" t="s">
        <v>469</v>
      </c>
      <c r="B59">
        <v>2696</v>
      </c>
      <c r="C59">
        <v>1984</v>
      </c>
      <c r="D59">
        <v>3</v>
      </c>
      <c r="E59">
        <v>3</v>
      </c>
    </row>
    <row r="60" spans="1:5" ht="12.75">
      <c r="A60" t="s">
        <v>470</v>
      </c>
      <c r="B60">
        <v>3023</v>
      </c>
      <c r="C60">
        <v>1347</v>
      </c>
      <c r="D60">
        <v>30</v>
      </c>
      <c r="E60">
        <v>21</v>
      </c>
    </row>
    <row r="61" spans="1:5" ht="12.75">
      <c r="A61" t="s">
        <v>472</v>
      </c>
      <c r="B61">
        <v>2612</v>
      </c>
      <c r="C61">
        <v>1833</v>
      </c>
      <c r="D61">
        <v>1</v>
      </c>
      <c r="E61">
        <v>1</v>
      </c>
    </row>
    <row r="62" spans="1:3" ht="12.75">
      <c r="A62" t="s">
        <v>480</v>
      </c>
      <c r="B62">
        <v>87</v>
      </c>
      <c r="C62">
        <v>84</v>
      </c>
    </row>
    <row r="63" ht="12.75">
      <c r="A63" t="s">
        <v>539</v>
      </c>
    </row>
    <row r="64" spans="1:3" ht="12.75">
      <c r="A64" t="s">
        <v>429</v>
      </c>
      <c r="B64">
        <v>44</v>
      </c>
      <c r="C64">
        <v>10</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131</v>
      </c>
      <c r="C2" s="332">
        <f>SUM(C3:C4)</f>
        <v>94</v>
      </c>
    </row>
    <row r="3" spans="1:3" ht="12.75">
      <c r="A3" t="s">
        <v>480</v>
      </c>
      <c r="B3" s="339">
        <f>IF(ISNA(VLOOKUP(A3,Other_Data!A2:E65,2,FALSE)),"0",(VLOOKUP(A3,Other_Data!A2:E65,2,FALSE)))</f>
        <v>87</v>
      </c>
      <c r="C3" s="339">
        <f>IF(ISNA(VLOOKUP(A3,Other_Data!A2:E65,3,FALSE)),"0",(VLOOKUP(A3,Other_Data!A2:E65,3,FALSE)))</f>
        <v>84</v>
      </c>
    </row>
    <row r="4" spans="1:3" ht="12.75">
      <c r="A4" t="s">
        <v>429</v>
      </c>
      <c r="B4" s="339">
        <f>IF(ISNA(VLOOKUP(A4,Other_Data!A3:E66,2,FALSE)),"0",(VLOOKUP(A4,Other_Data!A3:E66,2,FALSE)))</f>
        <v>44</v>
      </c>
      <c r="C4" s="339">
        <f>IF(ISNA(VLOOKUP(A4,Other_Data!A2:E65,3,FALSE)),"0",(VLOOKUP(A4,Other_Data!A2:E65,3,FALSE)))</f>
        <v>10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3" ht="12.75">
      <c r="A5" t="s">
        <v>433</v>
      </c>
      <c r="B5">
        <v>1</v>
      </c>
      <c r="C5">
        <v>1</v>
      </c>
    </row>
    <row r="6" spans="1:3" ht="12.75">
      <c r="A6" t="s">
        <v>334</v>
      </c>
      <c r="B6">
        <v>2</v>
      </c>
      <c r="C6">
        <v>2</v>
      </c>
    </row>
    <row r="7" spans="1:3" ht="12.75">
      <c r="A7" t="s">
        <v>436</v>
      </c>
      <c r="B7">
        <v>8</v>
      </c>
      <c r="C7">
        <v>3</v>
      </c>
    </row>
    <row r="8" spans="1:2" ht="12.75">
      <c r="A8" t="s">
        <v>440</v>
      </c>
      <c r="B8">
        <v>5</v>
      </c>
    </row>
    <row r="9" ht="12.75">
      <c r="A9" t="s">
        <v>443</v>
      </c>
    </row>
    <row r="10" spans="1:3" ht="12.75">
      <c r="A10" t="s">
        <v>447</v>
      </c>
      <c r="B10">
        <v>6</v>
      </c>
      <c r="C10">
        <v>1</v>
      </c>
    </row>
    <row r="11" spans="1:2" ht="12.75">
      <c r="A11" t="s">
        <v>453</v>
      </c>
      <c r="B11">
        <v>1</v>
      </c>
    </row>
    <row r="12" spans="1:2" ht="12.75">
      <c r="A12" t="s">
        <v>459</v>
      </c>
      <c r="B12">
        <v>3</v>
      </c>
    </row>
    <row r="13" ht="12.75">
      <c r="A13" t="s">
        <v>460</v>
      </c>
    </row>
    <row r="14" spans="1:3" ht="12.75">
      <c r="A14" t="s">
        <v>462</v>
      </c>
      <c r="B14">
        <v>16988</v>
      </c>
      <c r="C14">
        <v>8579</v>
      </c>
    </row>
    <row r="15" spans="1:2" ht="12.75">
      <c r="A15" t="s">
        <v>464</v>
      </c>
      <c r="B15">
        <v>3</v>
      </c>
    </row>
    <row r="16" ht="12.75">
      <c r="A16" t="s">
        <v>466</v>
      </c>
    </row>
    <row r="17" spans="1:2" ht="12.75">
      <c r="A17" t="s">
        <v>477</v>
      </c>
      <c r="B17">
        <v>1</v>
      </c>
    </row>
    <row r="18" spans="1:2" ht="12.75">
      <c r="A18" t="s">
        <v>481</v>
      </c>
      <c r="B18">
        <v>2</v>
      </c>
    </row>
    <row r="19" ht="12.75">
      <c r="A19" t="s">
        <v>483</v>
      </c>
    </row>
    <row r="20" spans="1:2" ht="12.75">
      <c r="A20" t="s">
        <v>335</v>
      </c>
      <c r="B20">
        <v>2</v>
      </c>
    </row>
    <row r="21" spans="1:3" ht="12.75">
      <c r="A21" t="s">
        <v>437</v>
      </c>
      <c r="B21">
        <v>3</v>
      </c>
      <c r="C21">
        <v>2</v>
      </c>
    </row>
    <row r="22" ht="12.75">
      <c r="A22" t="s">
        <v>446</v>
      </c>
    </row>
    <row r="23" spans="1:3" ht="12.75">
      <c r="A23" t="s">
        <v>448</v>
      </c>
      <c r="B23">
        <v>36</v>
      </c>
      <c r="C23">
        <v>1</v>
      </c>
    </row>
    <row r="24" spans="1:3" ht="12.75">
      <c r="A24" t="s">
        <v>452</v>
      </c>
      <c r="B24">
        <v>23</v>
      </c>
      <c r="C24">
        <v>17</v>
      </c>
    </row>
    <row r="25" spans="1:3" ht="12.75">
      <c r="A25" t="s">
        <v>456</v>
      </c>
      <c r="B25">
        <v>4</v>
      </c>
      <c r="C25">
        <v>4</v>
      </c>
    </row>
    <row r="26" spans="1:2" ht="12.75">
      <c r="A26" t="s">
        <v>457</v>
      </c>
      <c r="B26">
        <v>5</v>
      </c>
    </row>
    <row r="27" spans="1:3" ht="12.75">
      <c r="A27" t="s">
        <v>468</v>
      </c>
      <c r="B27">
        <v>2</v>
      </c>
      <c r="C27">
        <v>1</v>
      </c>
    </row>
    <row r="28" ht="12.75">
      <c r="A28" t="s">
        <v>471</v>
      </c>
    </row>
    <row r="29" spans="1:3" ht="12.75">
      <c r="A29" t="s">
        <v>476</v>
      </c>
      <c r="B29">
        <v>12</v>
      </c>
      <c r="C29">
        <v>4</v>
      </c>
    </row>
    <row r="30" ht="12.75">
      <c r="A30" t="s">
        <v>479</v>
      </c>
    </row>
    <row r="31" spans="1:3" ht="12.75">
      <c r="A31" t="s">
        <v>484</v>
      </c>
      <c r="B31">
        <v>3</v>
      </c>
      <c r="C31">
        <v>2</v>
      </c>
    </row>
    <row r="32" spans="1:3" ht="12.75">
      <c r="A32" t="s">
        <v>435</v>
      </c>
      <c r="B32">
        <v>9</v>
      </c>
      <c r="C32">
        <v>3</v>
      </c>
    </row>
    <row r="33" ht="12.75">
      <c r="A33" t="s">
        <v>439</v>
      </c>
    </row>
    <row r="34" ht="12.75">
      <c r="A34" t="s">
        <v>441</v>
      </c>
    </row>
    <row r="35" spans="1:3" ht="12.75">
      <c r="A35" t="s">
        <v>445</v>
      </c>
      <c r="B35">
        <v>6</v>
      </c>
      <c r="C35">
        <v>3</v>
      </c>
    </row>
    <row r="36" ht="12.75">
      <c r="A36" t="s">
        <v>449</v>
      </c>
    </row>
    <row r="37" spans="1:3" ht="12.75">
      <c r="A37" t="s">
        <v>450</v>
      </c>
      <c r="B37">
        <v>5</v>
      </c>
      <c r="C37">
        <v>1</v>
      </c>
    </row>
    <row r="38" spans="1:3" ht="12.75">
      <c r="A38" t="s">
        <v>455</v>
      </c>
      <c r="B38">
        <v>11363</v>
      </c>
      <c r="C38">
        <v>2481</v>
      </c>
    </row>
    <row r="39" spans="1:3" ht="12.75">
      <c r="A39" t="s">
        <v>337</v>
      </c>
      <c r="B39">
        <v>1</v>
      </c>
      <c r="C39">
        <v>1</v>
      </c>
    </row>
    <row r="40" spans="1:3" ht="12.75">
      <c r="A40" t="s">
        <v>458</v>
      </c>
      <c r="B40">
        <v>14</v>
      </c>
      <c r="C40">
        <v>3</v>
      </c>
    </row>
    <row r="41" ht="12.75">
      <c r="A41" t="s">
        <v>473</v>
      </c>
    </row>
    <row r="42" spans="1:3" ht="12.75">
      <c r="A42" t="s">
        <v>474</v>
      </c>
      <c r="B42">
        <v>12</v>
      </c>
      <c r="C42">
        <v>7</v>
      </c>
    </row>
    <row r="43" spans="1:3" ht="12.75">
      <c r="A43" t="s">
        <v>475</v>
      </c>
      <c r="B43">
        <v>18129</v>
      </c>
      <c r="C43">
        <v>4032</v>
      </c>
    </row>
    <row r="44" spans="1:3" ht="12.75">
      <c r="A44" t="s">
        <v>478</v>
      </c>
      <c r="B44">
        <v>5</v>
      </c>
      <c r="C44">
        <v>1</v>
      </c>
    </row>
    <row r="45" ht="12.75">
      <c r="A45" t="s">
        <v>482</v>
      </c>
    </row>
    <row r="46" spans="1:2" ht="12.75">
      <c r="A46" t="s">
        <v>428</v>
      </c>
      <c r="B46">
        <v>1</v>
      </c>
    </row>
    <row r="47" ht="12.75">
      <c r="A47" t="s">
        <v>430</v>
      </c>
    </row>
    <row r="48" ht="12.75">
      <c r="A48" t="s">
        <v>432</v>
      </c>
    </row>
    <row r="49" spans="1:3" ht="12.75">
      <c r="A49" t="s">
        <v>438</v>
      </c>
      <c r="B49">
        <v>10</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395</v>
      </c>
    </row>
    <row r="55" spans="1:3" ht="12.75">
      <c r="A55" t="s">
        <v>461</v>
      </c>
      <c r="B55">
        <v>12</v>
      </c>
      <c r="C55">
        <v>1</v>
      </c>
    </row>
    <row r="56" spans="1:3" ht="12.75">
      <c r="A56" t="s">
        <v>463</v>
      </c>
      <c r="B56">
        <v>1</v>
      </c>
      <c r="C56">
        <v>1</v>
      </c>
    </row>
    <row r="57" spans="1:3" ht="12.75">
      <c r="A57" t="s">
        <v>465</v>
      </c>
      <c r="B57">
        <v>3</v>
      </c>
      <c r="C57">
        <v>2</v>
      </c>
    </row>
    <row r="58" spans="1:3" ht="12.75">
      <c r="A58" t="s">
        <v>467</v>
      </c>
      <c r="B58">
        <v>4</v>
      </c>
      <c r="C58">
        <v>1</v>
      </c>
    </row>
    <row r="59" ht="12.75">
      <c r="A59" t="s">
        <v>469</v>
      </c>
    </row>
    <row r="60" spans="1:3" ht="12.75">
      <c r="A60" t="s">
        <v>470</v>
      </c>
      <c r="C60">
        <v>2</v>
      </c>
    </row>
    <row r="61" spans="1:3" ht="12.75">
      <c r="A61" t="s">
        <v>472</v>
      </c>
      <c r="B61">
        <v>54</v>
      </c>
      <c r="C61">
        <v>3</v>
      </c>
    </row>
    <row r="62" ht="12.75">
      <c r="A62" t="s">
        <v>480</v>
      </c>
    </row>
    <row r="63" ht="12.75">
      <c r="A63" t="s">
        <v>539</v>
      </c>
    </row>
    <row r="64" spans="1:2" ht="12.75">
      <c r="A64" t="s">
        <v>429</v>
      </c>
      <c r="B64">
        <v>3</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3</v>
      </c>
    </row>
    <row r="3" spans="1:2" ht="12.75">
      <c r="A3" t="s">
        <v>480</v>
      </c>
      <c r="B3" s="339">
        <f>IF(ISNA(VLOOKUP(A3,Burial_Data!A2:C67,2,FALSE)),"0",(VLOOKUP(A3,Burial_Data!A2:C67,2,FALSE)))</f>
        <v>0</v>
      </c>
    </row>
    <row r="4" spans="1:2" ht="12.75">
      <c r="A4" t="s">
        <v>429</v>
      </c>
      <c r="B4" s="339">
        <f>IF(ISNA(VLOOKUP(A4,Burial_Data!A2:C68,2,FALSE)),"0",(VLOOKUP(A4,Burial_Data!A2:C68,2,FALSE)))</f>
        <v>3</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52"/>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1</v>
      </c>
      <c r="D5" t="s">
        <v>27</v>
      </c>
    </row>
    <row r="6" spans="1:4" ht="12.75">
      <c r="A6" t="s">
        <v>431</v>
      </c>
      <c r="B6">
        <v>313</v>
      </c>
      <c r="C6">
        <v>2</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4</v>
      </c>
      <c r="D10" t="s">
        <v>27</v>
      </c>
    </row>
    <row r="11" spans="1:4" ht="12.75">
      <c r="A11" t="s">
        <v>435</v>
      </c>
      <c r="B11">
        <v>328</v>
      </c>
      <c r="C11">
        <v>131</v>
      </c>
      <c r="D11" t="s">
        <v>27</v>
      </c>
    </row>
    <row r="12" spans="1:4" ht="12.75">
      <c r="A12" t="s">
        <v>436</v>
      </c>
      <c r="B12">
        <v>325</v>
      </c>
      <c r="C12">
        <v>98</v>
      </c>
      <c r="D12" t="s">
        <v>27</v>
      </c>
    </row>
    <row r="13" spans="1:4" ht="12.75">
      <c r="A13" t="s">
        <v>437</v>
      </c>
      <c r="B13">
        <v>319</v>
      </c>
      <c r="C13">
        <v>5</v>
      </c>
      <c r="D13" t="s">
        <v>27</v>
      </c>
    </row>
    <row r="14" spans="1:4" ht="12.75">
      <c r="A14" t="s">
        <v>438</v>
      </c>
      <c r="B14">
        <v>339</v>
      </c>
      <c r="C14">
        <v>4</v>
      </c>
      <c r="D14" t="s">
        <v>27</v>
      </c>
    </row>
    <row r="15" spans="1:4" ht="12.75">
      <c r="A15" t="s">
        <v>439</v>
      </c>
      <c r="B15">
        <v>333</v>
      </c>
      <c r="C15">
        <v>2</v>
      </c>
      <c r="D15" t="s">
        <v>27</v>
      </c>
    </row>
    <row r="16" spans="1:4" ht="12.75">
      <c r="A16" t="s">
        <v>440</v>
      </c>
      <c r="B16">
        <v>329</v>
      </c>
      <c r="C16">
        <v>43</v>
      </c>
      <c r="D16" t="s">
        <v>27</v>
      </c>
    </row>
    <row r="17" spans="1:4" ht="12.75">
      <c r="A17" t="s">
        <v>442</v>
      </c>
      <c r="B17">
        <v>436</v>
      </c>
      <c r="C17">
        <v>2</v>
      </c>
      <c r="D17" t="s">
        <v>27</v>
      </c>
    </row>
    <row r="18" spans="1:4" ht="12.75">
      <c r="A18" t="s">
        <v>445</v>
      </c>
      <c r="B18">
        <v>362</v>
      </c>
      <c r="C18">
        <v>5</v>
      </c>
      <c r="D18" t="s">
        <v>27</v>
      </c>
    </row>
    <row r="19" spans="1:4" ht="12.75">
      <c r="A19" t="s">
        <v>446</v>
      </c>
      <c r="B19">
        <v>315</v>
      </c>
      <c r="C19">
        <v>4</v>
      </c>
      <c r="D19" t="s">
        <v>27</v>
      </c>
    </row>
    <row r="20" spans="1:4" ht="12.75">
      <c r="A20" t="s">
        <v>447</v>
      </c>
      <c r="B20">
        <v>326</v>
      </c>
      <c r="C20">
        <v>65</v>
      </c>
      <c r="D20" t="s">
        <v>27</v>
      </c>
    </row>
    <row r="21" spans="1:4" ht="12.75">
      <c r="A21" t="s">
        <v>448</v>
      </c>
      <c r="B21">
        <v>323</v>
      </c>
      <c r="C21">
        <v>5</v>
      </c>
      <c r="D21" t="s">
        <v>27</v>
      </c>
    </row>
    <row r="22" spans="1:4" ht="12.75">
      <c r="A22" t="s">
        <v>449</v>
      </c>
      <c r="B22">
        <v>334</v>
      </c>
      <c r="C22">
        <v>1</v>
      </c>
      <c r="D22" t="s">
        <v>27</v>
      </c>
    </row>
    <row r="23" spans="1:4" ht="12.75">
      <c r="A23" t="s">
        <v>450</v>
      </c>
      <c r="B23">
        <v>350</v>
      </c>
      <c r="C23">
        <v>44</v>
      </c>
      <c r="D23" t="s">
        <v>27</v>
      </c>
    </row>
    <row r="24" spans="1:4" ht="12.75">
      <c r="A24" t="s">
        <v>451</v>
      </c>
      <c r="B24">
        <v>344</v>
      </c>
      <c r="C24">
        <v>7</v>
      </c>
      <c r="D24" t="s">
        <v>27</v>
      </c>
    </row>
    <row r="25" spans="1:4" ht="12.75">
      <c r="A25" t="s">
        <v>452</v>
      </c>
      <c r="B25">
        <v>327</v>
      </c>
      <c r="C25">
        <v>50</v>
      </c>
      <c r="D25" t="s">
        <v>27</v>
      </c>
    </row>
    <row r="26" spans="1:4" ht="12.75">
      <c r="A26" t="s">
        <v>453</v>
      </c>
      <c r="B26">
        <v>373</v>
      </c>
      <c r="C26">
        <v>1</v>
      </c>
      <c r="D26" t="s">
        <v>27</v>
      </c>
    </row>
    <row r="27" spans="1:4" ht="12.75">
      <c r="A27" t="s">
        <v>454</v>
      </c>
      <c r="B27">
        <v>358</v>
      </c>
      <c r="C27">
        <v>83</v>
      </c>
      <c r="D27" t="s">
        <v>27</v>
      </c>
    </row>
    <row r="28" spans="1:4" ht="12.75">
      <c r="A28" t="s">
        <v>455</v>
      </c>
      <c r="B28">
        <v>330</v>
      </c>
      <c r="C28">
        <v>1508</v>
      </c>
      <c r="D28" t="s">
        <v>27</v>
      </c>
    </row>
    <row r="29" spans="1:4" ht="12.75">
      <c r="A29" t="s">
        <v>456</v>
      </c>
      <c r="B29">
        <v>322</v>
      </c>
      <c r="C29">
        <v>67</v>
      </c>
      <c r="D29" t="s">
        <v>27</v>
      </c>
    </row>
    <row r="30" spans="1:4" ht="12.75">
      <c r="A30" t="s">
        <v>337</v>
      </c>
      <c r="B30">
        <v>351</v>
      </c>
      <c r="C30">
        <v>6</v>
      </c>
      <c r="D30" t="s">
        <v>27</v>
      </c>
    </row>
    <row r="31" spans="1:4" ht="12.75">
      <c r="A31" t="s">
        <v>457</v>
      </c>
      <c r="B31">
        <v>320</v>
      </c>
      <c r="C31">
        <v>45</v>
      </c>
      <c r="D31" t="s">
        <v>27</v>
      </c>
    </row>
    <row r="32" spans="1:4" ht="12.75">
      <c r="A32" t="s">
        <v>458</v>
      </c>
      <c r="B32">
        <v>321</v>
      </c>
      <c r="C32">
        <v>109</v>
      </c>
      <c r="D32" t="s">
        <v>27</v>
      </c>
    </row>
    <row r="33" spans="1:4" ht="12.75">
      <c r="A33" t="s">
        <v>459</v>
      </c>
      <c r="B33">
        <v>306</v>
      </c>
      <c r="C33">
        <v>4</v>
      </c>
      <c r="D33" t="s">
        <v>27</v>
      </c>
    </row>
    <row r="34" spans="1:4" ht="12.75">
      <c r="A34" t="s">
        <v>460</v>
      </c>
      <c r="B34">
        <v>309</v>
      </c>
      <c r="C34">
        <v>2</v>
      </c>
      <c r="D34" t="s">
        <v>27</v>
      </c>
    </row>
    <row r="35" spans="1:4" ht="12.75">
      <c r="A35" t="s">
        <v>461</v>
      </c>
      <c r="B35">
        <v>343</v>
      </c>
      <c r="C35">
        <v>4</v>
      </c>
      <c r="D35" t="s">
        <v>27</v>
      </c>
    </row>
    <row r="36" spans="1:4" ht="12.75">
      <c r="A36" t="s">
        <v>462</v>
      </c>
      <c r="B36">
        <v>310</v>
      </c>
      <c r="C36">
        <v>5058</v>
      </c>
      <c r="D36" t="s">
        <v>27</v>
      </c>
    </row>
    <row r="37" spans="1:4" ht="12.75">
      <c r="A37" t="s">
        <v>463</v>
      </c>
      <c r="B37">
        <v>345</v>
      </c>
      <c r="C37">
        <v>3</v>
      </c>
      <c r="D37" t="s">
        <v>27</v>
      </c>
    </row>
    <row r="38" spans="1:4" ht="12.75">
      <c r="A38" t="s">
        <v>464</v>
      </c>
      <c r="B38">
        <v>311</v>
      </c>
      <c r="C38">
        <v>1</v>
      </c>
      <c r="D38" t="s">
        <v>27</v>
      </c>
    </row>
    <row r="39" spans="1:4" ht="12.75">
      <c r="A39" t="s">
        <v>465</v>
      </c>
      <c r="B39">
        <v>348</v>
      </c>
      <c r="C39">
        <v>21</v>
      </c>
      <c r="D39" t="s">
        <v>27</v>
      </c>
    </row>
    <row r="40" spans="1:4" ht="12.75">
      <c r="A40" t="s">
        <v>466</v>
      </c>
      <c r="B40">
        <v>304</v>
      </c>
      <c r="C40">
        <v>3</v>
      </c>
      <c r="D40" t="s">
        <v>27</v>
      </c>
    </row>
    <row r="41" spans="1:4" ht="12.75">
      <c r="A41" t="s">
        <v>467</v>
      </c>
      <c r="B41">
        <v>354</v>
      </c>
      <c r="C41">
        <v>2</v>
      </c>
      <c r="D41" t="s">
        <v>27</v>
      </c>
    </row>
    <row r="42" spans="1:4" ht="12.75">
      <c r="A42" t="s">
        <v>468</v>
      </c>
      <c r="B42">
        <v>314</v>
      </c>
      <c r="C42">
        <v>18</v>
      </c>
      <c r="D42" t="s">
        <v>27</v>
      </c>
    </row>
    <row r="43" spans="1:4" ht="12.75">
      <c r="A43" t="s">
        <v>469</v>
      </c>
      <c r="B43">
        <v>341</v>
      </c>
      <c r="C43">
        <v>2</v>
      </c>
      <c r="D43" t="s">
        <v>27</v>
      </c>
    </row>
    <row r="44" spans="1:4" ht="12.75">
      <c r="A44" t="s">
        <v>470</v>
      </c>
      <c r="B44">
        <v>377</v>
      </c>
      <c r="C44">
        <v>2</v>
      </c>
      <c r="D44" t="s">
        <v>27</v>
      </c>
    </row>
    <row r="45" spans="1:4" ht="12.75">
      <c r="A45" t="s">
        <v>472</v>
      </c>
      <c r="B45">
        <v>346</v>
      </c>
      <c r="C45">
        <v>55</v>
      </c>
      <c r="D45" t="s">
        <v>27</v>
      </c>
    </row>
    <row r="46" spans="1:4" ht="12.75">
      <c r="A46" t="s">
        <v>473</v>
      </c>
      <c r="B46">
        <v>438</v>
      </c>
      <c r="C46">
        <v>1</v>
      </c>
      <c r="D46" t="s">
        <v>27</v>
      </c>
    </row>
    <row r="47" spans="1:4" ht="12.75">
      <c r="A47" t="s">
        <v>474</v>
      </c>
      <c r="B47">
        <v>331</v>
      </c>
      <c r="C47">
        <v>107</v>
      </c>
      <c r="D47" t="s">
        <v>27</v>
      </c>
    </row>
    <row r="48" spans="1:4" ht="12.75">
      <c r="A48" t="s">
        <v>475</v>
      </c>
      <c r="B48">
        <v>335</v>
      </c>
      <c r="C48">
        <v>4700</v>
      </c>
      <c r="D48" t="s">
        <v>27</v>
      </c>
    </row>
    <row r="49" spans="1:4" ht="12.75">
      <c r="A49" t="s">
        <v>476</v>
      </c>
      <c r="B49">
        <v>317</v>
      </c>
      <c r="C49">
        <v>91</v>
      </c>
      <c r="D49" t="s">
        <v>27</v>
      </c>
    </row>
    <row r="50" spans="1:4" ht="12.75">
      <c r="A50" t="s">
        <v>477</v>
      </c>
      <c r="B50">
        <v>402</v>
      </c>
      <c r="C50">
        <v>1</v>
      </c>
      <c r="D50" t="s">
        <v>27</v>
      </c>
    </row>
    <row r="51" spans="1:4" ht="12.75">
      <c r="A51" t="s">
        <v>478</v>
      </c>
      <c r="B51">
        <v>349</v>
      </c>
      <c r="C51">
        <v>9</v>
      </c>
      <c r="D51" t="s">
        <v>27</v>
      </c>
    </row>
    <row r="52" spans="1:4" ht="12.75">
      <c r="A52" t="s">
        <v>484</v>
      </c>
      <c r="B52">
        <v>318</v>
      </c>
      <c r="C52">
        <v>5</v>
      </c>
      <c r="D52"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IF(ISNA(VLOOKUP(A3,Accrued_Data!$A$2:$D$55,3,FALSE)),"0",(VLOOKUP(A3,Accrued_Data!$A$2:$D$55,3,FALSE)))</f>
        <v>0</v>
      </c>
    </row>
    <row r="4" spans="1:2" ht="12.75">
      <c r="A4" t="s">
        <v>429</v>
      </c>
      <c r="B4" s="339">
        <f>IF(ISNA(VLOOKUP(A4,Accrued_Data!$A$2:$D$55,3,FALSE)),"0",(VLOOKUP(A4,Accrued_Data!$A$2:$D$55,3,FALSE)))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7">
        <v>896409</v>
      </c>
      <c r="F3" s="409">
        <v>597337</v>
      </c>
      <c r="G3" s="405">
        <v>0.6663665804337082</v>
      </c>
    </row>
    <row r="4" spans="2:7" ht="14.25" customHeight="1" thickBot="1">
      <c r="B4" s="258">
        <v>41216</v>
      </c>
      <c r="C4" s="342"/>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859337</v>
      </c>
      <c r="F7" s="409">
        <v>572131</v>
      </c>
      <c r="G7" s="405">
        <v>0.6657818760276818</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3"/>
      <c r="D10" s="384" t="s">
        <v>24</v>
      </c>
      <c r="E10" s="162" t="s">
        <v>39</v>
      </c>
      <c r="F10" s="163" t="s">
        <v>30</v>
      </c>
      <c r="G10" s="164" t="s">
        <v>31</v>
      </c>
      <c r="H10" s="50"/>
    </row>
    <row r="11" spans="2:8" ht="15" customHeight="1">
      <c r="B11" s="137" t="s">
        <v>23</v>
      </c>
      <c r="C11" s="344"/>
      <c r="D11" s="385"/>
      <c r="E11" s="127">
        <v>820106</v>
      </c>
      <c r="F11" s="128">
        <v>558230</v>
      </c>
      <c r="G11" s="129">
        <v>0.6806803023023853</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1944</v>
      </c>
      <c r="F13" s="130">
        <v>1548</v>
      </c>
      <c r="G13" s="132">
        <v>0.7962962962962963</v>
      </c>
      <c r="H13" s="50"/>
    </row>
    <row r="14" spans="2:8" ht="15">
      <c r="B14" s="114" t="s">
        <v>310</v>
      </c>
      <c r="C14" s="358" t="s">
        <v>524</v>
      </c>
      <c r="D14" s="179" t="s">
        <v>323</v>
      </c>
      <c r="E14" s="130">
        <v>74428</v>
      </c>
      <c r="F14" s="130">
        <v>50509</v>
      </c>
      <c r="G14" s="132">
        <v>0.6786290105874133</v>
      </c>
      <c r="H14" s="50"/>
    </row>
    <row r="15" spans="2:8" ht="15">
      <c r="B15" s="114" t="s">
        <v>19</v>
      </c>
      <c r="C15" s="358" t="s">
        <v>523</v>
      </c>
      <c r="D15" s="170">
        <v>110</v>
      </c>
      <c r="E15" s="130">
        <v>240057</v>
      </c>
      <c r="F15" s="130">
        <v>167757</v>
      </c>
      <c r="G15" s="132">
        <v>0.6988215298866519</v>
      </c>
      <c r="H15" s="50"/>
    </row>
    <row r="16" spans="2:8" ht="24.75" customHeight="1">
      <c r="B16" s="112" t="s">
        <v>8</v>
      </c>
      <c r="C16" s="345"/>
      <c r="D16" s="180"/>
      <c r="E16" s="58"/>
      <c r="F16" s="59"/>
      <c r="G16" s="191"/>
      <c r="H16" s="50"/>
    </row>
    <row r="17" spans="2:8" ht="15">
      <c r="B17" s="115" t="s">
        <v>311</v>
      </c>
      <c r="C17" s="358" t="s">
        <v>525</v>
      </c>
      <c r="D17" s="170">
        <v>140</v>
      </c>
      <c r="E17" s="130">
        <v>13841</v>
      </c>
      <c r="F17" s="130">
        <v>5862</v>
      </c>
      <c r="G17" s="132">
        <v>0.42352431182718014</v>
      </c>
      <c r="H17" s="50"/>
    </row>
    <row r="18" spans="2:8" ht="15">
      <c r="B18" s="115" t="s">
        <v>320</v>
      </c>
      <c r="C18" s="358" t="s">
        <v>487</v>
      </c>
      <c r="D18" s="170">
        <v>410</v>
      </c>
      <c r="E18" s="130">
        <v>321</v>
      </c>
      <c r="F18" s="130">
        <v>201</v>
      </c>
      <c r="G18" s="132">
        <v>0.6261682242990654</v>
      </c>
      <c r="H18" s="50"/>
    </row>
    <row r="19" spans="2:8" ht="21.75" customHeight="1">
      <c r="B19" s="112" t="s">
        <v>20</v>
      </c>
      <c r="C19" s="345"/>
      <c r="D19" s="180"/>
      <c r="E19" s="58"/>
      <c r="F19" s="59"/>
      <c r="G19" s="191"/>
      <c r="H19" s="50"/>
    </row>
    <row r="20" spans="2:8" ht="15">
      <c r="B20" s="114" t="s">
        <v>312</v>
      </c>
      <c r="C20" s="358" t="s">
        <v>518</v>
      </c>
      <c r="D20" s="179" t="s">
        <v>327</v>
      </c>
      <c r="E20" s="130">
        <v>480517</v>
      </c>
      <c r="F20" s="130">
        <v>325116</v>
      </c>
      <c r="G20" s="132">
        <v>0.6765962494563148</v>
      </c>
      <c r="H20" s="52"/>
    </row>
    <row r="21" spans="2:8" ht="15">
      <c r="B21" s="115" t="s">
        <v>313</v>
      </c>
      <c r="C21" s="358" t="s">
        <v>522</v>
      </c>
      <c r="D21" s="170">
        <v>320</v>
      </c>
      <c r="E21" s="130">
        <v>2053</v>
      </c>
      <c r="F21" s="130">
        <v>660</v>
      </c>
      <c r="G21" s="132">
        <v>0.32148075986361424</v>
      </c>
      <c r="H21" s="50"/>
    </row>
    <row r="22" spans="2:8" ht="15">
      <c r="B22" s="115" t="s">
        <v>319</v>
      </c>
      <c r="C22" s="358" t="s">
        <v>488</v>
      </c>
      <c r="D22" s="170">
        <v>420</v>
      </c>
      <c r="E22" s="130">
        <v>109</v>
      </c>
      <c r="F22" s="130">
        <v>93</v>
      </c>
      <c r="G22" s="132">
        <v>0.8532110091743119</v>
      </c>
      <c r="H22" s="50"/>
    </row>
    <row r="23" spans="2:8" ht="15">
      <c r="B23" s="365" t="s">
        <v>590</v>
      </c>
      <c r="C23" s="366" t="s">
        <v>506</v>
      </c>
      <c r="D23" s="169">
        <v>681</v>
      </c>
      <c r="E23" s="367">
        <v>209</v>
      </c>
      <c r="F23" s="367">
        <v>71</v>
      </c>
      <c r="G23" s="368">
        <v>0.3397129186602871</v>
      </c>
      <c r="H23" s="50"/>
    </row>
    <row r="24" spans="2:8" ht="15">
      <c r="B24" s="115" t="s">
        <v>591</v>
      </c>
      <c r="C24" s="358" t="s">
        <v>507</v>
      </c>
      <c r="D24" s="170">
        <v>687</v>
      </c>
      <c r="E24" s="130">
        <v>1</v>
      </c>
      <c r="F24" s="130">
        <v>1</v>
      </c>
      <c r="G24" s="132">
        <v>1</v>
      </c>
      <c r="H24" s="50"/>
    </row>
    <row r="25" spans="2:8" ht="15">
      <c r="B25" s="115" t="s">
        <v>592</v>
      </c>
      <c r="C25" s="358" t="s">
        <v>501</v>
      </c>
      <c r="D25" s="298">
        <v>405</v>
      </c>
      <c r="E25" s="131">
        <v>5980</v>
      </c>
      <c r="F25" s="130">
        <v>5934</v>
      </c>
      <c r="G25" s="132">
        <v>0.9923076923076923</v>
      </c>
      <c r="H25" s="50"/>
    </row>
    <row r="26" spans="2:8" ht="15">
      <c r="B26" s="115" t="s">
        <v>593</v>
      </c>
      <c r="C26" s="359" t="s">
        <v>503</v>
      </c>
      <c r="D26" s="298">
        <v>409</v>
      </c>
      <c r="E26" s="131">
        <v>646</v>
      </c>
      <c r="F26" s="131">
        <v>478</v>
      </c>
      <c r="G26" s="363">
        <v>0.739938080495356</v>
      </c>
      <c r="H26" s="50"/>
    </row>
    <row r="27" spans="2:8" ht="18">
      <c r="B27" s="112" t="s">
        <v>594</v>
      </c>
      <c r="C27" s="362"/>
      <c r="D27" s="296"/>
      <c r="E27" s="364"/>
      <c r="F27" s="364"/>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7"/>
      <c r="D31" s="384" t="s">
        <v>24</v>
      </c>
      <c r="E31" s="162" t="s">
        <v>39</v>
      </c>
      <c r="F31" s="163" t="s">
        <v>30</v>
      </c>
      <c r="G31" s="164" t="s">
        <v>31</v>
      </c>
      <c r="H31" s="50"/>
    </row>
    <row r="32" spans="2:8" ht="15" customHeight="1">
      <c r="B32" s="136" t="s">
        <v>213</v>
      </c>
      <c r="C32" s="348"/>
      <c r="D32" s="385"/>
      <c r="E32" s="127">
        <v>288798</v>
      </c>
      <c r="F32" s="128">
        <v>167914</v>
      </c>
      <c r="G32" s="133">
        <v>0.5814236940699036</v>
      </c>
      <c r="H32" s="50"/>
    </row>
    <row r="33" spans="2:8" ht="15">
      <c r="B33" s="115" t="s">
        <v>214</v>
      </c>
      <c r="C33" s="358" t="s">
        <v>214</v>
      </c>
      <c r="D33" s="169">
        <v>130</v>
      </c>
      <c r="E33" s="131">
        <v>161626</v>
      </c>
      <c r="F33" s="131">
        <v>100522</v>
      </c>
      <c r="G33" s="132">
        <v>0.6219420142798807</v>
      </c>
      <c r="H33" s="50"/>
    </row>
    <row r="34" spans="2:8" ht="15">
      <c r="B34" s="115" t="s">
        <v>215</v>
      </c>
      <c r="C34" s="358" t="s">
        <v>537</v>
      </c>
      <c r="D34" s="170">
        <v>133</v>
      </c>
      <c r="E34" s="131">
        <v>31</v>
      </c>
      <c r="F34" s="131">
        <v>15</v>
      </c>
      <c r="G34" s="132">
        <v>0.4838709677419355</v>
      </c>
      <c r="H34" s="50"/>
    </row>
    <row r="35" spans="2:8" ht="15">
      <c r="B35" s="115" t="s">
        <v>216</v>
      </c>
      <c r="C35" s="358" t="s">
        <v>517</v>
      </c>
      <c r="D35" s="170">
        <v>135</v>
      </c>
      <c r="E35" s="131">
        <v>215</v>
      </c>
      <c r="F35" s="131">
        <v>159</v>
      </c>
      <c r="G35" s="132">
        <v>0.7395348837209302</v>
      </c>
      <c r="H35" s="50"/>
    </row>
    <row r="36" spans="2:8" ht="15">
      <c r="B36" s="115" t="s">
        <v>217</v>
      </c>
      <c r="C36" s="358" t="s">
        <v>528</v>
      </c>
      <c r="D36" s="170">
        <v>290</v>
      </c>
      <c r="E36" s="131">
        <v>72088</v>
      </c>
      <c r="F36" s="131">
        <v>43520</v>
      </c>
      <c r="G36" s="132">
        <v>0.6037065808456331</v>
      </c>
      <c r="H36" s="50"/>
    </row>
    <row r="37" spans="2:8" ht="15">
      <c r="B37" s="115" t="s">
        <v>321</v>
      </c>
      <c r="C37" s="358" t="s">
        <v>490</v>
      </c>
      <c r="D37" s="170">
        <v>450</v>
      </c>
      <c r="E37" s="131">
        <v>7</v>
      </c>
      <c r="F37" s="131">
        <v>7</v>
      </c>
      <c r="G37" s="132">
        <v>1</v>
      </c>
      <c r="H37" s="50"/>
    </row>
    <row r="38" spans="2:8" ht="15">
      <c r="B38" s="115" t="s">
        <v>218</v>
      </c>
      <c r="C38" s="358" t="s">
        <v>516</v>
      </c>
      <c r="D38" s="170">
        <v>310</v>
      </c>
      <c r="E38" s="131">
        <v>13250</v>
      </c>
      <c r="F38" s="131">
        <v>5770</v>
      </c>
      <c r="G38" s="132">
        <v>0.4354716981132076</v>
      </c>
      <c r="H38" s="50"/>
    </row>
    <row r="39" spans="2:8" ht="15">
      <c r="B39" s="115" t="s">
        <v>219</v>
      </c>
      <c r="C39" s="358" t="s">
        <v>513</v>
      </c>
      <c r="D39" s="170">
        <v>600</v>
      </c>
      <c r="E39" s="131">
        <v>41581</v>
      </c>
      <c r="F39" s="131">
        <v>17921</v>
      </c>
      <c r="G39" s="132">
        <v>0.43099011567783363</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7"/>
      <c r="D42" s="384" t="s">
        <v>24</v>
      </c>
      <c r="E42" s="162" t="s">
        <v>39</v>
      </c>
      <c r="F42" s="163" t="s">
        <v>30</v>
      </c>
      <c r="G42" s="164" t="s">
        <v>31</v>
      </c>
      <c r="H42" s="50"/>
    </row>
    <row r="43" spans="2:8" ht="15" customHeight="1">
      <c r="B43" s="136" t="s">
        <v>390</v>
      </c>
      <c r="C43" s="348"/>
      <c r="D43" s="385"/>
      <c r="E43" s="127">
        <v>75518</v>
      </c>
      <c r="F43" s="134">
        <v>31706</v>
      </c>
      <c r="G43" s="133">
        <v>0.41984692391217987</v>
      </c>
      <c r="H43" s="50"/>
    </row>
    <row r="44" spans="2:8" ht="15">
      <c r="B44" s="115" t="s">
        <v>221</v>
      </c>
      <c r="C44" s="358" t="s">
        <v>520</v>
      </c>
      <c r="D44" s="169">
        <v>314</v>
      </c>
      <c r="E44" s="131">
        <v>8089</v>
      </c>
      <c r="F44" s="131">
        <v>2683</v>
      </c>
      <c r="G44" s="132">
        <v>0.33168500432686365</v>
      </c>
      <c r="H44" s="50"/>
    </row>
    <row r="45" spans="2:8" ht="15">
      <c r="B45" s="115" t="s">
        <v>389</v>
      </c>
      <c r="C45" s="358" t="s">
        <v>532</v>
      </c>
      <c r="D45" s="170">
        <v>680</v>
      </c>
      <c r="E45" s="131">
        <v>29</v>
      </c>
      <c r="F45" s="131">
        <v>24</v>
      </c>
      <c r="G45" s="132">
        <v>0.8275862068965517</v>
      </c>
      <c r="H45" s="50"/>
    </row>
    <row r="46" spans="2:8" ht="15">
      <c r="B46" s="115" t="s">
        <v>222</v>
      </c>
      <c r="C46" s="358" t="s">
        <v>535</v>
      </c>
      <c r="D46" s="170">
        <v>682</v>
      </c>
      <c r="E46" s="131">
        <v>978</v>
      </c>
      <c r="F46" s="131">
        <v>886</v>
      </c>
      <c r="G46" s="132">
        <v>0.9059304703476483</v>
      </c>
      <c r="H46" s="50"/>
    </row>
    <row r="47" spans="2:8" ht="15">
      <c r="B47" s="115" t="s">
        <v>223</v>
      </c>
      <c r="C47" s="358" t="s">
        <v>534</v>
      </c>
      <c r="D47" s="170">
        <v>684</v>
      </c>
      <c r="E47" s="131">
        <v>22867</v>
      </c>
      <c r="F47" s="131">
        <v>14</v>
      </c>
      <c r="G47" s="132">
        <v>0.0006122359732365417</v>
      </c>
      <c r="H47" s="50"/>
    </row>
    <row r="48" spans="2:8" ht="15.75" customHeight="1">
      <c r="B48" s="115" t="s">
        <v>270</v>
      </c>
      <c r="C48" s="358" t="s">
        <v>531</v>
      </c>
      <c r="D48" s="170">
        <v>685</v>
      </c>
      <c r="E48" s="131">
        <v>137</v>
      </c>
      <c r="F48" s="131">
        <v>135</v>
      </c>
      <c r="G48" s="132">
        <v>0.9854014598540146</v>
      </c>
      <c r="H48" s="50"/>
    </row>
    <row r="49" spans="2:8" ht="15">
      <c r="B49" s="115" t="s">
        <v>271</v>
      </c>
      <c r="C49" s="358" t="s">
        <v>508</v>
      </c>
      <c r="D49" s="170">
        <v>690</v>
      </c>
      <c r="E49" s="131">
        <v>9281</v>
      </c>
      <c r="F49" s="131">
        <v>5680</v>
      </c>
      <c r="G49" s="132">
        <v>0.6120030169162806</v>
      </c>
      <c r="H49" s="50"/>
    </row>
    <row r="50" spans="2:8" ht="15">
      <c r="B50" s="115" t="s">
        <v>272</v>
      </c>
      <c r="C50" s="358" t="s">
        <v>536</v>
      </c>
      <c r="D50" s="170" t="s">
        <v>2</v>
      </c>
      <c r="E50" s="131">
        <v>34137</v>
      </c>
      <c r="F50" s="131">
        <v>22284</v>
      </c>
      <c r="G50" s="132">
        <v>0.6527814394938044</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7"/>
      <c r="D53" s="384" t="s">
        <v>24</v>
      </c>
      <c r="E53" s="162" t="s">
        <v>39</v>
      </c>
      <c r="F53" s="163" t="s">
        <v>30</v>
      </c>
      <c r="G53" s="164" t="s">
        <v>31</v>
      </c>
      <c r="H53" s="50"/>
    </row>
    <row r="54" spans="2:8" ht="15" customHeight="1">
      <c r="B54" s="136" t="s">
        <v>265</v>
      </c>
      <c r="C54" s="348"/>
      <c r="D54" s="385"/>
      <c r="E54" s="127">
        <v>82897</v>
      </c>
      <c r="F54" s="134">
        <v>55840</v>
      </c>
      <c r="G54" s="133">
        <v>0.6736070062849078</v>
      </c>
      <c r="H54" s="50"/>
    </row>
    <row r="55" spans="2:8" ht="15">
      <c r="B55" s="115" t="s">
        <v>273</v>
      </c>
      <c r="C55" s="358" t="s">
        <v>530</v>
      </c>
      <c r="D55" s="169">
        <v>173</v>
      </c>
      <c r="E55" s="131">
        <v>2241</v>
      </c>
      <c r="F55" s="131">
        <v>1648</v>
      </c>
      <c r="G55" s="132">
        <v>0.7353859883980366</v>
      </c>
      <c r="H55" s="50"/>
    </row>
    <row r="56" spans="2:8" ht="15">
      <c r="B56" s="115" t="s">
        <v>274</v>
      </c>
      <c r="C56" s="358" t="s">
        <v>511</v>
      </c>
      <c r="D56" s="170">
        <v>400</v>
      </c>
      <c r="E56" s="131">
        <v>22466</v>
      </c>
      <c r="F56" s="131">
        <v>17123</v>
      </c>
      <c r="G56" s="132">
        <v>0.76217395174931</v>
      </c>
      <c r="H56" s="50"/>
    </row>
    <row r="57" spans="2:8" ht="15">
      <c r="B57" s="115" t="s">
        <v>275</v>
      </c>
      <c r="C57" s="358" t="s">
        <v>509</v>
      </c>
      <c r="D57" s="170">
        <v>500</v>
      </c>
      <c r="E57" s="131">
        <v>1740</v>
      </c>
      <c r="F57" s="131">
        <v>321</v>
      </c>
      <c r="G57" s="132">
        <v>0.18448275862068966</v>
      </c>
      <c r="H57" s="50"/>
    </row>
    <row r="58" spans="2:8" ht="15">
      <c r="B58" s="115" t="s">
        <v>276</v>
      </c>
      <c r="C58" s="358" t="s">
        <v>515</v>
      </c>
      <c r="D58" s="170">
        <v>510</v>
      </c>
      <c r="E58" s="131">
        <v>25808</v>
      </c>
      <c r="F58" s="131">
        <v>12710</v>
      </c>
      <c r="G58" s="132">
        <v>0.4924829510229386</v>
      </c>
      <c r="H58" s="50"/>
    </row>
    <row r="59" spans="2:8" ht="15">
      <c r="B59" s="115" t="s">
        <v>277</v>
      </c>
      <c r="C59" s="358" t="s">
        <v>533</v>
      </c>
      <c r="D59" s="170">
        <v>930</v>
      </c>
      <c r="E59" s="131">
        <v>29512</v>
      </c>
      <c r="F59" s="131">
        <v>23595</v>
      </c>
      <c r="G59" s="132">
        <v>0.7995052859853619</v>
      </c>
      <c r="H59" s="50"/>
    </row>
    <row r="60" spans="2:8" ht="15">
      <c r="B60" s="115" t="s">
        <v>278</v>
      </c>
      <c r="C60" s="358" t="s">
        <v>510</v>
      </c>
      <c r="D60" s="170">
        <v>960</v>
      </c>
      <c r="E60" s="131">
        <v>1130</v>
      </c>
      <c r="F60" s="131">
        <v>443</v>
      </c>
      <c r="G60" s="132">
        <v>0.3920353982300885</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3"/>
      <c r="D63" s="384" t="s">
        <v>24</v>
      </c>
      <c r="E63" s="165" t="s">
        <v>39</v>
      </c>
      <c r="F63" s="163" t="s">
        <v>30</v>
      </c>
      <c r="G63" s="164" t="s">
        <v>31</v>
      </c>
      <c r="H63" s="50"/>
    </row>
    <row r="64" spans="2:8" ht="15" customHeight="1">
      <c r="B64" s="136" t="s">
        <v>280</v>
      </c>
      <c r="C64" s="348"/>
      <c r="D64" s="385"/>
      <c r="E64" s="127">
        <v>76303</v>
      </c>
      <c r="F64" s="128">
        <v>39107</v>
      </c>
      <c r="G64" s="133">
        <v>0.5125224434163794</v>
      </c>
      <c r="H64" s="50"/>
    </row>
    <row r="65" spans="2:8" ht="15">
      <c r="B65" s="114" t="s">
        <v>281</v>
      </c>
      <c r="C65" s="358" t="s">
        <v>521</v>
      </c>
      <c r="D65" s="169">
        <v>120</v>
      </c>
      <c r="E65" s="131">
        <v>16548</v>
      </c>
      <c r="F65" s="131">
        <v>5579</v>
      </c>
      <c r="G65" s="132">
        <v>0.3371404399323181</v>
      </c>
      <c r="H65" s="50"/>
    </row>
    <row r="66" spans="2:8" ht="15">
      <c r="B66" s="115" t="s">
        <v>282</v>
      </c>
      <c r="C66" s="358" t="s">
        <v>527</v>
      </c>
      <c r="D66" s="170">
        <v>180</v>
      </c>
      <c r="E66" s="131">
        <v>11807</v>
      </c>
      <c r="F66" s="131">
        <v>4394</v>
      </c>
      <c r="G66" s="132">
        <v>0.37215211315321417</v>
      </c>
      <c r="H66" s="50"/>
    </row>
    <row r="67" spans="2:8" ht="15">
      <c r="B67" s="115" t="s">
        <v>330</v>
      </c>
      <c r="C67" s="358" t="s">
        <v>526</v>
      </c>
      <c r="D67" s="170">
        <v>190</v>
      </c>
      <c r="E67" s="131">
        <v>47948</v>
      </c>
      <c r="F67" s="131">
        <v>29134</v>
      </c>
      <c r="G67" s="132">
        <v>0.6076165846333528</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7"/>
      <c r="D70" s="384" t="s">
        <v>24</v>
      </c>
      <c r="E70" s="162" t="s">
        <v>39</v>
      </c>
      <c r="F70" s="163" t="s">
        <v>30</v>
      </c>
      <c r="G70" s="164" t="s">
        <v>31</v>
      </c>
      <c r="H70" s="50"/>
    </row>
    <row r="71" spans="2:8" ht="15.75" customHeight="1">
      <c r="B71" s="136" t="s">
        <v>213</v>
      </c>
      <c r="C71" s="348"/>
      <c r="D71" s="385"/>
      <c r="E71" s="127">
        <v>105449</v>
      </c>
      <c r="F71" s="128">
        <v>65648</v>
      </c>
      <c r="G71" s="133">
        <v>0.6225568758357121</v>
      </c>
      <c r="H71" s="50"/>
    </row>
    <row r="72" spans="2:8" ht="15">
      <c r="B72" s="115" t="s">
        <v>216</v>
      </c>
      <c r="C72" s="358" t="s">
        <v>517</v>
      </c>
      <c r="D72" s="170">
        <v>135</v>
      </c>
      <c r="E72" s="131">
        <v>1775</v>
      </c>
      <c r="F72" s="131">
        <v>564</v>
      </c>
      <c r="G72" s="132">
        <v>0.3177464788732394</v>
      </c>
      <c r="H72" s="50"/>
    </row>
    <row r="73" spans="2:8" ht="15" customHeight="1">
      <c r="B73" s="115" t="s">
        <v>214</v>
      </c>
      <c r="C73" s="358" t="s">
        <v>499</v>
      </c>
      <c r="D73" s="170">
        <v>137</v>
      </c>
      <c r="E73" s="131">
        <v>11287</v>
      </c>
      <c r="F73" s="131">
        <v>6626</v>
      </c>
      <c r="G73" s="132">
        <v>0.5870470452733233</v>
      </c>
      <c r="H73" s="50"/>
    </row>
    <row r="74" spans="2:8" ht="15">
      <c r="B74" s="115" t="s">
        <v>225</v>
      </c>
      <c r="C74" s="358" t="s">
        <v>519</v>
      </c>
      <c r="D74" s="170">
        <v>150</v>
      </c>
      <c r="E74" s="131">
        <v>45043</v>
      </c>
      <c r="F74" s="131">
        <v>33550</v>
      </c>
      <c r="G74" s="132">
        <v>0.7448438159092423</v>
      </c>
      <c r="H74" s="50"/>
    </row>
    <row r="75" spans="2:8" ht="15">
      <c r="B75" s="115" t="s">
        <v>226</v>
      </c>
      <c r="C75" s="358" t="s">
        <v>514</v>
      </c>
      <c r="D75" s="170">
        <v>155</v>
      </c>
      <c r="E75" s="131">
        <v>5036</v>
      </c>
      <c r="F75" s="131">
        <v>4840</v>
      </c>
      <c r="G75" s="132">
        <v>0.9610802223987291</v>
      </c>
      <c r="H75" s="50"/>
    </row>
    <row r="76" spans="2:8" ht="15">
      <c r="B76" s="115" t="s">
        <v>217</v>
      </c>
      <c r="C76" s="358" t="s">
        <v>500</v>
      </c>
      <c r="D76" s="170">
        <v>297</v>
      </c>
      <c r="E76" s="131">
        <v>20980</v>
      </c>
      <c r="F76" s="131">
        <v>12735</v>
      </c>
      <c r="G76" s="132">
        <v>0.6070066730219257</v>
      </c>
      <c r="H76" s="50"/>
    </row>
    <row r="77" spans="2:8" ht="15">
      <c r="B77" s="115" t="s">
        <v>219</v>
      </c>
      <c r="C77" s="358" t="s">
        <v>559</v>
      </c>
      <c r="D77" s="170">
        <v>607</v>
      </c>
      <c r="E77" s="131">
        <v>21328</v>
      </c>
      <c r="F77" s="131">
        <v>7333</v>
      </c>
      <c r="G77" s="132">
        <v>0.3438203300825206</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7"/>
      <c r="D80" s="384" t="s">
        <v>24</v>
      </c>
      <c r="E80" s="162" t="s">
        <v>39</v>
      </c>
      <c r="F80" s="163" t="s">
        <v>30</v>
      </c>
      <c r="G80" s="164" t="s">
        <v>31</v>
      </c>
      <c r="H80" s="50"/>
    </row>
    <row r="81" spans="2:8" ht="15.75" customHeight="1">
      <c r="B81" s="136" t="s">
        <v>220</v>
      </c>
      <c r="C81" s="348"/>
      <c r="D81" s="385"/>
      <c r="E81" s="127">
        <v>76900</v>
      </c>
      <c r="F81" s="128">
        <v>29085</v>
      </c>
      <c r="G81" s="133">
        <v>0.3782184655396619</v>
      </c>
      <c r="H81" s="50"/>
    </row>
    <row r="82" spans="2:8" ht="15" customHeight="1">
      <c r="B82" s="115" t="s">
        <v>227</v>
      </c>
      <c r="C82" s="358" t="s">
        <v>560</v>
      </c>
      <c r="D82" s="169">
        <v>154</v>
      </c>
      <c r="E82" s="131">
        <v>75543</v>
      </c>
      <c r="F82" s="131">
        <v>28509</v>
      </c>
      <c r="G82" s="132">
        <v>0.37738771295818274</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157</v>
      </c>
      <c r="F84" s="131">
        <v>149</v>
      </c>
      <c r="G84" s="132">
        <v>0.9490445859872612</v>
      </c>
      <c r="H84" s="50"/>
    </row>
    <row r="85" spans="2:8" ht="15">
      <c r="B85" s="115" t="s">
        <v>231</v>
      </c>
      <c r="C85" s="358" t="s">
        <v>529</v>
      </c>
      <c r="D85" s="170">
        <v>697</v>
      </c>
      <c r="E85" s="131">
        <v>1200</v>
      </c>
      <c r="F85" s="131">
        <v>427</v>
      </c>
      <c r="G85" s="132">
        <v>0.35583333333333333</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7"/>
      <c r="D88" s="384" t="s">
        <v>24</v>
      </c>
      <c r="E88" s="162" t="s">
        <v>39</v>
      </c>
      <c r="F88" s="163" t="s">
        <v>30</v>
      </c>
      <c r="G88" s="164" t="s">
        <v>31</v>
      </c>
      <c r="H88" s="50"/>
    </row>
    <row r="89" spans="2:8" ht="15" customHeight="1">
      <c r="B89" s="136" t="s">
        <v>175</v>
      </c>
      <c r="C89" s="348"/>
      <c r="D89" s="385"/>
      <c r="E89" s="127">
        <v>14275</v>
      </c>
      <c r="F89" s="127">
        <v>8546</v>
      </c>
      <c r="G89" s="133">
        <v>0.5986690017513134</v>
      </c>
      <c r="H89" s="50"/>
    </row>
    <row r="90" spans="2:8" ht="15">
      <c r="B90" s="115" t="s">
        <v>274</v>
      </c>
      <c r="C90" s="358" t="s">
        <v>502</v>
      </c>
      <c r="D90" s="169">
        <v>407</v>
      </c>
      <c r="E90" s="131">
        <v>10086</v>
      </c>
      <c r="F90" s="131">
        <v>6402</v>
      </c>
      <c r="G90" s="132">
        <v>0.6347412254610351</v>
      </c>
      <c r="H90" s="50"/>
    </row>
    <row r="91" spans="2:8" ht="15">
      <c r="B91" s="115" t="s">
        <v>232</v>
      </c>
      <c r="C91" s="358" t="s">
        <v>504</v>
      </c>
      <c r="D91" s="170">
        <v>507</v>
      </c>
      <c r="E91" s="131">
        <v>1617</v>
      </c>
      <c r="F91" s="131">
        <v>165</v>
      </c>
      <c r="G91" s="132">
        <v>0.10204081632653061</v>
      </c>
      <c r="H91" s="50"/>
    </row>
    <row r="92" spans="2:8" ht="15">
      <c r="B92" s="115" t="s">
        <v>233</v>
      </c>
      <c r="C92" s="358" t="s">
        <v>558</v>
      </c>
      <c r="D92" s="170">
        <v>937</v>
      </c>
      <c r="E92" s="131">
        <v>2572</v>
      </c>
      <c r="F92" s="131">
        <v>1979</v>
      </c>
      <c r="G92" s="132">
        <v>0.7694401244167963</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9"/>
      <c r="D96" s="166" t="s">
        <v>24</v>
      </c>
      <c r="E96" s="161" t="s">
        <v>39</v>
      </c>
      <c r="F96" s="61"/>
      <c r="G96" s="61"/>
    </row>
    <row r="97" spans="2:7" ht="15.75" customHeight="1">
      <c r="B97" s="391"/>
      <c r="C97" s="358" t="s">
        <v>234</v>
      </c>
      <c r="D97" s="167">
        <v>160</v>
      </c>
      <c r="E97" s="128">
        <v>62312</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50"/>
      <c r="D100" s="166" t="s">
        <v>24</v>
      </c>
      <c r="E100" s="161" t="s">
        <v>39</v>
      </c>
      <c r="F100" s="61"/>
      <c r="G100" s="61"/>
      <c r="J100" s="118"/>
      <c r="K100" s="118"/>
    </row>
    <row r="101" spans="2:11" ht="15">
      <c r="B101" s="393"/>
      <c r="C101" s="358" t="s">
        <v>27</v>
      </c>
      <c r="D101" s="167">
        <v>165</v>
      </c>
      <c r="E101" s="128">
        <v>12389</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254821</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23745</v>
      </c>
      <c r="F109" s="65"/>
      <c r="G109" s="63"/>
    </row>
    <row r="110" spans="2:7" ht="15" customHeight="1">
      <c r="B110" s="159"/>
      <c r="C110" s="353"/>
      <c r="D110" s="168" t="s">
        <v>346</v>
      </c>
      <c r="E110" s="135">
        <v>168702</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41216</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896409</v>
      </c>
      <c r="D5" s="73">
        <v>597337</v>
      </c>
      <c r="E5" s="74">
        <v>0.6663665804337082</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820106</v>
      </c>
      <c r="D10" s="216">
        <v>558230</v>
      </c>
      <c r="E10" s="217">
        <v>0.6806803023023853</v>
      </c>
      <c r="F10" s="216">
        <v>288798</v>
      </c>
      <c r="G10" s="216">
        <v>167914</v>
      </c>
      <c r="H10" s="217">
        <v>0.5814236940699036</v>
      </c>
      <c r="I10" s="216">
        <v>75518</v>
      </c>
      <c r="J10" s="216">
        <v>31706</v>
      </c>
      <c r="K10" s="217">
        <v>0.41984692391217987</v>
      </c>
      <c r="L10" s="216">
        <v>82897</v>
      </c>
      <c r="M10" s="216">
        <v>55840</v>
      </c>
      <c r="N10" s="217">
        <v>0.6736070062849078</v>
      </c>
      <c r="O10" s="216">
        <v>47147</v>
      </c>
      <c r="P10" s="216">
        <v>1123</v>
      </c>
      <c r="Q10" s="218">
        <v>252427</v>
      </c>
    </row>
    <row r="11" spans="2:17" ht="12.75">
      <c r="B11" s="82" t="s">
        <v>263</v>
      </c>
      <c r="C11" s="83">
        <v>164540</v>
      </c>
      <c r="D11" s="83">
        <v>114424</v>
      </c>
      <c r="E11" s="84">
        <v>0.6954175276528504</v>
      </c>
      <c r="F11" s="83">
        <v>54209</v>
      </c>
      <c r="G11" s="83">
        <v>32886</v>
      </c>
      <c r="H11" s="84">
        <v>0.6066520319504142</v>
      </c>
      <c r="I11" s="83">
        <v>18216</v>
      </c>
      <c r="J11" s="83">
        <v>7193</v>
      </c>
      <c r="K11" s="84">
        <v>0.39487263943785683</v>
      </c>
      <c r="L11" s="83">
        <v>16784</v>
      </c>
      <c r="M11" s="83">
        <v>11882</v>
      </c>
      <c r="N11" s="84">
        <v>0.7079361296472831</v>
      </c>
      <c r="O11" s="83">
        <v>17022</v>
      </c>
      <c r="P11" s="187">
        <v>223</v>
      </c>
      <c r="Q11" s="182">
        <v>43358</v>
      </c>
    </row>
    <row r="12" spans="2:17" ht="12.75">
      <c r="B12" s="85" t="s">
        <v>185</v>
      </c>
      <c r="C12" s="86">
        <v>19490</v>
      </c>
      <c r="D12" s="86">
        <v>16382</v>
      </c>
      <c r="E12" s="87">
        <v>0.8405336069779374</v>
      </c>
      <c r="F12" s="86">
        <v>5620</v>
      </c>
      <c r="G12" s="86">
        <v>4225</v>
      </c>
      <c r="H12" s="87">
        <v>0.751779359430605</v>
      </c>
      <c r="I12" s="86">
        <v>909</v>
      </c>
      <c r="J12" s="86">
        <v>433</v>
      </c>
      <c r="K12" s="87">
        <v>0.47634763476347636</v>
      </c>
      <c r="L12" s="86">
        <v>2261</v>
      </c>
      <c r="M12" s="86">
        <v>1540</v>
      </c>
      <c r="N12" s="87">
        <v>0.6811145510835913</v>
      </c>
      <c r="O12" s="86">
        <v>2</v>
      </c>
      <c r="P12" s="185">
        <v>2</v>
      </c>
      <c r="Q12" s="183">
        <v>3363</v>
      </c>
    </row>
    <row r="13" spans="2:17" ht="12.75">
      <c r="B13" s="85" t="s">
        <v>186</v>
      </c>
      <c r="C13" s="86">
        <v>11222</v>
      </c>
      <c r="D13" s="86">
        <v>8557</v>
      </c>
      <c r="E13" s="87">
        <v>0.7625200499019783</v>
      </c>
      <c r="F13" s="86">
        <v>4079</v>
      </c>
      <c r="G13" s="86">
        <v>1995</v>
      </c>
      <c r="H13" s="87">
        <v>0.48909046334886</v>
      </c>
      <c r="I13" s="86">
        <v>1279</v>
      </c>
      <c r="J13" s="86">
        <v>519</v>
      </c>
      <c r="K13" s="87">
        <v>0.40578577013291633</v>
      </c>
      <c r="L13" s="86">
        <v>814</v>
      </c>
      <c r="M13" s="86">
        <v>620</v>
      </c>
      <c r="N13" s="87">
        <v>0.7616707616707616</v>
      </c>
      <c r="O13" s="86">
        <v>1</v>
      </c>
      <c r="P13" s="185">
        <v>1</v>
      </c>
      <c r="Q13" s="183">
        <v>3992</v>
      </c>
    </row>
    <row r="14" spans="2:17" ht="12.75">
      <c r="B14" s="85" t="s">
        <v>187</v>
      </c>
      <c r="C14" s="86">
        <v>7856</v>
      </c>
      <c r="D14" s="86">
        <v>4783</v>
      </c>
      <c r="E14" s="87">
        <v>0.6088340122199593</v>
      </c>
      <c r="F14" s="86">
        <v>3704</v>
      </c>
      <c r="G14" s="86">
        <v>2175</v>
      </c>
      <c r="H14" s="87">
        <v>0.5872030237580994</v>
      </c>
      <c r="I14" s="86">
        <v>328</v>
      </c>
      <c r="J14" s="86">
        <v>112</v>
      </c>
      <c r="K14" s="87">
        <v>0.34146341463414637</v>
      </c>
      <c r="L14" s="86">
        <v>650</v>
      </c>
      <c r="M14" s="86">
        <v>425</v>
      </c>
      <c r="N14" s="87">
        <v>0.6538461538461539</v>
      </c>
      <c r="O14" s="86">
        <v>2</v>
      </c>
      <c r="P14" s="185">
        <v>2</v>
      </c>
      <c r="Q14" s="183">
        <v>1146</v>
      </c>
    </row>
    <row r="15" spans="2:17" ht="12.75">
      <c r="B15" s="85" t="s">
        <v>188</v>
      </c>
      <c r="C15" s="86">
        <v>23761</v>
      </c>
      <c r="D15" s="86">
        <v>16952</v>
      </c>
      <c r="E15" s="87">
        <v>0.7134379866167249</v>
      </c>
      <c r="F15" s="86">
        <v>6922</v>
      </c>
      <c r="G15" s="86">
        <v>4008</v>
      </c>
      <c r="H15" s="87">
        <v>0.5790234036405663</v>
      </c>
      <c r="I15" s="86">
        <v>2082</v>
      </c>
      <c r="J15" s="86">
        <v>1137</v>
      </c>
      <c r="K15" s="87">
        <v>0.5461095100864554</v>
      </c>
      <c r="L15" s="86">
        <v>2067</v>
      </c>
      <c r="M15" s="86">
        <v>1365</v>
      </c>
      <c r="N15" s="87">
        <v>0.660377358490566</v>
      </c>
      <c r="O15" s="86">
        <v>8</v>
      </c>
      <c r="P15" s="185">
        <v>98</v>
      </c>
      <c r="Q15" s="183">
        <v>8057</v>
      </c>
    </row>
    <row r="16" spans="2:17" ht="12.75">
      <c r="B16" s="85" t="s">
        <v>189</v>
      </c>
      <c r="C16" s="86">
        <v>17416</v>
      </c>
      <c r="D16" s="86">
        <v>10767</v>
      </c>
      <c r="E16" s="87">
        <v>0.6182246210381258</v>
      </c>
      <c r="F16" s="86">
        <v>5592</v>
      </c>
      <c r="G16" s="86">
        <v>3486</v>
      </c>
      <c r="H16" s="87">
        <v>0.6233905579399142</v>
      </c>
      <c r="I16" s="86">
        <v>2034</v>
      </c>
      <c r="J16" s="86">
        <v>302</v>
      </c>
      <c r="K16" s="87">
        <v>0.14847590953785644</v>
      </c>
      <c r="L16" s="86">
        <v>2017</v>
      </c>
      <c r="M16" s="86">
        <v>1583</v>
      </c>
      <c r="N16" s="87">
        <v>0.7848289538919186</v>
      </c>
      <c r="O16" s="86">
        <v>5</v>
      </c>
      <c r="P16" s="185">
        <v>43</v>
      </c>
      <c r="Q16" s="183">
        <v>5874</v>
      </c>
    </row>
    <row r="17" spans="2:17" ht="12.75">
      <c r="B17" s="85" t="s">
        <v>190</v>
      </c>
      <c r="C17" s="86">
        <v>2922</v>
      </c>
      <c r="D17" s="86">
        <v>1253</v>
      </c>
      <c r="E17" s="87">
        <v>0.42881587953456535</v>
      </c>
      <c r="F17" s="86">
        <v>1107</v>
      </c>
      <c r="G17" s="86">
        <v>310</v>
      </c>
      <c r="H17" s="87">
        <v>0.2800361336946703</v>
      </c>
      <c r="I17" s="86">
        <v>156</v>
      </c>
      <c r="J17" s="86">
        <v>6</v>
      </c>
      <c r="K17" s="87">
        <v>0.038461538461538464</v>
      </c>
      <c r="L17" s="86">
        <v>189</v>
      </c>
      <c r="M17" s="86">
        <v>80</v>
      </c>
      <c r="N17" s="87">
        <v>0.42328042328042326</v>
      </c>
      <c r="O17" s="86">
        <v>0</v>
      </c>
      <c r="P17" s="185" t="s">
        <v>595</v>
      </c>
      <c r="Q17" s="183">
        <v>848</v>
      </c>
    </row>
    <row r="18" spans="2:17" ht="12.75">
      <c r="B18" s="85" t="s">
        <v>191</v>
      </c>
      <c r="C18" s="86">
        <v>18932</v>
      </c>
      <c r="D18" s="86">
        <v>14987</v>
      </c>
      <c r="E18" s="87">
        <v>0.7916226494823579</v>
      </c>
      <c r="F18" s="86">
        <v>5814</v>
      </c>
      <c r="G18" s="86">
        <v>4170</v>
      </c>
      <c r="H18" s="87">
        <v>0.717234262125903</v>
      </c>
      <c r="I18" s="86">
        <v>777</v>
      </c>
      <c r="J18" s="86">
        <v>362</v>
      </c>
      <c r="K18" s="87">
        <v>0.46589446589446587</v>
      </c>
      <c r="L18" s="86">
        <v>2050</v>
      </c>
      <c r="M18" s="86">
        <v>1538</v>
      </c>
      <c r="N18" s="87">
        <v>0.7502439024390244</v>
      </c>
      <c r="O18" s="86">
        <v>6</v>
      </c>
      <c r="P18" s="185">
        <v>65</v>
      </c>
      <c r="Q18" s="183">
        <v>4594</v>
      </c>
    </row>
    <row r="19" spans="2:17" ht="12.75">
      <c r="B19" s="85" t="s">
        <v>192</v>
      </c>
      <c r="C19" s="86">
        <v>2212</v>
      </c>
      <c r="D19" s="86">
        <v>1447</v>
      </c>
      <c r="E19" s="87">
        <v>0.6541591320072333</v>
      </c>
      <c r="F19" s="86">
        <v>994</v>
      </c>
      <c r="G19" s="86">
        <v>536</v>
      </c>
      <c r="H19" s="87">
        <v>0.5392354124748491</v>
      </c>
      <c r="I19" s="86">
        <v>216</v>
      </c>
      <c r="J19" s="86">
        <v>74</v>
      </c>
      <c r="K19" s="87">
        <v>0.3425925925925926</v>
      </c>
      <c r="L19" s="86">
        <v>156</v>
      </c>
      <c r="M19" s="86">
        <v>104</v>
      </c>
      <c r="N19" s="87">
        <v>0.6666666666666666</v>
      </c>
      <c r="O19" s="86">
        <v>1</v>
      </c>
      <c r="P19" s="185">
        <v>1</v>
      </c>
      <c r="Q19" s="183">
        <v>725</v>
      </c>
    </row>
    <row r="20" spans="2:17" ht="12.75">
      <c r="B20" s="85" t="s">
        <v>193</v>
      </c>
      <c r="C20" s="86">
        <v>12773</v>
      </c>
      <c r="D20" s="86">
        <v>10470</v>
      </c>
      <c r="E20" s="87">
        <v>0.8196978000469741</v>
      </c>
      <c r="F20" s="86">
        <v>4686</v>
      </c>
      <c r="G20" s="86">
        <v>2213</v>
      </c>
      <c r="H20" s="87">
        <v>0.4722577891591976</v>
      </c>
      <c r="I20" s="86">
        <v>855</v>
      </c>
      <c r="J20" s="86">
        <v>256</v>
      </c>
      <c r="K20" s="87">
        <v>0.2994152046783626</v>
      </c>
      <c r="L20" s="86">
        <v>791</v>
      </c>
      <c r="M20" s="86">
        <v>605</v>
      </c>
      <c r="N20" s="87">
        <v>0.7648546144121365</v>
      </c>
      <c r="O20" s="86">
        <v>3</v>
      </c>
      <c r="P20" s="185">
        <v>4</v>
      </c>
      <c r="Q20" s="183">
        <v>3976</v>
      </c>
    </row>
    <row r="21" spans="2:17" ht="12.75">
      <c r="B21" s="85" t="s">
        <v>194</v>
      </c>
      <c r="C21" s="86">
        <v>4463</v>
      </c>
      <c r="D21" s="86">
        <v>2577</v>
      </c>
      <c r="E21" s="87">
        <v>0.5774142953170514</v>
      </c>
      <c r="F21" s="86">
        <v>1778</v>
      </c>
      <c r="G21" s="86">
        <v>1035</v>
      </c>
      <c r="H21" s="87">
        <v>0.5821147356580427</v>
      </c>
      <c r="I21" s="86">
        <v>1042</v>
      </c>
      <c r="J21" s="86">
        <v>41</v>
      </c>
      <c r="K21" s="87">
        <v>0.03934740882917467</v>
      </c>
      <c r="L21" s="86">
        <v>418</v>
      </c>
      <c r="M21" s="86">
        <v>271</v>
      </c>
      <c r="N21" s="87">
        <v>0.6483253588516746</v>
      </c>
      <c r="O21" s="86">
        <v>0</v>
      </c>
      <c r="P21" s="185">
        <v>2</v>
      </c>
      <c r="Q21" s="183">
        <v>2190</v>
      </c>
    </row>
    <row r="22" spans="2:17" ht="12.75">
      <c r="B22" s="85" t="s">
        <v>195</v>
      </c>
      <c r="C22" s="86">
        <v>22967</v>
      </c>
      <c r="D22" s="86">
        <v>14556</v>
      </c>
      <c r="E22" s="87">
        <v>0.6337789001611007</v>
      </c>
      <c r="F22" s="86">
        <v>5579</v>
      </c>
      <c r="G22" s="86">
        <v>3569</v>
      </c>
      <c r="H22" s="87">
        <v>0.6397203799964152</v>
      </c>
      <c r="I22" s="86">
        <v>6412</v>
      </c>
      <c r="J22" s="86">
        <v>3132</v>
      </c>
      <c r="K22" s="87">
        <v>0.48845913911416095</v>
      </c>
      <c r="L22" s="86">
        <v>3559</v>
      </c>
      <c r="M22" s="86">
        <v>2624</v>
      </c>
      <c r="N22" s="87">
        <v>0.7372857544254003</v>
      </c>
      <c r="O22" s="86">
        <v>16988</v>
      </c>
      <c r="P22" s="185" t="s">
        <v>3</v>
      </c>
      <c r="Q22" s="182">
        <v>3402</v>
      </c>
    </row>
    <row r="23" spans="2:17" ht="12.75">
      <c r="B23" s="85" t="s">
        <v>196</v>
      </c>
      <c r="C23" s="86">
        <v>11289</v>
      </c>
      <c r="D23" s="86">
        <v>8398</v>
      </c>
      <c r="E23" s="87">
        <v>0.743910000885818</v>
      </c>
      <c r="F23" s="86">
        <v>4362</v>
      </c>
      <c r="G23" s="86">
        <v>3338</v>
      </c>
      <c r="H23" s="87">
        <v>0.7652453003209537</v>
      </c>
      <c r="I23" s="86">
        <v>800</v>
      </c>
      <c r="J23" s="86">
        <v>393</v>
      </c>
      <c r="K23" s="87">
        <v>0.49125</v>
      </c>
      <c r="L23" s="86">
        <v>962</v>
      </c>
      <c r="M23" s="86">
        <v>651</v>
      </c>
      <c r="N23" s="87">
        <v>0.6767151767151767</v>
      </c>
      <c r="O23" s="86">
        <v>3</v>
      </c>
      <c r="P23" s="185">
        <v>1</v>
      </c>
      <c r="Q23" s="183">
        <v>2748</v>
      </c>
    </row>
    <row r="24" spans="2:17" ht="12.75">
      <c r="B24" s="85" t="s">
        <v>197</v>
      </c>
      <c r="C24" s="86">
        <v>3952</v>
      </c>
      <c r="D24" s="86">
        <v>1600</v>
      </c>
      <c r="E24" s="87">
        <v>0.4048582995951417</v>
      </c>
      <c r="F24" s="86">
        <v>1014</v>
      </c>
      <c r="G24" s="86">
        <v>321</v>
      </c>
      <c r="H24" s="87">
        <v>0.3165680473372781</v>
      </c>
      <c r="I24" s="86">
        <v>388</v>
      </c>
      <c r="J24" s="86">
        <v>175</v>
      </c>
      <c r="K24" s="87">
        <v>0.45103092783505155</v>
      </c>
      <c r="L24" s="86">
        <v>357</v>
      </c>
      <c r="M24" s="86">
        <v>147</v>
      </c>
      <c r="N24" s="87">
        <v>0.4117647058823529</v>
      </c>
      <c r="O24" s="86">
        <v>0</v>
      </c>
      <c r="P24" s="185">
        <v>3</v>
      </c>
      <c r="Q24" s="183">
        <v>965</v>
      </c>
    </row>
    <row r="25" spans="2:17" ht="12.75">
      <c r="B25" s="85" t="s">
        <v>198</v>
      </c>
      <c r="C25" s="86">
        <v>3200</v>
      </c>
      <c r="D25" s="86">
        <v>562</v>
      </c>
      <c r="E25" s="87">
        <v>0.175625</v>
      </c>
      <c r="F25" s="86">
        <v>1980</v>
      </c>
      <c r="G25" s="86">
        <v>960</v>
      </c>
      <c r="H25" s="87">
        <v>0.48484848484848486</v>
      </c>
      <c r="I25" s="86">
        <v>757</v>
      </c>
      <c r="J25" s="86">
        <v>218</v>
      </c>
      <c r="K25" s="87">
        <v>0.28797886393659183</v>
      </c>
      <c r="L25" s="86">
        <v>157</v>
      </c>
      <c r="M25" s="86">
        <v>93</v>
      </c>
      <c r="N25" s="87">
        <v>0.5923566878980892</v>
      </c>
      <c r="O25" s="86">
        <v>1</v>
      </c>
      <c r="P25" s="185">
        <v>1</v>
      </c>
      <c r="Q25" s="183">
        <v>513</v>
      </c>
    </row>
    <row r="26" spans="2:17" ht="12.75">
      <c r="B26" s="91" t="s">
        <v>318</v>
      </c>
      <c r="C26" s="86">
        <v>993</v>
      </c>
      <c r="D26" s="86">
        <v>575</v>
      </c>
      <c r="E26" s="87">
        <v>0.5790533736153072</v>
      </c>
      <c r="F26" s="86">
        <v>432</v>
      </c>
      <c r="G26" s="86">
        <v>211</v>
      </c>
      <c r="H26" s="87">
        <v>0.48842592592592593</v>
      </c>
      <c r="I26" s="86">
        <v>106</v>
      </c>
      <c r="J26" s="86">
        <v>28</v>
      </c>
      <c r="K26" s="87">
        <v>0.2641509433962264</v>
      </c>
      <c r="L26" s="86">
        <v>138</v>
      </c>
      <c r="M26" s="86">
        <v>99</v>
      </c>
      <c r="N26" s="87">
        <v>0.717391304347826</v>
      </c>
      <c r="O26" s="86">
        <v>2</v>
      </c>
      <c r="P26" s="185" t="s">
        <v>595</v>
      </c>
      <c r="Q26" s="183">
        <v>410</v>
      </c>
    </row>
    <row r="27" spans="2:17" ht="12.75">
      <c r="B27" s="85" t="s">
        <v>199</v>
      </c>
      <c r="C27" s="88">
        <v>1092</v>
      </c>
      <c r="D27" s="88">
        <v>558</v>
      </c>
      <c r="E27" s="81">
        <v>0.510989010989011</v>
      </c>
      <c r="F27" s="88">
        <v>546</v>
      </c>
      <c r="G27" s="88">
        <v>334</v>
      </c>
      <c r="H27" s="81">
        <v>0.6117216117216118</v>
      </c>
      <c r="I27" s="88">
        <v>75</v>
      </c>
      <c r="J27" s="88">
        <v>5</v>
      </c>
      <c r="K27" s="81">
        <v>0.06666666666666667</v>
      </c>
      <c r="L27" s="88">
        <v>198</v>
      </c>
      <c r="M27" s="88">
        <v>137</v>
      </c>
      <c r="N27" s="81">
        <v>0.6919191919191919</v>
      </c>
      <c r="O27" s="88">
        <v>0</v>
      </c>
      <c r="P27" s="186" t="s">
        <v>595</v>
      </c>
      <c r="Q27" s="184">
        <v>555</v>
      </c>
    </row>
    <row r="28" spans="2:17" ht="12.75">
      <c r="B28" s="82" t="s">
        <v>264</v>
      </c>
      <c r="C28" s="83">
        <v>244153</v>
      </c>
      <c r="D28" s="83">
        <v>155342</v>
      </c>
      <c r="E28" s="84">
        <v>0.6362485818318842</v>
      </c>
      <c r="F28" s="83">
        <v>91426</v>
      </c>
      <c r="G28" s="83">
        <v>54985</v>
      </c>
      <c r="H28" s="84">
        <v>0.6014153523067837</v>
      </c>
      <c r="I28" s="83">
        <v>20639</v>
      </c>
      <c r="J28" s="83">
        <v>10671</v>
      </c>
      <c r="K28" s="84">
        <v>0.5170308638984447</v>
      </c>
      <c r="L28" s="83">
        <v>21699</v>
      </c>
      <c r="M28" s="83">
        <v>13910</v>
      </c>
      <c r="N28" s="84">
        <v>0.6410433660537352</v>
      </c>
      <c r="O28" s="83">
        <v>90</v>
      </c>
      <c r="P28" s="187">
        <v>291</v>
      </c>
      <c r="Q28" s="182">
        <v>89158</v>
      </c>
    </row>
    <row r="29" spans="2:17" ht="12.75">
      <c r="B29" s="85" t="s">
        <v>200</v>
      </c>
      <c r="C29" s="86">
        <v>32285</v>
      </c>
      <c r="D29" s="86">
        <v>20420</v>
      </c>
      <c r="E29" s="87">
        <v>0.6324918692891436</v>
      </c>
      <c r="F29" s="86">
        <v>11242</v>
      </c>
      <c r="G29" s="86">
        <v>6154</v>
      </c>
      <c r="H29" s="87">
        <v>0.5474114926169721</v>
      </c>
      <c r="I29" s="86">
        <v>2071</v>
      </c>
      <c r="J29" s="86">
        <v>354</v>
      </c>
      <c r="K29" s="87">
        <v>0.17093191694833415</v>
      </c>
      <c r="L29" s="86">
        <v>5192</v>
      </c>
      <c r="M29" s="86">
        <v>3113</v>
      </c>
      <c r="N29" s="87">
        <v>0.5995762711864406</v>
      </c>
      <c r="O29" s="86">
        <v>2</v>
      </c>
      <c r="P29" s="185">
        <v>1</v>
      </c>
      <c r="Q29" s="183">
        <v>11905</v>
      </c>
    </row>
    <row r="30" spans="2:17" ht="12.75">
      <c r="B30" s="85" t="s">
        <v>201</v>
      </c>
      <c r="C30" s="86">
        <v>23790</v>
      </c>
      <c r="D30" s="86">
        <v>15503</v>
      </c>
      <c r="E30" s="87">
        <v>0.651660361496427</v>
      </c>
      <c r="F30" s="86">
        <v>5335</v>
      </c>
      <c r="G30" s="86">
        <v>1459</v>
      </c>
      <c r="H30" s="87">
        <v>0.27347703842549204</v>
      </c>
      <c r="I30" s="86">
        <v>880</v>
      </c>
      <c r="J30" s="86">
        <v>352</v>
      </c>
      <c r="K30" s="87">
        <v>0.4</v>
      </c>
      <c r="L30" s="86">
        <v>994</v>
      </c>
      <c r="M30" s="86">
        <v>706</v>
      </c>
      <c r="N30" s="87">
        <v>0.710261569416499</v>
      </c>
      <c r="O30" s="86">
        <v>3</v>
      </c>
      <c r="P30" s="185">
        <v>5</v>
      </c>
      <c r="Q30" s="183">
        <v>6064</v>
      </c>
    </row>
    <row r="31" spans="2:17" ht="12.75">
      <c r="B31" s="85" t="s">
        <v>202</v>
      </c>
      <c r="C31" s="86">
        <v>10468</v>
      </c>
      <c r="D31" s="86">
        <v>5292</v>
      </c>
      <c r="E31" s="87">
        <v>0.5055406954528086</v>
      </c>
      <c r="F31" s="86">
        <v>1902</v>
      </c>
      <c r="G31" s="86">
        <v>649</v>
      </c>
      <c r="H31" s="87">
        <v>0.3412197686645636</v>
      </c>
      <c r="I31" s="86">
        <v>423</v>
      </c>
      <c r="J31" s="86">
        <v>119</v>
      </c>
      <c r="K31" s="87">
        <v>0.28132387706855794</v>
      </c>
      <c r="L31" s="86">
        <v>653</v>
      </c>
      <c r="M31" s="86">
        <v>298</v>
      </c>
      <c r="N31" s="87">
        <v>0.4563552833078101</v>
      </c>
      <c r="O31" s="86">
        <v>0</v>
      </c>
      <c r="P31" s="185">
        <v>4</v>
      </c>
      <c r="Q31" s="183">
        <v>3345</v>
      </c>
    </row>
    <row r="32" spans="2:17" ht="12.75">
      <c r="B32" s="85" t="s">
        <v>203</v>
      </c>
      <c r="C32" s="86">
        <v>10444</v>
      </c>
      <c r="D32" s="86">
        <v>7292</v>
      </c>
      <c r="E32" s="87">
        <v>0.6981999234009958</v>
      </c>
      <c r="F32" s="86">
        <v>3270</v>
      </c>
      <c r="G32" s="86">
        <v>819</v>
      </c>
      <c r="H32" s="87">
        <v>0.25045871559633026</v>
      </c>
      <c r="I32" s="86">
        <v>1465</v>
      </c>
      <c r="J32" s="86">
        <v>1030</v>
      </c>
      <c r="K32" s="87">
        <v>0.7030716723549488</v>
      </c>
      <c r="L32" s="86">
        <v>809</v>
      </c>
      <c r="M32" s="86">
        <v>581</v>
      </c>
      <c r="N32" s="87">
        <v>0.7181705809641533</v>
      </c>
      <c r="O32" s="86">
        <v>36</v>
      </c>
      <c r="P32" s="185">
        <v>5</v>
      </c>
      <c r="Q32" s="183">
        <v>4028</v>
      </c>
    </row>
    <row r="33" spans="2:17" ht="12.75">
      <c r="B33" s="85" t="s">
        <v>204</v>
      </c>
      <c r="C33" s="86">
        <v>11137</v>
      </c>
      <c r="D33" s="86">
        <v>7049</v>
      </c>
      <c r="E33" s="87">
        <v>0.6329352608422376</v>
      </c>
      <c r="F33" s="86">
        <v>4938</v>
      </c>
      <c r="G33" s="86">
        <v>3645</v>
      </c>
      <c r="H33" s="87">
        <v>0.7381530984204131</v>
      </c>
      <c r="I33" s="86">
        <v>1526</v>
      </c>
      <c r="J33" s="86">
        <v>1051</v>
      </c>
      <c r="K33" s="87">
        <v>0.6887287024901704</v>
      </c>
      <c r="L33" s="86">
        <v>1450</v>
      </c>
      <c r="M33" s="86">
        <v>1057</v>
      </c>
      <c r="N33" s="87">
        <v>0.7289655172413793</v>
      </c>
      <c r="O33" s="86">
        <v>23</v>
      </c>
      <c r="P33" s="185">
        <v>50</v>
      </c>
      <c r="Q33" s="183">
        <v>3188</v>
      </c>
    </row>
    <row r="34" spans="2:17" ht="12.75">
      <c r="B34" s="85" t="s">
        <v>205</v>
      </c>
      <c r="C34" s="86">
        <v>14882</v>
      </c>
      <c r="D34" s="86">
        <v>9942</v>
      </c>
      <c r="E34" s="87">
        <v>0.6680553689020293</v>
      </c>
      <c r="F34" s="86">
        <v>6812</v>
      </c>
      <c r="G34" s="86">
        <v>4144</v>
      </c>
      <c r="H34" s="87">
        <v>0.6083382266588373</v>
      </c>
      <c r="I34" s="86">
        <v>3104</v>
      </c>
      <c r="J34" s="86">
        <v>1558</v>
      </c>
      <c r="K34" s="87">
        <v>0.5019329896907216</v>
      </c>
      <c r="L34" s="86">
        <v>1172</v>
      </c>
      <c r="M34" s="86">
        <v>814</v>
      </c>
      <c r="N34" s="87">
        <v>0.6945392491467577</v>
      </c>
      <c r="O34" s="86">
        <v>4</v>
      </c>
      <c r="P34" s="185">
        <v>67</v>
      </c>
      <c r="Q34" s="183">
        <v>10939</v>
      </c>
    </row>
    <row r="35" spans="2:17" ht="12.75">
      <c r="B35" s="85" t="s">
        <v>206</v>
      </c>
      <c r="C35" s="86">
        <v>12748</v>
      </c>
      <c r="D35" s="86">
        <v>4790</v>
      </c>
      <c r="E35" s="87">
        <v>0.3757452149356762</v>
      </c>
      <c r="F35" s="86">
        <v>5760</v>
      </c>
      <c r="G35" s="86">
        <v>2728</v>
      </c>
      <c r="H35" s="87">
        <v>0.4736111111111111</v>
      </c>
      <c r="I35" s="86">
        <v>961</v>
      </c>
      <c r="J35" s="86">
        <v>301</v>
      </c>
      <c r="K35" s="87">
        <v>0.31321540062434966</v>
      </c>
      <c r="L35" s="86">
        <v>1361</v>
      </c>
      <c r="M35" s="86">
        <v>535</v>
      </c>
      <c r="N35" s="87">
        <v>0.39309331373989714</v>
      </c>
      <c r="O35" s="86">
        <v>5</v>
      </c>
      <c r="P35" s="185">
        <v>45</v>
      </c>
      <c r="Q35" s="183">
        <v>6346</v>
      </c>
    </row>
    <row r="36" spans="2:17" ht="12.75">
      <c r="B36" s="85" t="s">
        <v>207</v>
      </c>
      <c r="C36" s="86">
        <v>28712</v>
      </c>
      <c r="D36" s="86">
        <v>21309</v>
      </c>
      <c r="E36" s="87">
        <v>0.7421635553078852</v>
      </c>
      <c r="F36" s="86">
        <v>10182</v>
      </c>
      <c r="G36" s="86">
        <v>6906</v>
      </c>
      <c r="H36" s="87">
        <v>0.6782557454331173</v>
      </c>
      <c r="I36" s="86">
        <v>1132</v>
      </c>
      <c r="J36" s="86">
        <v>302</v>
      </c>
      <c r="K36" s="87">
        <v>0.2667844522968198</v>
      </c>
      <c r="L36" s="86">
        <v>2532</v>
      </c>
      <c r="M36" s="86">
        <v>1868</v>
      </c>
      <c r="N36" s="87">
        <v>0.7377567140600316</v>
      </c>
      <c r="O36" s="86">
        <v>2</v>
      </c>
      <c r="P36" s="185">
        <v>18</v>
      </c>
      <c r="Q36" s="183">
        <v>6611</v>
      </c>
    </row>
    <row r="37" spans="2:17" ht="12.75">
      <c r="B37" s="85" t="s">
        <v>208</v>
      </c>
      <c r="C37" s="86">
        <v>5186</v>
      </c>
      <c r="D37" s="86">
        <v>3369</v>
      </c>
      <c r="E37" s="87">
        <v>0.649633629001157</v>
      </c>
      <c r="F37" s="86">
        <v>2176</v>
      </c>
      <c r="G37" s="86">
        <v>1174</v>
      </c>
      <c r="H37" s="87">
        <v>0.5395220588235294</v>
      </c>
      <c r="I37" s="86">
        <v>560</v>
      </c>
      <c r="J37" s="86">
        <v>148</v>
      </c>
      <c r="K37" s="87">
        <v>0.2642857142857143</v>
      </c>
      <c r="L37" s="86">
        <v>1007</v>
      </c>
      <c r="M37" s="86">
        <v>845</v>
      </c>
      <c r="N37" s="87">
        <v>0.8391261171797418</v>
      </c>
      <c r="O37" s="86">
        <v>0</v>
      </c>
      <c r="P37" s="185" t="s">
        <v>595</v>
      </c>
      <c r="Q37" s="183">
        <v>4996</v>
      </c>
    </row>
    <row r="38" spans="2:17" ht="12.75">
      <c r="B38" s="85" t="s">
        <v>209</v>
      </c>
      <c r="C38" s="86">
        <v>46945</v>
      </c>
      <c r="D38" s="86">
        <v>30198</v>
      </c>
      <c r="E38" s="87">
        <v>0.6432633933326233</v>
      </c>
      <c r="F38" s="86">
        <v>14641</v>
      </c>
      <c r="G38" s="86">
        <v>8256</v>
      </c>
      <c r="H38" s="87">
        <v>0.5638959087494023</v>
      </c>
      <c r="I38" s="86">
        <v>2286</v>
      </c>
      <c r="J38" s="86">
        <v>363</v>
      </c>
      <c r="K38" s="87">
        <v>0.15879265091863518</v>
      </c>
      <c r="L38" s="86">
        <v>2541</v>
      </c>
      <c r="M38" s="86">
        <v>1562</v>
      </c>
      <c r="N38" s="87">
        <v>0.6147186147186147</v>
      </c>
      <c r="O38" s="86">
        <v>12</v>
      </c>
      <c r="P38" s="185">
        <v>91</v>
      </c>
      <c r="Q38" s="183">
        <v>20481</v>
      </c>
    </row>
    <row r="39" spans="2:17" ht="12.75">
      <c r="B39" s="85" t="s">
        <v>210</v>
      </c>
      <c r="C39" s="86">
        <v>150</v>
      </c>
      <c r="D39" s="86">
        <v>83</v>
      </c>
      <c r="E39" s="87">
        <v>0.5533333333333333</v>
      </c>
      <c r="F39" s="86">
        <v>55</v>
      </c>
      <c r="G39" s="86">
        <v>48</v>
      </c>
      <c r="H39" s="87">
        <v>0.8727272727272727</v>
      </c>
      <c r="I39" s="86">
        <v>86</v>
      </c>
      <c r="J39" s="86">
        <v>29</v>
      </c>
      <c r="K39" s="87">
        <v>0.3372093023255814</v>
      </c>
      <c r="L39" s="86">
        <v>1071</v>
      </c>
      <c r="M39" s="86">
        <v>1063</v>
      </c>
      <c r="N39" s="87">
        <v>0.992530345471522</v>
      </c>
      <c r="O39" s="86">
        <v>0</v>
      </c>
      <c r="P39" s="185" t="s">
        <v>595</v>
      </c>
      <c r="Q39" s="183">
        <v>0</v>
      </c>
    </row>
    <row r="40" spans="2:17" ht="13.5" customHeight="1">
      <c r="B40" s="89" t="s">
        <v>211</v>
      </c>
      <c r="C40" s="88">
        <v>47406</v>
      </c>
      <c r="D40" s="88">
        <v>30095</v>
      </c>
      <c r="E40" s="81">
        <v>0.6348352529215711</v>
      </c>
      <c r="F40" s="88">
        <v>25113</v>
      </c>
      <c r="G40" s="88">
        <v>19003</v>
      </c>
      <c r="H40" s="81">
        <v>0.7566997172779039</v>
      </c>
      <c r="I40" s="88">
        <v>6145</v>
      </c>
      <c r="J40" s="88">
        <v>5064</v>
      </c>
      <c r="K40" s="81">
        <v>0.8240846216436127</v>
      </c>
      <c r="L40" s="88">
        <v>2917</v>
      </c>
      <c r="M40" s="88">
        <v>1468</v>
      </c>
      <c r="N40" s="81">
        <v>0.5032567706547824</v>
      </c>
      <c r="O40" s="88">
        <v>3</v>
      </c>
      <c r="P40" s="186">
        <v>5</v>
      </c>
      <c r="Q40" s="184">
        <v>11255</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208039</v>
      </c>
      <c r="D45" s="83">
        <v>136762</v>
      </c>
      <c r="E45" s="84">
        <v>0.6573863554429699</v>
      </c>
      <c r="F45" s="83">
        <v>67141</v>
      </c>
      <c r="G45" s="83">
        <v>34678</v>
      </c>
      <c r="H45" s="84">
        <v>0.5164951370995368</v>
      </c>
      <c r="I45" s="83">
        <v>18776</v>
      </c>
      <c r="J45" s="83">
        <v>5618</v>
      </c>
      <c r="K45" s="84">
        <v>0.2992117596932254</v>
      </c>
      <c r="L45" s="83">
        <v>20729</v>
      </c>
      <c r="M45" s="83">
        <v>14687</v>
      </c>
      <c r="N45" s="84">
        <v>0.7085242896425298</v>
      </c>
      <c r="O45" s="83">
        <v>29544</v>
      </c>
      <c r="P45" s="83">
        <v>415</v>
      </c>
      <c r="Q45" s="182">
        <v>60017</v>
      </c>
    </row>
    <row r="46" spans="2:17" ht="12.75">
      <c r="B46" s="85" t="s">
        <v>212</v>
      </c>
      <c r="C46" s="86">
        <v>20793</v>
      </c>
      <c r="D46" s="86">
        <v>16774</v>
      </c>
      <c r="E46" s="87">
        <v>0.8067137979127591</v>
      </c>
      <c r="F46" s="86">
        <v>5734</v>
      </c>
      <c r="G46" s="86">
        <v>4599</v>
      </c>
      <c r="H46" s="87">
        <v>0.8020579002441577</v>
      </c>
      <c r="I46" s="86">
        <v>1405</v>
      </c>
      <c r="J46" s="86">
        <v>686</v>
      </c>
      <c r="K46" s="87">
        <v>0.48825622775800714</v>
      </c>
      <c r="L46" s="86">
        <v>2840</v>
      </c>
      <c r="M46" s="86">
        <v>2327</v>
      </c>
      <c r="N46" s="87">
        <v>0.8193661971830986</v>
      </c>
      <c r="O46" s="86">
        <v>9</v>
      </c>
      <c r="P46" s="185">
        <v>131</v>
      </c>
      <c r="Q46" s="183">
        <v>5667</v>
      </c>
    </row>
    <row r="47" spans="2:17" ht="12.75">
      <c r="B47" s="85" t="s">
        <v>253</v>
      </c>
      <c r="C47" s="86">
        <v>6913</v>
      </c>
      <c r="D47" s="86">
        <v>4819</v>
      </c>
      <c r="E47" s="87">
        <v>0.6970924345436135</v>
      </c>
      <c r="F47" s="86">
        <v>2876</v>
      </c>
      <c r="G47" s="86">
        <v>1207</v>
      </c>
      <c r="H47" s="87">
        <v>0.41968011126564675</v>
      </c>
      <c r="I47" s="86">
        <v>285</v>
      </c>
      <c r="J47" s="86">
        <v>98</v>
      </c>
      <c r="K47" s="87">
        <v>0.34385964912280703</v>
      </c>
      <c r="L47" s="86">
        <v>242</v>
      </c>
      <c r="M47" s="86">
        <v>196</v>
      </c>
      <c r="N47" s="87">
        <v>0.8099173553719008</v>
      </c>
      <c r="O47" s="86">
        <v>0</v>
      </c>
      <c r="P47" s="185">
        <v>2</v>
      </c>
      <c r="Q47" s="183">
        <v>1233</v>
      </c>
    </row>
    <row r="48" spans="2:17" ht="12.75">
      <c r="B48" s="85" t="s">
        <v>254</v>
      </c>
      <c r="C48" s="86">
        <v>1059</v>
      </c>
      <c r="D48" s="86">
        <v>311</v>
      </c>
      <c r="E48" s="87">
        <v>0.29367327667610954</v>
      </c>
      <c r="F48" s="86">
        <v>368</v>
      </c>
      <c r="G48" s="86">
        <v>32</v>
      </c>
      <c r="H48" s="87">
        <v>0.08695652173913043</v>
      </c>
      <c r="I48" s="86">
        <v>101</v>
      </c>
      <c r="J48" s="86">
        <v>16</v>
      </c>
      <c r="K48" s="87">
        <v>0.15841584158415842</v>
      </c>
      <c r="L48" s="86">
        <v>53</v>
      </c>
      <c r="M48" s="86">
        <v>27</v>
      </c>
      <c r="N48" s="87">
        <v>0.5094339622641509</v>
      </c>
      <c r="O48" s="86">
        <v>0</v>
      </c>
      <c r="P48" s="185" t="s">
        <v>595</v>
      </c>
      <c r="Q48" s="183">
        <v>325</v>
      </c>
    </row>
    <row r="49" spans="2:17" ht="12.75">
      <c r="B49" s="85" t="s">
        <v>255</v>
      </c>
      <c r="C49" s="86">
        <v>37604</v>
      </c>
      <c r="D49" s="86">
        <v>27630</v>
      </c>
      <c r="E49" s="87">
        <v>0.7347622593341134</v>
      </c>
      <c r="F49" s="86">
        <v>14559</v>
      </c>
      <c r="G49" s="86">
        <v>10282</v>
      </c>
      <c r="H49" s="87">
        <v>0.7062298234768871</v>
      </c>
      <c r="I49" s="86">
        <v>1872</v>
      </c>
      <c r="J49" s="86">
        <v>944</v>
      </c>
      <c r="K49" s="87">
        <v>0.5042735042735043</v>
      </c>
      <c r="L49" s="86">
        <v>6289</v>
      </c>
      <c r="M49" s="86">
        <v>4955</v>
      </c>
      <c r="N49" s="87">
        <v>0.7878836062967085</v>
      </c>
      <c r="O49" s="86">
        <v>6</v>
      </c>
      <c r="P49" s="185">
        <v>5</v>
      </c>
      <c r="Q49" s="183">
        <v>13950</v>
      </c>
    </row>
    <row r="50" spans="2:17" ht="12.75">
      <c r="B50" s="85" t="s">
        <v>256</v>
      </c>
      <c r="C50" s="86">
        <v>4670</v>
      </c>
      <c r="D50" s="86">
        <v>1670</v>
      </c>
      <c r="E50" s="87">
        <v>0.3576017130620985</v>
      </c>
      <c r="F50" s="86">
        <v>1871</v>
      </c>
      <c r="G50" s="86">
        <v>264</v>
      </c>
      <c r="H50" s="87">
        <v>0.14110101549973275</v>
      </c>
      <c r="I50" s="86">
        <v>434</v>
      </c>
      <c r="J50" s="86">
        <v>47</v>
      </c>
      <c r="K50" s="87">
        <v>0.10829493087557604</v>
      </c>
      <c r="L50" s="86">
        <v>521</v>
      </c>
      <c r="M50" s="86">
        <v>217</v>
      </c>
      <c r="N50" s="87">
        <v>0.4165067178502879</v>
      </c>
      <c r="O50" s="86">
        <v>0</v>
      </c>
      <c r="P50" s="185">
        <v>1</v>
      </c>
      <c r="Q50" s="183">
        <v>1529</v>
      </c>
    </row>
    <row r="51" spans="2:17" ht="12.75">
      <c r="B51" s="85" t="s">
        <v>257</v>
      </c>
      <c r="C51" s="86">
        <v>8227</v>
      </c>
      <c r="D51" s="86">
        <v>5173</v>
      </c>
      <c r="E51" s="87">
        <v>0.6287832745836879</v>
      </c>
      <c r="F51" s="86">
        <v>5596</v>
      </c>
      <c r="G51" s="86">
        <v>2610</v>
      </c>
      <c r="H51" s="87">
        <v>0.4664045746962116</v>
      </c>
      <c r="I51" s="86">
        <v>1576</v>
      </c>
      <c r="J51" s="86">
        <v>871</v>
      </c>
      <c r="K51" s="87">
        <v>0.5526649746192893</v>
      </c>
      <c r="L51" s="86">
        <v>1429</v>
      </c>
      <c r="M51" s="86">
        <v>1077</v>
      </c>
      <c r="N51" s="87">
        <v>0.7536738978306508</v>
      </c>
      <c r="O51" s="86">
        <v>5</v>
      </c>
      <c r="P51" s="185">
        <v>44</v>
      </c>
      <c r="Q51" s="183">
        <v>5206</v>
      </c>
    </row>
    <row r="52" spans="2:17" ht="12.75">
      <c r="B52" s="85" t="s">
        <v>283</v>
      </c>
      <c r="C52" s="86">
        <v>10392</v>
      </c>
      <c r="D52" s="86">
        <v>3940</v>
      </c>
      <c r="E52" s="87">
        <v>0.37913779830638955</v>
      </c>
      <c r="F52" s="86">
        <v>3306</v>
      </c>
      <c r="G52" s="86">
        <v>1047</v>
      </c>
      <c r="H52" s="87">
        <v>0.31669691470054445</v>
      </c>
      <c r="I52" s="86">
        <v>2461</v>
      </c>
      <c r="J52" s="86">
        <v>422</v>
      </c>
      <c r="K52" s="87">
        <v>0.17147501015847216</v>
      </c>
      <c r="L52" s="86">
        <v>622</v>
      </c>
      <c r="M52" s="86">
        <v>207</v>
      </c>
      <c r="N52" s="87">
        <v>0.3327974276527331</v>
      </c>
      <c r="O52" s="86">
        <v>11363</v>
      </c>
      <c r="P52" s="185" t="s">
        <v>3</v>
      </c>
      <c r="Q52" s="182">
        <v>3289</v>
      </c>
    </row>
    <row r="53" spans="2:17" ht="12.75">
      <c r="B53" s="85" t="s">
        <v>284</v>
      </c>
      <c r="C53" s="86">
        <v>17613</v>
      </c>
      <c r="D53" s="86">
        <v>9432</v>
      </c>
      <c r="E53" s="87">
        <v>0.5355135411343894</v>
      </c>
      <c r="F53" s="86">
        <v>5684</v>
      </c>
      <c r="G53" s="86">
        <v>1262</v>
      </c>
      <c r="H53" s="87">
        <v>0.22202674173117523</v>
      </c>
      <c r="I53" s="86">
        <v>1167</v>
      </c>
      <c r="J53" s="86">
        <v>218</v>
      </c>
      <c r="K53" s="87">
        <v>0.1868037703513282</v>
      </c>
      <c r="L53" s="86">
        <v>766</v>
      </c>
      <c r="M53" s="86">
        <v>369</v>
      </c>
      <c r="N53" s="87">
        <v>0.48172323759791125</v>
      </c>
      <c r="O53" s="86">
        <v>1</v>
      </c>
      <c r="P53" s="185">
        <v>6</v>
      </c>
      <c r="Q53" s="183">
        <v>3206</v>
      </c>
    </row>
    <row r="54" spans="2:17" ht="12.75">
      <c r="B54" s="85" t="s">
        <v>285</v>
      </c>
      <c r="C54" s="86">
        <v>14351</v>
      </c>
      <c r="D54" s="86">
        <v>9860</v>
      </c>
      <c r="E54" s="87">
        <v>0.6870601351822173</v>
      </c>
      <c r="F54" s="86">
        <v>4991</v>
      </c>
      <c r="G54" s="86">
        <v>3294</v>
      </c>
      <c r="H54" s="87">
        <v>0.6599879783610499</v>
      </c>
      <c r="I54" s="86">
        <v>441</v>
      </c>
      <c r="J54" s="86">
        <v>184</v>
      </c>
      <c r="K54" s="87">
        <v>0.41723356009070295</v>
      </c>
      <c r="L54" s="86">
        <v>1824</v>
      </c>
      <c r="M54" s="86">
        <v>1352</v>
      </c>
      <c r="N54" s="87">
        <v>0.7412280701754386</v>
      </c>
      <c r="O54" s="86">
        <v>14</v>
      </c>
      <c r="P54" s="185">
        <v>109</v>
      </c>
      <c r="Q54" s="183">
        <v>4760</v>
      </c>
    </row>
    <row r="55" spans="2:17" ht="12.75">
      <c r="B55" s="85" t="s">
        <v>286</v>
      </c>
      <c r="C55" s="86">
        <v>1049</v>
      </c>
      <c r="D55" s="86">
        <v>339</v>
      </c>
      <c r="E55" s="87">
        <v>0.323164918970448</v>
      </c>
      <c r="F55" s="86">
        <v>742</v>
      </c>
      <c r="G55" s="86">
        <v>22</v>
      </c>
      <c r="H55" s="87">
        <v>0.029649595687331536</v>
      </c>
      <c r="I55" s="86">
        <v>170</v>
      </c>
      <c r="J55" s="86">
        <v>17</v>
      </c>
      <c r="K55" s="87">
        <v>0.1</v>
      </c>
      <c r="L55" s="86">
        <v>164</v>
      </c>
      <c r="M55" s="86">
        <v>78</v>
      </c>
      <c r="N55" s="87">
        <v>0.47560975609756095</v>
      </c>
      <c r="O55" s="86">
        <v>0</v>
      </c>
      <c r="P55" s="185">
        <v>1</v>
      </c>
      <c r="Q55" s="183">
        <v>245</v>
      </c>
    </row>
    <row r="56" spans="2:17" ht="12.75">
      <c r="B56" s="85" t="s">
        <v>287</v>
      </c>
      <c r="C56" s="86">
        <v>19936</v>
      </c>
      <c r="D56" s="86">
        <v>13619</v>
      </c>
      <c r="E56" s="87">
        <v>0.6831360353130016</v>
      </c>
      <c r="F56" s="86">
        <v>5373</v>
      </c>
      <c r="G56" s="86">
        <v>3413</v>
      </c>
      <c r="H56" s="87">
        <v>0.6352131025497859</v>
      </c>
      <c r="I56" s="86">
        <v>1428</v>
      </c>
      <c r="J56" s="86">
        <v>626</v>
      </c>
      <c r="K56" s="87">
        <v>0.438375350140056</v>
      </c>
      <c r="L56" s="86">
        <v>1540</v>
      </c>
      <c r="M56" s="86">
        <v>995</v>
      </c>
      <c r="N56" s="87">
        <v>0.6461038961038961</v>
      </c>
      <c r="O56" s="86">
        <v>12</v>
      </c>
      <c r="P56" s="185">
        <v>107</v>
      </c>
      <c r="Q56" s="183">
        <v>5640</v>
      </c>
    </row>
    <row r="57" spans="2:17" ht="12.75">
      <c r="B57" s="85" t="s">
        <v>288</v>
      </c>
      <c r="C57" s="86">
        <v>11944</v>
      </c>
      <c r="D57" s="86">
        <v>3465</v>
      </c>
      <c r="E57" s="87">
        <v>0.29010381781647687</v>
      </c>
      <c r="F57" s="86">
        <v>3432</v>
      </c>
      <c r="G57" s="86">
        <v>328</v>
      </c>
      <c r="H57" s="87">
        <v>0.09557109557109557</v>
      </c>
      <c r="I57" s="86">
        <v>5602</v>
      </c>
      <c r="J57" s="86">
        <v>891</v>
      </c>
      <c r="K57" s="87">
        <v>0.15905033916458408</v>
      </c>
      <c r="L57" s="86">
        <v>549</v>
      </c>
      <c r="M57" s="86">
        <v>272</v>
      </c>
      <c r="N57" s="87">
        <v>0.49544626593806923</v>
      </c>
      <c r="O57" s="86">
        <v>18129</v>
      </c>
      <c r="P57" s="185" t="s">
        <v>3</v>
      </c>
      <c r="Q57" s="182">
        <v>1375</v>
      </c>
    </row>
    <row r="58" spans="2:17" ht="12.75">
      <c r="B58" s="85" t="s">
        <v>289</v>
      </c>
      <c r="C58" s="86">
        <v>48555</v>
      </c>
      <c r="D58" s="86">
        <v>37073</v>
      </c>
      <c r="E58" s="87">
        <v>0.7635258984656575</v>
      </c>
      <c r="F58" s="86">
        <v>10823</v>
      </c>
      <c r="G58" s="86">
        <v>5541</v>
      </c>
      <c r="H58" s="87">
        <v>0.5119652591702855</v>
      </c>
      <c r="I58" s="86">
        <v>1654</v>
      </c>
      <c r="J58" s="86">
        <v>562</v>
      </c>
      <c r="K58" s="87">
        <v>0.33978234582829503</v>
      </c>
      <c r="L58" s="86">
        <v>3221</v>
      </c>
      <c r="M58" s="86">
        <v>2236</v>
      </c>
      <c r="N58" s="87">
        <v>0.6941943495808756</v>
      </c>
      <c r="O58" s="86">
        <v>5</v>
      </c>
      <c r="P58" s="185">
        <v>9</v>
      </c>
      <c r="Q58" s="183">
        <v>12640</v>
      </c>
    </row>
    <row r="59" spans="2:17" ht="12.75">
      <c r="B59" s="89" t="s">
        <v>290</v>
      </c>
      <c r="C59" s="88">
        <v>4933</v>
      </c>
      <c r="D59" s="88">
        <v>2657</v>
      </c>
      <c r="E59" s="81">
        <v>0.538617474153659</v>
      </c>
      <c r="F59" s="88">
        <v>1786</v>
      </c>
      <c r="G59" s="88">
        <v>777</v>
      </c>
      <c r="H59" s="81">
        <v>0.43505039193729006</v>
      </c>
      <c r="I59" s="88">
        <v>180</v>
      </c>
      <c r="J59" s="88">
        <v>36</v>
      </c>
      <c r="K59" s="81">
        <v>0.2</v>
      </c>
      <c r="L59" s="88">
        <v>669</v>
      </c>
      <c r="M59" s="88">
        <v>379</v>
      </c>
      <c r="N59" s="81">
        <v>0.5665171898355755</v>
      </c>
      <c r="O59" s="88">
        <v>0</v>
      </c>
      <c r="P59" s="186" t="s">
        <v>595</v>
      </c>
      <c r="Q59" s="184">
        <v>952</v>
      </c>
    </row>
    <row r="60" spans="2:17" ht="12.75">
      <c r="B60" s="82" t="s">
        <v>267</v>
      </c>
      <c r="C60" s="83">
        <v>203373</v>
      </c>
      <c r="D60" s="83">
        <v>151701</v>
      </c>
      <c r="E60" s="84">
        <v>0.7459249752917054</v>
      </c>
      <c r="F60" s="83">
        <v>75983</v>
      </c>
      <c r="G60" s="83">
        <v>45356</v>
      </c>
      <c r="H60" s="84">
        <v>0.5969229959333009</v>
      </c>
      <c r="I60" s="83">
        <v>17887</v>
      </c>
      <c r="J60" s="83">
        <v>8224</v>
      </c>
      <c r="K60" s="84">
        <v>0.4597752557723486</v>
      </c>
      <c r="L60" s="83">
        <v>23554</v>
      </c>
      <c r="M60" s="83">
        <v>15267</v>
      </c>
      <c r="N60" s="84">
        <v>0.6481701621805214</v>
      </c>
      <c r="O60" s="83">
        <v>488</v>
      </c>
      <c r="P60" s="187">
        <v>191</v>
      </c>
      <c r="Q60" s="182">
        <v>45951</v>
      </c>
    </row>
    <row r="61" spans="2:17" ht="12.75">
      <c r="B61" s="85" t="s">
        <v>291</v>
      </c>
      <c r="C61" s="86">
        <v>5119</v>
      </c>
      <c r="D61" s="86">
        <v>2715</v>
      </c>
      <c r="E61" s="87">
        <v>0.5303770267630397</v>
      </c>
      <c r="F61" s="86">
        <v>2132</v>
      </c>
      <c r="G61" s="86">
        <v>1111</v>
      </c>
      <c r="H61" s="87">
        <v>0.5211069418386491</v>
      </c>
      <c r="I61" s="86">
        <v>426</v>
      </c>
      <c r="J61" s="86">
        <v>107</v>
      </c>
      <c r="K61" s="87">
        <v>0.2511737089201878</v>
      </c>
      <c r="L61" s="86">
        <v>608</v>
      </c>
      <c r="M61" s="86">
        <v>397</v>
      </c>
      <c r="N61" s="87">
        <v>0.6529605263157895</v>
      </c>
      <c r="O61" s="86">
        <v>1</v>
      </c>
      <c r="P61" s="185">
        <v>1</v>
      </c>
      <c r="Q61" s="183">
        <v>1773</v>
      </c>
    </row>
    <row r="62" spans="2:17" ht="12.75">
      <c r="B62" s="85" t="s">
        <v>292</v>
      </c>
      <c r="C62" s="86">
        <v>2606</v>
      </c>
      <c r="D62" s="86">
        <v>1720</v>
      </c>
      <c r="E62" s="87">
        <v>0.6600153491941673</v>
      </c>
      <c r="F62" s="86">
        <v>2301</v>
      </c>
      <c r="G62" s="86">
        <v>1526</v>
      </c>
      <c r="H62" s="87">
        <v>0.6631899174272056</v>
      </c>
      <c r="I62" s="86">
        <v>1020</v>
      </c>
      <c r="J62" s="86">
        <v>702</v>
      </c>
      <c r="K62" s="87">
        <v>0.6882352941176471</v>
      </c>
      <c r="L62" s="86">
        <v>352</v>
      </c>
      <c r="M62" s="86">
        <v>296</v>
      </c>
      <c r="N62" s="87">
        <v>0.8409090909090909</v>
      </c>
      <c r="O62" s="86">
        <v>0</v>
      </c>
      <c r="P62" s="185" t="s">
        <v>595</v>
      </c>
      <c r="Q62" s="183">
        <v>159</v>
      </c>
    </row>
    <row r="63" spans="2:17" ht="12.75">
      <c r="B63" s="85" t="s">
        <v>293</v>
      </c>
      <c r="C63" s="86">
        <v>2209</v>
      </c>
      <c r="D63" s="86">
        <v>1034</v>
      </c>
      <c r="E63" s="87">
        <v>0.46808510638297873</v>
      </c>
      <c r="F63" s="86">
        <v>1477</v>
      </c>
      <c r="G63" s="86">
        <v>460</v>
      </c>
      <c r="H63" s="87">
        <v>0.3114421123899797</v>
      </c>
      <c r="I63" s="86">
        <v>257</v>
      </c>
      <c r="J63" s="86">
        <v>69</v>
      </c>
      <c r="K63" s="87">
        <v>0.26848249027237353</v>
      </c>
      <c r="L63" s="86">
        <v>386</v>
      </c>
      <c r="M63" s="86">
        <v>226</v>
      </c>
      <c r="N63" s="87">
        <v>0.5854922279792746</v>
      </c>
      <c r="O63" s="86">
        <v>0</v>
      </c>
      <c r="P63" s="185">
        <v>1</v>
      </c>
      <c r="Q63" s="183">
        <v>965</v>
      </c>
    </row>
    <row r="64" spans="2:17" ht="12.75">
      <c r="B64" s="85" t="s">
        <v>294</v>
      </c>
      <c r="C64" s="86">
        <v>13303</v>
      </c>
      <c r="D64" s="86">
        <v>8009</v>
      </c>
      <c r="E64" s="87">
        <v>0.6020446515823499</v>
      </c>
      <c r="F64" s="86">
        <v>5758</v>
      </c>
      <c r="G64" s="86">
        <v>3242</v>
      </c>
      <c r="H64" s="87">
        <v>0.5630427231677666</v>
      </c>
      <c r="I64" s="86">
        <v>1408</v>
      </c>
      <c r="J64" s="86">
        <v>604</v>
      </c>
      <c r="K64" s="87">
        <v>0.4289772727272727</v>
      </c>
      <c r="L64" s="86">
        <v>1638</v>
      </c>
      <c r="M64" s="86">
        <v>836</v>
      </c>
      <c r="N64" s="87">
        <v>0.5103785103785103</v>
      </c>
      <c r="O64" s="86">
        <v>10</v>
      </c>
      <c r="P64" s="185">
        <v>4</v>
      </c>
      <c r="Q64" s="183">
        <v>3862</v>
      </c>
    </row>
    <row r="65" spans="2:17" ht="12.75">
      <c r="B65" s="85" t="s">
        <v>372</v>
      </c>
      <c r="C65" s="86">
        <v>1223</v>
      </c>
      <c r="D65" s="86">
        <v>426</v>
      </c>
      <c r="E65" s="87">
        <v>0.34832379394930496</v>
      </c>
      <c r="F65" s="86">
        <v>582</v>
      </c>
      <c r="G65" s="86">
        <v>274</v>
      </c>
      <c r="H65" s="87">
        <v>0.47079037800687284</v>
      </c>
      <c r="I65" s="86">
        <v>64</v>
      </c>
      <c r="J65" s="86">
        <v>28</v>
      </c>
      <c r="K65" s="87">
        <v>0.4375</v>
      </c>
      <c r="L65" s="86">
        <v>176</v>
      </c>
      <c r="M65" s="86">
        <v>79</v>
      </c>
      <c r="N65" s="87">
        <v>0.44886363636363635</v>
      </c>
      <c r="O65" s="86">
        <v>2</v>
      </c>
      <c r="P65" s="185">
        <v>4</v>
      </c>
      <c r="Q65" s="183">
        <v>292</v>
      </c>
    </row>
    <row r="66" spans="2:17" ht="12.75">
      <c r="B66" s="85" t="s">
        <v>295</v>
      </c>
      <c r="C66" s="86">
        <v>2055</v>
      </c>
      <c r="D66" s="86">
        <v>981</v>
      </c>
      <c r="E66" s="87">
        <v>0.47737226277372263</v>
      </c>
      <c r="F66" s="86">
        <v>1229</v>
      </c>
      <c r="G66" s="86">
        <v>403</v>
      </c>
      <c r="H66" s="87">
        <v>0.3279088689991863</v>
      </c>
      <c r="I66" s="86">
        <v>205</v>
      </c>
      <c r="J66" s="86">
        <v>68</v>
      </c>
      <c r="K66" s="87">
        <v>0.33170731707317075</v>
      </c>
      <c r="L66" s="86">
        <v>378</v>
      </c>
      <c r="M66" s="86">
        <v>226</v>
      </c>
      <c r="N66" s="87">
        <v>0.5978835978835979</v>
      </c>
      <c r="O66" s="86">
        <v>0</v>
      </c>
      <c r="P66" s="185">
        <v>2</v>
      </c>
      <c r="Q66" s="183">
        <v>293</v>
      </c>
    </row>
    <row r="67" spans="2:17" ht="12.75">
      <c r="B67" s="85" t="s">
        <v>296</v>
      </c>
      <c r="C67" s="86">
        <v>6000</v>
      </c>
      <c r="D67" s="86">
        <v>4509</v>
      </c>
      <c r="E67" s="87">
        <v>0.7515</v>
      </c>
      <c r="F67" s="86">
        <v>1620</v>
      </c>
      <c r="G67" s="86">
        <v>356</v>
      </c>
      <c r="H67" s="87">
        <v>0.21975308641975308</v>
      </c>
      <c r="I67" s="86">
        <v>280</v>
      </c>
      <c r="J67" s="86">
        <v>31</v>
      </c>
      <c r="K67" s="87">
        <v>0.11071428571428571</v>
      </c>
      <c r="L67" s="86">
        <v>814</v>
      </c>
      <c r="M67" s="86">
        <v>710</v>
      </c>
      <c r="N67" s="87">
        <v>0.8722358722358723</v>
      </c>
      <c r="O67" s="86">
        <v>3</v>
      </c>
      <c r="P67" s="185" t="s">
        <v>595</v>
      </c>
      <c r="Q67" s="183">
        <v>758</v>
      </c>
    </row>
    <row r="68" spans="2:17" ht="12.75">
      <c r="B68" s="85" t="s">
        <v>297</v>
      </c>
      <c r="C68" s="86">
        <v>22133</v>
      </c>
      <c r="D68" s="86">
        <v>19908</v>
      </c>
      <c r="E68" s="87">
        <v>0.8994713775809877</v>
      </c>
      <c r="F68" s="86">
        <v>6479</v>
      </c>
      <c r="G68" s="86">
        <v>3455</v>
      </c>
      <c r="H68" s="87">
        <v>0.5332613057570613</v>
      </c>
      <c r="I68" s="86">
        <v>2246</v>
      </c>
      <c r="J68" s="86">
        <v>979</v>
      </c>
      <c r="K68" s="87">
        <v>0.4358860195903829</v>
      </c>
      <c r="L68" s="86">
        <v>1208</v>
      </c>
      <c r="M68" s="86">
        <v>1100</v>
      </c>
      <c r="N68" s="87">
        <v>0.9105960264900662</v>
      </c>
      <c r="O68" s="86">
        <v>3</v>
      </c>
      <c r="P68" s="185">
        <v>7</v>
      </c>
      <c r="Q68" s="183">
        <v>6075</v>
      </c>
    </row>
    <row r="69" spans="2:17" ht="12.75">
      <c r="B69" s="91" t="s">
        <v>298</v>
      </c>
      <c r="C69" s="86">
        <v>2559</v>
      </c>
      <c r="D69" s="86">
        <v>1563</v>
      </c>
      <c r="E69" s="87">
        <v>0.6107854630715123</v>
      </c>
      <c r="F69" s="86">
        <v>1330</v>
      </c>
      <c r="G69" s="86">
        <v>511</v>
      </c>
      <c r="H69" s="87">
        <v>0.38421052631578945</v>
      </c>
      <c r="I69" s="86">
        <v>204</v>
      </c>
      <c r="J69" s="86">
        <v>96</v>
      </c>
      <c r="K69" s="87">
        <v>0.47058823529411764</v>
      </c>
      <c r="L69" s="86">
        <v>716</v>
      </c>
      <c r="M69" s="86">
        <v>504</v>
      </c>
      <c r="N69" s="87">
        <v>0.7039106145251397</v>
      </c>
      <c r="O69" s="86">
        <v>395</v>
      </c>
      <c r="P69" s="185">
        <v>83</v>
      </c>
      <c r="Q69" s="183">
        <v>1797</v>
      </c>
    </row>
    <row r="70" spans="2:17" ht="12.75">
      <c r="B70" s="85" t="s">
        <v>299</v>
      </c>
      <c r="C70" s="86">
        <v>29718</v>
      </c>
      <c r="D70" s="86">
        <v>26572</v>
      </c>
      <c r="E70" s="87">
        <v>0.8941382327209099</v>
      </c>
      <c r="F70" s="86">
        <v>11055</v>
      </c>
      <c r="G70" s="86">
        <v>7518</v>
      </c>
      <c r="H70" s="87">
        <v>0.6800542740841248</v>
      </c>
      <c r="I70" s="86">
        <v>1503</v>
      </c>
      <c r="J70" s="86">
        <v>758</v>
      </c>
      <c r="K70" s="87">
        <v>0.5043246839654025</v>
      </c>
      <c r="L70" s="86">
        <v>4764</v>
      </c>
      <c r="M70" s="86">
        <v>3865</v>
      </c>
      <c r="N70" s="87">
        <v>0.8112930310663308</v>
      </c>
      <c r="O70" s="86">
        <v>12</v>
      </c>
      <c r="P70" s="185">
        <v>4</v>
      </c>
      <c r="Q70" s="183">
        <v>7503</v>
      </c>
    </row>
    <row r="71" spans="2:17" ht="12.75">
      <c r="B71" s="85" t="s">
        <v>300</v>
      </c>
      <c r="C71" s="86">
        <v>22880</v>
      </c>
      <c r="D71" s="86">
        <v>17260</v>
      </c>
      <c r="E71" s="87">
        <v>0.7543706293706294</v>
      </c>
      <c r="F71" s="86">
        <v>6017</v>
      </c>
      <c r="G71" s="86">
        <v>2760</v>
      </c>
      <c r="H71" s="87">
        <v>0.4587003490111351</v>
      </c>
      <c r="I71" s="86">
        <v>1227</v>
      </c>
      <c r="J71" s="86">
        <v>610</v>
      </c>
      <c r="K71" s="87">
        <v>0.4971475142624287</v>
      </c>
      <c r="L71" s="86">
        <v>2807</v>
      </c>
      <c r="M71" s="86">
        <v>854</v>
      </c>
      <c r="N71" s="87">
        <v>0.30423940149625933</v>
      </c>
      <c r="O71" s="86">
        <v>1</v>
      </c>
      <c r="P71" s="185">
        <v>3</v>
      </c>
      <c r="Q71" s="183">
        <v>4951</v>
      </c>
    </row>
    <row r="72" spans="2:17" ht="12.75">
      <c r="B72" s="85" t="s">
        <v>301</v>
      </c>
      <c r="C72" s="86">
        <v>11865</v>
      </c>
      <c r="D72" s="86">
        <v>7510</v>
      </c>
      <c r="E72" s="87">
        <v>0.6329540665823852</v>
      </c>
      <c r="F72" s="86">
        <v>5679</v>
      </c>
      <c r="G72" s="86">
        <v>3570</v>
      </c>
      <c r="H72" s="87">
        <v>0.6286318013734813</v>
      </c>
      <c r="I72" s="86">
        <v>2129</v>
      </c>
      <c r="J72" s="86">
        <v>1029</v>
      </c>
      <c r="K72" s="87">
        <v>0.4833255049318929</v>
      </c>
      <c r="L72" s="86">
        <v>662</v>
      </c>
      <c r="M72" s="86">
        <v>444</v>
      </c>
      <c r="N72" s="87">
        <v>0.6706948640483383</v>
      </c>
      <c r="O72" s="86">
        <v>3</v>
      </c>
      <c r="P72" s="185">
        <v>21</v>
      </c>
      <c r="Q72" s="183">
        <v>5277</v>
      </c>
    </row>
    <row r="73" spans="2:17" ht="12.75">
      <c r="B73" s="85" t="s">
        <v>302</v>
      </c>
      <c r="C73" s="86">
        <v>9580</v>
      </c>
      <c r="D73" s="86">
        <v>7627</v>
      </c>
      <c r="E73" s="87">
        <v>0.7961377870563674</v>
      </c>
      <c r="F73" s="86">
        <v>2394</v>
      </c>
      <c r="G73" s="86">
        <v>1540</v>
      </c>
      <c r="H73" s="87">
        <v>0.6432748538011696</v>
      </c>
      <c r="I73" s="86">
        <v>488</v>
      </c>
      <c r="J73" s="86">
        <v>95</v>
      </c>
      <c r="K73" s="87">
        <v>0.19467213114754098</v>
      </c>
      <c r="L73" s="86">
        <v>714</v>
      </c>
      <c r="M73" s="86">
        <v>566</v>
      </c>
      <c r="N73" s="87">
        <v>0.7927170868347339</v>
      </c>
      <c r="O73" s="86">
        <v>4</v>
      </c>
      <c r="P73" s="185">
        <v>2</v>
      </c>
      <c r="Q73" s="183">
        <v>944</v>
      </c>
    </row>
    <row r="74" spans="2:17" ht="13.5" customHeight="1">
      <c r="B74" s="85" t="s">
        <v>303</v>
      </c>
      <c r="C74" s="86">
        <v>17917</v>
      </c>
      <c r="D74" s="86">
        <v>13624</v>
      </c>
      <c r="E74" s="87">
        <v>0.7603951554389686</v>
      </c>
      <c r="F74" s="86">
        <v>8819</v>
      </c>
      <c r="G74" s="86">
        <v>6235</v>
      </c>
      <c r="H74" s="87">
        <v>0.7069962580791473</v>
      </c>
      <c r="I74" s="86">
        <v>1051</v>
      </c>
      <c r="J74" s="86">
        <v>726</v>
      </c>
      <c r="K74" s="87">
        <v>0.6907706945765937</v>
      </c>
      <c r="L74" s="86">
        <v>2696</v>
      </c>
      <c r="M74" s="86">
        <v>1984</v>
      </c>
      <c r="N74" s="87">
        <v>0.7359050445103857</v>
      </c>
      <c r="O74" s="86">
        <v>0</v>
      </c>
      <c r="P74" s="185">
        <v>2</v>
      </c>
      <c r="Q74" s="183">
        <v>1657</v>
      </c>
    </row>
    <row r="75" spans="2:17" ht="12.75">
      <c r="B75" s="85" t="s">
        <v>304</v>
      </c>
      <c r="C75" s="86">
        <v>29544</v>
      </c>
      <c r="D75" s="86">
        <v>19284</v>
      </c>
      <c r="E75" s="87">
        <v>0.6527213647441105</v>
      </c>
      <c r="F75" s="86">
        <v>6280</v>
      </c>
      <c r="G75" s="86">
        <v>3659</v>
      </c>
      <c r="H75" s="87">
        <v>0.5826433121019108</v>
      </c>
      <c r="I75" s="86">
        <v>2352</v>
      </c>
      <c r="J75" s="86">
        <v>1244</v>
      </c>
      <c r="K75" s="87">
        <v>0.5289115646258503</v>
      </c>
      <c r="L75" s="86">
        <v>3023</v>
      </c>
      <c r="M75" s="86">
        <v>1347</v>
      </c>
      <c r="N75" s="87">
        <v>0.4455838570956004</v>
      </c>
      <c r="O75" s="86">
        <v>0</v>
      </c>
      <c r="P75" s="185">
        <v>2</v>
      </c>
      <c r="Q75" s="183">
        <v>3832</v>
      </c>
    </row>
    <row r="76" spans="2:17" ht="12.75">
      <c r="B76" s="89" t="s">
        <v>305</v>
      </c>
      <c r="C76" s="88">
        <v>24662</v>
      </c>
      <c r="D76" s="88">
        <v>18959</v>
      </c>
      <c r="E76" s="81">
        <v>0.7687535479685346</v>
      </c>
      <c r="F76" s="88">
        <v>12831</v>
      </c>
      <c r="G76" s="88">
        <v>8736</v>
      </c>
      <c r="H76" s="81">
        <v>0.6808510638297872</v>
      </c>
      <c r="I76" s="88">
        <v>3027</v>
      </c>
      <c r="J76" s="88">
        <v>1078</v>
      </c>
      <c r="K76" s="81">
        <v>0.35612817971589034</v>
      </c>
      <c r="L76" s="88">
        <v>2612</v>
      </c>
      <c r="M76" s="88">
        <v>1833</v>
      </c>
      <c r="N76" s="81">
        <v>0.7017611026033691</v>
      </c>
      <c r="O76" s="88">
        <v>54</v>
      </c>
      <c r="P76" s="186">
        <v>55</v>
      </c>
      <c r="Q76" s="184">
        <v>5813</v>
      </c>
    </row>
    <row r="77" spans="2:17" ht="12.75">
      <c r="B77" s="89" t="s">
        <v>175</v>
      </c>
      <c r="C77" s="88">
        <v>1</v>
      </c>
      <c r="D77" s="88">
        <v>1</v>
      </c>
      <c r="E77" s="81">
        <v>1</v>
      </c>
      <c r="F77" s="88">
        <v>39</v>
      </c>
      <c r="G77" s="88">
        <v>9</v>
      </c>
      <c r="H77" s="81">
        <v>0.23076923076923078</v>
      </c>
      <c r="I77" s="88">
        <v>0</v>
      </c>
      <c r="J77" s="88">
        <v>0</v>
      </c>
      <c r="K77" s="81" t="s">
        <v>3</v>
      </c>
      <c r="L77" s="88">
        <v>131</v>
      </c>
      <c r="M77" s="88">
        <v>94</v>
      </c>
      <c r="N77" s="81">
        <v>0.7175572519083969</v>
      </c>
      <c r="O77" s="88">
        <v>3</v>
      </c>
      <c r="P77" s="186">
        <v>3</v>
      </c>
      <c r="Q77" s="184">
        <v>13943</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76303</v>
      </c>
      <c r="D83" s="219">
        <v>39107</v>
      </c>
      <c r="E83" s="215">
        <v>0.5125224434163794</v>
      </c>
      <c r="F83" s="219">
        <v>105449</v>
      </c>
      <c r="G83" s="219">
        <v>65648</v>
      </c>
      <c r="H83" s="215">
        <v>0.6225568758357121</v>
      </c>
      <c r="I83" s="219">
        <v>76900</v>
      </c>
      <c r="J83" s="219">
        <v>29085</v>
      </c>
      <c r="K83" s="215">
        <v>0.3782184655396619</v>
      </c>
      <c r="L83" s="219">
        <v>14297</v>
      </c>
      <c r="M83" s="219">
        <v>8561</v>
      </c>
      <c r="N83" s="215">
        <v>0.5987969504091768</v>
      </c>
      <c r="O83" s="219">
        <v>15165</v>
      </c>
      <c r="P83" s="219">
        <v>11266</v>
      </c>
      <c r="Q83" s="219">
        <v>2394</v>
      </c>
    </row>
    <row r="84" spans="2:17" ht="12.75">
      <c r="B84" s="98" t="s">
        <v>195</v>
      </c>
      <c r="C84" s="96">
        <v>33897</v>
      </c>
      <c r="D84" s="96">
        <v>21865</v>
      </c>
      <c r="E84" s="97">
        <v>0.645042334129864</v>
      </c>
      <c r="F84" s="96">
        <v>51780</v>
      </c>
      <c r="G84" s="96">
        <v>39037</v>
      </c>
      <c r="H84" s="97">
        <v>0.7539011201235999</v>
      </c>
      <c r="I84" s="96">
        <v>30058</v>
      </c>
      <c r="J84" s="96">
        <v>12940</v>
      </c>
      <c r="K84" s="97">
        <v>0.4305010313394105</v>
      </c>
      <c r="L84" s="96">
        <v>7744</v>
      </c>
      <c r="M84" s="96">
        <v>4066</v>
      </c>
      <c r="N84" s="97">
        <v>0.525051652892562</v>
      </c>
      <c r="O84" s="96">
        <v>8579</v>
      </c>
      <c r="P84" s="96">
        <v>5058</v>
      </c>
      <c r="Q84" s="96">
        <v>758</v>
      </c>
    </row>
    <row r="85" spans="1:17" ht="12.75">
      <c r="A85" s="99"/>
      <c r="B85" s="98" t="s">
        <v>283</v>
      </c>
      <c r="C85" s="96">
        <v>16825</v>
      </c>
      <c r="D85" s="96">
        <v>4801</v>
      </c>
      <c r="E85" s="97">
        <v>0.28534918276374444</v>
      </c>
      <c r="F85" s="96">
        <v>18032</v>
      </c>
      <c r="G85" s="96">
        <v>3614</v>
      </c>
      <c r="H85" s="97">
        <v>0.20042147293700088</v>
      </c>
      <c r="I85" s="96">
        <v>21846</v>
      </c>
      <c r="J85" s="96">
        <v>6093</v>
      </c>
      <c r="K85" s="97">
        <v>0.2789068937105191</v>
      </c>
      <c r="L85" s="96">
        <v>571</v>
      </c>
      <c r="M85" s="96">
        <v>286</v>
      </c>
      <c r="N85" s="97">
        <v>0.500875656742557</v>
      </c>
      <c r="O85" s="96">
        <v>2481</v>
      </c>
      <c r="P85" s="96">
        <v>1508</v>
      </c>
      <c r="Q85" s="96">
        <v>692</v>
      </c>
    </row>
    <row r="86" spans="2:17" ht="12.75">
      <c r="B86" s="101" t="s">
        <v>288</v>
      </c>
      <c r="C86" s="96">
        <v>25177</v>
      </c>
      <c r="D86" s="96">
        <v>12254</v>
      </c>
      <c r="E86" s="97">
        <v>0.48671406442387893</v>
      </c>
      <c r="F86" s="96">
        <v>34867</v>
      </c>
      <c r="G86" s="96">
        <v>22426</v>
      </c>
      <c r="H86" s="97">
        <v>0.6431869676198124</v>
      </c>
      <c r="I86" s="96">
        <v>24778</v>
      </c>
      <c r="J86" s="96">
        <v>9877</v>
      </c>
      <c r="K86" s="97">
        <v>0.3986197433206877</v>
      </c>
      <c r="L86" s="96">
        <v>5606</v>
      </c>
      <c r="M86" s="96">
        <v>3897</v>
      </c>
      <c r="N86" s="97">
        <v>0.6951480556546558</v>
      </c>
      <c r="O86" s="96">
        <v>4032</v>
      </c>
      <c r="P86" s="96">
        <v>4700</v>
      </c>
      <c r="Q86" s="96">
        <v>944</v>
      </c>
    </row>
    <row r="87" spans="2:17" ht="12.75">
      <c r="B87" s="101" t="s">
        <v>317</v>
      </c>
      <c r="C87" s="96">
        <v>404</v>
      </c>
      <c r="D87" s="96">
        <v>187</v>
      </c>
      <c r="E87" s="97">
        <v>0.4628712871287129</v>
      </c>
      <c r="F87" s="96">
        <v>770</v>
      </c>
      <c r="G87" s="96">
        <v>571</v>
      </c>
      <c r="H87" s="97">
        <v>0.7415584415584415</v>
      </c>
      <c r="I87" s="96">
        <v>218</v>
      </c>
      <c r="J87" s="96">
        <v>175</v>
      </c>
      <c r="K87" s="97">
        <v>0.8027522935779816</v>
      </c>
      <c r="L87" s="96">
        <v>376</v>
      </c>
      <c r="M87" s="96">
        <v>312</v>
      </c>
      <c r="N87" s="97">
        <v>0.8297872340425532</v>
      </c>
      <c r="O87" s="96">
        <v>73</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23745</v>
      </c>
      <c r="D92" s="214">
        <v>24219</v>
      </c>
      <c r="E92" s="214">
        <v>-474</v>
      </c>
      <c r="F92" s="215">
        <v>-0.019571410875758703</v>
      </c>
      <c r="G92" s="290">
        <v>168702</v>
      </c>
      <c r="H92" s="214">
        <v>192247</v>
      </c>
      <c r="I92" s="214">
        <v>-23545</v>
      </c>
      <c r="J92" s="215">
        <v>-0.12247265236908768</v>
      </c>
    </row>
    <row r="93" spans="2:10" ht="12.75">
      <c r="B93" s="273" t="s">
        <v>334</v>
      </c>
      <c r="C93" s="221">
        <v>6561</v>
      </c>
      <c r="D93" s="221">
        <v>6323</v>
      </c>
      <c r="E93" s="221">
        <v>238</v>
      </c>
      <c r="F93" s="97">
        <v>0.03764036058832833</v>
      </c>
      <c r="G93" s="221">
        <v>35859</v>
      </c>
      <c r="H93" s="221">
        <v>45974</v>
      </c>
      <c r="I93" s="221">
        <v>-10115</v>
      </c>
      <c r="J93" s="97">
        <v>-0.2200156610257972</v>
      </c>
    </row>
    <row r="94" spans="2:10" ht="12.75">
      <c r="B94" s="274" t="s">
        <v>335</v>
      </c>
      <c r="C94" s="221">
        <v>5268</v>
      </c>
      <c r="D94" s="221">
        <v>5337</v>
      </c>
      <c r="E94" s="221">
        <v>-69</v>
      </c>
      <c r="F94" s="97">
        <v>-0.012928611579539067</v>
      </c>
      <c r="G94" s="221">
        <v>42039</v>
      </c>
      <c r="H94" s="221">
        <v>40949</v>
      </c>
      <c r="I94" s="221">
        <v>1090</v>
      </c>
      <c r="J94" s="97">
        <v>0.02661847664167623</v>
      </c>
    </row>
    <row r="95" spans="2:10" ht="12.75">
      <c r="B95" s="273" t="s">
        <v>336</v>
      </c>
      <c r="C95" s="221">
        <v>7818</v>
      </c>
      <c r="D95" s="221">
        <v>7882</v>
      </c>
      <c r="E95" s="221">
        <v>-64</v>
      </c>
      <c r="F95" s="97">
        <v>-0.008119766556711495</v>
      </c>
      <c r="G95" s="221">
        <v>65862</v>
      </c>
      <c r="H95" s="221">
        <v>74597</v>
      </c>
      <c r="I95" s="221">
        <v>-8735</v>
      </c>
      <c r="J95" s="97">
        <v>-0.1170958617638779</v>
      </c>
    </row>
    <row r="96" spans="2:10" ht="12.75">
      <c r="B96" s="275" t="s">
        <v>337</v>
      </c>
      <c r="C96" s="221">
        <v>4098</v>
      </c>
      <c r="D96" s="221">
        <v>4677</v>
      </c>
      <c r="E96" s="221">
        <v>-579</v>
      </c>
      <c r="F96" s="97">
        <v>-0.12379730596536241</v>
      </c>
      <c r="G96" s="221">
        <v>24942</v>
      </c>
      <c r="H96" s="221">
        <v>30727</v>
      </c>
      <c r="I96" s="221">
        <v>-5785</v>
      </c>
      <c r="J96" s="97">
        <v>-0.18827090181273798</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896409</v>
      </c>
      <c r="D4" s="42">
        <f>C11+C76</f>
        <v>597337</v>
      </c>
      <c r="E4" s="43">
        <f>D4/C4</f>
        <v>0.6663665804337082</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820106</v>
      </c>
      <c r="C11" s="47">
        <f>SUM(C12:C70)</f>
        <v>558230</v>
      </c>
      <c r="D11" s="46">
        <f>C11/B11</f>
        <v>0.6806803023023853</v>
      </c>
      <c r="E11" s="47">
        <f>SUM(E12:E70)</f>
        <v>288798</v>
      </c>
      <c r="F11" s="47">
        <f>SUM(F12:F70)</f>
        <v>167914</v>
      </c>
      <c r="G11" s="46">
        <f>F11/E11</f>
        <v>0.5814236940699036</v>
      </c>
      <c r="H11" s="47">
        <f>SUM(H12:H70)</f>
        <v>75518</v>
      </c>
      <c r="I11" s="47">
        <f>SUM(I12:I70)</f>
        <v>31706</v>
      </c>
      <c r="J11" s="46">
        <f>I11/H11</f>
        <v>0.41984692391217987</v>
      </c>
      <c r="K11" s="47">
        <f>SUM(K12:K70)</f>
        <v>82897</v>
      </c>
      <c r="L11" s="47">
        <f>SUM(L12:L70)</f>
        <v>55840</v>
      </c>
      <c r="M11" s="46">
        <f>L11/K11</f>
        <v>0.6736070062849078</v>
      </c>
      <c r="N11" s="47">
        <f>SUM(N12:N70)</f>
        <v>47147</v>
      </c>
      <c r="O11" s="47">
        <f>SUM(O12:O70)</f>
        <v>1123</v>
      </c>
      <c r="P11" s="304">
        <f>SUM(P12:P70)</f>
        <v>252427</v>
      </c>
      <c r="R11" s="300">
        <f>P11+P76</f>
        <v>254821</v>
      </c>
      <c r="S11" s="299"/>
      <c r="T11" s="299"/>
      <c r="U11" s="299"/>
      <c r="V11" s="299"/>
      <c r="W11" s="299"/>
      <c r="X11" s="299"/>
      <c r="Y11" s="299"/>
      <c r="Z11" s="299"/>
    </row>
    <row r="12" spans="1:26" ht="12" customHeight="1">
      <c r="A12" s="324" t="s">
        <v>431</v>
      </c>
      <c r="B12" s="302">
        <f>IF(ISNA(VLOOKUP(A12,Entitlement_Data!A$3:C$64,2,FALSE)),"0",VLOOKUP(A12,Entitlement_Data!A$3:C$64,2,FALSE))</f>
        <v>19490</v>
      </c>
      <c r="C12" s="302">
        <f>IF(ISNA(VLOOKUP(A12,Entitlement_Data!A$3:D$64,3,FALSE)),"0",VLOOKUP(A12,Entitlement_Data!A$3:D$64,3,FALSE))</f>
        <v>16382</v>
      </c>
      <c r="D12" s="25">
        <f aca="true" t="shared" si="0" ref="D12:D56">C12/B12</f>
        <v>0.8405336069779374</v>
      </c>
      <c r="E12" s="354">
        <f>IF(ISNA(VLOOKUP(A12,'Award Adjustment_Data'!A$2:F$68,3,FALSE)),"0",VLOOKUP(A12,'Award Adjustment_Data'!A$2:F$68,3,FALSE))</f>
        <v>5620</v>
      </c>
      <c r="F12" s="354">
        <f>IF(ISNA(VLOOKUP(A12,'Award Adjustment_Data'!A$2:G$68,4,FALSE)),"0",VLOOKUP(A12,'Award Adjustment_Data'!A$2:G$68,4,FALSE))</f>
        <v>4225</v>
      </c>
      <c r="G12" s="25">
        <f aca="true" t="shared" si="1" ref="G12:G70">F12/E12</f>
        <v>0.751779359430605</v>
      </c>
      <c r="H12" s="1">
        <f>IF(ISNA(VLOOKUP($A12,Program_Review_Data!A2:E66,2,FALSE)),"0",VLOOKUP($A12,Program_Review_Data!A2:E66,2,FALSE))</f>
        <v>909</v>
      </c>
      <c r="I12" s="1">
        <f>IF(ISNA(VLOOKUP($A12,Program_Review_Data!A2:F66,3,FALSE)),"0",VLOOKUP($A12,Program_Review_Data!A2:F66,3,FALSE))</f>
        <v>433</v>
      </c>
      <c r="J12" s="25">
        <f aca="true" t="shared" si="2" ref="J12:J56">I12/H12</f>
        <v>0.47634763476347636</v>
      </c>
      <c r="K12" s="1">
        <f>IF(ISNA(VLOOKUP($A12,Other_Data!A2:E66,2,FALSE)),"0",VLOOKUP($A12,Other_Data!A2:E66,2,FALSE))</f>
        <v>2261</v>
      </c>
      <c r="L12" s="1">
        <f>IF(ISNA(VLOOKUP($A12,Other_Data!A2:E66,3,FALSE)),"0",VLOOKUP($A12,Other_Data!A2:E66,3,FALSE))</f>
        <v>1540</v>
      </c>
      <c r="M12" s="25">
        <f aca="true" t="shared" si="3" ref="M12:M70">L12/K12</f>
        <v>0.6811145510835913</v>
      </c>
      <c r="N12" s="1">
        <f>IF(ISNA(VLOOKUP($A12,Burial_Data!$A$2:$C$65,2,FALSE)),"0",VLOOKUP($A12,Burial_Data!$A$2:$C$65,2,FALSE))</f>
        <v>2</v>
      </c>
      <c r="O12" s="1">
        <f>IF(ISNA(VLOOKUP($A12,Accrued_Data!$A$2:$D$68,3,FALSE)),"0",VLOOKUP($A12,Accrued_Data!$A$2:$D$68,3,FALSE))</f>
        <v>2</v>
      </c>
      <c r="P12" s="303">
        <f>'[1]ResultingReport'!$J$8</f>
        <v>3363</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11222</v>
      </c>
      <c r="C13" s="302">
        <f>IF(ISNA(VLOOKUP(A13,Entitlement_Data!A$3:D$64,3,FALSE)),"0",VLOOKUP(A13,Entitlement_Data!A$3:D$64,3,FALSE))</f>
        <v>8557</v>
      </c>
      <c r="D13" s="25">
        <f t="shared" si="0"/>
        <v>0.7625200499019783</v>
      </c>
      <c r="E13" s="354">
        <f>IF(ISNA(VLOOKUP(A13,'Award Adjustment_Data'!A$2:F$68,3,FALSE)),"0",VLOOKUP(A13,'Award Adjustment_Data'!A$2:F$68,3,FALSE))</f>
        <v>4079</v>
      </c>
      <c r="F13" s="354">
        <f>IF(ISNA(VLOOKUP(A13,'Award Adjustment_Data'!A$2:G$68,4,FALSE)),"0",VLOOKUP(A13,'Award Adjustment_Data'!A$2:G$68,4,FALSE))</f>
        <v>1995</v>
      </c>
      <c r="G13" s="25">
        <f t="shared" si="1"/>
        <v>0.48909046334886</v>
      </c>
      <c r="H13" s="1">
        <f>IF(ISNA(VLOOKUP(A13,Program_Review_Data!A3:E67,2,FALSE)),"0",VLOOKUP(A13,Program_Review_Data!A3:E67,2,FALSE))</f>
        <v>1279</v>
      </c>
      <c r="I13" s="1">
        <f>IF(ISNA(VLOOKUP($A13,Program_Review_Data!A3:F67,3,FALSE)),"0",VLOOKUP($A13,Program_Review_Data!A3:F67,3,FALSE))</f>
        <v>519</v>
      </c>
      <c r="J13" s="25">
        <f t="shared" si="2"/>
        <v>0.40578577013291633</v>
      </c>
      <c r="K13" s="1">
        <f>IF(ISNA(VLOOKUP($A13,Other_Data!A3:E67,2,FALSE)),"0",VLOOKUP($A13,Other_Data!A3:E67,2,FALSE))</f>
        <v>814</v>
      </c>
      <c r="L13" s="1">
        <f>IF(ISNA(VLOOKUP($A13,Other_Data!A3:E67,3,FALSE)),"0",VLOOKUP($A13,Other_Data!A3:E67,3,FALSE))</f>
        <v>620</v>
      </c>
      <c r="M13" s="25">
        <f t="shared" si="3"/>
        <v>0.7616707616707616</v>
      </c>
      <c r="N13" s="1">
        <f>IF(ISNA(VLOOKUP($A13,Burial_Data!$A$2:$C$65,2,FALSE)),"0",VLOOKUP($A13,Burial_Data!$A$2:$C$65,2,FALSE))</f>
        <v>1</v>
      </c>
      <c r="O13" s="354">
        <f>IF(ISNA(VLOOKUP($A13,Accrued_Data!$A$2:$D$68,3,FALSE)),"0",VLOOKUP($A13,Accrued_Data!$A$2:$D$68,3,FALSE))</f>
        <v>1</v>
      </c>
      <c r="P13" s="303">
        <f>'[1]ResultingReport'!$J9</f>
        <v>3992</v>
      </c>
      <c r="Q13" s="1"/>
    </row>
    <row r="14" spans="1:17" ht="12" customHeight="1">
      <c r="A14" s="324" t="s">
        <v>334</v>
      </c>
      <c r="B14" s="302">
        <f>IF(ISNA(VLOOKUP(A14,Entitlement_Data!A$3:C$64,2,FALSE)),"0",VLOOKUP(A14,Entitlement_Data!A$3:C$64,2,FALSE))+1</f>
        <v>7856</v>
      </c>
      <c r="C14" s="302">
        <f>IF(ISNA(VLOOKUP(A14,Entitlement_Data!A$3:D$64,3,FALSE)),"0",VLOOKUP(A14,Entitlement_Data!A$3:D$64,3,FALSE))+1</f>
        <v>4783</v>
      </c>
      <c r="D14" s="25">
        <f t="shared" si="0"/>
        <v>0.6088340122199593</v>
      </c>
      <c r="E14" s="354">
        <f>IF(ISNA(VLOOKUP(A14,'Award Adjustment_Data'!A$2:F$68,3,FALSE)),"0",VLOOKUP(A14,'Award Adjustment_Data'!A$2:F$68,3,FALSE))</f>
        <v>3704</v>
      </c>
      <c r="F14" s="354">
        <f>IF(ISNA(VLOOKUP(A14,'Award Adjustment_Data'!A$2:G$68,4,FALSE)),"0",VLOOKUP(A14,'Award Adjustment_Data'!A$2:G$68,4,FALSE))</f>
        <v>2175</v>
      </c>
      <c r="G14" s="25">
        <f t="shared" si="1"/>
        <v>0.5872030237580994</v>
      </c>
      <c r="H14" s="1">
        <f>IF(ISNA(VLOOKUP(A14,Program_Review_Data!A4:E68,2,FALSE)),"0",VLOOKUP(A14,Program_Review_Data!A4:E68,2,FALSE))</f>
        <v>328</v>
      </c>
      <c r="I14" s="1">
        <f>IF(ISNA(VLOOKUP($A14,Program_Review_Data!A4:F68,3,FALSE)),"0",VLOOKUP($A14,Program_Review_Data!A4:F68,3,FALSE))</f>
        <v>112</v>
      </c>
      <c r="J14" s="25">
        <f t="shared" si="2"/>
        <v>0.34146341463414637</v>
      </c>
      <c r="K14" s="1">
        <f>IF(ISNA(VLOOKUP($A14,Other_Data!A4:E68,2,FALSE)),"0",VLOOKUP($A14,Other_Data!A4:E68,2,FALSE))</f>
        <v>650</v>
      </c>
      <c r="L14" s="1">
        <f>IF(ISNA(VLOOKUP($A14,Other_Data!A4:E68,3,FALSE)),"0",VLOOKUP($A14,Other_Data!A4:E68,3,FALSE))</f>
        <v>425</v>
      </c>
      <c r="M14" s="25">
        <f t="shared" si="3"/>
        <v>0.6538461538461539</v>
      </c>
      <c r="N14" s="1">
        <f>IF(ISNA(VLOOKUP($A14,Burial_Data!$A$2:$C$65,2,FALSE)),"0",VLOOKUP($A14,Burial_Data!$A$2:$C$65,2,FALSE))</f>
        <v>2</v>
      </c>
      <c r="O14" s="1">
        <f>IF(ISNA(VLOOKUP($A14,Accrued_Data!$A$2:$D$68,3,FALSE)),"0",VLOOKUP($A14,Accrued_Data!$A$2:$D$68,3,FALSE))</f>
        <v>2</v>
      </c>
      <c r="P14" s="303">
        <f>'[1]ResultingReport'!$J10</f>
        <v>1146</v>
      </c>
      <c r="Q14" s="1"/>
    </row>
    <row r="15" spans="1:17" ht="12" customHeight="1">
      <c r="A15" s="324" t="s">
        <v>436</v>
      </c>
      <c r="B15" s="302">
        <f>IF(ISNA(VLOOKUP(A15,Entitlement_Data!A$3:C$64,2,FALSE)),"0",VLOOKUP(A15,Entitlement_Data!A$3:C$64,2,FALSE))</f>
        <v>23761</v>
      </c>
      <c r="C15" s="302">
        <f>IF(ISNA(VLOOKUP(A15,Entitlement_Data!A$3:D$64,3,FALSE)),"0",VLOOKUP(A15,Entitlement_Data!A$3:D$64,3,FALSE))</f>
        <v>16952</v>
      </c>
      <c r="D15" s="25">
        <f t="shared" si="0"/>
        <v>0.7134379866167249</v>
      </c>
      <c r="E15" s="354">
        <f>IF(ISNA(VLOOKUP(A15,'Award Adjustment_Data'!A$2:F$68,3,FALSE)),"0",VLOOKUP(A15,'Award Adjustment_Data'!A$2:F$68,3,FALSE))</f>
        <v>6922</v>
      </c>
      <c r="F15" s="354">
        <f>IF(ISNA(VLOOKUP(A15,'Award Adjustment_Data'!A$2:G$68,4,FALSE)),"0",VLOOKUP(A15,'Award Adjustment_Data'!A$2:G$68,4,FALSE))</f>
        <v>4008</v>
      </c>
      <c r="G15" s="25">
        <f t="shared" si="1"/>
        <v>0.5790234036405663</v>
      </c>
      <c r="H15" s="1">
        <f>IF(ISNA(VLOOKUP(A15,Program_Review_Data!A5:E69,2,FALSE)),"0",VLOOKUP(A15,Program_Review_Data!A5:E69,2,FALSE))</f>
        <v>2082</v>
      </c>
      <c r="I15" s="1">
        <f>IF(ISNA(VLOOKUP($A15,Program_Review_Data!A5:F69,3,FALSE)),"0",VLOOKUP($A15,Program_Review_Data!A5:F69,3,FALSE))</f>
        <v>1137</v>
      </c>
      <c r="J15" s="25">
        <f t="shared" si="2"/>
        <v>0.5461095100864554</v>
      </c>
      <c r="K15" s="1">
        <f>IF(ISNA(VLOOKUP($A15,Other_Data!A5:E69,2,FALSE)),"0",VLOOKUP($A15,Other_Data!A5:E69,2,FALSE))</f>
        <v>2067</v>
      </c>
      <c r="L15" s="1">
        <f>IF(ISNA(VLOOKUP($A15,Other_Data!A5:E69,3,FALSE)),"0",VLOOKUP($A15,Other_Data!A5:E69,3,FALSE))</f>
        <v>1365</v>
      </c>
      <c r="M15" s="25">
        <f t="shared" si="3"/>
        <v>0.660377358490566</v>
      </c>
      <c r="N15" s="1">
        <f>IF(ISNA(VLOOKUP($A15,Burial_Data!$A$2:$C$65,2,FALSE)),"0",VLOOKUP($A15,Burial_Data!$A$2:$C$65,2,FALSE))</f>
        <v>8</v>
      </c>
      <c r="O15" s="1">
        <f>IF(ISNA(VLOOKUP($A15,Accrued_Data!$A$2:$D$68,3,FALSE)),"0",VLOOKUP($A15,Accrued_Data!$A$2:$D$68,3,FALSE))</f>
        <v>98</v>
      </c>
      <c r="P15" s="303">
        <f>'[1]ResultingReport'!$J11</f>
        <v>8057</v>
      </c>
      <c r="Q15" s="1"/>
    </row>
    <row r="16" spans="1:17" ht="12" customHeight="1">
      <c r="A16" s="324" t="s">
        <v>440</v>
      </c>
      <c r="B16" s="302">
        <f>IF(ISNA(VLOOKUP(A16,Entitlement_Data!A$3:C$64,2,FALSE)),"0",VLOOKUP(A16,Entitlement_Data!A$3:C$64,2,FALSE))</f>
        <v>17416</v>
      </c>
      <c r="C16" s="302">
        <f>IF(ISNA(VLOOKUP(A16,Entitlement_Data!A$3:D$64,3,FALSE)),"0",VLOOKUP(A16,Entitlement_Data!A$3:D$64,3,FALSE))</f>
        <v>10767</v>
      </c>
      <c r="D16" s="25">
        <f t="shared" si="0"/>
        <v>0.6182246210381258</v>
      </c>
      <c r="E16" s="354">
        <f>IF(ISNA(VLOOKUP(A16,'Award Adjustment_Data'!A$2:F$68,3,FALSE)),"0",VLOOKUP(A16,'Award Adjustment_Data'!A$2:F$68,3,FALSE))</f>
        <v>5592</v>
      </c>
      <c r="F16" s="354">
        <f>IF(ISNA(VLOOKUP(A16,'Award Adjustment_Data'!A$2:G$68,4,FALSE)),"0",VLOOKUP(A16,'Award Adjustment_Data'!A$2:G$68,4,FALSE))</f>
        <v>3486</v>
      </c>
      <c r="G16" s="25">
        <f t="shared" si="1"/>
        <v>0.6233905579399142</v>
      </c>
      <c r="H16" s="1">
        <f>IF(ISNA(VLOOKUP(A16,Program_Review_Data!A6:E70,2,FALSE)),"0",VLOOKUP(A16,Program_Review_Data!A6:E70,2,FALSE))</f>
        <v>2034</v>
      </c>
      <c r="I16" s="1">
        <f>IF(ISNA(VLOOKUP($A16,Program_Review_Data!A6:F70,3,FALSE)),"0",VLOOKUP($A16,Program_Review_Data!A6:F70,3,FALSE))</f>
        <v>302</v>
      </c>
      <c r="J16" s="25">
        <f t="shared" si="2"/>
        <v>0.14847590953785644</v>
      </c>
      <c r="K16" s="1">
        <f>IF(ISNA(VLOOKUP($A16,Other_Data!A6:E70,2,FALSE)),"0",VLOOKUP($A16,Other_Data!A6:E70,2,FALSE))</f>
        <v>2017</v>
      </c>
      <c r="L16" s="1">
        <f>IF(ISNA(VLOOKUP($A16,Other_Data!A6:E70,3,FALSE)),"0",VLOOKUP($A16,Other_Data!A6:E70,3,FALSE))</f>
        <v>1583</v>
      </c>
      <c r="M16" s="25">
        <f t="shared" si="3"/>
        <v>0.7848289538919186</v>
      </c>
      <c r="N16" s="1">
        <f>IF(ISNA(VLOOKUP($A16,Burial_Data!$A$2:$C$65,2,FALSE)),"0",VLOOKUP($A16,Burial_Data!$A$2:$C$65,2,FALSE))</f>
        <v>5</v>
      </c>
      <c r="O16" s="1">
        <f>IF(ISNA(VLOOKUP($A16,Accrued_Data!$A$2:$D$68,3,FALSE)),"0",VLOOKUP($A16,Accrued_Data!$A$2:$D$68,3,FALSE))</f>
        <v>43</v>
      </c>
      <c r="P16" s="303">
        <f>'[1]ResultingReport'!$J12</f>
        <v>5874</v>
      </c>
      <c r="Q16" s="1"/>
    </row>
    <row r="17" spans="1:17" ht="12" customHeight="1">
      <c r="A17" s="324" t="s">
        <v>443</v>
      </c>
      <c r="B17" s="302">
        <f>IF(ISNA(VLOOKUP(A17,Entitlement_Data!A$3:C$64,2,FALSE)),"0",VLOOKUP(A17,Entitlement_Data!A$3:C$64,2,FALSE))</f>
        <v>2922</v>
      </c>
      <c r="C17" s="302">
        <f>IF(ISNA(VLOOKUP(A17,Entitlement_Data!A$3:D$64,3,FALSE)),"0",VLOOKUP(A17,Entitlement_Data!A$3:D$64,3,FALSE))</f>
        <v>1253</v>
      </c>
      <c r="D17" s="25">
        <f t="shared" si="0"/>
        <v>0.42881587953456535</v>
      </c>
      <c r="E17" s="354">
        <f>IF(ISNA(VLOOKUP(A17,'Award Adjustment_Data'!A$2:F$68,3,FALSE)),"0",VLOOKUP(A17,'Award Adjustment_Data'!A$2:F$68,3,FALSE))</f>
        <v>1107</v>
      </c>
      <c r="F17" s="354">
        <f>IF(ISNA(VLOOKUP(A17,'Award Adjustment_Data'!A$2:G$68,4,FALSE)),"0",VLOOKUP(A17,'Award Adjustment_Data'!A$2:G$68,4,FALSE))</f>
        <v>310</v>
      </c>
      <c r="G17" s="25">
        <f t="shared" si="1"/>
        <v>0.2800361336946703</v>
      </c>
      <c r="H17" s="1">
        <f>IF(ISNA(VLOOKUP(A17,Program_Review_Data!A7:E71,2,FALSE)),"0",VLOOKUP(A17,Program_Review_Data!A7:E71,2,FALSE))</f>
        <v>156</v>
      </c>
      <c r="I17" s="1">
        <f>IF(ISNA(VLOOKUP($A17,Program_Review_Data!A7:F71,3,FALSE)),"0",VLOOKUP($A17,Program_Review_Data!A7:F71,3,FALSE))</f>
        <v>6</v>
      </c>
      <c r="J17" s="25">
        <f t="shared" si="2"/>
        <v>0.038461538461538464</v>
      </c>
      <c r="K17" s="1">
        <f>IF(ISNA(VLOOKUP($A17,Other_Data!A7:E71,2,FALSE)),"0",VLOOKUP($A17,Other_Data!A7:E71,2,FALSE))</f>
        <v>189</v>
      </c>
      <c r="L17" s="1">
        <f>IF(ISNA(VLOOKUP($A17,Other_Data!A7:E71,3,FALSE)),"0",VLOOKUP($A17,Other_Data!A7:E71,3,FALSE))</f>
        <v>80</v>
      </c>
      <c r="M17" s="25">
        <f t="shared" si="3"/>
        <v>0.42328042328042326</v>
      </c>
      <c r="N17" s="1">
        <f>IF(ISNA(VLOOKUP($A17,Burial_Data!$A$2:$C$65,2,FALSE)),"0",VLOOKUP($A17,Burial_Data!$A$2:$C$65,2,FALSE))</f>
        <v>0</v>
      </c>
      <c r="O17" s="1" t="str">
        <f>IF(ISNA(VLOOKUP($A17,Accrued_Data!$A$2:$D$68,3,FALSE)),"0",VLOOKUP($A17,Accrued_Data!$A$2:$D$68,3,FALSE))</f>
        <v>0</v>
      </c>
      <c r="P17" s="303">
        <f>'[1]ResultingReport'!$J13</f>
        <v>848</v>
      </c>
      <c r="Q17" s="1"/>
    </row>
    <row r="18" spans="1:17" ht="12" customHeight="1">
      <c r="A18" t="s">
        <v>447</v>
      </c>
      <c r="B18" s="302">
        <f>IF(ISNA(VLOOKUP(A18,Entitlement_Data!A$3:C$64,2,FALSE)),"0",VLOOKUP(A18,Entitlement_Data!A$3:C$64,2,FALSE))</f>
        <v>18932</v>
      </c>
      <c r="C18" s="302">
        <f>IF(ISNA(VLOOKUP(A18,Entitlement_Data!A$3:D$64,3,FALSE)),"0",VLOOKUP(A18,Entitlement_Data!A$3:D$64,3,FALSE))</f>
        <v>14987</v>
      </c>
      <c r="D18" s="25">
        <f t="shared" si="0"/>
        <v>0.7916226494823579</v>
      </c>
      <c r="E18" s="354">
        <f>IF(ISNA(VLOOKUP(A18,'Award Adjustment_Data'!A$2:F$68,3,FALSE)),"0",VLOOKUP(A18,'Award Adjustment_Data'!A$2:F$68,3,FALSE))</f>
        <v>5814</v>
      </c>
      <c r="F18" s="354">
        <f>IF(ISNA(VLOOKUP(A18,'Award Adjustment_Data'!A$2:G$68,4,FALSE)),"0",VLOOKUP(A18,'Award Adjustment_Data'!A$2:G$68,4,FALSE))</f>
        <v>4170</v>
      </c>
      <c r="G18" s="25">
        <f t="shared" si="1"/>
        <v>0.717234262125903</v>
      </c>
      <c r="H18" s="1">
        <f>IF(ISNA(VLOOKUP(A18,Program_Review_Data!A8:E72,2,FALSE)),"0",VLOOKUP(A18,Program_Review_Data!A8:E72,2,FALSE))</f>
        <v>777</v>
      </c>
      <c r="I18" s="1">
        <f>IF(ISNA(VLOOKUP($A18,Program_Review_Data!A8:F72,3,FALSE)),"0",VLOOKUP($A18,Program_Review_Data!A8:F72,3,FALSE))</f>
        <v>362</v>
      </c>
      <c r="J18" s="25">
        <f t="shared" si="2"/>
        <v>0.46589446589446587</v>
      </c>
      <c r="K18" s="1">
        <f>IF(ISNA(VLOOKUP($A18,Other_Data!A8:E72,2,FALSE)),"0",VLOOKUP($A18,Other_Data!A8:E72,2,FALSE))</f>
        <v>2050</v>
      </c>
      <c r="L18" s="1">
        <f>IF(ISNA(VLOOKUP($A18,Other_Data!A8:E72,3,FALSE)),"0",VLOOKUP($A18,Other_Data!A8:E72,3,FALSE))</f>
        <v>1538</v>
      </c>
      <c r="M18" s="25">
        <f t="shared" si="3"/>
        <v>0.7502439024390244</v>
      </c>
      <c r="N18" s="1">
        <f>IF(ISNA(VLOOKUP($A18,Burial_Data!$A$2:$C$65,2,FALSE)),"0",VLOOKUP($A18,Burial_Data!$A$2:$C$65,2,FALSE))</f>
        <v>6</v>
      </c>
      <c r="O18" s="1">
        <f>IF(ISNA(VLOOKUP($A18,Accrued_Data!$A$2:$D$68,3,FALSE)),"0",VLOOKUP($A18,Accrued_Data!$A$2:$D$68,3,FALSE))</f>
        <v>65</v>
      </c>
      <c r="P18" s="303">
        <f>'[1]ResultingReport'!$J14</f>
        <v>4594</v>
      </c>
      <c r="Q18" s="1"/>
    </row>
    <row r="19" spans="1:17" ht="12" customHeight="1">
      <c r="A19" t="s">
        <v>453</v>
      </c>
      <c r="B19" s="302">
        <f>IF(ISNA(VLOOKUP(A19,Entitlement_Data!A$3:C$64,2,FALSE)),"0",VLOOKUP(A19,Entitlement_Data!A$3:C$64,2,FALSE))</f>
        <v>2212</v>
      </c>
      <c r="C19" s="302">
        <f>IF(ISNA(VLOOKUP(A19,Entitlement_Data!A$3:D$64,3,FALSE)),"0",VLOOKUP(A19,Entitlement_Data!A$3:D$64,3,FALSE))</f>
        <v>1447</v>
      </c>
      <c r="D19" s="25">
        <f t="shared" si="0"/>
        <v>0.6541591320072333</v>
      </c>
      <c r="E19" s="354">
        <f>IF(ISNA(VLOOKUP(A19,'Award Adjustment_Data'!A$2:F$68,3,FALSE)),"0",VLOOKUP(A19,'Award Adjustment_Data'!A$2:F$68,3,FALSE))</f>
        <v>994</v>
      </c>
      <c r="F19" s="354">
        <f>IF(ISNA(VLOOKUP(A19,'Award Adjustment_Data'!A$2:G$68,4,FALSE)),"0",VLOOKUP(A19,'Award Adjustment_Data'!A$2:G$68,4,FALSE))</f>
        <v>536</v>
      </c>
      <c r="G19" s="25">
        <f t="shared" si="1"/>
        <v>0.5392354124748491</v>
      </c>
      <c r="H19" s="1">
        <f>IF(ISNA(VLOOKUP(A19,Program_Review_Data!A9:E73,2,FALSE)),"0",VLOOKUP(A19,Program_Review_Data!A9:E73,2,FALSE))</f>
        <v>216</v>
      </c>
      <c r="I19" s="1">
        <f>IF(ISNA(VLOOKUP($A19,Program_Review_Data!A9:F73,3,FALSE)),"0",VLOOKUP($A19,Program_Review_Data!A9:F73,3,FALSE))</f>
        <v>74</v>
      </c>
      <c r="J19" s="25">
        <f t="shared" si="2"/>
        <v>0.3425925925925926</v>
      </c>
      <c r="K19" s="1">
        <f>IF(ISNA(VLOOKUP($A19,Other_Data!A9:E73,2,FALSE)),"0",VLOOKUP($A19,Other_Data!A9:E73,2,FALSE))</f>
        <v>156</v>
      </c>
      <c r="L19" s="1">
        <f>IF(ISNA(VLOOKUP($A19,Other_Data!A9:E73,3,FALSE)),"0",VLOOKUP($A19,Other_Data!A9:E73,3,FALSE))</f>
        <v>104</v>
      </c>
      <c r="M19" s="25">
        <f t="shared" si="3"/>
        <v>0.6666666666666666</v>
      </c>
      <c r="N19" s="1">
        <f>IF(ISNA(VLOOKUP($A19,Burial_Data!$A$2:$C$65,2,FALSE)),"0",VLOOKUP($A19,Burial_Data!$A$2:$C$65,2,FALSE))</f>
        <v>1</v>
      </c>
      <c r="O19" s="354">
        <f>IF(ISNA(VLOOKUP($A19,Accrued_Data!$A$2:$D$68,3,FALSE)),"0",VLOOKUP($A19,Accrued_Data!$A$2:$D$68,3,FALSE))</f>
        <v>1</v>
      </c>
      <c r="P19" s="303">
        <f>'[1]ResultingReport'!$J15</f>
        <v>725</v>
      </c>
      <c r="Q19" s="1"/>
    </row>
    <row r="20" spans="1:17" ht="12" customHeight="1">
      <c r="A20" t="s">
        <v>459</v>
      </c>
      <c r="B20" s="302">
        <f>IF(ISNA(VLOOKUP(A20,Entitlement_Data!A$3:C$64,2,FALSE)),"0",VLOOKUP(A20,Entitlement_Data!A$3:C$64,2,FALSE))</f>
        <v>12773</v>
      </c>
      <c r="C20" s="302">
        <f>IF(ISNA(VLOOKUP(A20,Entitlement_Data!A$3:D$64,3,FALSE)),"0",VLOOKUP(A20,Entitlement_Data!A$3:D$64,3,FALSE))</f>
        <v>10470</v>
      </c>
      <c r="D20" s="25">
        <f t="shared" si="0"/>
        <v>0.8196978000469741</v>
      </c>
      <c r="E20" s="354">
        <f>IF(ISNA(VLOOKUP(A20,'Award Adjustment_Data'!A$2:F$68,3,FALSE)),"0",VLOOKUP(A20,'Award Adjustment_Data'!A$2:F$68,3,FALSE))</f>
        <v>4686</v>
      </c>
      <c r="F20" s="354">
        <f>IF(ISNA(VLOOKUP(A20,'Award Adjustment_Data'!A$2:G$68,4,FALSE)),"0",VLOOKUP(A20,'Award Adjustment_Data'!A$2:G$68,4,FALSE))</f>
        <v>2213</v>
      </c>
      <c r="G20" s="25">
        <f t="shared" si="1"/>
        <v>0.4722577891591976</v>
      </c>
      <c r="H20" s="1">
        <f>IF(ISNA(VLOOKUP(A20,Program_Review_Data!A10:E74,2,FALSE)),"0",VLOOKUP(A20,Program_Review_Data!A10:E74,2,FALSE))</f>
        <v>855</v>
      </c>
      <c r="I20" s="1">
        <f>IF(ISNA(VLOOKUP($A20,Program_Review_Data!A10:F74,3,FALSE)),"0",VLOOKUP($A20,Program_Review_Data!A10:F74,3,FALSE))</f>
        <v>256</v>
      </c>
      <c r="J20" s="25">
        <f t="shared" si="2"/>
        <v>0.2994152046783626</v>
      </c>
      <c r="K20" s="1">
        <f>IF(ISNA(VLOOKUP($A20,Other_Data!A10:E74,2,FALSE)),"0",VLOOKUP($A20,Other_Data!A10:E74,2,FALSE))</f>
        <v>791</v>
      </c>
      <c r="L20" s="1">
        <f>IF(ISNA(VLOOKUP($A20,Other_Data!A10:E74,3,FALSE)),"0",VLOOKUP($A20,Other_Data!A10:E74,3,FALSE))</f>
        <v>605</v>
      </c>
      <c r="M20" s="25">
        <f t="shared" si="3"/>
        <v>0.7648546144121365</v>
      </c>
      <c r="N20" s="1">
        <f>IF(ISNA(VLOOKUP($A20,Burial_Data!$A$2:$C$65,2,FALSE)),"0",VLOOKUP($A20,Burial_Data!$A$2:$C$65,2,FALSE))</f>
        <v>3</v>
      </c>
      <c r="O20" s="354">
        <f>IF(ISNA(VLOOKUP($A20,Accrued_Data!$A$2:$D$68,3,FALSE)),"0",VLOOKUP($A20,Accrued_Data!$A$2:$D$68,3,FALSE))</f>
        <v>4</v>
      </c>
      <c r="P20" s="303">
        <f>'[1]ResultingReport'!$J16</f>
        <v>3976</v>
      </c>
      <c r="Q20" s="268"/>
    </row>
    <row r="21" spans="1:17" ht="12" customHeight="1">
      <c r="A21" t="s">
        <v>460</v>
      </c>
      <c r="B21" s="302">
        <f>IF(ISNA(VLOOKUP(A21,Entitlement_Data!A$3:C$64,2,FALSE)),"0",VLOOKUP(A21,Entitlement_Data!A$3:C$64,2,FALSE))</f>
        <v>4463</v>
      </c>
      <c r="C21" s="302">
        <f>IF(ISNA(VLOOKUP(A21,Entitlement_Data!A$3:D$64,3,FALSE)),"0",VLOOKUP(A21,Entitlement_Data!A$3:D$64,3,FALSE))</f>
        <v>2577</v>
      </c>
      <c r="D21" s="25">
        <f t="shared" si="0"/>
        <v>0.5774142953170514</v>
      </c>
      <c r="E21" s="354">
        <f>IF(ISNA(VLOOKUP(A21,'Award Adjustment_Data'!A$2:F$68,3,FALSE)),"0",VLOOKUP(A21,'Award Adjustment_Data'!A$2:F$68,3,FALSE))</f>
        <v>1778</v>
      </c>
      <c r="F21" s="354">
        <f>IF(ISNA(VLOOKUP(A21,'Award Adjustment_Data'!A$2:G$68,4,FALSE)),"0",VLOOKUP(A21,'Award Adjustment_Data'!A$2:G$68,4,FALSE))</f>
        <v>1035</v>
      </c>
      <c r="G21" s="25">
        <f t="shared" si="1"/>
        <v>0.5821147356580427</v>
      </c>
      <c r="H21" s="1">
        <f>IF(ISNA(VLOOKUP(A21,Program_Review_Data!A11:E75,2,FALSE)),"0",VLOOKUP(A21,Program_Review_Data!A11:E75,2,FALSE))</f>
        <v>1042</v>
      </c>
      <c r="I21" s="1">
        <f>IF(ISNA(VLOOKUP($A21,Program_Review_Data!A11:F75,3,FALSE)),"0",VLOOKUP($A21,Program_Review_Data!A11:F75,3,FALSE))</f>
        <v>41</v>
      </c>
      <c r="J21" s="25">
        <f t="shared" si="2"/>
        <v>0.03934740882917467</v>
      </c>
      <c r="K21" s="1">
        <f>IF(ISNA(VLOOKUP($A21,Other_Data!A11:E75,2,FALSE)),"0",VLOOKUP($A21,Other_Data!A11:E75,2,FALSE))</f>
        <v>418</v>
      </c>
      <c r="L21" s="1">
        <f>IF(ISNA(VLOOKUP($A21,Other_Data!A11:E75,3,FALSE)),"0",VLOOKUP($A21,Other_Data!A11:E75,3,FALSE))</f>
        <v>271</v>
      </c>
      <c r="M21" s="25">
        <f t="shared" si="3"/>
        <v>0.6483253588516746</v>
      </c>
      <c r="N21" s="1">
        <f>IF(ISNA(VLOOKUP($A21,Burial_Data!$A$2:$C$65,2,FALSE)),"0",VLOOKUP($A21,Burial_Data!$A$2:$C$65,2,FALSE))</f>
        <v>0</v>
      </c>
      <c r="O21" s="1">
        <f>IF(ISNA(VLOOKUP($A21,Accrued_Data!$A$2:$D$68,3,FALSE)),"0",VLOOKUP($A21,Accrued_Data!$A$2:$D$68,3,FALSE))</f>
        <v>2</v>
      </c>
      <c r="P21" s="303">
        <f>'[1]ResultingReport'!$J17</f>
        <v>2190</v>
      </c>
      <c r="Q21" s="268"/>
    </row>
    <row r="22" spans="1:17" ht="12" customHeight="1">
      <c r="A22" s="325" t="s">
        <v>462</v>
      </c>
      <c r="B22" s="329">
        <f>IF(ISNA(VLOOKUP(A22,Entitlement_Data!A$3:C$64,2,FALSE)),"0",VLOOKUP(A22,Entitlement_Data!A$3:C$64,2,FALSE))</f>
        <v>22967</v>
      </c>
      <c r="C22" s="329">
        <f>IF(ISNA(VLOOKUP(A22,Entitlement_Data!A$3:D$64,3,FALSE)),"0",VLOOKUP(A22,Entitlement_Data!A$3:D$64,3,FALSE))</f>
        <v>14556</v>
      </c>
      <c r="D22" s="34">
        <f t="shared" si="0"/>
        <v>0.6337789001611007</v>
      </c>
      <c r="E22" s="329">
        <f>Award_Formulas!L2-Award_Formulas!O2</f>
        <v>5579</v>
      </c>
      <c r="F22" s="35">
        <f>Award_Formulas!L5-Award_Formulas!R2</f>
        <v>3569</v>
      </c>
      <c r="G22" s="34">
        <f t="shared" si="1"/>
        <v>0.6397203799964152</v>
      </c>
      <c r="H22" s="35">
        <f>IF(ISNA(VLOOKUP(A22,Program_Review_Data!A12:E76,2,FALSE)),"0",VLOOKUP(A22,Program_Review_Data!A12:E76,2,FALSE))</f>
        <v>6412</v>
      </c>
      <c r="I22" s="35">
        <f>IF(ISNA(VLOOKUP($A22,Program_Review_Data!A12:F76,3,FALSE)),"0",VLOOKUP($A22,Program_Review_Data!A12:F76,3,FALSE))</f>
        <v>3132</v>
      </c>
      <c r="J22" s="34">
        <f t="shared" si="2"/>
        <v>0.48845913911416095</v>
      </c>
      <c r="K22" s="35">
        <f>IF(ISNA(VLOOKUP($A22,Other_Data!A12:E76,2,FALSE)),"0",VLOOKUP($A22,Other_Data!A12:E76,2,FALSE))</f>
        <v>3559</v>
      </c>
      <c r="L22" s="35">
        <f>IF(ISNA(VLOOKUP($A22,Other_Data!A12:E76,3,FALSE)),"0",VLOOKUP($A22,Other_Data!A12:E76,3,FALSE))</f>
        <v>2624</v>
      </c>
      <c r="M22" s="34">
        <f t="shared" si="3"/>
        <v>0.7372857544254003</v>
      </c>
      <c r="N22" s="35">
        <f>IF(ISNA(VLOOKUP($A22,Burial_Data!$A$2:$C$65,2,FALSE)),"0",VLOOKUP($A22,Burial_Data!$A$2:$C$65,2,FALSE))</f>
        <v>16988</v>
      </c>
      <c r="O22" s="171" t="s">
        <v>3</v>
      </c>
      <c r="P22" s="308">
        <f>'[1]ResultingReport'!$J$19</f>
        <v>3402</v>
      </c>
      <c r="Q22" s="302"/>
    </row>
    <row r="23" spans="1:17" ht="12" customHeight="1">
      <c r="A23" t="s">
        <v>464</v>
      </c>
      <c r="B23" s="302">
        <f>IF(ISNA(VLOOKUP(A23,Entitlement_Data!A$3:C$64,2,FALSE)),"0",VLOOKUP(A23,Entitlement_Data!A$3:C$64,2,FALSE))</f>
        <v>11289</v>
      </c>
      <c r="C23" s="302">
        <f>IF(ISNA(VLOOKUP(A23,Entitlement_Data!A$3:D$64,3,FALSE)),"0",VLOOKUP(A23,Entitlement_Data!A$3:D$64,3,FALSE))</f>
        <v>8398</v>
      </c>
      <c r="D23" s="25">
        <f t="shared" si="0"/>
        <v>0.743910000885818</v>
      </c>
      <c r="E23" s="354">
        <f>IF(ISNA(VLOOKUP(A23,'Award Adjustment_Data'!A$2:F$68,3,FALSE)),"0",VLOOKUP(A23,'Award Adjustment_Data'!A$2:F$68,3,FALSE))</f>
        <v>4362</v>
      </c>
      <c r="F23" s="354">
        <f>IF(ISNA(VLOOKUP(A23,'Award Adjustment_Data'!A$2:G$68,4,FALSE)),"0",VLOOKUP(A23,'Award Adjustment_Data'!A$2:G$68,4,FALSE))</f>
        <v>3338</v>
      </c>
      <c r="G23" s="25">
        <f t="shared" si="1"/>
        <v>0.7652453003209537</v>
      </c>
      <c r="H23" s="1">
        <f>IF(ISNA(VLOOKUP(A23,Program_Review_Data!A13:E77,2,FALSE)),"0",VLOOKUP(A23,Program_Review_Data!A13:E77,2,FALSE))</f>
        <v>800</v>
      </c>
      <c r="I23" s="1">
        <f>IF(ISNA(VLOOKUP($A23,Program_Review_Data!A13:F77,3,FALSE)),"0",VLOOKUP($A23,Program_Review_Data!A13:F77,3,FALSE))</f>
        <v>393</v>
      </c>
      <c r="J23" s="25">
        <f t="shared" si="2"/>
        <v>0.49125</v>
      </c>
      <c r="K23" s="268">
        <f>IF(ISNA(VLOOKUP($A23,Other_Data!A13:E77,2,FALSE)),"0",VLOOKUP($A23,Other_Data!A13:E77,2,FALSE))</f>
        <v>962</v>
      </c>
      <c r="L23" s="1">
        <f>IF(ISNA(VLOOKUP($A23,Other_Data!A13:E77,3,FALSE)),"0",VLOOKUP($A23,Other_Data!A13:E77,3,FALSE))</f>
        <v>651</v>
      </c>
      <c r="M23" s="25">
        <f t="shared" si="3"/>
        <v>0.6767151767151767</v>
      </c>
      <c r="N23" s="1">
        <f>IF(ISNA(VLOOKUP($A23,Burial_Data!$A$2:$C$65,2,FALSE)),"0",VLOOKUP($A23,Burial_Data!$A$2:$C$65,2,FALSE))</f>
        <v>3</v>
      </c>
      <c r="O23" s="1">
        <f>IF(ISNA(VLOOKUP($A23,Accrued_Data!$A$2:$D$68,3,FALSE)),"0",VLOOKUP($A23,Accrued_Data!$A$2:$D$68,3,FALSE))</f>
        <v>1</v>
      </c>
      <c r="P23" s="303">
        <f>'[1]ResultingReport'!$J$21</f>
        <v>2748</v>
      </c>
      <c r="Q23" s="268"/>
    </row>
    <row r="24" spans="1:17" ht="12" customHeight="1">
      <c r="A24" t="s">
        <v>466</v>
      </c>
      <c r="B24" s="302">
        <f>IF(ISNA(VLOOKUP(A24,Entitlement_Data!A$3:C$64,2,FALSE)),"0",VLOOKUP(A24,Entitlement_Data!A$3:C$64,2,FALSE))</f>
        <v>3952</v>
      </c>
      <c r="C24" s="302">
        <f>IF(ISNA(VLOOKUP(A24,Entitlement_Data!A$3:D$64,3,FALSE)),"0",VLOOKUP(A24,Entitlement_Data!A$3:D$64,3,FALSE))</f>
        <v>1600</v>
      </c>
      <c r="D24" s="25">
        <f t="shared" si="0"/>
        <v>0.4048582995951417</v>
      </c>
      <c r="E24" s="354">
        <f>IF(ISNA(VLOOKUP(A24,'Award Adjustment_Data'!A$2:F$68,3,FALSE)),"0",VLOOKUP(A24,'Award Adjustment_Data'!A$2:F$68,3,FALSE))</f>
        <v>1014</v>
      </c>
      <c r="F24" s="354">
        <f>IF(ISNA(VLOOKUP(A24,'Award Adjustment_Data'!A$2:G$68,4,FALSE)),"0",VLOOKUP(A24,'Award Adjustment_Data'!A$2:G$68,4,FALSE))</f>
        <v>321</v>
      </c>
      <c r="G24" s="25">
        <f t="shared" si="1"/>
        <v>0.3165680473372781</v>
      </c>
      <c r="H24" s="1">
        <f>IF(ISNA(VLOOKUP(A24,Program_Review_Data!A14:E78,2,FALSE)),"0",VLOOKUP(A24,Program_Review_Data!A14:E78,2,FALSE))</f>
        <v>388</v>
      </c>
      <c r="I24" s="1">
        <f>IF(ISNA(VLOOKUP($A24,Program_Review_Data!A14:F78,3,FALSE)),"0",VLOOKUP($A24,Program_Review_Data!A14:F78,3,FALSE))</f>
        <v>175</v>
      </c>
      <c r="J24" s="25">
        <f t="shared" si="2"/>
        <v>0.45103092783505155</v>
      </c>
      <c r="K24" s="268">
        <f>IF(ISNA(VLOOKUP($A24,Other_Data!A14:E78,2,FALSE)),"0",VLOOKUP($A24,Other_Data!A14:E78,2,FALSE))</f>
        <v>357</v>
      </c>
      <c r="L24" s="1">
        <f>IF(ISNA(VLOOKUP($A24,Other_Data!A14:E78,3,FALSE)),"0",VLOOKUP($A24,Other_Data!A14:E78,3,FALSE))</f>
        <v>147</v>
      </c>
      <c r="M24" s="25">
        <f t="shared" si="3"/>
        <v>0.4117647058823529</v>
      </c>
      <c r="N24" s="1">
        <f>IF(ISNA(VLOOKUP($A24,Burial_Data!$A$2:$C$65,2,FALSE)),"0",VLOOKUP($A24,Burial_Data!$A$2:$C$65,2,FALSE))</f>
        <v>0</v>
      </c>
      <c r="O24" s="354">
        <f>IF(ISNA(VLOOKUP($A24,Accrued_Data!$A$2:$D$68,3,FALSE)),"0",VLOOKUP($A24,Accrued_Data!$A$2:$D$68,3,FALSE))</f>
        <v>3</v>
      </c>
      <c r="P24" s="303">
        <f>'[1]ResultingReport'!$J24</f>
        <v>965</v>
      </c>
      <c r="Q24" s="268"/>
    </row>
    <row r="25" spans="1:17" ht="12" customHeight="1">
      <c r="A25" t="s">
        <v>477</v>
      </c>
      <c r="B25" s="302">
        <f>IF(ISNA(VLOOKUP(A25,Entitlement_Data!A$3:C$64,2,FALSE)),"0",VLOOKUP(A25,Entitlement_Data!A$3:C$64,2,FALSE))</f>
        <v>3200</v>
      </c>
      <c r="C25" s="302">
        <f>IF(ISNA(VLOOKUP(A25,Entitlement_Data!A$3:D$64,3,FALSE)),"0",VLOOKUP(A25,Entitlement_Data!A$3:D$64,3,FALSE))</f>
        <v>562</v>
      </c>
      <c r="D25" s="25">
        <f t="shared" si="0"/>
        <v>0.175625</v>
      </c>
      <c r="E25" s="354">
        <f>IF(ISNA(VLOOKUP(A25,'Award Adjustment_Data'!A$2:F$68,3,FALSE)),"0",VLOOKUP(A25,'Award Adjustment_Data'!A$2:F$68,3,FALSE))</f>
        <v>1980</v>
      </c>
      <c r="F25" s="354">
        <f>IF(ISNA(VLOOKUP(A25,'Award Adjustment_Data'!A$2:G$68,4,FALSE)),"0",VLOOKUP(A25,'Award Adjustment_Data'!A$2:G$68,4,FALSE))</f>
        <v>960</v>
      </c>
      <c r="G25" s="25">
        <f t="shared" si="1"/>
        <v>0.48484848484848486</v>
      </c>
      <c r="H25" s="1">
        <f>IF(ISNA(VLOOKUP(A25,Program_Review_Data!A15:E79,2,FALSE)),"0",VLOOKUP(A25,Program_Review_Data!A15:E79,2,FALSE))</f>
        <v>757</v>
      </c>
      <c r="I25" s="1">
        <f>IF(ISNA(VLOOKUP($A25,Program_Review_Data!A15:F79,3,FALSE)),"0",VLOOKUP($A25,Program_Review_Data!A15:F79,3,FALSE))</f>
        <v>218</v>
      </c>
      <c r="J25" s="25">
        <f t="shared" si="2"/>
        <v>0.28797886393659183</v>
      </c>
      <c r="K25" s="268">
        <f>IF(ISNA(VLOOKUP($A25,Other_Data!A15:E79,2,FALSE)),"0",VLOOKUP($A25,Other_Data!A15:E79,2,FALSE))</f>
        <v>157</v>
      </c>
      <c r="L25" s="1">
        <f>IF(ISNA(VLOOKUP($A25,Other_Data!A15:E79,3,FALSE)),"0",VLOOKUP($A25,Other_Data!A15:E79,3,FALSE))</f>
        <v>93</v>
      </c>
      <c r="M25" s="25">
        <f t="shared" si="3"/>
        <v>0.5923566878980892</v>
      </c>
      <c r="N25" s="1">
        <f>IF(ISNA(VLOOKUP($A25,Burial_Data!$A$2:$C$65,2,FALSE)),"0",VLOOKUP($A25,Burial_Data!$A$2:$C$65,2,FALSE))</f>
        <v>1</v>
      </c>
      <c r="O25" s="354">
        <f>IF(ISNA(VLOOKUP($A25,Accrued_Data!$A$2:$D$68,3,FALSE)),"0",VLOOKUP($A25,Accrued_Data!$A$2:$D$68,3,FALSE))</f>
        <v>1</v>
      </c>
      <c r="P25" s="303">
        <f>'[1]ResultingReport'!$J25</f>
        <v>513</v>
      </c>
      <c r="Q25" s="268"/>
    </row>
    <row r="26" spans="1:17" ht="12" customHeight="1">
      <c r="A26" t="s">
        <v>481</v>
      </c>
      <c r="B26" s="302">
        <f>IF(ISNA(VLOOKUP(A26,Entitlement_Data!A$3:C$64,2,FALSE)),"0",VLOOKUP(A26,Entitlement_Data!A$3:C$64,2,FALSE))</f>
        <v>993</v>
      </c>
      <c r="C26" s="302">
        <f>IF(ISNA(VLOOKUP(A26,Entitlement_Data!A$3:D$64,3,FALSE)),"0",VLOOKUP(A26,Entitlement_Data!A$3:D$64,3,FALSE))</f>
        <v>575</v>
      </c>
      <c r="D26" s="25">
        <f t="shared" si="0"/>
        <v>0.5790533736153072</v>
      </c>
      <c r="E26" s="354">
        <f>IF(ISNA(VLOOKUP(A26,'Award Adjustment_Data'!A$2:F$68,3,FALSE)),"0",VLOOKUP(A26,'Award Adjustment_Data'!A$2:F$68,3,FALSE))</f>
        <v>432</v>
      </c>
      <c r="F26" s="354">
        <f>IF(ISNA(VLOOKUP(A26,'Award Adjustment_Data'!A$2:G$68,4,FALSE)),"0",VLOOKUP(A26,'Award Adjustment_Data'!A$2:G$68,4,FALSE))</f>
        <v>211</v>
      </c>
      <c r="G26" s="25">
        <f t="shared" si="1"/>
        <v>0.48842592592592593</v>
      </c>
      <c r="H26" s="1">
        <f>IF(ISNA(VLOOKUP(A26,Program_Review_Data!A16:E80,2,FALSE)),"0",VLOOKUP(A26,Program_Review_Data!A16:E80,2,FALSE))</f>
        <v>106</v>
      </c>
      <c r="I26" s="1">
        <f>IF(ISNA(VLOOKUP($A26,Program_Review_Data!A16:F80,3,FALSE)),"0",VLOOKUP($A26,Program_Review_Data!A16:F80,3,FALSE))</f>
        <v>28</v>
      </c>
      <c r="J26" s="25">
        <f t="shared" si="2"/>
        <v>0.2641509433962264</v>
      </c>
      <c r="K26" s="268">
        <f>IF(ISNA(VLOOKUP($A26,Other_Data!A16:E80,2,FALSE)),"0",VLOOKUP($A26,Other_Data!A16:E80,2,FALSE))</f>
        <v>138</v>
      </c>
      <c r="L26" s="1">
        <f>IF(ISNA(VLOOKUP($A26,Other_Data!A16:E80,3,FALSE)),"0",VLOOKUP($A26,Other_Data!A16:E80,3,FALSE))</f>
        <v>99</v>
      </c>
      <c r="M26" s="25">
        <f t="shared" si="3"/>
        <v>0.717391304347826</v>
      </c>
      <c r="N26" s="1">
        <f>IF(ISNA(VLOOKUP($A26,Burial_Data!$A$2:$C$65,2,FALSE)),"0",VLOOKUP($A26,Burial_Data!$A$2:$C$65,2,FALSE))</f>
        <v>2</v>
      </c>
      <c r="O26" s="354" t="str">
        <f>IF(ISNA(VLOOKUP($A26,Accrued_Data!$A$2:$D$68,3,FALSE)),"0",VLOOKUP($A26,Accrued_Data!$A$2:$D$68,3,FALSE))</f>
        <v>0</v>
      </c>
      <c r="P26" s="303">
        <f>'[1]ResultingReport'!$J26</f>
        <v>410</v>
      </c>
      <c r="Q26" s="268"/>
    </row>
    <row r="27" spans="1:17" ht="12" customHeight="1">
      <c r="A27" s="328" t="s">
        <v>483</v>
      </c>
      <c r="B27" s="335">
        <f>IF(ISNA(VLOOKUP(A27,Entitlement_Data!A$3:C$64,2,FALSE)),"0",VLOOKUP(A27,Entitlement_Data!A$3:C$64,2,FALSE))</f>
        <v>1092</v>
      </c>
      <c r="C27" s="335">
        <f>IF(ISNA(VLOOKUP(A27,Entitlement_Data!A$3:D$64,3,FALSE)),"0",VLOOKUP(A27,Entitlement_Data!A$3:D$64,3,FALSE))</f>
        <v>558</v>
      </c>
      <c r="D27" s="32">
        <f t="shared" si="0"/>
        <v>0.510989010989011</v>
      </c>
      <c r="E27" s="355">
        <f>IF(ISNA(VLOOKUP(A27,'Award Adjustment_Data'!A$2:F$68,3,FALSE)),"0",VLOOKUP(A27,'Award Adjustment_Data'!A$2:F$68,3,FALSE))</f>
        <v>546</v>
      </c>
      <c r="F27" s="355">
        <f>IF(ISNA(VLOOKUP(A27,'Award Adjustment_Data'!A$2:G$68,4,FALSE)),"0",VLOOKUP(A27,'Award Adjustment_Data'!A$2:G$68,4,FALSE))</f>
        <v>334</v>
      </c>
      <c r="G27" s="32">
        <f t="shared" si="1"/>
        <v>0.6117216117216118</v>
      </c>
      <c r="H27" s="33">
        <f>IF(ISNA(VLOOKUP(A27,Program_Review_Data!A17:E81,2,FALSE)),"0",VLOOKUP(A27,Program_Review_Data!A17:E81,2,FALSE))</f>
        <v>75</v>
      </c>
      <c r="I27" s="33">
        <f>IF(ISNA(VLOOKUP($A27,Program_Review_Data!A17:F81,3,FALSE)),"0",VLOOKUP($A27,Program_Review_Data!A17:F81,3,FALSE))</f>
        <v>5</v>
      </c>
      <c r="J27" s="32">
        <f t="shared" si="2"/>
        <v>0.06666666666666667</v>
      </c>
      <c r="K27" s="270">
        <f>IF(ISNA(VLOOKUP($A27,Other_Data!A17:E81,2,FALSE)),"0",VLOOKUP($A27,Other_Data!A17:E81,2,FALSE))</f>
        <v>198</v>
      </c>
      <c r="L27" s="33">
        <f>IF(ISNA(VLOOKUP($A27,Other_Data!A17:E81,3,FALSE)),"0",VLOOKUP($A27,Other_Data!A17:E81,3,FALSE))</f>
        <v>137</v>
      </c>
      <c r="M27" s="32">
        <f t="shared" si="3"/>
        <v>0.6919191919191919</v>
      </c>
      <c r="N27" s="33">
        <f>IF(ISNA(VLOOKUP($A27,Burial_Data!$A$2:$C$65,2,FALSE)),"0",VLOOKUP($A27,Burial_Data!$A$2:$C$65,2,FALSE))</f>
        <v>0</v>
      </c>
      <c r="O27" s="355" t="str">
        <f>IF(ISNA(VLOOKUP($A27,Accrued_Data!$A$2:$D$68,3,FALSE)),"0",VLOOKUP($A27,Accrued_Data!$A$2:$D$68,3,FALSE))</f>
        <v>0</v>
      </c>
      <c r="P27" s="309">
        <f>'[1]ResultingReport'!$J29</f>
        <v>555</v>
      </c>
      <c r="Q27" s="295"/>
    </row>
    <row r="28" spans="1:17" ht="12" customHeight="1">
      <c r="A28" t="s">
        <v>335</v>
      </c>
      <c r="B28" s="302">
        <f>IF(ISNA(VLOOKUP(A28,Entitlement_Data!A$3:C$64,2,FALSE)),"0",VLOOKUP(A28,Entitlement_Data!A$3:C$64,2,FALSE))+1</f>
        <v>32285</v>
      </c>
      <c r="C28" s="302">
        <f>IF(ISNA(VLOOKUP(A28,Entitlement_Data!A$3:D$64,3,FALSE)),"0",VLOOKUP(A28,Entitlement_Data!A$3:D$64,3,FALSE))+1</f>
        <v>20420</v>
      </c>
      <c r="D28" s="25">
        <f t="shared" si="0"/>
        <v>0.6324918692891436</v>
      </c>
      <c r="E28" s="354">
        <f>IF(ISNA(VLOOKUP(A28,'Award Adjustment_Data'!A$2:F$68,3,FALSE)),"0",VLOOKUP(A28,'Award Adjustment_Data'!A$2:F$68,3,FALSE))</f>
        <v>11242</v>
      </c>
      <c r="F28" s="354">
        <f>IF(ISNA(VLOOKUP(A28,'Award Adjustment_Data'!A$2:G$68,4,FALSE)),"0",VLOOKUP(A28,'Award Adjustment_Data'!A$2:G$68,4,FALSE))</f>
        <v>6154</v>
      </c>
      <c r="G28" s="25">
        <f t="shared" si="1"/>
        <v>0.5474114926169721</v>
      </c>
      <c r="H28" s="1">
        <f>IF(ISNA(VLOOKUP(A28,Program_Review_Data!A18:E82,2,FALSE)),"0",VLOOKUP(A28,Program_Review_Data!A18:E82,2,FALSE))</f>
        <v>2071</v>
      </c>
      <c r="I28" s="1">
        <f>IF(ISNA(VLOOKUP($A28,Program_Review_Data!A18:F82,3,FALSE)),"0",VLOOKUP($A28,Program_Review_Data!A18:F82,3,FALSE))</f>
        <v>354</v>
      </c>
      <c r="J28" s="25">
        <f t="shared" si="2"/>
        <v>0.17093191694833415</v>
      </c>
      <c r="K28" s="268">
        <f>IF(ISNA(VLOOKUP($A28,Other_Data!A18:E82,2,FALSE)),"0",VLOOKUP($A28,Other_Data!A18:E82,2,FALSE))</f>
        <v>5192</v>
      </c>
      <c r="L28" s="1">
        <f>IF(ISNA(VLOOKUP($A28,Other_Data!A18:E82,3,FALSE)),"0",VLOOKUP($A28,Other_Data!A18:E82,3,FALSE))</f>
        <v>3113</v>
      </c>
      <c r="M28" s="25">
        <f t="shared" si="3"/>
        <v>0.5995762711864406</v>
      </c>
      <c r="N28" s="1">
        <f>IF(ISNA(VLOOKUP($A28,Burial_Data!$A$2:$C$65,2,FALSE)),"0",VLOOKUP($A28,Burial_Data!$A$2:$C$65,2,FALSE))</f>
        <v>2</v>
      </c>
      <c r="O28" s="354">
        <f>IF(ISNA(VLOOKUP($A28,Accrued_Data!$A$2:$D$68,3,FALSE)),"0",VLOOKUP($A28,Accrued_Data!$A$2:$D$68,3,FALSE))</f>
        <v>1</v>
      </c>
      <c r="P28" s="303">
        <f>'[1]ResultingReport'!$J$31</f>
        <v>11905</v>
      </c>
      <c r="Q28" s="268"/>
    </row>
    <row r="29" spans="1:17" ht="12" customHeight="1">
      <c r="A29" t="s">
        <v>437</v>
      </c>
      <c r="B29" s="302">
        <f>IF(ISNA(VLOOKUP(A29,Entitlement_Data!A$3:C$64,2,FALSE)),"0",VLOOKUP(A29,Entitlement_Data!A$3:C$64,2,FALSE))</f>
        <v>23790</v>
      </c>
      <c r="C29" s="302">
        <f>IF(ISNA(VLOOKUP(A29,Entitlement_Data!A$3:D$64,3,FALSE)),"0",VLOOKUP(A29,Entitlement_Data!A$3:D$64,3,FALSE))</f>
        <v>15503</v>
      </c>
      <c r="D29" s="25">
        <f t="shared" si="0"/>
        <v>0.651660361496427</v>
      </c>
      <c r="E29" s="354">
        <f>IF(ISNA(VLOOKUP(A29,'Award Adjustment_Data'!A$2:F$68,3,FALSE)),"0",VLOOKUP(A29,'Award Adjustment_Data'!A$2:F$68,3,FALSE))</f>
        <v>5335</v>
      </c>
      <c r="F29" s="354">
        <f>IF(ISNA(VLOOKUP(A29,'Award Adjustment_Data'!A$2:G$68,4,FALSE)),"0",VLOOKUP(A29,'Award Adjustment_Data'!A$2:G$68,4,FALSE))</f>
        <v>1459</v>
      </c>
      <c r="G29" s="25">
        <f t="shared" si="1"/>
        <v>0.27347703842549204</v>
      </c>
      <c r="H29" s="1">
        <f>IF(ISNA(VLOOKUP(A29,Program_Review_Data!A19:E83,2,FALSE)),"0",VLOOKUP(A29,Program_Review_Data!A19:E83,2,FALSE))</f>
        <v>880</v>
      </c>
      <c r="I29" s="1">
        <f>IF(ISNA(VLOOKUP($A29,Program_Review_Data!A19:F83,3,FALSE)),"0",VLOOKUP($A29,Program_Review_Data!A19:F83,3,FALSE))</f>
        <v>352</v>
      </c>
      <c r="J29" s="25">
        <f t="shared" si="2"/>
        <v>0.4</v>
      </c>
      <c r="K29" s="268">
        <f>IF(ISNA(VLOOKUP($A29,Other_Data!A19:E83,2,FALSE)),"0",VLOOKUP($A29,Other_Data!A19:E83,2,FALSE))</f>
        <v>994</v>
      </c>
      <c r="L29" s="1">
        <f>IF(ISNA(VLOOKUP($A29,Other_Data!A19:E83,3,FALSE)),"0",VLOOKUP($A29,Other_Data!A19:E83,3,FALSE))</f>
        <v>706</v>
      </c>
      <c r="M29" s="25">
        <f t="shared" si="3"/>
        <v>0.710261569416499</v>
      </c>
      <c r="N29" s="1">
        <f>IF(ISNA(VLOOKUP($A29,Burial_Data!$A$2:$C$65,2,FALSE)),"0",VLOOKUP($A29,Burial_Data!$A$2:$C$65,2,FALSE))</f>
        <v>3</v>
      </c>
      <c r="O29" s="354">
        <f>IF(ISNA(VLOOKUP($A29,Accrued_Data!$A$2:$D$68,3,FALSE)),"0",VLOOKUP($A29,Accrued_Data!$A$2:$D$68,3,FALSE))</f>
        <v>5</v>
      </c>
      <c r="P29" s="303">
        <f>'[1]ResultingReport'!$J32</f>
        <v>6064</v>
      </c>
      <c r="Q29" s="268"/>
    </row>
    <row r="30" spans="1:17" ht="12" customHeight="1">
      <c r="A30" t="s">
        <v>446</v>
      </c>
      <c r="B30" s="302">
        <f>IF(ISNA(VLOOKUP(A30,Entitlement_Data!A$3:C$64,2,FALSE)),"0",VLOOKUP(A30,Entitlement_Data!A$3:C$64,2,FALSE))</f>
        <v>10468</v>
      </c>
      <c r="C30" s="302">
        <f>IF(ISNA(VLOOKUP(A30,Entitlement_Data!A$3:D$64,3,FALSE)),"0",VLOOKUP(A30,Entitlement_Data!A$3:D$64,3,FALSE))</f>
        <v>5292</v>
      </c>
      <c r="D30" s="25">
        <f t="shared" si="0"/>
        <v>0.5055406954528086</v>
      </c>
      <c r="E30" s="354">
        <f>IF(ISNA(VLOOKUP(A30,'Award Adjustment_Data'!A$2:F$68,3,FALSE)),"0",VLOOKUP(A30,'Award Adjustment_Data'!A$2:F$68,3,FALSE))</f>
        <v>1902</v>
      </c>
      <c r="F30" s="354">
        <f>IF(ISNA(VLOOKUP(A30,'Award Adjustment_Data'!A$2:G$68,4,FALSE)),"0",VLOOKUP(A30,'Award Adjustment_Data'!A$2:G$68,4,FALSE))</f>
        <v>649</v>
      </c>
      <c r="G30" s="25">
        <f t="shared" si="1"/>
        <v>0.3412197686645636</v>
      </c>
      <c r="H30" s="1">
        <f>IF(ISNA(VLOOKUP(A30,Program_Review_Data!A20:E84,2,FALSE)),"0",VLOOKUP(A30,Program_Review_Data!A20:E84,2,FALSE))</f>
        <v>423</v>
      </c>
      <c r="I30" s="1">
        <f>IF(ISNA(VLOOKUP($A30,Program_Review_Data!A20:F84,3,FALSE)),"0",VLOOKUP($A30,Program_Review_Data!A20:F84,3,FALSE))</f>
        <v>119</v>
      </c>
      <c r="J30" s="25">
        <f t="shared" si="2"/>
        <v>0.28132387706855794</v>
      </c>
      <c r="K30" s="268">
        <f>IF(ISNA(VLOOKUP($A30,Other_Data!A20:E84,2,FALSE)),"0",VLOOKUP($A30,Other_Data!A20:E84,2,FALSE))</f>
        <v>653</v>
      </c>
      <c r="L30" s="1">
        <f>IF(ISNA(VLOOKUP($A30,Other_Data!A20:E84,3,FALSE)),"0",VLOOKUP($A30,Other_Data!A20:E84,3,FALSE))</f>
        <v>298</v>
      </c>
      <c r="M30" s="25">
        <f t="shared" si="3"/>
        <v>0.4563552833078101</v>
      </c>
      <c r="N30" s="1">
        <f>IF(ISNA(VLOOKUP($A30,Burial_Data!$A$2:$C$65,2,FALSE)),"0",VLOOKUP($A30,Burial_Data!$A$2:$C$65,2,FALSE))</f>
        <v>0</v>
      </c>
      <c r="O30" s="354">
        <f>IF(ISNA(VLOOKUP($A30,Accrued_Data!$A$2:$D$68,3,FALSE)),"0",VLOOKUP($A30,Accrued_Data!$A$2:$D$68,3,FALSE))</f>
        <v>4</v>
      </c>
      <c r="P30" s="303">
        <f>'[1]ResultingReport'!$J33</f>
        <v>3345</v>
      </c>
      <c r="Q30" s="268"/>
    </row>
    <row r="31" spans="1:17" ht="12" customHeight="1">
      <c r="A31" t="s">
        <v>448</v>
      </c>
      <c r="B31" s="302">
        <f>IF(ISNA(VLOOKUP(A31,Entitlement_Data!A$3:C$64,2,FALSE)),"0",VLOOKUP(A31,Entitlement_Data!A$3:C$64,2,FALSE))</f>
        <v>10444</v>
      </c>
      <c r="C31" s="302">
        <f>IF(ISNA(VLOOKUP(A31,Entitlement_Data!A$3:D$64,3,FALSE)),"0",VLOOKUP(A31,Entitlement_Data!A$3:D$64,3,FALSE))</f>
        <v>7292</v>
      </c>
      <c r="D31" s="25">
        <f t="shared" si="0"/>
        <v>0.6981999234009958</v>
      </c>
      <c r="E31" s="354">
        <f>IF(ISNA(VLOOKUP(A31,'Award Adjustment_Data'!A$2:F$68,3,FALSE)),"0",VLOOKUP(A31,'Award Adjustment_Data'!A$2:F$68,3,FALSE))</f>
        <v>3270</v>
      </c>
      <c r="F31" s="354">
        <f>IF(ISNA(VLOOKUP(A31,'Award Adjustment_Data'!A$2:G$68,4,FALSE)),"0",VLOOKUP(A31,'Award Adjustment_Data'!A$2:G$68,4,FALSE))</f>
        <v>819</v>
      </c>
      <c r="G31" s="25">
        <f t="shared" si="1"/>
        <v>0.25045871559633026</v>
      </c>
      <c r="H31" s="1">
        <f>IF(ISNA(VLOOKUP(A31,Program_Review_Data!A21:E85,2,FALSE)),"0",VLOOKUP(A31,Program_Review_Data!A21:E85,2,FALSE))</f>
        <v>1465</v>
      </c>
      <c r="I31" s="1">
        <f>IF(ISNA(VLOOKUP($A31,Program_Review_Data!A21:F85,3,FALSE)),"0",VLOOKUP($A31,Program_Review_Data!A21:F85,3,FALSE))</f>
        <v>1030</v>
      </c>
      <c r="J31" s="25">
        <f t="shared" si="2"/>
        <v>0.7030716723549488</v>
      </c>
      <c r="K31" s="268">
        <f>IF(ISNA(VLOOKUP($A31,Other_Data!A21:E85,2,FALSE)),"0",VLOOKUP($A31,Other_Data!A21:E85,2,FALSE))</f>
        <v>809</v>
      </c>
      <c r="L31" s="1">
        <f>IF(ISNA(VLOOKUP($A31,Other_Data!A21:E85,3,FALSE)),"0",VLOOKUP($A31,Other_Data!A21:E85,3,FALSE))</f>
        <v>581</v>
      </c>
      <c r="M31" s="25">
        <f t="shared" si="3"/>
        <v>0.7181705809641533</v>
      </c>
      <c r="N31" s="1">
        <f>IF(ISNA(VLOOKUP($A31,Burial_Data!$A$2:$C$65,2,FALSE)),"0",VLOOKUP($A31,Burial_Data!$A$2:$C$65,2,FALSE))</f>
        <v>36</v>
      </c>
      <c r="O31" s="354">
        <f>IF(ISNA(VLOOKUP($A31,Accrued_Data!$A$2:$D$68,3,FALSE)),"0",VLOOKUP($A31,Accrued_Data!$A$2:$D$68,3,FALSE))</f>
        <v>5</v>
      </c>
      <c r="P31" s="303">
        <f>'[1]ResultingReport'!$J34</f>
        <v>4028</v>
      </c>
      <c r="Q31" s="268"/>
    </row>
    <row r="32" spans="1:17" ht="12" customHeight="1">
      <c r="A32" t="s">
        <v>452</v>
      </c>
      <c r="B32" s="302">
        <f>IF(ISNA(VLOOKUP(A32,Entitlement_Data!A$3:C$64,2,FALSE)),"0",VLOOKUP(A32,Entitlement_Data!A$3:C$64,2,FALSE))</f>
        <v>11137</v>
      </c>
      <c r="C32" s="302">
        <f>IF(ISNA(VLOOKUP(A32,Entitlement_Data!A$3:D$64,3,FALSE)),"0",VLOOKUP(A32,Entitlement_Data!A$3:D$64,3,FALSE))</f>
        <v>7049</v>
      </c>
      <c r="D32" s="25">
        <f t="shared" si="0"/>
        <v>0.6329352608422376</v>
      </c>
      <c r="E32" s="354">
        <f>IF(ISNA(VLOOKUP(A32,'Award Adjustment_Data'!A$2:F$68,3,FALSE)),"0",VLOOKUP(A32,'Award Adjustment_Data'!A$2:F$68,3,FALSE))</f>
        <v>4938</v>
      </c>
      <c r="F32" s="354">
        <f>IF(ISNA(VLOOKUP(A32,'Award Adjustment_Data'!A$2:G$68,4,FALSE)),"0",VLOOKUP(A32,'Award Adjustment_Data'!A$2:G$68,4,FALSE))</f>
        <v>3645</v>
      </c>
      <c r="G32" s="25">
        <f t="shared" si="1"/>
        <v>0.7381530984204131</v>
      </c>
      <c r="H32" s="1">
        <f>IF(ISNA(VLOOKUP(A32,Program_Review_Data!A22:E86,2,FALSE)),"0",VLOOKUP(A32,Program_Review_Data!A22:E86,2,FALSE))</f>
        <v>1526</v>
      </c>
      <c r="I32" s="1">
        <f>IF(ISNA(VLOOKUP($A32,Program_Review_Data!A22:F86,3,FALSE)),"0",VLOOKUP($A32,Program_Review_Data!A22:F86,3,FALSE))</f>
        <v>1051</v>
      </c>
      <c r="J32" s="25">
        <f t="shared" si="2"/>
        <v>0.6887287024901704</v>
      </c>
      <c r="K32" s="268">
        <f>IF(ISNA(VLOOKUP($A32,Other_Data!A22:E86,2,FALSE)),"0",VLOOKUP($A32,Other_Data!A22:E86,2,FALSE))</f>
        <v>1450</v>
      </c>
      <c r="L32" s="1">
        <f>IF(ISNA(VLOOKUP($A32,Other_Data!A22:E86,3,FALSE)),"0",VLOOKUP($A32,Other_Data!A22:E86,3,FALSE))</f>
        <v>1057</v>
      </c>
      <c r="M32" s="25">
        <f t="shared" si="3"/>
        <v>0.7289655172413793</v>
      </c>
      <c r="N32" s="1">
        <f>IF(ISNA(VLOOKUP($A32,Burial_Data!$A$2:$C$65,2,FALSE)),"0",VLOOKUP($A32,Burial_Data!$A$2:$C$65,2,FALSE))</f>
        <v>23</v>
      </c>
      <c r="O32" s="354">
        <f>IF(ISNA(VLOOKUP($A32,Accrued_Data!$A$2:$D$68,3,FALSE)),"0",VLOOKUP($A32,Accrued_Data!$A$2:$D$68,3,FALSE))</f>
        <v>50</v>
      </c>
      <c r="P32" s="303">
        <f>'[1]ResultingReport'!$J35</f>
        <v>3188</v>
      </c>
      <c r="Q32" s="268"/>
    </row>
    <row r="33" spans="1:17" ht="12" customHeight="1">
      <c r="A33" t="s">
        <v>456</v>
      </c>
      <c r="B33" s="302">
        <f>IF(ISNA(VLOOKUP(A33,Entitlement_Data!A$3:C$64,2,FALSE)),"0",VLOOKUP(A33,Entitlement_Data!A$3:C$64,2,FALSE))+1</f>
        <v>14882</v>
      </c>
      <c r="C33" s="302">
        <f>IF(ISNA(VLOOKUP(A33,Entitlement_Data!A$3:D$64,3,FALSE)),"0",VLOOKUP(A33,Entitlement_Data!A$3:D$64,3,FALSE))+1</f>
        <v>9942</v>
      </c>
      <c r="D33" s="25">
        <f t="shared" si="0"/>
        <v>0.6680553689020293</v>
      </c>
      <c r="E33" s="354">
        <f>IF(ISNA(VLOOKUP(A33,'Award Adjustment_Data'!A$2:F$68,3,FALSE)),"0",VLOOKUP(A33,'Award Adjustment_Data'!A$2:F$68,3,FALSE))</f>
        <v>6812</v>
      </c>
      <c r="F33" s="354">
        <f>IF(ISNA(VLOOKUP(A33,'Award Adjustment_Data'!A$2:G$68,4,FALSE)),"0",VLOOKUP(A33,'Award Adjustment_Data'!A$2:G$68,4,FALSE))</f>
        <v>4144</v>
      </c>
      <c r="G33" s="25">
        <f t="shared" si="1"/>
        <v>0.6083382266588373</v>
      </c>
      <c r="H33" s="1">
        <f>IF(ISNA(VLOOKUP(A33,Program_Review_Data!A23:E87,2,FALSE)),"0",VLOOKUP(A33,Program_Review_Data!A23:E87,2,FALSE))</f>
        <v>3104</v>
      </c>
      <c r="I33" s="1">
        <f>IF(ISNA(VLOOKUP($A33,Program_Review_Data!A23:F87,3,FALSE)),"0",VLOOKUP($A33,Program_Review_Data!A23:F87,3,FALSE))</f>
        <v>1558</v>
      </c>
      <c r="J33" s="25">
        <f t="shared" si="2"/>
        <v>0.5019329896907216</v>
      </c>
      <c r="K33" s="268">
        <f>IF(ISNA(VLOOKUP($A33,Other_Data!A23:E87,2,FALSE)),"0",VLOOKUP($A33,Other_Data!A23:E87,2,FALSE))</f>
        <v>1172</v>
      </c>
      <c r="L33" s="1">
        <f>IF(ISNA(VLOOKUP($A33,Other_Data!A23:E87,3,FALSE)),"0",VLOOKUP($A33,Other_Data!A23:E87,3,FALSE))</f>
        <v>814</v>
      </c>
      <c r="M33" s="25">
        <f t="shared" si="3"/>
        <v>0.6945392491467577</v>
      </c>
      <c r="N33" s="1">
        <f>IF(ISNA(VLOOKUP($A33,Burial_Data!$A$2:$C$65,2,FALSE)),"0",VLOOKUP($A33,Burial_Data!$A$2:$C$65,2,FALSE))</f>
        <v>4</v>
      </c>
      <c r="O33" s="354">
        <f>IF(ISNA(VLOOKUP($A33,Accrued_Data!$A$2:$D$68,3,FALSE)),"0",VLOOKUP($A33,Accrued_Data!$A$2:$D$68,3,FALSE))</f>
        <v>67</v>
      </c>
      <c r="P33" s="303">
        <f>'[1]ResultingReport'!$J36</f>
        <v>10939</v>
      </c>
      <c r="Q33" s="268"/>
    </row>
    <row r="34" spans="1:17" ht="12" customHeight="1">
      <c r="A34" t="s">
        <v>457</v>
      </c>
      <c r="B34" s="302">
        <f>IF(ISNA(VLOOKUP(A34,Entitlement_Data!A$3:C$64,2,FALSE)),"0",VLOOKUP(A34,Entitlement_Data!A$3:C$64,2,FALSE))</f>
        <v>12748</v>
      </c>
      <c r="C34" s="302">
        <f>IF(ISNA(VLOOKUP(A34,Entitlement_Data!A$3:D$64,3,FALSE)),"0",VLOOKUP(A34,Entitlement_Data!A$3:D$64,3,FALSE))</f>
        <v>4790</v>
      </c>
      <c r="D34" s="25">
        <f t="shared" si="0"/>
        <v>0.3757452149356762</v>
      </c>
      <c r="E34" s="354">
        <f>IF(ISNA(VLOOKUP(A34,'Award Adjustment_Data'!A$2:F$68,3,FALSE)),"0",VLOOKUP(A34,'Award Adjustment_Data'!A$2:F$68,3,FALSE))</f>
        <v>5760</v>
      </c>
      <c r="F34" s="354">
        <f>IF(ISNA(VLOOKUP(A34,'Award Adjustment_Data'!A$2:G$68,4,FALSE)),"0",VLOOKUP(A34,'Award Adjustment_Data'!A$2:G$68,4,FALSE))</f>
        <v>2728</v>
      </c>
      <c r="G34" s="25">
        <f t="shared" si="1"/>
        <v>0.4736111111111111</v>
      </c>
      <c r="H34" s="1">
        <f>IF(ISNA(VLOOKUP(A34,Program_Review_Data!A24:E88,2,FALSE)),"0",VLOOKUP(A34,Program_Review_Data!A24:E88,2,FALSE))</f>
        <v>961</v>
      </c>
      <c r="I34" s="1">
        <f>IF(ISNA(VLOOKUP($A34,Program_Review_Data!A24:F88,3,FALSE)),"0",VLOOKUP($A34,Program_Review_Data!A24:F88,3,FALSE))</f>
        <v>301</v>
      </c>
      <c r="J34" s="25">
        <f t="shared" si="2"/>
        <v>0.31321540062434966</v>
      </c>
      <c r="K34" s="268">
        <f>IF(ISNA(VLOOKUP($A34,Other_Data!A24:E88,2,FALSE)),"0",VLOOKUP($A34,Other_Data!A24:E88,2,FALSE))</f>
        <v>1361</v>
      </c>
      <c r="L34" s="1">
        <f>IF(ISNA(VLOOKUP($A34,Other_Data!A24:E88,3,FALSE)),"0",VLOOKUP($A34,Other_Data!A24:E88,3,FALSE))</f>
        <v>535</v>
      </c>
      <c r="M34" s="25">
        <f t="shared" si="3"/>
        <v>0.39309331373989714</v>
      </c>
      <c r="N34" s="1">
        <f>IF(ISNA(VLOOKUP($A34,Burial_Data!$A$2:$C$65,2,FALSE)),"0",VLOOKUP($A34,Burial_Data!$A$2:$C$65,2,FALSE))</f>
        <v>5</v>
      </c>
      <c r="O34" s="354">
        <f>IF(ISNA(VLOOKUP($A34,Accrued_Data!$A$2:$D$68,3,FALSE)),"0",VLOOKUP($A34,Accrued_Data!$A$2:$D$68,3,FALSE))</f>
        <v>45</v>
      </c>
      <c r="P34" s="303">
        <f>'[1]ResultingReport'!$J37</f>
        <v>6346</v>
      </c>
      <c r="Q34" s="268"/>
    </row>
    <row r="35" spans="1:17" ht="12" customHeight="1">
      <c r="A35" t="s">
        <v>468</v>
      </c>
      <c r="B35" s="302">
        <f>IF(ISNA(VLOOKUP(A35,Entitlement_Data!A$3:C$64,2,FALSE)),"0",VLOOKUP(A35,Entitlement_Data!A$3:C$64,2,FALSE))</f>
        <v>28712</v>
      </c>
      <c r="C35" s="302">
        <f>IF(ISNA(VLOOKUP(A35,Entitlement_Data!A$3:D$64,3,FALSE)),"0",VLOOKUP(A35,Entitlement_Data!A$3:D$64,3,FALSE))</f>
        <v>21309</v>
      </c>
      <c r="D35" s="25">
        <f t="shared" si="0"/>
        <v>0.7421635553078852</v>
      </c>
      <c r="E35" s="354">
        <f>IF(ISNA(VLOOKUP(A35,'Award Adjustment_Data'!A$2:F$68,3,FALSE)),"0",VLOOKUP(A35,'Award Adjustment_Data'!A$2:F$68,3,FALSE))</f>
        <v>10182</v>
      </c>
      <c r="F35" s="354">
        <f>IF(ISNA(VLOOKUP(A35,'Award Adjustment_Data'!A$2:G$68,4,FALSE)),"0",VLOOKUP(A35,'Award Adjustment_Data'!A$2:G$68,4,FALSE))</f>
        <v>6906</v>
      </c>
      <c r="G35" s="25">
        <f t="shared" si="1"/>
        <v>0.6782557454331173</v>
      </c>
      <c r="H35" s="1">
        <f>IF(ISNA(VLOOKUP(A35,Program_Review_Data!A25:E89,2,FALSE)),"0",VLOOKUP(A35,Program_Review_Data!A25:E89,2,FALSE))</f>
        <v>1132</v>
      </c>
      <c r="I35" s="1">
        <f>IF(ISNA(VLOOKUP($A35,Program_Review_Data!A25:F89,3,FALSE)),"0",VLOOKUP($A35,Program_Review_Data!A25:F89,3,FALSE))</f>
        <v>302</v>
      </c>
      <c r="J35" s="25">
        <f t="shared" si="2"/>
        <v>0.2667844522968198</v>
      </c>
      <c r="K35" s="268">
        <f>IF(ISNA(VLOOKUP($A35,Other_Data!A25:E89,2,FALSE)),"0",VLOOKUP($A35,Other_Data!A25:E89,2,FALSE))</f>
        <v>2532</v>
      </c>
      <c r="L35" s="1">
        <f>IF(ISNA(VLOOKUP($A35,Other_Data!A25:E89,3,FALSE)),"0",VLOOKUP($A35,Other_Data!A25:E89,3,FALSE))</f>
        <v>1868</v>
      </c>
      <c r="M35" s="25">
        <f t="shared" si="3"/>
        <v>0.7377567140600316</v>
      </c>
      <c r="N35" s="1">
        <f>IF(ISNA(VLOOKUP($A35,Burial_Data!$A$2:$C$65,2,FALSE)),"0",VLOOKUP($A35,Burial_Data!$A$2:$C$65,2,FALSE))</f>
        <v>2</v>
      </c>
      <c r="O35" s="354">
        <f>IF(ISNA(VLOOKUP($A35,Accrued_Data!$A$2:$D$68,3,FALSE)),"0",VLOOKUP($A35,Accrued_Data!$A$2:$D$68,3,FALSE))</f>
        <v>18</v>
      </c>
      <c r="P35" s="303">
        <f>'[1]ResultingReport'!$J38</f>
        <v>6611</v>
      </c>
      <c r="Q35" s="268"/>
    </row>
    <row r="36" spans="1:17" ht="12" customHeight="1">
      <c r="A36" t="s">
        <v>471</v>
      </c>
      <c r="B36" s="302">
        <f>IF(ISNA(VLOOKUP(A36,Entitlement_Data!A$3:C$64,2,FALSE)),"0",VLOOKUP(A36,Entitlement_Data!A$3:C$64,2,FALSE))</f>
        <v>5186</v>
      </c>
      <c r="C36" s="302">
        <f>IF(ISNA(VLOOKUP(A36,Entitlement_Data!A$3:D$64,3,FALSE)),"0",VLOOKUP(A36,Entitlement_Data!A$3:D$64,3,FALSE))</f>
        <v>3369</v>
      </c>
      <c r="D36" s="25">
        <f t="shared" si="0"/>
        <v>0.649633629001157</v>
      </c>
      <c r="E36" s="354">
        <f>IF(ISNA(VLOOKUP(A36,'Award Adjustment_Data'!A$2:F$68,3,FALSE)),"0",VLOOKUP(A36,'Award Adjustment_Data'!A$2:F$68,3,FALSE))</f>
        <v>2176</v>
      </c>
      <c r="F36" s="354">
        <f>IF(ISNA(VLOOKUP(A36,'Award Adjustment_Data'!A$2:G$68,4,FALSE)),"0",VLOOKUP(A36,'Award Adjustment_Data'!A$2:G$68,4,FALSE))</f>
        <v>1174</v>
      </c>
      <c r="G36" s="25">
        <f t="shared" si="1"/>
        <v>0.5395220588235294</v>
      </c>
      <c r="H36" s="1">
        <f>IF(ISNA(VLOOKUP(A36,Program_Review_Data!A26:E90,2,FALSE)),"0",VLOOKUP(A36,Program_Review_Data!A26:E90,2,FALSE))</f>
        <v>560</v>
      </c>
      <c r="I36" s="1">
        <f>IF(ISNA(VLOOKUP($A36,Program_Review_Data!A26:F90,3,FALSE)),"0",VLOOKUP($A36,Program_Review_Data!A26:F90,3,FALSE))</f>
        <v>148</v>
      </c>
      <c r="J36" s="25">
        <f t="shared" si="2"/>
        <v>0.2642857142857143</v>
      </c>
      <c r="K36" s="268">
        <f>IF(ISNA(VLOOKUP($A36,Other_Data!A26:E90,2,FALSE)),"0",VLOOKUP($A36,Other_Data!A26:E90,2,FALSE))</f>
        <v>1007</v>
      </c>
      <c r="L36" s="1">
        <f>IF(ISNA(VLOOKUP($A36,Other_Data!A26:E90,3,FALSE)),"0",VLOOKUP($A36,Other_Data!A26:E90,3,FALSE))</f>
        <v>845</v>
      </c>
      <c r="M36" s="25">
        <f t="shared" si="3"/>
        <v>0.8391261171797418</v>
      </c>
      <c r="N36" s="1">
        <f>IF(ISNA(VLOOKUP($A36,Burial_Data!$A$2:$C$65,2,FALSE)),"0",VLOOKUP($A36,Burial_Data!$A$2:$C$65,2,FALSE))</f>
        <v>0</v>
      </c>
      <c r="O36" s="354" t="str">
        <f>IF(ISNA(VLOOKUP($A36,Accrued_Data!$A$2:$D$68,3,FALSE)),"0",VLOOKUP($A36,Accrued_Data!$A$2:$D$68,3,FALSE))</f>
        <v>0</v>
      </c>
      <c r="P36" s="303">
        <f>'[1]ResultingReport'!$J39</f>
        <v>4996</v>
      </c>
      <c r="Q36" s="268"/>
    </row>
    <row r="37" spans="1:17" ht="12" customHeight="1">
      <c r="A37" t="s">
        <v>476</v>
      </c>
      <c r="B37" s="302">
        <f>IF(ISNA(VLOOKUP(A37,Entitlement_Data!A$3:C$64,2,FALSE)),"0",VLOOKUP(A37,Entitlement_Data!A$3:C$64,2,FALSE))</f>
        <v>46945</v>
      </c>
      <c r="C37" s="302">
        <f>IF(ISNA(VLOOKUP(A37,Entitlement_Data!A$3:D$64,3,FALSE)),"0",VLOOKUP(A37,Entitlement_Data!A$3:D$64,3,FALSE))</f>
        <v>30198</v>
      </c>
      <c r="D37" s="25">
        <f t="shared" si="0"/>
        <v>0.6432633933326233</v>
      </c>
      <c r="E37" s="354">
        <f>IF(ISNA(VLOOKUP(A37,'Award Adjustment_Data'!A$2:F$68,3,FALSE)),"0",VLOOKUP(A37,'Award Adjustment_Data'!A$2:F$68,3,FALSE))</f>
        <v>14641</v>
      </c>
      <c r="F37" s="354">
        <f>IF(ISNA(VLOOKUP(A37,'Award Adjustment_Data'!A$2:G$68,4,FALSE)),"0",VLOOKUP(A37,'Award Adjustment_Data'!A$2:G$68,4,FALSE))</f>
        <v>8256</v>
      </c>
      <c r="G37" s="25">
        <f t="shared" si="1"/>
        <v>0.5638959087494023</v>
      </c>
      <c r="H37" s="1">
        <f>IF(ISNA(VLOOKUP(A37,Program_Review_Data!A27:E91,2,FALSE)),"0",VLOOKUP(A37,Program_Review_Data!A27:E91,2,FALSE))</f>
        <v>2286</v>
      </c>
      <c r="I37" s="1">
        <f>IF(ISNA(VLOOKUP($A37,Program_Review_Data!A27:F91,3,FALSE)),"0",VLOOKUP($A37,Program_Review_Data!A27:F91,3,FALSE))</f>
        <v>363</v>
      </c>
      <c r="J37" s="25">
        <f t="shared" si="2"/>
        <v>0.15879265091863518</v>
      </c>
      <c r="K37" s="268">
        <f>IF(ISNA(VLOOKUP($A37,Other_Data!A27:E91,2,FALSE)),"0",VLOOKUP($A37,Other_Data!A27:E91,2,FALSE))</f>
        <v>2541</v>
      </c>
      <c r="L37" s="1">
        <f>IF(ISNA(VLOOKUP($A37,Other_Data!A27:E91,3,FALSE)),"0",VLOOKUP($A37,Other_Data!A27:E91,3,FALSE))</f>
        <v>1562</v>
      </c>
      <c r="M37" s="25">
        <f t="shared" si="3"/>
        <v>0.6147186147186147</v>
      </c>
      <c r="N37" s="1">
        <f>IF(ISNA(VLOOKUP($A37,Burial_Data!$A$2:$C$65,2,FALSE)),"0",VLOOKUP($A37,Burial_Data!$A$2:$C$65,2,FALSE))</f>
        <v>12</v>
      </c>
      <c r="O37" s="354">
        <f>IF(ISNA(VLOOKUP($A37,Accrued_Data!$A$2:$D$68,3,FALSE)),"0",VLOOKUP($A37,Accrued_Data!$A$2:$D$68,3,FALSE))</f>
        <v>91</v>
      </c>
      <c r="P37" s="303">
        <f>'[1]ResultingReport'!$J40</f>
        <v>20481</v>
      </c>
      <c r="Q37" s="268"/>
    </row>
    <row r="38" spans="1:17" ht="12" customHeight="1">
      <c r="A38" t="s">
        <v>479</v>
      </c>
      <c r="B38" s="302">
        <f>IF(ISNA(VLOOKUP(A38,Entitlement_Data!A$3:C$64,2,FALSE)),"0",VLOOKUP(A38,Entitlement_Data!A$3:C$64,2,FALSE))</f>
        <v>150</v>
      </c>
      <c r="C38" s="302">
        <f>IF(ISNA(VLOOKUP(A38,Entitlement_Data!A$3:D$64,3,FALSE)),"0",VLOOKUP(A38,Entitlement_Data!A$3:D$64,3,FALSE))</f>
        <v>83</v>
      </c>
      <c r="D38" s="25">
        <f t="shared" si="0"/>
        <v>0.5533333333333333</v>
      </c>
      <c r="E38" s="354">
        <f>IF(ISNA(VLOOKUP(A38,'Award Adjustment_Data'!A$2:F$68,3,FALSE)),"0",VLOOKUP(A38,'Award Adjustment_Data'!A$2:F$68,3,FALSE))</f>
        <v>55</v>
      </c>
      <c r="F38" s="354">
        <f>IF(ISNA(VLOOKUP(A38,'Award Adjustment_Data'!A$2:G$68,4,FALSE)),"0",VLOOKUP(A38,'Award Adjustment_Data'!A$2:G$68,4,FALSE))</f>
        <v>48</v>
      </c>
      <c r="G38" s="25">
        <f t="shared" si="1"/>
        <v>0.8727272727272727</v>
      </c>
      <c r="H38" s="1">
        <f>IF(ISNA(VLOOKUP(A38,Program_Review_Data!A28:E92,2,FALSE)),"0",VLOOKUP(A38,Program_Review_Data!A28:E92,2,FALSE))</f>
        <v>86</v>
      </c>
      <c r="I38" s="1">
        <f>IF(ISNA(VLOOKUP($A38,Program_Review_Data!A28:F92,3,FALSE)),"0",VLOOKUP($A38,Program_Review_Data!A28:F92,3,FALSE))</f>
        <v>29</v>
      </c>
      <c r="J38" s="25">
        <f t="shared" si="2"/>
        <v>0.3372093023255814</v>
      </c>
      <c r="K38" s="268">
        <f>IF(ISNA(VLOOKUP($A38,Other_Data!A28:E92,2,FALSE)),"0",VLOOKUP($A38,Other_Data!A28:E92,2,FALSE))</f>
        <v>1071</v>
      </c>
      <c r="L38" s="1">
        <f>IF(ISNA(VLOOKUP($A38,Other_Data!A28:E92,3,FALSE)),"0",VLOOKUP($A38,Other_Data!A28:E92,3,FALSE))</f>
        <v>1063</v>
      </c>
      <c r="M38" s="25">
        <f t="shared" si="3"/>
        <v>0.992530345471522</v>
      </c>
      <c r="N38" s="1">
        <f>IF(ISNA(VLOOKUP($A38,Burial_Data!$A$2:$C$65,2,FALSE)),"0",VLOOKUP($A38,Burial_Data!$A$2:$C$65,2,FALSE))</f>
        <v>0</v>
      </c>
      <c r="O38" s="354" t="str">
        <f>IF(ISNA(VLOOKUP($A38,Accrued_Data!$A$2:$D$68,3,FALSE)),"0",VLOOKUP($A38,Accrued_Data!$A$2:$D$68,3,FALSE))</f>
        <v>0</v>
      </c>
      <c r="P38" s="303">
        <f>'[1]ResultingReport'!$J41</f>
        <v>0</v>
      </c>
      <c r="Q38" s="268"/>
    </row>
    <row r="39" spans="1:17" ht="12" customHeight="1">
      <c r="A39" s="328" t="s">
        <v>484</v>
      </c>
      <c r="B39" s="335">
        <f>IF(ISNA(VLOOKUP(A39,Entitlement_Data!A$3:C$64,2,FALSE)),"0",VLOOKUP(A39,Entitlement_Data!A$3:C$64,2,FALSE))</f>
        <v>47406</v>
      </c>
      <c r="C39" s="335">
        <f>IF(ISNA(VLOOKUP(A39,Entitlement_Data!A$3:D$64,3,FALSE)),"0",VLOOKUP(A39,Entitlement_Data!A$3:D$64,3,FALSE))</f>
        <v>30095</v>
      </c>
      <c r="D39" s="32">
        <f t="shared" si="0"/>
        <v>0.6348352529215711</v>
      </c>
      <c r="E39" s="355">
        <f>IF(ISNA(VLOOKUP(A39,'Award Adjustment_Data'!A$2:F$68,3,FALSE)),"0",VLOOKUP(A39,'Award Adjustment_Data'!A$2:F$68,3,FALSE))</f>
        <v>25113</v>
      </c>
      <c r="F39" s="355">
        <f>IF(ISNA(VLOOKUP(A39,'Award Adjustment_Data'!A$2:G$68,4,FALSE)),"0",VLOOKUP(A39,'Award Adjustment_Data'!A$2:G$68,4,FALSE))</f>
        <v>19003</v>
      </c>
      <c r="G39" s="32">
        <f t="shared" si="1"/>
        <v>0.7566997172779039</v>
      </c>
      <c r="H39" s="33">
        <f>IF(ISNA(VLOOKUP(A39,Program_Review_Data!A29:E93,2,FALSE)),"0",VLOOKUP(A39,Program_Review_Data!A29:E93,2,FALSE))</f>
        <v>6145</v>
      </c>
      <c r="I39" s="33">
        <f>IF(ISNA(VLOOKUP($A39,Program_Review_Data!A29:F93,3,FALSE)),"0",VLOOKUP($A39,Program_Review_Data!A29:F93,3,FALSE))</f>
        <v>5064</v>
      </c>
      <c r="J39" s="32">
        <f t="shared" si="2"/>
        <v>0.8240846216436127</v>
      </c>
      <c r="K39" s="270">
        <f>IF(ISNA(VLOOKUP($A39,Other_Data!A29:E93,2,FALSE)),"0",VLOOKUP($A39,Other_Data!A29:E93,2,FALSE))</f>
        <v>2917</v>
      </c>
      <c r="L39" s="33">
        <f>IF(ISNA(VLOOKUP($A39,Other_Data!A29:E93,3,FALSE)),"0",VLOOKUP($A39,Other_Data!A29:E93,3,FALSE))</f>
        <v>1468</v>
      </c>
      <c r="M39" s="32">
        <f t="shared" si="3"/>
        <v>0.5032567706547824</v>
      </c>
      <c r="N39" s="33">
        <f>IF(ISNA(VLOOKUP($A39,Burial_Data!$A$2:$C$65,2,FALSE)),"0",VLOOKUP($A39,Burial_Data!$A$2:$C$65,2,FALSE))</f>
        <v>3</v>
      </c>
      <c r="O39" s="355">
        <f>IF(ISNA(VLOOKUP($A39,Accrued_Data!$A$2:$D$68,3,FALSE)),"0",VLOOKUP($A39,Accrued_Data!$A$2:$D$68,3,FALSE))</f>
        <v>5</v>
      </c>
      <c r="P39" s="309">
        <f>'[1]ResultingReport'!$J42</f>
        <v>11255</v>
      </c>
      <c r="Q39" s="295"/>
    </row>
    <row r="40" spans="1:17" ht="12" customHeight="1">
      <c r="A40" t="s">
        <v>435</v>
      </c>
      <c r="B40" s="302">
        <f>IF(ISNA(VLOOKUP(A40,Entitlement_Data!A$3:C$64,2,FALSE)),"0",VLOOKUP(A40,Entitlement_Data!A$3:C$64,2,FALSE))</f>
        <v>20793</v>
      </c>
      <c r="C40" s="302">
        <f>IF(ISNA(VLOOKUP(A40,Entitlement_Data!A$3:D$64,3,FALSE)),"0",VLOOKUP(A40,Entitlement_Data!A$3:D$64,3,FALSE))</f>
        <v>16774</v>
      </c>
      <c r="D40" s="25">
        <f t="shared" si="0"/>
        <v>0.8067137979127591</v>
      </c>
      <c r="E40" s="354">
        <f>IF(ISNA(VLOOKUP(A40,'Award Adjustment_Data'!A$2:F$68,3,FALSE)),"0",VLOOKUP(A40,'Award Adjustment_Data'!A$2:F$68,3,FALSE))</f>
        <v>5734</v>
      </c>
      <c r="F40" s="354">
        <f>IF(ISNA(VLOOKUP(A40,'Award Adjustment_Data'!A$2:G$68,4,FALSE)),"0",VLOOKUP(A40,'Award Adjustment_Data'!A$2:G$68,4,FALSE))</f>
        <v>4599</v>
      </c>
      <c r="G40" s="25">
        <f t="shared" si="1"/>
        <v>0.8020579002441577</v>
      </c>
      <c r="H40" s="1">
        <f>IF(ISNA(VLOOKUP(A40,Program_Review_Data!A30:E94,2,FALSE)),"0",VLOOKUP(A40,Program_Review_Data!A30:E94,2,FALSE))</f>
        <v>1405</v>
      </c>
      <c r="I40" s="1">
        <f>IF(ISNA(VLOOKUP($A40,Program_Review_Data!A30:F94,3,FALSE)),"0",VLOOKUP($A40,Program_Review_Data!A30:F94,3,FALSE))</f>
        <v>686</v>
      </c>
      <c r="J40" s="25">
        <f t="shared" si="2"/>
        <v>0.48825622775800714</v>
      </c>
      <c r="K40" s="268">
        <f>IF(ISNA(VLOOKUP($A40,Other_Data!A30:E94,2,FALSE)),"0",VLOOKUP($A40,Other_Data!A30:E94,2,FALSE))</f>
        <v>2840</v>
      </c>
      <c r="L40" s="1">
        <f>IF(ISNA(VLOOKUP($A40,Other_Data!A30:E94,3,FALSE)),"0",VLOOKUP($A40,Other_Data!A30:E94,3,FALSE))</f>
        <v>2327</v>
      </c>
      <c r="M40" s="25">
        <f t="shared" si="3"/>
        <v>0.8193661971830986</v>
      </c>
      <c r="N40" s="1">
        <f>IF(ISNA(VLOOKUP($A40,Burial_Data!$A$2:$C$65,2,FALSE)),"0",VLOOKUP($A40,Burial_Data!$A$2:$C$65,2,FALSE))</f>
        <v>9</v>
      </c>
      <c r="O40" s="354">
        <f>IF(ISNA(VLOOKUP($A40,Accrued_Data!$A$2:$D$68,3,FALSE)),"0",VLOOKUP($A40,Accrued_Data!$A$2:$D$68,3,FALSE))</f>
        <v>131</v>
      </c>
      <c r="P40" s="303">
        <f>'[1]ResultingReport'!$J44</f>
        <v>5667</v>
      </c>
      <c r="Q40" s="268"/>
    </row>
    <row r="41" spans="1:17" ht="12" customHeight="1">
      <c r="A41" t="s">
        <v>439</v>
      </c>
      <c r="B41" s="302">
        <f>IF(ISNA(VLOOKUP(A41,Entitlement_Data!A$3:C$64,2,FALSE)),"0",VLOOKUP(A41,Entitlement_Data!A$3:C$64,2,FALSE))</f>
        <v>6913</v>
      </c>
      <c r="C41" s="302">
        <f>IF(ISNA(VLOOKUP(A41,Entitlement_Data!A$3:D$64,3,FALSE)),"0",VLOOKUP(A41,Entitlement_Data!A$3:D$64,3,FALSE))</f>
        <v>4819</v>
      </c>
      <c r="D41" s="25">
        <f t="shared" si="0"/>
        <v>0.6970924345436135</v>
      </c>
      <c r="E41" s="354">
        <f>IF(ISNA(VLOOKUP(A41,'Award Adjustment_Data'!A$2:F$68,3,FALSE)),"0",VLOOKUP(A41,'Award Adjustment_Data'!A$2:F$68,3,FALSE))</f>
        <v>2876</v>
      </c>
      <c r="F41" s="354">
        <f>IF(ISNA(VLOOKUP(A41,'Award Adjustment_Data'!A$2:G$68,4,FALSE)),"0",VLOOKUP(A41,'Award Adjustment_Data'!A$2:G$68,4,FALSE))</f>
        <v>1207</v>
      </c>
      <c r="G41" s="25">
        <f t="shared" si="1"/>
        <v>0.41968011126564675</v>
      </c>
      <c r="H41" s="1">
        <f>IF(ISNA(VLOOKUP(A41,Program_Review_Data!A31:E95,2,FALSE)),"0",VLOOKUP(A41,Program_Review_Data!A31:E95,2,FALSE))</f>
        <v>285</v>
      </c>
      <c r="I41" s="1">
        <f>IF(ISNA(VLOOKUP($A41,Program_Review_Data!A31:F95,3,FALSE)),"0",VLOOKUP($A41,Program_Review_Data!A31:F95,3,FALSE))</f>
        <v>98</v>
      </c>
      <c r="J41" s="25">
        <f t="shared" si="2"/>
        <v>0.34385964912280703</v>
      </c>
      <c r="K41" s="268">
        <f>IF(ISNA(VLOOKUP($A41,Other_Data!A31:E95,2,FALSE)),"0",VLOOKUP($A41,Other_Data!A31:E95,2,FALSE))</f>
        <v>242</v>
      </c>
      <c r="L41" s="1">
        <f>IF(ISNA(VLOOKUP($A41,Other_Data!A31:E95,3,FALSE)),"0",VLOOKUP($A41,Other_Data!A31:E95,3,FALSE))</f>
        <v>196</v>
      </c>
      <c r="M41" s="25">
        <f t="shared" si="3"/>
        <v>0.8099173553719008</v>
      </c>
      <c r="N41" s="1">
        <f>IF(ISNA(VLOOKUP($A41,Burial_Data!$A$2:$C$65,2,FALSE)),"0",VLOOKUP($A41,Burial_Data!$A$2:$C$65,2,FALSE))</f>
        <v>0</v>
      </c>
      <c r="O41" s="354">
        <f>IF(ISNA(VLOOKUP($A41,Accrued_Data!$A$2:$D$68,3,FALSE)),"0",VLOOKUP($A41,Accrued_Data!$A$2:$D$68,3,FALSE))</f>
        <v>2</v>
      </c>
      <c r="P41" s="303">
        <f>'[1]ResultingReport'!$J45</f>
        <v>1233</v>
      </c>
      <c r="Q41" s="268"/>
    </row>
    <row r="42" spans="1:17" ht="12" customHeight="1">
      <c r="A42" t="s">
        <v>441</v>
      </c>
      <c r="B42" s="302">
        <f>IF(ISNA(VLOOKUP(A42,Entitlement_Data!A$3:C$64,2,FALSE)),"0",VLOOKUP(A42,Entitlement_Data!A$3:C$64,2,FALSE))</f>
        <v>1059</v>
      </c>
      <c r="C42" s="302">
        <f>IF(ISNA(VLOOKUP(A42,Entitlement_Data!A$3:D$64,3,FALSE)),"0",VLOOKUP(A42,Entitlement_Data!A$3:D$64,3,FALSE))</f>
        <v>311</v>
      </c>
      <c r="D42" s="25">
        <f t="shared" si="0"/>
        <v>0.29367327667610954</v>
      </c>
      <c r="E42" s="354">
        <f>IF(ISNA(VLOOKUP(A42,'Award Adjustment_Data'!A$2:F$68,3,FALSE)),"0",VLOOKUP(A42,'Award Adjustment_Data'!A$2:F$68,3,FALSE))</f>
        <v>368</v>
      </c>
      <c r="F42" s="354">
        <f>IF(ISNA(VLOOKUP(A42,'Award Adjustment_Data'!A$2:G$68,4,FALSE)),"0",VLOOKUP(A42,'Award Adjustment_Data'!A$2:G$68,4,FALSE))</f>
        <v>32</v>
      </c>
      <c r="G42" s="25">
        <f t="shared" si="1"/>
        <v>0.08695652173913043</v>
      </c>
      <c r="H42" s="1">
        <f>IF(ISNA(VLOOKUP(A42,Program_Review_Data!A32:E96,2,FALSE)),"0",VLOOKUP(A42,Program_Review_Data!A32:E96,2,FALSE))</f>
        <v>101</v>
      </c>
      <c r="I42" s="1">
        <f>IF(ISNA(VLOOKUP($A42,Program_Review_Data!A32:F96,3,FALSE)),"0",VLOOKUP($A42,Program_Review_Data!A32:F96,3,FALSE))</f>
        <v>16</v>
      </c>
      <c r="J42" s="25">
        <f t="shared" si="2"/>
        <v>0.15841584158415842</v>
      </c>
      <c r="K42" s="268">
        <f>IF(ISNA(VLOOKUP($A42,Other_Data!A32:E96,2,FALSE)),"0",VLOOKUP($A42,Other_Data!A32:E96,2,FALSE))</f>
        <v>53</v>
      </c>
      <c r="L42" s="1">
        <f>IF(ISNA(VLOOKUP($A42,Other_Data!A32:E96,3,FALSE)),"0",VLOOKUP($A42,Other_Data!A32:E96,3,FALSE))</f>
        <v>27</v>
      </c>
      <c r="M42" s="25">
        <f t="shared" si="3"/>
        <v>0.5094339622641509</v>
      </c>
      <c r="N42" s="1">
        <f>IF(ISNA(VLOOKUP($A42,Burial_Data!$A$2:$C$65,2,FALSE)),"0",VLOOKUP($A42,Burial_Data!$A$2:$C$65,2,FALSE))</f>
        <v>0</v>
      </c>
      <c r="O42" s="354" t="str">
        <f>IF(ISNA(VLOOKUP($A42,Accrued_Data!$A$2:$D$68,3,FALSE)),"0",VLOOKUP($A42,Accrued_Data!$A$2:$D$68,3,FALSE))</f>
        <v>0</v>
      </c>
      <c r="P42" s="303">
        <f>'[1]ResultingReport'!$J$46</f>
        <v>325</v>
      </c>
      <c r="Q42" s="268"/>
    </row>
    <row r="43" spans="1:17" ht="12" customHeight="1">
      <c r="A43" t="s">
        <v>445</v>
      </c>
      <c r="B43" s="302">
        <f>IF(ISNA(VLOOKUP(A43,Entitlement_Data!A$3:C$64,2,FALSE)),"0",VLOOKUP(A43,Entitlement_Data!A$3:C$64,2,FALSE))</f>
        <v>37604</v>
      </c>
      <c r="C43" s="302">
        <f>IF(ISNA(VLOOKUP(A43,Entitlement_Data!A$3:D$64,3,FALSE)),"0",VLOOKUP(A43,Entitlement_Data!A$3:D$64,3,FALSE))</f>
        <v>27630</v>
      </c>
      <c r="D43" s="25">
        <f t="shared" si="0"/>
        <v>0.7347622593341134</v>
      </c>
      <c r="E43" s="354">
        <f>IF(ISNA(VLOOKUP(A43,'Award Adjustment_Data'!A$2:F$68,3,FALSE)),"0",VLOOKUP(A43,'Award Adjustment_Data'!A$2:F$68,3,FALSE))</f>
        <v>14559</v>
      </c>
      <c r="F43" s="354">
        <f>IF(ISNA(VLOOKUP(A43,'Award Adjustment_Data'!A$2:G$68,4,FALSE)),"0",VLOOKUP(A43,'Award Adjustment_Data'!A$2:G$68,4,FALSE))</f>
        <v>10282</v>
      </c>
      <c r="G43" s="25">
        <f t="shared" si="1"/>
        <v>0.7062298234768871</v>
      </c>
      <c r="H43" s="1">
        <f>IF(ISNA(VLOOKUP(A43,Program_Review_Data!A33:E97,2,FALSE)),"0",VLOOKUP(A43,Program_Review_Data!A33:E97,2,FALSE))</f>
        <v>1872</v>
      </c>
      <c r="I43" s="1">
        <f>IF(ISNA(VLOOKUP($A43,Program_Review_Data!A33:F97,3,FALSE)),"0",VLOOKUP($A43,Program_Review_Data!A33:F97,3,FALSE))</f>
        <v>944</v>
      </c>
      <c r="J43" s="25">
        <f t="shared" si="2"/>
        <v>0.5042735042735043</v>
      </c>
      <c r="K43" s="268">
        <f>IF(ISNA(VLOOKUP($A43,Other_Data!A33:E97,2,FALSE)),"0",VLOOKUP($A43,Other_Data!A33:E97,2,FALSE))</f>
        <v>6289</v>
      </c>
      <c r="L43" s="1">
        <f>IF(ISNA(VLOOKUP($A43,Other_Data!A33:E97,3,FALSE)),"0",VLOOKUP($A43,Other_Data!A33:E97,3,FALSE))</f>
        <v>4955</v>
      </c>
      <c r="M43" s="25">
        <f t="shared" si="3"/>
        <v>0.7878836062967085</v>
      </c>
      <c r="N43" s="1">
        <f>IF(ISNA(VLOOKUP($A43,Burial_Data!$A$2:$C$65,2,FALSE)),"0",VLOOKUP($A43,Burial_Data!$A$2:$C$65,2,FALSE))</f>
        <v>6</v>
      </c>
      <c r="O43" s="354">
        <f>IF(ISNA(VLOOKUP($A43,Accrued_Data!$A$2:$D$68,3,FALSE)),"0",VLOOKUP($A43,Accrued_Data!$A$2:$D$68,3,FALSE))</f>
        <v>5</v>
      </c>
      <c r="P43" s="303">
        <f>'[1]ResultingReport'!$J$47</f>
        <v>13950</v>
      </c>
      <c r="Q43" s="268"/>
    </row>
    <row r="44" spans="1:17" ht="12" customHeight="1">
      <c r="A44" t="s">
        <v>449</v>
      </c>
      <c r="B44" s="302">
        <f>IF(ISNA(VLOOKUP(A44,Entitlement_Data!A$3:C$64,2,FALSE)),"0",VLOOKUP(A44,Entitlement_Data!A$3:C$64,2,FALSE))</f>
        <v>4670</v>
      </c>
      <c r="C44" s="302">
        <f>IF(ISNA(VLOOKUP(A44,Entitlement_Data!A$3:D$64,3,FALSE)),"0",VLOOKUP(A44,Entitlement_Data!A$3:D$64,3,FALSE))</f>
        <v>1670</v>
      </c>
      <c r="D44" s="25">
        <f t="shared" si="0"/>
        <v>0.3576017130620985</v>
      </c>
      <c r="E44" s="354">
        <f>IF(ISNA(VLOOKUP(A44,'Award Adjustment_Data'!A$2:F$68,3,FALSE)),"0",VLOOKUP(A44,'Award Adjustment_Data'!A$2:F$68,3,FALSE))</f>
        <v>1871</v>
      </c>
      <c r="F44" s="354">
        <f>IF(ISNA(VLOOKUP(A44,'Award Adjustment_Data'!A$2:G$68,4,FALSE)),"0",VLOOKUP(A44,'Award Adjustment_Data'!A$2:G$68,4,FALSE))</f>
        <v>264</v>
      </c>
      <c r="G44" s="25">
        <f t="shared" si="1"/>
        <v>0.14110101549973275</v>
      </c>
      <c r="H44" s="1">
        <f>IF(ISNA(VLOOKUP(A44,Program_Review_Data!A34:E98,2,FALSE)),"0",VLOOKUP(A44,Program_Review_Data!A34:E98,2,FALSE))</f>
        <v>434</v>
      </c>
      <c r="I44" s="1">
        <f>IF(ISNA(VLOOKUP($A44,Program_Review_Data!A34:F98,3,FALSE)),"0",VLOOKUP($A44,Program_Review_Data!A34:F98,3,FALSE))</f>
        <v>47</v>
      </c>
      <c r="J44" s="25">
        <f t="shared" si="2"/>
        <v>0.10829493087557604</v>
      </c>
      <c r="K44" s="268">
        <f>IF(ISNA(VLOOKUP($A44,Other_Data!A34:E98,2,FALSE)),"0",VLOOKUP($A44,Other_Data!A34:E98,2,FALSE))</f>
        <v>521</v>
      </c>
      <c r="L44" s="1">
        <f>IF(ISNA(VLOOKUP($A44,Other_Data!A34:E98,3,FALSE)),"0",VLOOKUP($A44,Other_Data!A34:E98,3,FALSE))</f>
        <v>217</v>
      </c>
      <c r="M44" s="25">
        <f t="shared" si="3"/>
        <v>0.4165067178502879</v>
      </c>
      <c r="N44" s="1">
        <f>IF(ISNA(VLOOKUP($A44,Burial_Data!$A$2:$C$65,2,FALSE)),"0",VLOOKUP($A44,Burial_Data!$A$2:$C$65,2,FALSE))</f>
        <v>0</v>
      </c>
      <c r="O44" s="354">
        <f>IF(ISNA(VLOOKUP($A44,Accrued_Data!$A$2:$D$68,3,FALSE)),"0",VLOOKUP($A44,Accrued_Data!$A$2:$D$68,3,FALSE))</f>
        <v>1</v>
      </c>
      <c r="P44" s="303">
        <f>'[1]ResultingReport'!$J$50</f>
        <v>1529</v>
      </c>
      <c r="Q44" s="268"/>
    </row>
    <row r="45" spans="1:17" ht="12" customHeight="1">
      <c r="A45" t="s">
        <v>450</v>
      </c>
      <c r="B45" s="302">
        <f>IF(ISNA(VLOOKUP(A45,Entitlement_Data!A$3:C$64,2,FALSE)),"0",VLOOKUP(A45,Entitlement_Data!A$3:C$64,2,FALSE))</f>
        <v>8227</v>
      </c>
      <c r="C45" s="302">
        <f>IF(ISNA(VLOOKUP(A45,Entitlement_Data!A$3:D$64,3,FALSE)),"0",VLOOKUP(A45,Entitlement_Data!A$3:D$64,3,FALSE))</f>
        <v>5173</v>
      </c>
      <c r="D45" s="25">
        <f t="shared" si="0"/>
        <v>0.6287832745836879</v>
      </c>
      <c r="E45" s="354">
        <f>IF(ISNA(VLOOKUP(A45,'Award Adjustment_Data'!A$2:F$68,3,FALSE)),"0",VLOOKUP(A45,'Award Adjustment_Data'!A$2:F$68,3,FALSE))</f>
        <v>5596</v>
      </c>
      <c r="F45" s="354">
        <f>IF(ISNA(VLOOKUP(A45,'Award Adjustment_Data'!A$2:G$68,4,FALSE)),"0",VLOOKUP(A45,'Award Adjustment_Data'!A$2:G$68,4,FALSE))</f>
        <v>2610</v>
      </c>
      <c r="G45" s="25">
        <f t="shared" si="1"/>
        <v>0.4664045746962116</v>
      </c>
      <c r="H45" s="1">
        <f>IF(ISNA(VLOOKUP(A45,Program_Review_Data!A35:E99,2,FALSE)),"0",VLOOKUP(A45,Program_Review_Data!A35:E99,2,FALSE))</f>
        <v>1576</v>
      </c>
      <c r="I45" s="1">
        <f>IF(ISNA(VLOOKUP($A45,Program_Review_Data!A35:F99,3,FALSE)),"0",VLOOKUP($A45,Program_Review_Data!A35:F99,3,FALSE))</f>
        <v>871</v>
      </c>
      <c r="J45" s="25">
        <f t="shared" si="2"/>
        <v>0.5526649746192893</v>
      </c>
      <c r="K45" s="268">
        <f>IF(ISNA(VLOOKUP($A45,Other_Data!A35:E99,2,FALSE)),"0",VLOOKUP($A45,Other_Data!A35:E99,2,FALSE))</f>
        <v>1429</v>
      </c>
      <c r="L45" s="1">
        <f>IF(ISNA(VLOOKUP($A45,Other_Data!A35:E99,3,FALSE)),"0",VLOOKUP($A45,Other_Data!A35:E99,3,FALSE))</f>
        <v>1077</v>
      </c>
      <c r="M45" s="25">
        <f t="shared" si="3"/>
        <v>0.7536738978306508</v>
      </c>
      <c r="N45" s="1">
        <f>IF(ISNA(VLOOKUP($A45,Burial_Data!$A$2:$C$65,2,FALSE)),"0",VLOOKUP($A45,Burial_Data!$A$2:$C$65,2,FALSE))</f>
        <v>5</v>
      </c>
      <c r="O45" s="354">
        <f>IF(ISNA(VLOOKUP($A45,Accrued_Data!$A$2:$D$68,3,FALSE)),"0",VLOOKUP($A45,Accrued_Data!$A$2:$D$68,3,FALSE))</f>
        <v>44</v>
      </c>
      <c r="P45" s="303">
        <f>'[1]ResultingReport'!$J$51</f>
        <v>5206</v>
      </c>
      <c r="Q45" s="268"/>
    </row>
    <row r="46" spans="1:17" ht="13.5">
      <c r="A46" s="325" t="s">
        <v>455</v>
      </c>
      <c r="B46" s="329">
        <f>IF(ISNA(VLOOKUP(A46,Entitlement_Data!A$3:C$64,2,FALSE)),"0",VLOOKUP(A46,Entitlement_Data!A$3:C$64,2,FALSE))+1</f>
        <v>10392</v>
      </c>
      <c r="C46" s="329">
        <f>IF(ISNA(VLOOKUP(A46,Entitlement_Data!A$3:D$64,3,FALSE)),"0",VLOOKUP(A46,Entitlement_Data!A$3:D$64,3,FALSE))+1</f>
        <v>3940</v>
      </c>
      <c r="D46" s="34">
        <f t="shared" si="0"/>
        <v>0.37913779830638955</v>
      </c>
      <c r="E46" s="329">
        <f>Award_Formulas!L3-Award_Formulas!O3</f>
        <v>3306</v>
      </c>
      <c r="F46" s="35">
        <f>Award_Formulas!L6-Award_Formulas!R3</f>
        <v>1047</v>
      </c>
      <c r="G46" s="34">
        <f t="shared" si="1"/>
        <v>0.31669691470054445</v>
      </c>
      <c r="H46" s="35">
        <f>IF(ISNA(VLOOKUP(A46,Program_Review_Data!A36:E100,2,FALSE)),"0",VLOOKUP(A46,Program_Review_Data!A36:E100,2,FALSE))</f>
        <v>2461</v>
      </c>
      <c r="I46" s="35">
        <f>IF(ISNA(VLOOKUP($A46,Program_Review_Data!A36:F100,3,FALSE)),"0",VLOOKUP($A46,Program_Review_Data!A36:F100,3,FALSE))</f>
        <v>422</v>
      </c>
      <c r="J46" s="34">
        <f t="shared" si="2"/>
        <v>0.17147501015847216</v>
      </c>
      <c r="K46" s="35">
        <f>IF(ISNA(VLOOKUP($A46,Other_Data!A36:E100,2,FALSE)),"0",VLOOKUP($A46,Other_Data!A36:E100,2,FALSE))</f>
        <v>622</v>
      </c>
      <c r="L46" s="35">
        <f>IF(ISNA(VLOOKUP($A46,Other_Data!A36:E100,3,FALSE)),"0",VLOOKUP($A46,Other_Data!A36:E100,3,FALSE))</f>
        <v>207</v>
      </c>
      <c r="M46" s="34">
        <f t="shared" si="3"/>
        <v>0.3327974276527331</v>
      </c>
      <c r="N46" s="35">
        <f>IF(ISNA(VLOOKUP($A46,Burial_Data!$A$2:$C$65,2,FALSE)),"0",VLOOKUP($A46,Burial_Data!$A$2:$C$65,2,FALSE))</f>
        <v>11363</v>
      </c>
      <c r="O46" s="171" t="s">
        <v>3</v>
      </c>
      <c r="P46" s="310">
        <f>'[1]ResultingReport'!$J$53</f>
        <v>3289</v>
      </c>
      <c r="Q46" s="302"/>
    </row>
    <row r="47" spans="1:17" ht="12.75">
      <c r="A47" t="s">
        <v>337</v>
      </c>
      <c r="B47" s="302">
        <f>IF(ISNA(VLOOKUP(A47,Entitlement_Data!A$3:C$64,2,FALSE)),"0",VLOOKUP(A47,Entitlement_Data!A$3:C$64,2,FALSE))+1</f>
        <v>17613</v>
      </c>
      <c r="C47" s="302">
        <f>IF(ISNA(VLOOKUP(A47,Entitlement_Data!A$3:D$64,3,FALSE)),"0",VLOOKUP(A47,Entitlement_Data!A$3:D$64,3,FALSE))+1</f>
        <v>9432</v>
      </c>
      <c r="D47" s="25">
        <f t="shared" si="0"/>
        <v>0.5355135411343894</v>
      </c>
      <c r="E47" s="354">
        <f>IF(ISNA(VLOOKUP(A47,'Award Adjustment_Data'!A$2:F$68,3,FALSE)),"0",VLOOKUP(A47,'Award Adjustment_Data'!A$2:F$68,3,FALSE))</f>
        <v>5684</v>
      </c>
      <c r="F47" s="354">
        <f>IF(ISNA(VLOOKUP(A47,'Award Adjustment_Data'!A$2:G$68,4,FALSE)),"0",VLOOKUP(A47,'Award Adjustment_Data'!A$2:G$68,4,FALSE))</f>
        <v>1262</v>
      </c>
      <c r="G47" s="25">
        <f t="shared" si="1"/>
        <v>0.22202674173117523</v>
      </c>
      <c r="H47" s="1">
        <f>IF(ISNA(VLOOKUP(A47,Program_Review_Data!A37:E101,2,FALSE)),"0",VLOOKUP(A47,Program_Review_Data!A37:E101,2,FALSE))</f>
        <v>1167</v>
      </c>
      <c r="I47" s="1">
        <f>IF(ISNA(VLOOKUP($A47,Program_Review_Data!A37:F101,3,FALSE)),"0",VLOOKUP($A47,Program_Review_Data!A37:F101,3,FALSE))</f>
        <v>218</v>
      </c>
      <c r="J47" s="25">
        <f t="shared" si="2"/>
        <v>0.1868037703513282</v>
      </c>
      <c r="K47" s="268">
        <f>IF(ISNA(VLOOKUP($A47,Other_Data!A37:E101,2,FALSE)),"0",VLOOKUP($A47,Other_Data!A37:E101,2,FALSE))</f>
        <v>766</v>
      </c>
      <c r="L47" s="1">
        <f>IF(ISNA(VLOOKUP($A47,Other_Data!A37:E101,3,FALSE)),"0",VLOOKUP($A47,Other_Data!A37:E101,3,FALSE))</f>
        <v>369</v>
      </c>
      <c r="M47" s="25">
        <f t="shared" si="3"/>
        <v>0.48172323759791125</v>
      </c>
      <c r="N47" s="1">
        <f>IF(ISNA(VLOOKUP($A47,Burial_Data!$A$2:$C$65,2,FALSE)),"0",VLOOKUP($A47,Burial_Data!$A$2:$C$65,2,FALSE))</f>
        <v>1</v>
      </c>
      <c r="O47" s="354">
        <f>IF(ISNA(VLOOKUP($A47,Accrued_Data!$A$2:$D$68,3,FALSE)),"0",VLOOKUP($A47,Accrued_Data!$A$2:$D$68,3,FALSE))</f>
        <v>6</v>
      </c>
      <c r="P47" s="311">
        <f>'[1]ResultingReport'!$J55</f>
        <v>3206</v>
      </c>
      <c r="Q47" s="268"/>
    </row>
    <row r="48" spans="1:17" ht="12.75">
      <c r="A48" t="s">
        <v>458</v>
      </c>
      <c r="B48" s="302">
        <f>IF(ISNA(VLOOKUP(A48,Entitlement_Data!A$3:C$64,2,FALSE)),"0",VLOOKUP(A48,Entitlement_Data!A$3:C$64,2,FALSE))</f>
        <v>14351</v>
      </c>
      <c r="C48" s="302">
        <f>IF(ISNA(VLOOKUP(A48,Entitlement_Data!A$3:D$64,3,FALSE)),"0",VLOOKUP(A48,Entitlement_Data!A$3:D$64,3,FALSE))</f>
        <v>9860</v>
      </c>
      <c r="D48" s="25">
        <f t="shared" si="0"/>
        <v>0.6870601351822173</v>
      </c>
      <c r="E48" s="354">
        <f>IF(ISNA(VLOOKUP(A48,'Award Adjustment_Data'!A$2:F$68,3,FALSE)),"0",VLOOKUP(A48,'Award Adjustment_Data'!A$2:F$68,3,FALSE))</f>
        <v>4991</v>
      </c>
      <c r="F48" s="354">
        <f>IF(ISNA(VLOOKUP(A48,'Award Adjustment_Data'!A$2:G$68,4,FALSE)),"0",VLOOKUP(A48,'Award Adjustment_Data'!A$2:G$68,4,FALSE))</f>
        <v>3294</v>
      </c>
      <c r="G48" s="25">
        <f t="shared" si="1"/>
        <v>0.6599879783610499</v>
      </c>
      <c r="H48" s="1">
        <f>IF(ISNA(VLOOKUP(A48,Program_Review_Data!A38:E102,2,FALSE)),"0",VLOOKUP(A48,Program_Review_Data!A38:E102,2,FALSE))</f>
        <v>441</v>
      </c>
      <c r="I48" s="1">
        <f>IF(ISNA(VLOOKUP($A48,Program_Review_Data!A38:F102,3,FALSE)),"0",VLOOKUP($A48,Program_Review_Data!A38:F102,3,FALSE))</f>
        <v>184</v>
      </c>
      <c r="J48" s="25">
        <f t="shared" si="2"/>
        <v>0.41723356009070295</v>
      </c>
      <c r="K48" s="268">
        <f>IF(ISNA(VLOOKUP($A48,Other_Data!A38:E102,2,FALSE)),"0",VLOOKUP($A48,Other_Data!A38:E102,2,FALSE))</f>
        <v>1824</v>
      </c>
      <c r="L48" s="1">
        <f>IF(ISNA(VLOOKUP($A48,Other_Data!A38:E102,3,FALSE)),"0",VLOOKUP($A48,Other_Data!A38:E102,3,FALSE))</f>
        <v>1352</v>
      </c>
      <c r="M48" s="25">
        <f t="shared" si="3"/>
        <v>0.7412280701754386</v>
      </c>
      <c r="N48" s="1">
        <f>IF(ISNA(VLOOKUP($A48,Burial_Data!$A$2:$C$65,2,FALSE)),"0",VLOOKUP($A48,Burial_Data!$A$2:$C$65,2,FALSE))</f>
        <v>14</v>
      </c>
      <c r="O48" s="354">
        <f>IF(ISNA(VLOOKUP($A48,Accrued_Data!$A$2:$D$68,3,FALSE)),"0",VLOOKUP($A48,Accrued_Data!$A$2:$D$68,3,FALSE))</f>
        <v>109</v>
      </c>
      <c r="P48" s="311">
        <f>'[1]ResultingReport'!$J56</f>
        <v>4760</v>
      </c>
      <c r="Q48" s="268"/>
    </row>
    <row r="49" spans="1:17" ht="12.75">
      <c r="A49" t="s">
        <v>473</v>
      </c>
      <c r="B49" s="302">
        <f>IF(ISNA(VLOOKUP(A49,Entitlement_Data!A$3:C$64,2,FALSE)),"0",VLOOKUP(A49,Entitlement_Data!A$3:C$64,2,FALSE))</f>
        <v>1049</v>
      </c>
      <c r="C49" s="302">
        <f>IF(ISNA(VLOOKUP(A49,Entitlement_Data!A$3:D$64,3,FALSE)),"0",VLOOKUP(A49,Entitlement_Data!A$3:D$64,3,FALSE))</f>
        <v>339</v>
      </c>
      <c r="D49" s="25">
        <f t="shared" si="0"/>
        <v>0.323164918970448</v>
      </c>
      <c r="E49" s="354">
        <f>IF(ISNA(VLOOKUP(A49,'Award Adjustment_Data'!A$2:F$68,3,FALSE)),"0",VLOOKUP(A49,'Award Adjustment_Data'!A$2:F$68,3,FALSE))</f>
        <v>742</v>
      </c>
      <c r="F49" s="354">
        <f>IF(ISNA(VLOOKUP(A49,'Award Adjustment_Data'!A$2:G$68,4,FALSE)),"0",VLOOKUP(A49,'Award Adjustment_Data'!A$2:G$68,4,FALSE))</f>
        <v>22</v>
      </c>
      <c r="G49" s="25">
        <f t="shared" si="1"/>
        <v>0.029649595687331536</v>
      </c>
      <c r="H49" s="1">
        <f>IF(ISNA(VLOOKUP(A49,Program_Review_Data!A39:E103,2,FALSE)),"0",VLOOKUP(A49,Program_Review_Data!A39:E103,2,FALSE))</f>
        <v>170</v>
      </c>
      <c r="I49" s="1">
        <f>IF(ISNA(VLOOKUP($A49,Program_Review_Data!A39:F103,3,FALSE)),"0",VLOOKUP($A49,Program_Review_Data!A39:F103,3,FALSE))</f>
        <v>17</v>
      </c>
      <c r="J49" s="25">
        <f t="shared" si="2"/>
        <v>0.1</v>
      </c>
      <c r="K49" s="268">
        <f>IF(ISNA(VLOOKUP($A49,Other_Data!A39:E103,2,FALSE)),"0",VLOOKUP($A49,Other_Data!A39:E103,2,FALSE))</f>
        <v>164</v>
      </c>
      <c r="L49" s="1">
        <f>IF(ISNA(VLOOKUP($A49,Other_Data!A39:E103,3,FALSE)),"0",VLOOKUP($A49,Other_Data!A39:E103,3,FALSE))</f>
        <v>78</v>
      </c>
      <c r="M49" s="25">
        <f t="shared" si="3"/>
        <v>0.47560975609756095</v>
      </c>
      <c r="N49" s="1">
        <f>IF(ISNA(VLOOKUP($A49,Burial_Data!$A$2:$C$65,2,FALSE)),"0",VLOOKUP($A49,Burial_Data!$A$2:$C$65,2,FALSE))</f>
        <v>0</v>
      </c>
      <c r="O49" s="354">
        <f>IF(ISNA(VLOOKUP($A49,Accrued_Data!$A$2:$D$68,3,FALSE)),"0",VLOOKUP($A49,Accrued_Data!$A$2:$D$68,3,FALSE))</f>
        <v>1</v>
      </c>
      <c r="P49" s="311">
        <f>'[1]ResultingReport'!$J57</f>
        <v>245</v>
      </c>
      <c r="Q49" s="268"/>
    </row>
    <row r="50" spans="1:17" ht="12.75">
      <c r="A50" t="s">
        <v>474</v>
      </c>
      <c r="B50" s="302">
        <f>IF(ISNA(VLOOKUP(A50,Entitlement_Data!A$3:C$64,2,FALSE)),"0",VLOOKUP(A50,Entitlement_Data!A$3:C$64,2,FALSE))</f>
        <v>19936</v>
      </c>
      <c r="C50" s="302">
        <f>IF(ISNA(VLOOKUP(A50,Entitlement_Data!A$3:D$64,3,FALSE)),"0",VLOOKUP(A50,Entitlement_Data!A$3:D$64,3,FALSE))</f>
        <v>13619</v>
      </c>
      <c r="D50" s="25">
        <f t="shared" si="0"/>
        <v>0.6831360353130016</v>
      </c>
      <c r="E50" s="354">
        <f>IF(ISNA(VLOOKUP(A50,'Award Adjustment_Data'!A$2:F$68,3,FALSE)),"0",VLOOKUP(A50,'Award Adjustment_Data'!A$2:F$68,3,FALSE))</f>
        <v>5373</v>
      </c>
      <c r="F50" s="354">
        <f>IF(ISNA(VLOOKUP(A50,'Award Adjustment_Data'!A$2:G$68,4,FALSE)),"0",VLOOKUP(A50,'Award Adjustment_Data'!A$2:G$68,4,FALSE))</f>
        <v>3413</v>
      </c>
      <c r="G50" s="25">
        <f t="shared" si="1"/>
        <v>0.6352131025497859</v>
      </c>
      <c r="H50" s="1">
        <f>IF(ISNA(VLOOKUP(A50,Program_Review_Data!A40:E104,2,FALSE)),"0",VLOOKUP(A50,Program_Review_Data!A40:E104,2,FALSE))</f>
        <v>1428</v>
      </c>
      <c r="I50" s="1">
        <f>IF(ISNA(VLOOKUP($A50,Program_Review_Data!A40:F104,3,FALSE)),"0",VLOOKUP($A50,Program_Review_Data!A40:F104,3,FALSE))</f>
        <v>626</v>
      </c>
      <c r="J50" s="25">
        <f t="shared" si="2"/>
        <v>0.438375350140056</v>
      </c>
      <c r="K50" s="268">
        <f>IF(ISNA(VLOOKUP($A50,Other_Data!A40:E104,2,FALSE)),"0",VLOOKUP($A50,Other_Data!A40:E104,2,FALSE))</f>
        <v>1540</v>
      </c>
      <c r="L50" s="1">
        <f>IF(ISNA(VLOOKUP($A50,Other_Data!A40:E104,3,FALSE)),"0",VLOOKUP($A50,Other_Data!A40:E104,3,FALSE))</f>
        <v>995</v>
      </c>
      <c r="M50" s="25">
        <f t="shared" si="3"/>
        <v>0.6461038961038961</v>
      </c>
      <c r="N50" s="1">
        <f>IF(ISNA(VLOOKUP($A50,Burial_Data!$A$2:$C$65,2,FALSE)),"0",VLOOKUP($A50,Burial_Data!$A$2:$C$65,2,FALSE))</f>
        <v>12</v>
      </c>
      <c r="O50" s="354">
        <f>IF(ISNA(VLOOKUP($A50,Accrued_Data!$A$2:$D$68,3,FALSE)),"0",VLOOKUP($A50,Accrued_Data!$A$2:$D$68,3,FALSE))</f>
        <v>107</v>
      </c>
      <c r="P50" s="311">
        <f>'[1]ResultingReport'!$J58</f>
        <v>5640</v>
      </c>
      <c r="Q50" s="268"/>
    </row>
    <row r="51" spans="1:17" ht="13.5">
      <c r="A51" s="325" t="s">
        <v>475</v>
      </c>
      <c r="B51" s="329">
        <f>IF(ISNA(VLOOKUP(A51,Entitlement_Data!A$3:C$64,2,FALSE)),"0",VLOOKUP(A51,Entitlement_Data!A$3:C$64,2,FALSE))</f>
        <v>11944</v>
      </c>
      <c r="C51" s="329">
        <f>IF(ISNA(VLOOKUP(A51,Entitlement_Data!A$3:D$64,3,FALSE)),"0",VLOOKUP(A51,Entitlement_Data!A$3:D$64,3,FALSE))</f>
        <v>3465</v>
      </c>
      <c r="D51" s="34">
        <f t="shared" si="0"/>
        <v>0.29010381781647687</v>
      </c>
      <c r="E51" s="329">
        <f>Award_Formulas!L4-Award_Formulas!O4</f>
        <v>3432</v>
      </c>
      <c r="F51" s="35">
        <f>Award_Formulas!L7-Award_Formulas!R4</f>
        <v>328</v>
      </c>
      <c r="G51" s="34">
        <f t="shared" si="1"/>
        <v>0.09557109557109557</v>
      </c>
      <c r="H51" s="35">
        <f>IF(ISNA(VLOOKUP(A51,Program_Review_Data!A41:E105,2,FALSE)),"0",VLOOKUP(A51,Program_Review_Data!A41:E105,2,FALSE))</f>
        <v>5602</v>
      </c>
      <c r="I51" s="35">
        <f>IF(ISNA(VLOOKUP($A51,Program_Review_Data!A41:F105,3,FALSE)),"0",VLOOKUP($A51,Program_Review_Data!A41:F105,3,FALSE))</f>
        <v>891</v>
      </c>
      <c r="J51" s="34">
        <f t="shared" si="2"/>
        <v>0.15905033916458408</v>
      </c>
      <c r="K51" s="35">
        <f>IF(ISNA(VLOOKUP($A51,Other_Data!A41:E105,2,FALSE)),"0",VLOOKUP($A51,Other_Data!A41:E105,2,FALSE))</f>
        <v>549</v>
      </c>
      <c r="L51" s="35">
        <f>IF(ISNA(VLOOKUP($A51,Other_Data!A41:E105,3,FALSE)),"0",VLOOKUP($A51,Other_Data!A41:E105,3,FALSE))</f>
        <v>272</v>
      </c>
      <c r="M51" s="34">
        <f t="shared" si="3"/>
        <v>0.49544626593806923</v>
      </c>
      <c r="N51" s="35">
        <f>IF(ISNA(VLOOKUP($A51,Burial_Data!$A$2:$C$65,2,FALSE)),"0",VLOOKUP($A51,Burial_Data!$A$2:$C$65,2,FALSE))</f>
        <v>18129</v>
      </c>
      <c r="O51" s="171" t="s">
        <v>3</v>
      </c>
      <c r="P51" s="310">
        <f>'[1]ResultingReport'!$J$60</f>
        <v>1375</v>
      </c>
      <c r="Q51" s="302"/>
    </row>
    <row r="52" spans="1:17" ht="12.75">
      <c r="A52" t="s">
        <v>478</v>
      </c>
      <c r="B52" s="302">
        <f>IF(ISNA(VLOOKUP(A52,Entitlement_Data!A$3:C$64,2,FALSE)),"0",VLOOKUP(A52,Entitlement_Data!A$3:C$64,2,FALSE))</f>
        <v>48555</v>
      </c>
      <c r="C52" s="302">
        <f>IF(ISNA(VLOOKUP(A52,Entitlement_Data!A$3:D$64,3,FALSE)),"0",VLOOKUP(A52,Entitlement_Data!A$3:D$64,3,FALSE))</f>
        <v>37073</v>
      </c>
      <c r="D52" s="25">
        <f t="shared" si="0"/>
        <v>0.7635258984656575</v>
      </c>
      <c r="E52" s="354">
        <f>IF(ISNA(VLOOKUP(A52,'Award Adjustment_Data'!A$2:F$68,3,FALSE)),"0",VLOOKUP(A52,'Award Adjustment_Data'!A$2:F$68,3,FALSE))</f>
        <v>10823</v>
      </c>
      <c r="F52" s="354">
        <f>IF(ISNA(VLOOKUP(A52,'Award Adjustment_Data'!A$2:G$68,4,FALSE)),"0",VLOOKUP(A52,'Award Adjustment_Data'!A$2:G$68,4,FALSE))</f>
        <v>5541</v>
      </c>
      <c r="G52" s="25">
        <f t="shared" si="1"/>
        <v>0.5119652591702855</v>
      </c>
      <c r="H52" s="1">
        <f>IF(ISNA(VLOOKUP(A52,Program_Review_Data!A42:E106,2,FALSE)),"0",VLOOKUP(A52,Program_Review_Data!A42:E106,2,FALSE))</f>
        <v>1654</v>
      </c>
      <c r="I52" s="1">
        <f>IF(ISNA(VLOOKUP($A52,Program_Review_Data!A42:F106,3,FALSE)),"0",VLOOKUP($A52,Program_Review_Data!A42:F106,3,FALSE))</f>
        <v>562</v>
      </c>
      <c r="J52" s="25">
        <f t="shared" si="2"/>
        <v>0.33978234582829503</v>
      </c>
      <c r="K52" s="268">
        <f>IF(ISNA(VLOOKUP($A52,Other_Data!A42:E106,2,FALSE)),"0",VLOOKUP($A52,Other_Data!A42:E106,2,FALSE))</f>
        <v>3221</v>
      </c>
      <c r="L52" s="1">
        <f>IF(ISNA(VLOOKUP($A52,Other_Data!A42:E106,3,FALSE)),"0",VLOOKUP($A52,Other_Data!A42:E106,3,FALSE))</f>
        <v>2236</v>
      </c>
      <c r="M52" s="25">
        <f t="shared" si="3"/>
        <v>0.6941943495808756</v>
      </c>
      <c r="N52" s="1">
        <f>IF(ISNA(VLOOKUP($A52,Burial_Data!$A$2:$C$65,2,FALSE)),"0",VLOOKUP($A52,Burial_Data!$A$2:$C$65,2,FALSE))</f>
        <v>5</v>
      </c>
      <c r="O52" s="354">
        <f>IF(ISNA(VLOOKUP($A52,Accrued_Data!$A$2:$D$68,3,FALSE)),"0",VLOOKUP($A52,Accrued_Data!$A$2:$D$68,3,FALSE))</f>
        <v>9</v>
      </c>
      <c r="P52" s="311">
        <f>'[1]ResultingReport'!$J$62</f>
        <v>12640</v>
      </c>
      <c r="Q52" s="268"/>
    </row>
    <row r="53" spans="1:17" ht="12.75">
      <c r="A53" s="328" t="s">
        <v>482</v>
      </c>
      <c r="B53" s="335">
        <f>IF(ISNA(VLOOKUP(A53,Entitlement_Data!A$3:C$64,2,FALSE)),"0",VLOOKUP(A53,Entitlement_Data!A$3:C$64,2,FALSE))</f>
        <v>4933</v>
      </c>
      <c r="C53" s="335">
        <f>IF(ISNA(VLOOKUP(A53,Entitlement_Data!A$3:D$64,3,FALSE)),"0",VLOOKUP(A53,Entitlement_Data!A$3:D$64,3,FALSE))</f>
        <v>2657</v>
      </c>
      <c r="D53" s="32">
        <f t="shared" si="0"/>
        <v>0.538617474153659</v>
      </c>
      <c r="E53" s="355">
        <f>IF(ISNA(VLOOKUP(A53,'Award Adjustment_Data'!A$2:F$68,3,FALSE)),"0",VLOOKUP(A53,'Award Adjustment_Data'!A$2:F$68,3,FALSE))</f>
        <v>1786</v>
      </c>
      <c r="F53" s="355">
        <f>IF(ISNA(VLOOKUP(A53,'Award Adjustment_Data'!A$2:G$68,4,FALSE)),"0",VLOOKUP(A53,'Award Adjustment_Data'!A$2:G$68,4,FALSE))</f>
        <v>777</v>
      </c>
      <c r="G53" s="32">
        <f t="shared" si="1"/>
        <v>0.43505039193729006</v>
      </c>
      <c r="H53" s="33">
        <f>IF(ISNA(VLOOKUP(A53,Program_Review_Data!A43:E107,2,FALSE)),"0",VLOOKUP(A53,Program_Review_Data!A43:E107,2,FALSE))</f>
        <v>180</v>
      </c>
      <c r="I53" s="33">
        <f>IF(ISNA(VLOOKUP($A53,Program_Review_Data!A43:F107,3,FALSE)),"0",VLOOKUP($A53,Program_Review_Data!A43:F107,3,FALSE))</f>
        <v>36</v>
      </c>
      <c r="J53" s="32">
        <f t="shared" si="2"/>
        <v>0.2</v>
      </c>
      <c r="K53" s="270">
        <f>IF(ISNA(VLOOKUP($A53,Other_Data!A43:E107,2,FALSE)),"0",VLOOKUP($A53,Other_Data!A43:E107,2,FALSE))</f>
        <v>669</v>
      </c>
      <c r="L53" s="33">
        <f>IF(ISNA(VLOOKUP($A53,Other_Data!A43:E107,3,FALSE)),"0",VLOOKUP($A53,Other_Data!A43:E107,3,FALSE))</f>
        <v>379</v>
      </c>
      <c r="M53" s="32">
        <f t="shared" si="3"/>
        <v>0.5665171898355755</v>
      </c>
      <c r="N53" s="33">
        <f>IF(ISNA(VLOOKUP($A53,Burial_Data!$A$2:$C$65,2,FALSE)),"0",VLOOKUP($A53,Burial_Data!$A$2:$C$65,2,FALSE))</f>
        <v>0</v>
      </c>
      <c r="O53" s="355" t="str">
        <f>IF(ISNA(VLOOKUP($A53,Accrued_Data!$A$2:$D$68,3,FALSE)),"0",VLOOKUP($A53,Accrued_Data!$A$2:$D$68,3,FALSE))</f>
        <v>0</v>
      </c>
      <c r="P53" s="309">
        <f>'[1]ResultingReport'!$J$63</f>
        <v>952</v>
      </c>
      <c r="Q53" s="295"/>
    </row>
    <row r="54" spans="1:17" ht="12.75">
      <c r="A54" t="s">
        <v>428</v>
      </c>
      <c r="B54" s="302">
        <f>IF(ISNA(VLOOKUP(A54,Entitlement_Data!A$3:C$64,2,FALSE)),"0",VLOOKUP(A54,Entitlement_Data!A$3:C$64,2,FALSE))</f>
        <v>5119</v>
      </c>
      <c r="C54" s="302">
        <f>IF(ISNA(VLOOKUP(A54,Entitlement_Data!A$3:D$64,3,FALSE)),"0",VLOOKUP(A54,Entitlement_Data!A$3:D$64,3,FALSE))</f>
        <v>2715</v>
      </c>
      <c r="D54" s="25">
        <f t="shared" si="0"/>
        <v>0.5303770267630397</v>
      </c>
      <c r="E54" s="354">
        <f>IF(ISNA(VLOOKUP(A54,'Award Adjustment_Data'!A$2:F$68,3,FALSE)),"0",VLOOKUP(A54,'Award Adjustment_Data'!A$2:F$68,3,FALSE))</f>
        <v>2132</v>
      </c>
      <c r="F54" s="354">
        <f>IF(ISNA(VLOOKUP(A54,'Award Adjustment_Data'!A$2:G$68,4,FALSE)),"0",VLOOKUP(A54,'Award Adjustment_Data'!A$2:G$68,4,FALSE))</f>
        <v>1111</v>
      </c>
      <c r="G54" s="25">
        <f t="shared" si="1"/>
        <v>0.5211069418386491</v>
      </c>
      <c r="H54" s="1">
        <f>IF(ISNA(VLOOKUP(A54,Program_Review_Data!A44:E108,2,FALSE)),"0",VLOOKUP(A54,Program_Review_Data!A44:E108,2,FALSE))</f>
        <v>426</v>
      </c>
      <c r="I54" s="1">
        <f>IF(ISNA(VLOOKUP($A54,Program_Review_Data!A44:F108,3,FALSE)),"0",VLOOKUP($A54,Program_Review_Data!A44:F108,3,FALSE))</f>
        <v>107</v>
      </c>
      <c r="J54" s="25">
        <f t="shared" si="2"/>
        <v>0.2511737089201878</v>
      </c>
      <c r="K54" s="268">
        <f>IF(ISNA(VLOOKUP($A54,Other_Data!A44:E108,2,FALSE)),"0",VLOOKUP($A54,Other_Data!A44:E108,2,FALSE))</f>
        <v>608</v>
      </c>
      <c r="L54" s="1">
        <f>IF(ISNA(VLOOKUP($A54,Other_Data!A44:E108,3,FALSE)),"0",VLOOKUP($A54,Other_Data!A44:E108,3,FALSE))</f>
        <v>397</v>
      </c>
      <c r="M54" s="25">
        <f t="shared" si="3"/>
        <v>0.6529605263157895</v>
      </c>
      <c r="N54" s="1">
        <f>IF(ISNA(VLOOKUP($A54,Burial_Data!$A$2:$C$65,2,FALSE)),"0",VLOOKUP($A54,Burial_Data!$A$2:$C$65,2,FALSE))</f>
        <v>1</v>
      </c>
      <c r="O54" s="354">
        <f>IF(ISNA(VLOOKUP($A54,Accrued_Data!$A$2:$D$68,3,FALSE)),"0",VLOOKUP($A54,Accrued_Data!$A$2:$D$68,3,FALSE))</f>
        <v>1</v>
      </c>
      <c r="P54" s="303">
        <f>'[1]ResultingReport'!$J$65</f>
        <v>1773</v>
      </c>
      <c r="Q54" s="268"/>
    </row>
    <row r="55" spans="1:17" ht="12.75">
      <c r="A55" t="s">
        <v>430</v>
      </c>
      <c r="B55" s="302">
        <f>IF(ISNA(VLOOKUP(A55,Entitlement_Data!A$3:C$64,2,FALSE)),"0",VLOOKUP(A55,Entitlement_Data!A$3:C$64,2,FALSE))</f>
        <v>2606</v>
      </c>
      <c r="C55" s="302">
        <f>IF(ISNA(VLOOKUP(A55,Entitlement_Data!A$3:D$64,3,FALSE)),"0",VLOOKUP(A55,Entitlement_Data!A$3:D$64,3,FALSE))</f>
        <v>1720</v>
      </c>
      <c r="D55" s="25">
        <f t="shared" si="0"/>
        <v>0.6600153491941673</v>
      </c>
      <c r="E55" s="354">
        <f>IF(ISNA(VLOOKUP(A55,'Award Adjustment_Data'!A$2:F$68,3,FALSE)),"0",VLOOKUP(A55,'Award Adjustment_Data'!A$2:F$68,3,FALSE))</f>
        <v>2301</v>
      </c>
      <c r="F55" s="354">
        <f>IF(ISNA(VLOOKUP(A55,'Award Adjustment_Data'!A$2:G$68,4,FALSE)),"0",VLOOKUP(A55,'Award Adjustment_Data'!A$2:G$68,4,FALSE))</f>
        <v>1526</v>
      </c>
      <c r="G55" s="25">
        <f t="shared" si="1"/>
        <v>0.6631899174272056</v>
      </c>
      <c r="H55" s="1">
        <f>IF(ISNA(VLOOKUP(A55,Program_Review_Data!A45:E109,2,FALSE)),"0",VLOOKUP(A55,Program_Review_Data!A45:E109,2,FALSE))</f>
        <v>1020</v>
      </c>
      <c r="I55" s="1">
        <f>IF(ISNA(VLOOKUP($A55,Program_Review_Data!A45:F109,3,FALSE)),"0",VLOOKUP($A55,Program_Review_Data!A45:F109,3,FALSE))</f>
        <v>702</v>
      </c>
      <c r="J55" s="25">
        <f t="shared" si="2"/>
        <v>0.6882352941176471</v>
      </c>
      <c r="K55" s="268">
        <f>IF(ISNA(VLOOKUP($A55,Other_Data!A45:E109,2,FALSE)),"0",VLOOKUP($A55,Other_Data!A45:E109,2,FALSE))</f>
        <v>352</v>
      </c>
      <c r="L55" s="1">
        <f>IF(ISNA(VLOOKUP($A55,Other_Data!A45:E109,3,FALSE)),"0",VLOOKUP($A55,Other_Data!A45:E109,3,FALSE))</f>
        <v>296</v>
      </c>
      <c r="M55" s="25">
        <f t="shared" si="3"/>
        <v>0.8409090909090909</v>
      </c>
      <c r="N55" s="1">
        <f>IF(ISNA(VLOOKUP($A55,Burial_Data!$A$2:$C$65,2,FALSE)),"0",VLOOKUP($A55,Burial_Data!$A$2:$C$65,2,FALSE))</f>
        <v>0</v>
      </c>
      <c r="O55" s="354" t="str">
        <f>IF(ISNA(VLOOKUP($A55,Accrued_Data!$A$2:$D$68,3,FALSE)),"0",VLOOKUP($A55,Accrued_Data!$A$2:$D$68,3,FALSE))</f>
        <v>0</v>
      </c>
      <c r="P55" s="303">
        <f>'[1]ResultingReport'!$J66</f>
        <v>159</v>
      </c>
      <c r="Q55" s="268"/>
    </row>
    <row r="56" spans="1:17" ht="12.75">
      <c r="A56" t="s">
        <v>432</v>
      </c>
      <c r="B56" s="302">
        <f>IF(ISNA(VLOOKUP(A56,Entitlement_Data!A$3:C$64,2,FALSE)),"0",VLOOKUP(A56,Entitlement_Data!A$3:C$64,2,FALSE))</f>
        <v>2209</v>
      </c>
      <c r="C56" s="302">
        <f>IF(ISNA(VLOOKUP(A56,Entitlement_Data!A$3:D$64,3,FALSE)),"0",VLOOKUP(A56,Entitlement_Data!A$3:D$64,3,FALSE))</f>
        <v>1034</v>
      </c>
      <c r="D56" s="25">
        <f t="shared" si="0"/>
        <v>0.46808510638297873</v>
      </c>
      <c r="E56" s="354">
        <f>IF(ISNA(VLOOKUP(A56,'Award Adjustment_Data'!A$2:F$68,3,FALSE)),"0",VLOOKUP(A56,'Award Adjustment_Data'!A$2:F$68,3,FALSE))</f>
        <v>1477</v>
      </c>
      <c r="F56" s="354">
        <f>IF(ISNA(VLOOKUP(A56,'Award Adjustment_Data'!A$2:G$68,4,FALSE)),"0",VLOOKUP(A56,'Award Adjustment_Data'!A$2:G$68,4,FALSE))</f>
        <v>460</v>
      </c>
      <c r="G56" s="25">
        <f t="shared" si="1"/>
        <v>0.3114421123899797</v>
      </c>
      <c r="H56" s="1">
        <f>IF(ISNA(VLOOKUP(A56,Program_Review_Data!A46:E110,2,FALSE)),"0",VLOOKUP(A56,Program_Review_Data!A46:E110,2,FALSE))</f>
        <v>257</v>
      </c>
      <c r="I56" s="1">
        <f>IF(ISNA(VLOOKUP($A56,Program_Review_Data!A46:F110,3,FALSE)),"0",VLOOKUP($A56,Program_Review_Data!A46:F110,3,FALSE))</f>
        <v>69</v>
      </c>
      <c r="J56" s="25">
        <f t="shared" si="2"/>
        <v>0.26848249027237353</v>
      </c>
      <c r="K56" s="268">
        <f>IF(ISNA(VLOOKUP($A56,Other_Data!A46:E110,2,FALSE)),"0",VLOOKUP($A56,Other_Data!A46:E110,2,FALSE))</f>
        <v>386</v>
      </c>
      <c r="L56" s="1">
        <f>IF(ISNA(VLOOKUP($A56,Other_Data!A46:E110,3,FALSE)),"0",VLOOKUP($A56,Other_Data!A46:E110,3,FALSE))</f>
        <v>226</v>
      </c>
      <c r="M56" s="25">
        <f t="shared" si="3"/>
        <v>0.5854922279792746</v>
      </c>
      <c r="N56" s="1">
        <f>IF(ISNA(VLOOKUP($A56,Burial_Data!$A$2:$C$65,2,FALSE)),"0",VLOOKUP($A56,Burial_Data!$A$2:$C$65,2,FALSE))</f>
        <v>0</v>
      </c>
      <c r="O56" s="354">
        <f>IF(ISNA(VLOOKUP($A56,Accrued_Data!$A$2:$D$68,3,FALSE)),"0",VLOOKUP($A56,Accrued_Data!$A$2:$D$68,3,FALSE))</f>
        <v>1</v>
      </c>
      <c r="P56" s="303">
        <f>'[1]ResultingReport'!$J67</f>
        <v>965</v>
      </c>
      <c r="Q56" s="268"/>
    </row>
    <row r="57" spans="1:17" ht="13.5">
      <c r="A57" s="327" t="s">
        <v>438</v>
      </c>
      <c r="B57" s="302">
        <f>Ent_Formulas!D2</f>
        <v>13303</v>
      </c>
      <c r="C57" s="302">
        <f>Ent_Formulas!D3</f>
        <v>8009</v>
      </c>
      <c r="D57" s="269">
        <f>C57/B57</f>
        <v>0.6020446515823499</v>
      </c>
      <c r="E57" s="354">
        <f>Award_Formulas!D2</f>
        <v>5758</v>
      </c>
      <c r="F57" s="354">
        <f>Award_Formulas!D3</f>
        <v>3242</v>
      </c>
      <c r="G57" s="269">
        <f>F57/E57</f>
        <v>0.5630427231677666</v>
      </c>
      <c r="H57" s="1">
        <f>IF(ISNA(VLOOKUP(A57,Program_Review_Data!A47:E111,2,FALSE)),"0",VLOOKUP(A57,Program_Review_Data!A47:E111,2,FALSE))</f>
        <v>1408</v>
      </c>
      <c r="I57" s="1">
        <f>IF(ISNA(VLOOKUP($A57,Program_Review_Data!A47:F111,3,FALSE)),"0",VLOOKUP($A57,Program_Review_Data!A47:F111,3,FALSE))</f>
        <v>604</v>
      </c>
      <c r="J57" s="269">
        <f>I57/H57</f>
        <v>0.4289772727272727</v>
      </c>
      <c r="K57" s="268">
        <f>IF(ISNA(VLOOKUP($A57,Other_Data!A47:E111,2,FALSE)),"0",VLOOKUP($A57,Other_Data!A47:E111,2,FALSE))</f>
        <v>1638</v>
      </c>
      <c r="L57" s="1">
        <f>IF(ISNA(VLOOKUP($A57,Other_Data!A47:E111,3,FALSE)),"0",VLOOKUP($A57,Other_Data!A47:E111,3,FALSE))</f>
        <v>836</v>
      </c>
      <c r="M57" s="269">
        <f>L57/K57</f>
        <v>0.5103785103785103</v>
      </c>
      <c r="N57" s="1">
        <f>IF(ISNA(VLOOKUP($A57,Burial_Data!$A$2:$C$65,2,FALSE)),"0",VLOOKUP($A57,Burial_Data!$A$2:$C$65,2,FALSE))</f>
        <v>10</v>
      </c>
      <c r="O57" s="354">
        <f>IF(ISNA(VLOOKUP($A57,Accrued_Data!$A$2:$D$68,3,FALSE)),"0",VLOOKUP($A57,Accrued_Data!$A$2:$D$68,3,FALSE))</f>
        <v>4</v>
      </c>
      <c r="P57" s="312">
        <f>'[1]ResultingReport'!$J$69</f>
        <v>3862</v>
      </c>
      <c r="Q57" s="268"/>
    </row>
    <row r="58" spans="1:17" ht="13.5">
      <c r="A58" s="327" t="s">
        <v>434</v>
      </c>
      <c r="B58" s="302">
        <f>IF(ISNA(VLOOKUP(A58,Entitlement_Data!A$3:C$64,2,FALSE)),"0",VLOOKUP(A58,Entitlement_Data!A$3:C$64,2,FALSE))</f>
        <v>1223</v>
      </c>
      <c r="C58" s="302">
        <f>IF(ISNA(VLOOKUP(A58,Entitlement_Data!A$3:D$64,3,FALSE)),"0",VLOOKUP(A58,Entitlement_Data!A$3:D$64,3,FALSE))</f>
        <v>426</v>
      </c>
      <c r="D58" s="269">
        <f>C58/B58</f>
        <v>0.34832379394930496</v>
      </c>
      <c r="E58" s="354">
        <f>IF(ISNA(VLOOKUP(A58,'Award Adjustment_Data'!A$2:F$68,3,FALSE)),"0",VLOOKUP(A58,'Award Adjustment_Data'!A$2:F$68,3,FALSE))</f>
        <v>582</v>
      </c>
      <c r="F58" s="354">
        <f>IF(ISNA(VLOOKUP(A58,'Award Adjustment_Data'!A$2:G$68,4,FALSE)),"0",VLOOKUP(A58,'Award Adjustment_Data'!A$2:G$68,4,FALSE))</f>
        <v>274</v>
      </c>
      <c r="G58" s="269">
        <f>F58/E58</f>
        <v>0.47079037800687284</v>
      </c>
      <c r="H58" s="1">
        <f>IF(ISNA(VLOOKUP(A58,Program_Review_Data!A48:E112,2,FALSE)),"0",VLOOKUP(A58,Program_Review_Data!A48:E112,2,FALSE))</f>
        <v>64</v>
      </c>
      <c r="I58" s="1">
        <f>IF(ISNA(VLOOKUP($A58,Program_Review_Data!A48:F112,3,FALSE)),"0",VLOOKUP($A58,Program_Review_Data!A48:F112,3,FALSE))</f>
        <v>28</v>
      </c>
      <c r="J58" s="269">
        <f>I58/H58</f>
        <v>0.4375</v>
      </c>
      <c r="K58" s="268">
        <f>IF(ISNA(VLOOKUP($A58,Other_Data!A48:E112,2,FALSE)),"0",VLOOKUP($A58,Other_Data!A48:E112,2,FALSE))</f>
        <v>176</v>
      </c>
      <c r="L58" s="1">
        <f>IF(ISNA(VLOOKUP($A58,Other_Data!A48:E112,3,FALSE)),"0",VLOOKUP($A58,Other_Data!A48:E112,3,FALSE))</f>
        <v>79</v>
      </c>
      <c r="M58" s="269">
        <f>L58/K58</f>
        <v>0.44886363636363635</v>
      </c>
      <c r="N58" s="1">
        <f>IF(ISNA(VLOOKUP($A58,Burial_Data!$A$2:$C$65,2,FALSE)),"0",VLOOKUP($A58,Burial_Data!$A$2:$C$65,2,FALSE))</f>
        <v>2</v>
      </c>
      <c r="O58" s="354">
        <f>IF(ISNA(VLOOKUP($A58,Accrued_Data!$A$2:$D$68,3,FALSE)),"0",VLOOKUP($A58,Accrued_Data!$A$2:$D$68,3,FALSE))</f>
        <v>4</v>
      </c>
      <c r="P58" s="312">
        <f>'[1]ResultingReport'!$J$68</f>
        <v>292</v>
      </c>
      <c r="Q58" s="268"/>
    </row>
    <row r="59" spans="1:17" ht="12.75">
      <c r="A59" t="s">
        <v>442</v>
      </c>
      <c r="B59" s="302">
        <f>IF(ISNA(VLOOKUP(A59,Entitlement_Data!A$3:C$64,2,FALSE)),"0",VLOOKUP(A59,Entitlement_Data!A$3:C$64,2,FALSE))</f>
        <v>2055</v>
      </c>
      <c r="C59" s="302">
        <f>IF(ISNA(VLOOKUP(A59,Entitlement_Data!A$3:D$64,3,FALSE)),"0",VLOOKUP(A59,Entitlement_Data!A$3:D$64,3,FALSE))</f>
        <v>981</v>
      </c>
      <c r="D59" s="269">
        <f aca="true" t="shared" si="4" ref="D59:D69">C59/B59</f>
        <v>0.47737226277372263</v>
      </c>
      <c r="E59" s="354">
        <f>IF(ISNA(VLOOKUP(A59,'Award Adjustment_Data'!A$2:F$68,3,FALSE)),"0",VLOOKUP(A59,'Award Adjustment_Data'!A$2:F$68,3,FALSE))</f>
        <v>1229</v>
      </c>
      <c r="F59" s="354">
        <f>IF(ISNA(VLOOKUP(A59,'Award Adjustment_Data'!A$2:G$68,4,FALSE)),"0",VLOOKUP(A59,'Award Adjustment_Data'!A$2:G$68,4,FALSE))</f>
        <v>403</v>
      </c>
      <c r="G59" s="269">
        <f aca="true" t="shared" si="5" ref="G59:G69">F59/E59</f>
        <v>0.3279088689991863</v>
      </c>
      <c r="H59" s="1">
        <f>IF(ISNA(VLOOKUP(A59,Program_Review_Data!A49:E113,2,FALSE)),"0",VLOOKUP(A59,Program_Review_Data!A49:E113,2,FALSE))</f>
        <v>205</v>
      </c>
      <c r="I59" s="1">
        <f>IF(ISNA(VLOOKUP($A59,Program_Review_Data!A49:F113,3,FALSE)),"0",VLOOKUP($A59,Program_Review_Data!A49:F113,3,FALSE))</f>
        <v>68</v>
      </c>
      <c r="J59" s="269">
        <f aca="true" t="shared" si="6" ref="J59:J69">I59/H59</f>
        <v>0.33170731707317075</v>
      </c>
      <c r="K59" s="268">
        <f>IF(ISNA(VLOOKUP($A59,Other_Data!A49:E113,2,FALSE)),"0",VLOOKUP($A59,Other_Data!A49:E113,2,FALSE))</f>
        <v>378</v>
      </c>
      <c r="L59" s="1">
        <f>IF(ISNA(VLOOKUP($A59,Other_Data!A49:E113,3,FALSE)),"0",VLOOKUP($A59,Other_Data!A49:E113,3,FALSE))</f>
        <v>226</v>
      </c>
      <c r="M59" s="269">
        <f aca="true" t="shared" si="7" ref="M59:M69">L59/K59</f>
        <v>0.5978835978835979</v>
      </c>
      <c r="N59" s="1">
        <f>IF(ISNA(VLOOKUP($A59,Burial_Data!$A$2:$C$65,2,FALSE)),"0",VLOOKUP($A59,Burial_Data!$A$2:$C$65,2,FALSE))</f>
        <v>0</v>
      </c>
      <c r="O59" s="354">
        <f>IF(ISNA(VLOOKUP($A59,Accrued_Data!$A$2:$D$68,3,FALSE)),"0",VLOOKUP($A59,Accrued_Data!$A$2:$D$68,3,FALSE))</f>
        <v>2</v>
      </c>
      <c r="P59" s="312">
        <f>'[1]ResultingReport'!$J$70</f>
        <v>293</v>
      </c>
      <c r="Q59" s="268"/>
    </row>
    <row r="60" spans="1:17" ht="12.75">
      <c r="A60" t="s">
        <v>444</v>
      </c>
      <c r="B60" s="302">
        <f>IF(ISNA(VLOOKUP(A60,Entitlement_Data!A$3:C$64,2,FALSE)),"0",VLOOKUP(A60,Entitlement_Data!A$3:C$64,2,FALSE))</f>
        <v>6000</v>
      </c>
      <c r="C60" s="302">
        <f>IF(ISNA(VLOOKUP(A60,Entitlement_Data!A$3:D$64,3,FALSE)),"0",VLOOKUP(A60,Entitlement_Data!A$3:D$64,3,FALSE))</f>
        <v>4509</v>
      </c>
      <c r="D60" s="269">
        <f t="shared" si="4"/>
        <v>0.7515</v>
      </c>
      <c r="E60" s="354">
        <f>IF(ISNA(VLOOKUP(A60,'Award Adjustment_Data'!A$2:F$68,3,FALSE)),"0",VLOOKUP(A60,'Award Adjustment_Data'!A$2:F$68,3,FALSE))</f>
        <v>1620</v>
      </c>
      <c r="F60" s="354">
        <f>IF(ISNA(VLOOKUP(A60,'Award Adjustment_Data'!A$2:G$68,4,FALSE)),"0",VLOOKUP(A60,'Award Adjustment_Data'!A$2:G$68,4,FALSE))</f>
        <v>356</v>
      </c>
      <c r="G60" s="269">
        <f t="shared" si="5"/>
        <v>0.21975308641975308</v>
      </c>
      <c r="H60" s="1">
        <f>IF(ISNA(VLOOKUP(A60,Program_Review_Data!A50:E114,2,FALSE)),"0",VLOOKUP(A60,Program_Review_Data!A50:E114,2,FALSE))</f>
        <v>280</v>
      </c>
      <c r="I60" s="1">
        <f>IF(ISNA(VLOOKUP($A60,Program_Review_Data!A50:F114,3,FALSE)),"0",VLOOKUP($A60,Program_Review_Data!A50:F114,3,FALSE))</f>
        <v>31</v>
      </c>
      <c r="J60" s="269">
        <f t="shared" si="6"/>
        <v>0.11071428571428571</v>
      </c>
      <c r="K60" s="268">
        <f>IF(ISNA(VLOOKUP($A60,Other_Data!A50:E114,2,FALSE)),"0",VLOOKUP($A60,Other_Data!A50:E114,2,FALSE))</f>
        <v>814</v>
      </c>
      <c r="L60" s="1">
        <f>IF(ISNA(VLOOKUP($A60,Other_Data!A50:E114,3,FALSE)),"0",VLOOKUP($A60,Other_Data!A50:E114,3,FALSE))</f>
        <v>710</v>
      </c>
      <c r="M60" s="269">
        <f t="shared" si="7"/>
        <v>0.8722358722358723</v>
      </c>
      <c r="N60" s="1">
        <f>IF(ISNA(VLOOKUP($A60,Burial_Data!$A$2:$C$65,2,FALSE)),"0",VLOOKUP($A60,Burial_Data!$A$2:$C$65,2,FALSE))</f>
        <v>3</v>
      </c>
      <c r="O60" s="354" t="str">
        <f>IF(ISNA(VLOOKUP($A60,Accrued_Data!$A$2:$D$68,3,FALSE)),"0",VLOOKUP($A60,Accrued_Data!$A$2:$D$68,3,FALSE))</f>
        <v>0</v>
      </c>
      <c r="P60" s="312">
        <f>'[1]ResultingReport'!$J$71</f>
        <v>758</v>
      </c>
      <c r="Q60" s="268"/>
    </row>
    <row r="61" spans="1:17" ht="12.75">
      <c r="A61" t="s">
        <v>451</v>
      </c>
      <c r="B61" s="302">
        <f>IF(ISNA(VLOOKUP(A61,Entitlement_Data!A$3:C$64,2,FALSE)),"0",VLOOKUP(A61,Entitlement_Data!A$3:C$64,2,FALSE))</f>
        <v>22133</v>
      </c>
      <c r="C61" s="302">
        <f>IF(ISNA(VLOOKUP(A61,Entitlement_Data!A$3:D$64,3,FALSE)),"0",VLOOKUP(A61,Entitlement_Data!A$3:D$64,3,FALSE))</f>
        <v>19908</v>
      </c>
      <c r="D61" s="269">
        <f t="shared" si="4"/>
        <v>0.8994713775809877</v>
      </c>
      <c r="E61" s="354">
        <f>IF(ISNA(VLOOKUP(A61,'Award Adjustment_Data'!A$2:F$68,3,FALSE)),"0",VLOOKUP(A61,'Award Adjustment_Data'!A$2:F$68,3,FALSE))</f>
        <v>6479</v>
      </c>
      <c r="F61" s="354">
        <f>IF(ISNA(VLOOKUP(A61,'Award Adjustment_Data'!A$2:G$68,4,FALSE)),"0",VLOOKUP(A61,'Award Adjustment_Data'!A$2:G$68,4,FALSE))</f>
        <v>3455</v>
      </c>
      <c r="G61" s="269">
        <f t="shared" si="5"/>
        <v>0.5332613057570613</v>
      </c>
      <c r="H61" s="1">
        <f>IF(ISNA(VLOOKUP(A61,Program_Review_Data!A51:E115,2,FALSE)),"0",VLOOKUP(A61,Program_Review_Data!A51:E115,2,FALSE))</f>
        <v>2246</v>
      </c>
      <c r="I61" s="1">
        <f>IF(ISNA(VLOOKUP($A61,Program_Review_Data!A51:F115,3,FALSE)),"0",VLOOKUP($A61,Program_Review_Data!A51:F115,3,FALSE))</f>
        <v>979</v>
      </c>
      <c r="J61" s="269">
        <f t="shared" si="6"/>
        <v>0.4358860195903829</v>
      </c>
      <c r="K61" s="268">
        <f>IF(ISNA(VLOOKUP($A61,Other_Data!A51:E115,2,FALSE)),"0",VLOOKUP($A61,Other_Data!A51:E115,2,FALSE))</f>
        <v>1208</v>
      </c>
      <c r="L61" s="1">
        <f>IF(ISNA(VLOOKUP($A61,Other_Data!A51:E115,3,FALSE)),"0",VLOOKUP($A61,Other_Data!A51:E115,3,FALSE))</f>
        <v>1100</v>
      </c>
      <c r="M61" s="269">
        <f t="shared" si="7"/>
        <v>0.9105960264900662</v>
      </c>
      <c r="N61" s="1">
        <f>IF(ISNA(VLOOKUP($A61,Burial_Data!$A$2:$C$65,2,FALSE)),"0",VLOOKUP($A61,Burial_Data!$A$2:$C$65,2,FALSE))</f>
        <v>3</v>
      </c>
      <c r="O61" s="354">
        <f>IF(ISNA(VLOOKUP($A61,Accrued_Data!$A$2:$D$68,3,FALSE)),"0",VLOOKUP($A61,Accrued_Data!$A$2:$D$68,3,FALSE))</f>
        <v>7</v>
      </c>
      <c r="P61" s="312">
        <f>'[1]ResultingReport'!$J$72</f>
        <v>6075</v>
      </c>
      <c r="Q61" s="268"/>
    </row>
    <row r="62" spans="1:17" ht="12.75">
      <c r="A62" t="s">
        <v>454</v>
      </c>
      <c r="B62" s="302">
        <f>IF(ISNA(VLOOKUP(A62,Entitlement_Data!A$3:C$64,2,FALSE)),"0",VLOOKUP(A62,Entitlement_Data!A$3:C$64,2,FALSE))</f>
        <v>2559</v>
      </c>
      <c r="C62" s="302">
        <f>IF(ISNA(VLOOKUP(A62,Entitlement_Data!A$3:D$64,3,FALSE)),"0",VLOOKUP(A62,Entitlement_Data!A$3:D$64,3,FALSE))</f>
        <v>1563</v>
      </c>
      <c r="D62" s="269">
        <f t="shared" si="4"/>
        <v>0.6107854630715123</v>
      </c>
      <c r="E62" s="354">
        <f>IF(ISNA(VLOOKUP(A62,'Award Adjustment_Data'!A$2:F$68,3,FALSE)),"0",VLOOKUP(A62,'Award Adjustment_Data'!A$2:F$68,3,FALSE))</f>
        <v>1330</v>
      </c>
      <c r="F62" s="354">
        <f>IF(ISNA(VLOOKUP(A62,'Award Adjustment_Data'!A$2:G$68,4,FALSE)),"0",VLOOKUP(A62,'Award Adjustment_Data'!A$2:G$68,4,FALSE))</f>
        <v>511</v>
      </c>
      <c r="G62" s="269">
        <f t="shared" si="5"/>
        <v>0.38421052631578945</v>
      </c>
      <c r="H62" s="1">
        <f>IF(ISNA(VLOOKUP(A62,Program_Review_Data!A52:E116,2,FALSE)),"0",VLOOKUP(A62,Program_Review_Data!A52:E116,2,FALSE))</f>
        <v>204</v>
      </c>
      <c r="I62" s="1">
        <f>IF(ISNA(VLOOKUP($A62,Program_Review_Data!A52:F116,3,FALSE)),"0",VLOOKUP($A62,Program_Review_Data!A52:F116,3,FALSE))</f>
        <v>96</v>
      </c>
      <c r="J62" s="269">
        <f t="shared" si="6"/>
        <v>0.47058823529411764</v>
      </c>
      <c r="K62" s="268">
        <f>IF(ISNA(VLOOKUP($A62,Other_Data!A52:E116,2,FALSE)),"0",VLOOKUP($A62,Other_Data!A52:E116,2,FALSE))</f>
        <v>716</v>
      </c>
      <c r="L62" s="1">
        <f>IF(ISNA(VLOOKUP($A62,Other_Data!A52:E116,3,FALSE)),"0",VLOOKUP($A62,Other_Data!A52:E116,3,FALSE))</f>
        <v>504</v>
      </c>
      <c r="M62" s="269">
        <f t="shared" si="7"/>
        <v>0.7039106145251397</v>
      </c>
      <c r="N62" s="1">
        <f>IF(ISNA(VLOOKUP($A62,Burial_Data!$A$2:$C$65,2,FALSE)),"0",VLOOKUP($A62,Burial_Data!$A$2:$C$65,2,FALSE))</f>
        <v>395</v>
      </c>
      <c r="O62" s="354">
        <f>IF(ISNA(VLOOKUP($A62,Accrued_Data!$A$2:$D$68,3,FALSE)),"0",VLOOKUP($A62,Accrued_Data!$A$2:$D$68,3,FALSE))</f>
        <v>83</v>
      </c>
      <c r="P62" s="312">
        <f>'[1]ResultingReport'!$J$73</f>
        <v>1797</v>
      </c>
      <c r="Q62" s="268"/>
    </row>
    <row r="63" spans="1:17" ht="12.75">
      <c r="A63" t="s">
        <v>461</v>
      </c>
      <c r="B63" s="302">
        <f>IF(ISNA(VLOOKUP(A63,Entitlement_Data!A$3:C$64,2,FALSE)),"0",VLOOKUP(A63,Entitlement_Data!A$3:C$64,2,FALSE))</f>
        <v>29718</v>
      </c>
      <c r="C63" s="302">
        <f>IF(ISNA(VLOOKUP(A63,Entitlement_Data!A$3:D$64,3,FALSE)),"0",VLOOKUP(A63,Entitlement_Data!A$3:D$64,3,FALSE))</f>
        <v>26572</v>
      </c>
      <c r="D63" s="269">
        <f t="shared" si="4"/>
        <v>0.8941382327209099</v>
      </c>
      <c r="E63" s="354">
        <f>IF(ISNA(VLOOKUP(A63,'Award Adjustment_Data'!A$2:F$68,3,FALSE)),"0",VLOOKUP(A63,'Award Adjustment_Data'!A$2:F$68,3,FALSE))</f>
        <v>11055</v>
      </c>
      <c r="F63" s="354">
        <f>IF(ISNA(VLOOKUP(A63,'Award Adjustment_Data'!A$2:G$68,4,FALSE)),"0",VLOOKUP(A63,'Award Adjustment_Data'!A$2:G$68,4,FALSE))</f>
        <v>7518</v>
      </c>
      <c r="G63" s="269">
        <f t="shared" si="5"/>
        <v>0.6800542740841248</v>
      </c>
      <c r="H63" s="1">
        <f>IF(ISNA(VLOOKUP(A63,Program_Review_Data!A53:E117,2,FALSE)),"0",VLOOKUP(A63,Program_Review_Data!A53:E117,2,FALSE))</f>
        <v>1503</v>
      </c>
      <c r="I63" s="1">
        <f>IF(ISNA(VLOOKUP($A63,Program_Review_Data!A53:F117,3,FALSE)),"0",VLOOKUP($A63,Program_Review_Data!A53:F117,3,FALSE))</f>
        <v>758</v>
      </c>
      <c r="J63" s="269">
        <f t="shared" si="6"/>
        <v>0.5043246839654025</v>
      </c>
      <c r="K63" s="268">
        <f>IF(ISNA(VLOOKUP($A63,Other_Data!A53:E117,2,FALSE)),"0",VLOOKUP($A63,Other_Data!A53:E117,2,FALSE))</f>
        <v>4764</v>
      </c>
      <c r="L63" s="1">
        <f>IF(ISNA(VLOOKUP($A63,Other_Data!A53:E117,3,FALSE)),"0",VLOOKUP($A63,Other_Data!A53:E117,3,FALSE))</f>
        <v>3865</v>
      </c>
      <c r="M63" s="269">
        <f t="shared" si="7"/>
        <v>0.8112930310663308</v>
      </c>
      <c r="N63" s="1">
        <f>IF(ISNA(VLOOKUP($A63,Burial_Data!$A$2:$C$65,2,FALSE)),"0",VLOOKUP($A63,Burial_Data!$A$2:$C$65,2,FALSE))</f>
        <v>12</v>
      </c>
      <c r="O63" s="354">
        <f>IF(ISNA(VLOOKUP($A63,Accrued_Data!$A$2:$D$68,3,FALSE)),"0",VLOOKUP($A63,Accrued_Data!$A$2:$D$68,3,FALSE))</f>
        <v>4</v>
      </c>
      <c r="P63" s="312">
        <f>'[1]ResultingReport'!$J74</f>
        <v>7503</v>
      </c>
      <c r="Q63" s="268"/>
    </row>
    <row r="64" spans="1:17" ht="12.75">
      <c r="A64" t="s">
        <v>463</v>
      </c>
      <c r="B64" s="302">
        <f>IF(ISNA(VLOOKUP(A64,Entitlement_Data!A$3:C$64,2,FALSE)),"0",VLOOKUP(A64,Entitlement_Data!A$3:C$64,2,FALSE))</f>
        <v>22880</v>
      </c>
      <c r="C64" s="302">
        <f>IF(ISNA(VLOOKUP(A64,Entitlement_Data!A$3:D$64,3,FALSE)),"0",VLOOKUP(A64,Entitlement_Data!A$3:D$64,3,FALSE))</f>
        <v>17260</v>
      </c>
      <c r="D64" s="269">
        <f t="shared" si="4"/>
        <v>0.7543706293706294</v>
      </c>
      <c r="E64" s="354">
        <f>IF(ISNA(VLOOKUP(A64,'Award Adjustment_Data'!A$2:F$68,3,FALSE)),"0",VLOOKUP(A64,'Award Adjustment_Data'!A$2:F$68,3,FALSE))</f>
        <v>6017</v>
      </c>
      <c r="F64" s="354">
        <f>IF(ISNA(VLOOKUP(A64,'Award Adjustment_Data'!A$2:G$68,4,FALSE)),"0",VLOOKUP(A64,'Award Adjustment_Data'!A$2:G$68,4,FALSE))</f>
        <v>2760</v>
      </c>
      <c r="G64" s="269">
        <f t="shared" si="5"/>
        <v>0.4587003490111351</v>
      </c>
      <c r="H64" s="1">
        <f>IF(ISNA(VLOOKUP(A64,Program_Review_Data!A54:E118,2,FALSE)),"0",VLOOKUP(A64,Program_Review_Data!A54:E118,2,FALSE))</f>
        <v>1227</v>
      </c>
      <c r="I64" s="1">
        <f>IF(ISNA(VLOOKUP($A64,Program_Review_Data!A54:F118,3,FALSE)),"0",VLOOKUP($A64,Program_Review_Data!A54:F118,3,FALSE))</f>
        <v>610</v>
      </c>
      <c r="J64" s="269">
        <f t="shared" si="6"/>
        <v>0.4971475142624287</v>
      </c>
      <c r="K64" s="268">
        <f>IF(ISNA(VLOOKUP($A64,Other_Data!A54:E118,2,FALSE)),"0",VLOOKUP($A64,Other_Data!A54:E118,2,FALSE))</f>
        <v>2807</v>
      </c>
      <c r="L64" s="1">
        <f>IF(ISNA(VLOOKUP($A64,Other_Data!A54:E118,3,FALSE)),"0",VLOOKUP($A64,Other_Data!A54:E118,3,FALSE))</f>
        <v>854</v>
      </c>
      <c r="M64" s="269">
        <f t="shared" si="7"/>
        <v>0.30423940149625933</v>
      </c>
      <c r="N64" s="1">
        <f>IF(ISNA(VLOOKUP($A64,Burial_Data!$A$2:$C$65,2,FALSE)),"0",VLOOKUP($A64,Burial_Data!$A$2:$C$65,2,FALSE))</f>
        <v>1</v>
      </c>
      <c r="O64" s="354">
        <f>IF(ISNA(VLOOKUP($A64,Accrued_Data!$A$2:$D$68,3,FALSE)),"0",VLOOKUP($A64,Accrued_Data!$A$2:$D$68,3,FALSE))</f>
        <v>3</v>
      </c>
      <c r="P64" s="312">
        <f>'[1]ResultingReport'!$J75</f>
        <v>4951</v>
      </c>
      <c r="Q64" s="268"/>
    </row>
    <row r="65" spans="1:17" ht="12.75">
      <c r="A65" t="s">
        <v>465</v>
      </c>
      <c r="B65" s="302">
        <f>IF(ISNA(VLOOKUP(A65,Entitlement_Data!A$3:C$64,2,FALSE)),"0",VLOOKUP(A65,Entitlement_Data!A$3:C$64,2,FALSE))</f>
        <v>11865</v>
      </c>
      <c r="C65" s="302">
        <f>IF(ISNA(VLOOKUP(A65,Entitlement_Data!A$3:D$64,3,FALSE)),"0",VLOOKUP(A65,Entitlement_Data!A$3:D$64,3,FALSE))</f>
        <v>7510</v>
      </c>
      <c r="D65" s="269">
        <f t="shared" si="4"/>
        <v>0.6329540665823852</v>
      </c>
      <c r="E65" s="354">
        <f>IF(ISNA(VLOOKUP(A65,'Award Adjustment_Data'!A$2:F$68,3,FALSE)),"0",VLOOKUP(A65,'Award Adjustment_Data'!A$2:F$68,3,FALSE))</f>
        <v>5679</v>
      </c>
      <c r="F65" s="354">
        <f>IF(ISNA(VLOOKUP(A65,'Award Adjustment_Data'!A$2:G$68,4,FALSE)),"0",VLOOKUP(A65,'Award Adjustment_Data'!A$2:G$68,4,FALSE))</f>
        <v>3570</v>
      </c>
      <c r="G65" s="269">
        <f t="shared" si="5"/>
        <v>0.6286318013734813</v>
      </c>
      <c r="H65" s="1">
        <f>IF(ISNA(VLOOKUP(A65,Program_Review_Data!A55:E119,2,FALSE)),"0",VLOOKUP(A65,Program_Review_Data!A55:E119,2,FALSE))</f>
        <v>2129</v>
      </c>
      <c r="I65" s="1">
        <f>IF(ISNA(VLOOKUP($A65,Program_Review_Data!A55:F119,3,FALSE)),"0",VLOOKUP($A65,Program_Review_Data!A55:F119,3,FALSE))</f>
        <v>1029</v>
      </c>
      <c r="J65" s="269">
        <f t="shared" si="6"/>
        <v>0.4833255049318929</v>
      </c>
      <c r="K65" s="268">
        <f>IF(ISNA(VLOOKUP($A65,Other_Data!A55:E119,2,FALSE)),"0",VLOOKUP($A65,Other_Data!A55:E119,2,FALSE))</f>
        <v>662</v>
      </c>
      <c r="L65" s="1">
        <f>IF(ISNA(VLOOKUP($A65,Other_Data!A55:E119,3,FALSE)),"0",VLOOKUP($A65,Other_Data!A55:E119,3,FALSE))</f>
        <v>444</v>
      </c>
      <c r="M65" s="269">
        <f t="shared" si="7"/>
        <v>0.6706948640483383</v>
      </c>
      <c r="N65" s="1">
        <f>IF(ISNA(VLOOKUP($A65,Burial_Data!$A$2:$C$65,2,FALSE)),"0",VLOOKUP($A65,Burial_Data!$A$2:$C$65,2,FALSE))</f>
        <v>3</v>
      </c>
      <c r="O65" s="354">
        <f>IF(ISNA(VLOOKUP($A65,Accrued_Data!$A$2:$D$68,3,FALSE)),"0",VLOOKUP($A65,Accrued_Data!$A$2:$D$68,3,FALSE))</f>
        <v>21</v>
      </c>
      <c r="P65" s="312">
        <f>'[1]ResultingReport'!$J76</f>
        <v>5277</v>
      </c>
      <c r="Q65" s="268"/>
    </row>
    <row r="66" spans="1:17" ht="12.75">
      <c r="A66" t="s">
        <v>467</v>
      </c>
      <c r="B66" s="302">
        <f>IF(ISNA(VLOOKUP(A66,Entitlement_Data!A$3:C$64,2,FALSE)),"0",VLOOKUP(A66,Entitlement_Data!A$3:C$64,2,FALSE))</f>
        <v>9580</v>
      </c>
      <c r="C66" s="302">
        <f>IF(ISNA(VLOOKUP(A66,Entitlement_Data!A$3:D$64,3,FALSE)),"0",VLOOKUP(A66,Entitlement_Data!A$3:D$64,3,FALSE))</f>
        <v>7627</v>
      </c>
      <c r="D66" s="269">
        <f t="shared" si="4"/>
        <v>0.7961377870563674</v>
      </c>
      <c r="E66" s="354">
        <f>IF(ISNA(VLOOKUP(A66,'Award Adjustment_Data'!A$2:F$68,3,FALSE)),"0",VLOOKUP(A66,'Award Adjustment_Data'!A$2:F$68,3,FALSE))</f>
        <v>2394</v>
      </c>
      <c r="F66" s="354">
        <f>IF(ISNA(VLOOKUP(A66,'Award Adjustment_Data'!A$2:G$68,4,FALSE)),"0",VLOOKUP(A66,'Award Adjustment_Data'!A$2:G$68,4,FALSE))</f>
        <v>1540</v>
      </c>
      <c r="G66" s="269">
        <f t="shared" si="5"/>
        <v>0.6432748538011696</v>
      </c>
      <c r="H66" s="1">
        <f>IF(ISNA(VLOOKUP(A66,Program_Review_Data!A56:E120,2,FALSE)),"0",VLOOKUP(A66,Program_Review_Data!A56:E120,2,FALSE))</f>
        <v>488</v>
      </c>
      <c r="I66" s="1">
        <f>IF(ISNA(VLOOKUP($A66,Program_Review_Data!A56:F120,3,FALSE)),"0",VLOOKUP($A66,Program_Review_Data!A56:F120,3,FALSE))</f>
        <v>95</v>
      </c>
      <c r="J66" s="269">
        <f t="shared" si="6"/>
        <v>0.19467213114754098</v>
      </c>
      <c r="K66" s="268">
        <f>IF(ISNA(VLOOKUP($A66,Other_Data!A56:E120,2,FALSE)),"0",VLOOKUP($A66,Other_Data!A56:E120,2,FALSE))</f>
        <v>714</v>
      </c>
      <c r="L66" s="1">
        <f>IF(ISNA(VLOOKUP($A66,Other_Data!A56:E120,3,FALSE)),"0",VLOOKUP($A66,Other_Data!A56:E120,3,FALSE))</f>
        <v>566</v>
      </c>
      <c r="M66" s="269">
        <f t="shared" si="7"/>
        <v>0.7927170868347339</v>
      </c>
      <c r="N66" s="1">
        <f>IF(ISNA(VLOOKUP($A66,Burial_Data!$A$2:$C$65,2,FALSE)),"0",VLOOKUP($A66,Burial_Data!$A$2:$C$65,2,FALSE))</f>
        <v>4</v>
      </c>
      <c r="O66" s="354">
        <f>IF(ISNA(VLOOKUP($A66,Accrued_Data!$A$2:$D$68,3,FALSE)),"0",VLOOKUP($A66,Accrued_Data!$A$2:$D$68,3,FALSE))</f>
        <v>2</v>
      </c>
      <c r="P66" s="312">
        <f>'[1]ResultingReport'!$J77</f>
        <v>944</v>
      </c>
      <c r="Q66" s="268"/>
    </row>
    <row r="67" spans="1:17" ht="12.75">
      <c r="A67" t="s">
        <v>469</v>
      </c>
      <c r="B67" s="302">
        <f>IF(ISNA(VLOOKUP(A67,Entitlement_Data!A$3:C$64,2,FALSE)),"0",VLOOKUP(A67,Entitlement_Data!A$3:C$64,2,FALSE))</f>
        <v>17917</v>
      </c>
      <c r="C67" s="302">
        <f>IF(ISNA(VLOOKUP(A67,Entitlement_Data!A$3:D$64,3,FALSE)),"0",VLOOKUP(A67,Entitlement_Data!A$3:D$64,3,FALSE))</f>
        <v>13624</v>
      </c>
      <c r="D67" s="269">
        <f t="shared" si="4"/>
        <v>0.7603951554389686</v>
      </c>
      <c r="E67" s="354">
        <f>IF(ISNA(VLOOKUP(A67,'Award Adjustment_Data'!A$2:F$68,3,FALSE)),"0",VLOOKUP(A67,'Award Adjustment_Data'!A$2:F$68,3,FALSE))</f>
        <v>8819</v>
      </c>
      <c r="F67" s="354">
        <f>IF(ISNA(VLOOKUP(A67,'Award Adjustment_Data'!A$2:G$68,4,FALSE)),"0",VLOOKUP(A67,'Award Adjustment_Data'!A$2:G$68,4,FALSE))</f>
        <v>6235</v>
      </c>
      <c r="G67" s="269">
        <f t="shared" si="5"/>
        <v>0.7069962580791473</v>
      </c>
      <c r="H67" s="1">
        <f>IF(ISNA(VLOOKUP(A67,Program_Review_Data!A57:E121,2,FALSE)),"0",VLOOKUP(A67,Program_Review_Data!A57:E121,2,FALSE))</f>
        <v>1051</v>
      </c>
      <c r="I67" s="1">
        <f>IF(ISNA(VLOOKUP($A67,Program_Review_Data!A57:F121,3,FALSE)),"0",VLOOKUP($A67,Program_Review_Data!A57:F121,3,FALSE))</f>
        <v>726</v>
      </c>
      <c r="J67" s="269">
        <f t="shared" si="6"/>
        <v>0.6907706945765937</v>
      </c>
      <c r="K67" s="268">
        <f>IF(ISNA(VLOOKUP($A67,Other_Data!A57:E121,2,FALSE)),"0",VLOOKUP($A67,Other_Data!A57:E121,2,FALSE))</f>
        <v>2696</v>
      </c>
      <c r="L67" s="1">
        <f>IF(ISNA(VLOOKUP($A67,Other_Data!A57:E121,3,FALSE)),"0",VLOOKUP($A67,Other_Data!A57:E121,3,FALSE))</f>
        <v>1984</v>
      </c>
      <c r="M67" s="269">
        <f t="shared" si="7"/>
        <v>0.7359050445103857</v>
      </c>
      <c r="N67" s="1">
        <f>IF(ISNA(VLOOKUP($A67,Burial_Data!$A$2:$C$65,2,FALSE)),"0",VLOOKUP($A67,Burial_Data!$A$2:$C$65,2,FALSE))</f>
        <v>0</v>
      </c>
      <c r="O67" s="354">
        <f>IF(ISNA(VLOOKUP($A67,Accrued_Data!$A$2:$D$68,3,FALSE)),"0",VLOOKUP($A67,Accrued_Data!$A$2:$D$68,3,FALSE))</f>
        <v>2</v>
      </c>
      <c r="P67" s="312">
        <f>'[1]ResultingReport'!$J78</f>
        <v>1657</v>
      </c>
      <c r="Q67" s="268"/>
    </row>
    <row r="68" spans="1:17" ht="12.75">
      <c r="A68" t="s">
        <v>470</v>
      </c>
      <c r="B68" s="302">
        <f>IF(ISNA(VLOOKUP(A68,Entitlement_Data!A$3:C$64,2,FALSE)),"0",VLOOKUP(A68,Entitlement_Data!A$3:C$64,2,FALSE))</f>
        <v>29544</v>
      </c>
      <c r="C68" s="302">
        <f>IF(ISNA(VLOOKUP(A68,Entitlement_Data!A$3:D$64,3,FALSE)),"0",VLOOKUP(A68,Entitlement_Data!A$3:D$64,3,FALSE))</f>
        <v>19284</v>
      </c>
      <c r="D68" s="269">
        <f t="shared" si="4"/>
        <v>0.6527213647441105</v>
      </c>
      <c r="E68" s="354">
        <f>IF(ISNA(VLOOKUP(A68,'Award Adjustment_Data'!A$2:F$68,3,FALSE)),"0",VLOOKUP(A68,'Award Adjustment_Data'!A$2:F$68,3,FALSE))</f>
        <v>6280</v>
      </c>
      <c r="F68" s="354">
        <f>IF(ISNA(VLOOKUP(A68,'Award Adjustment_Data'!A$2:G$68,4,FALSE)),"0",VLOOKUP(A68,'Award Adjustment_Data'!A$2:G$68,4,FALSE))</f>
        <v>3659</v>
      </c>
      <c r="G68" s="269">
        <f t="shared" si="5"/>
        <v>0.5826433121019108</v>
      </c>
      <c r="H68" s="1">
        <f>IF(ISNA(VLOOKUP(A68,Program_Review_Data!A58:E122,2,FALSE)),"0",VLOOKUP(A68,Program_Review_Data!A58:E122,2,FALSE))</f>
        <v>2352</v>
      </c>
      <c r="I68" s="1">
        <f>IF(ISNA(VLOOKUP($A68,Program_Review_Data!A58:F122,3,FALSE)),"0",VLOOKUP($A68,Program_Review_Data!A58:F122,3,FALSE))</f>
        <v>1244</v>
      </c>
      <c r="J68" s="269">
        <f t="shared" si="6"/>
        <v>0.5289115646258503</v>
      </c>
      <c r="K68" s="268">
        <f>IF(ISNA(VLOOKUP($A68,Other_Data!A58:E122,2,FALSE)),"0",VLOOKUP($A68,Other_Data!A58:E122,2,FALSE))</f>
        <v>3023</v>
      </c>
      <c r="L68" s="1">
        <f>IF(ISNA(VLOOKUP($A68,Other_Data!A58:E122,3,FALSE)),"0",VLOOKUP($A68,Other_Data!A58:E122,3,FALSE))</f>
        <v>1347</v>
      </c>
      <c r="M68" s="269">
        <f t="shared" si="7"/>
        <v>0.4455838570956004</v>
      </c>
      <c r="N68" s="1">
        <f>IF(ISNA(VLOOKUP($A68,Burial_Data!$A$2:$C$65,2,FALSE)),"0",VLOOKUP($A68,Burial_Data!$A$2:$C$65,2,FALSE))</f>
        <v>0</v>
      </c>
      <c r="O68" s="354">
        <f>IF(ISNA(VLOOKUP($A68,Accrued_Data!$A$2:$D$68,3,FALSE)),"0",VLOOKUP($A68,Accrued_Data!$A$2:$D$68,3,FALSE))</f>
        <v>2</v>
      </c>
      <c r="P68" s="312">
        <f>'[1]ResultingReport'!$J79</f>
        <v>3832</v>
      </c>
      <c r="Q68" s="268"/>
    </row>
    <row r="69" spans="1:17" ht="12.75">
      <c r="A69" s="328" t="s">
        <v>472</v>
      </c>
      <c r="B69" s="302">
        <f>IF(ISNA(VLOOKUP(A69,Entitlement_Data!A$3:C$64,2,FALSE)),"0",VLOOKUP(A69,Entitlement_Data!A$3:C$64,2,FALSE))</f>
        <v>24662</v>
      </c>
      <c r="C69" s="302">
        <f>IF(ISNA(VLOOKUP(A69,Entitlement_Data!A$3:D$64,3,FALSE)),"0",VLOOKUP(A69,Entitlement_Data!A$3:D$64,3,FALSE))</f>
        <v>18959</v>
      </c>
      <c r="D69" s="271">
        <f t="shared" si="4"/>
        <v>0.7687535479685346</v>
      </c>
      <c r="E69" s="355">
        <f>IF(ISNA(VLOOKUP(A69,'Award Adjustment_Data'!A$2:F$68,3,FALSE)),"0",VLOOKUP(A69,'Award Adjustment_Data'!A$2:F$68,3,FALSE))</f>
        <v>12831</v>
      </c>
      <c r="F69" s="355">
        <f>IF(ISNA(VLOOKUP(A69,'Award Adjustment_Data'!A$2:G$68,4,FALSE)),"0",VLOOKUP(A69,'Award Adjustment_Data'!A$2:G$68,4,FALSE))</f>
        <v>8736</v>
      </c>
      <c r="G69" s="271">
        <f t="shared" si="5"/>
        <v>0.6808510638297872</v>
      </c>
      <c r="H69" s="1">
        <f>IF(ISNA(VLOOKUP(A69,Program_Review_Data!A59:E123,2,FALSE)),"0",VLOOKUP(A69,Program_Review_Data!A59:E123,2,FALSE))</f>
        <v>3027</v>
      </c>
      <c r="I69" s="1">
        <f>IF(ISNA(VLOOKUP($A69,Program_Review_Data!A59:F123,3,FALSE)),"0",VLOOKUP($A69,Program_Review_Data!A59:F123,3,FALSE))</f>
        <v>1078</v>
      </c>
      <c r="J69" s="271">
        <f t="shared" si="6"/>
        <v>0.35612817971589034</v>
      </c>
      <c r="K69" s="268">
        <f>IF(ISNA(VLOOKUP($A69,Other_Data!A59:E123,2,FALSE)),"0",VLOOKUP($A69,Other_Data!A59:E123,2,FALSE))</f>
        <v>2612</v>
      </c>
      <c r="L69" s="1">
        <f>IF(ISNA(VLOOKUP($A69,Other_Data!A59:E123,3,FALSE)),"0",VLOOKUP($A69,Other_Data!A59:E123,3,FALSE))</f>
        <v>1833</v>
      </c>
      <c r="M69" s="271">
        <f t="shared" si="7"/>
        <v>0.7017611026033691</v>
      </c>
      <c r="N69" s="33">
        <f>IF(ISNA(VLOOKUP($A69,Burial_Data!$A$2:$C$65,2,FALSE)),"0",VLOOKUP($A69,Burial_Data!$A$2:$C$65,2,FALSE))</f>
        <v>54</v>
      </c>
      <c r="O69" s="355">
        <f>IF(ISNA(VLOOKUP($A69,Accrued_Data!$A$2:$D$68,3,FALSE)),"0",VLOOKUP($A69,Accrued_Data!$A$2:$D$68,3,FALSE))</f>
        <v>55</v>
      </c>
      <c r="P69" s="312">
        <f>'[1]ResultingReport'!$J80</f>
        <v>5813</v>
      </c>
      <c r="Q69" s="295"/>
    </row>
    <row r="70" spans="1:17" ht="13.5">
      <c r="A70" s="326" t="s">
        <v>265</v>
      </c>
      <c r="B70" s="330">
        <f>Ent_Formulas!B2</f>
        <v>1</v>
      </c>
      <c r="C70" s="330">
        <f>Ent_Formulas!G2</f>
        <v>1</v>
      </c>
      <c r="D70" s="336">
        <f>IF(B70=0,"-",C70/B70)</f>
        <v>1</v>
      </c>
      <c r="E70" s="33">
        <f>Award_Formulas!B2</f>
        <v>39</v>
      </c>
      <c r="F70" s="33">
        <f>Award_Formulas!G2</f>
        <v>9</v>
      </c>
      <c r="G70" s="32">
        <f t="shared" si="1"/>
        <v>0.23076923076923078</v>
      </c>
      <c r="H70" s="330">
        <f>Program_Review_Formulas!B2</f>
        <v>0</v>
      </c>
      <c r="I70" s="330">
        <f>Program_Review_Formulas!C2</f>
        <v>0</v>
      </c>
      <c r="J70" s="301" t="str">
        <f>IF(I70=0,"-",I70/H70)</f>
        <v>-</v>
      </c>
      <c r="K70" s="330">
        <f>Other_Data_Formulas!B2</f>
        <v>131</v>
      </c>
      <c r="L70" s="330">
        <f>Other_Data_Formulas!C2</f>
        <v>94</v>
      </c>
      <c r="M70" s="32">
        <f t="shared" si="3"/>
        <v>0.7175572519083969</v>
      </c>
      <c r="N70" s="33">
        <f>Burial_Formulas!B2</f>
        <v>3</v>
      </c>
      <c r="O70" s="33">
        <f>Accrued_Formulas!B2</f>
        <v>3</v>
      </c>
      <c r="P70" s="313">
        <f>'[1]ResultingReport'!$M$7</f>
        <v>13943</v>
      </c>
      <c r="Q70" s="295"/>
    </row>
    <row r="71" ht="12.75">
      <c r="A71" s="323"/>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76303</v>
      </c>
      <c r="C76" s="27">
        <f>SUM(Entitlement_Data!G3:G66)</f>
        <v>39107</v>
      </c>
      <c r="D76" s="29">
        <f>C76/B76</f>
        <v>0.5125224434163794</v>
      </c>
      <c r="E76" s="222">
        <f>SUM('Award Adjustment_Data'!E3:E66)-Transformation!E35</f>
        <v>105449</v>
      </c>
      <c r="F76" s="222">
        <f>SUM('Award Adjustment_Data'!F3:F66)-Transformation!F35</f>
        <v>65648</v>
      </c>
      <c r="G76" s="29">
        <f>F76/E76</f>
        <v>0.6225568758357121</v>
      </c>
      <c r="H76" s="27">
        <f>SUM(Program_Review_Data!D3:D65)</f>
        <v>76900</v>
      </c>
      <c r="I76" s="27">
        <f>SUM(Program_Review_Data!E3:E65)</f>
        <v>29085</v>
      </c>
      <c r="J76" s="29">
        <f>I76/H76</f>
        <v>0.3782184655396619</v>
      </c>
      <c r="K76" s="27">
        <f>SUM(Other_Data!D3:D66)</f>
        <v>14297</v>
      </c>
      <c r="L76" s="27">
        <f>SUM(Other_Data!E3:E66)</f>
        <v>8561</v>
      </c>
      <c r="M76" s="29">
        <f>L76/K76</f>
        <v>0.5987969504091768</v>
      </c>
      <c r="N76" s="361">
        <f>Transformation!E97-N11</f>
        <v>15165</v>
      </c>
      <c r="O76" s="31">
        <f>SUM(O77:O79)</f>
        <v>11266</v>
      </c>
      <c r="P76" s="222">
        <f>SUM(P77:P79)</f>
        <v>2394</v>
      </c>
    </row>
    <row r="77" spans="1:16" ht="12.75">
      <c r="A77" t="s">
        <v>462</v>
      </c>
      <c r="B77" s="28">
        <f>IF(ISNA(VLOOKUP(A77,Entitlement_Data!A$3:G$64,6,FALSE)),"0",VLOOKUP(A77,Entitlement_Data!A$3:G$64,6,FALSE))</f>
        <v>33897</v>
      </c>
      <c r="C77" s="28">
        <f>IF(ISNA(VLOOKUP(A77,Entitlement_Data!A$3:G$64,7,FALSE)),"0",VLOOKUP(A77,Entitlement_Data!A$3:G$64,7,FALSE))</f>
        <v>21865</v>
      </c>
      <c r="D77" s="29">
        <f>C77/B77</f>
        <v>0.645042334129864</v>
      </c>
      <c r="E77" s="354">
        <f>IF(ISNA(VLOOKUP(A77,'Award Adjustment_Data'!A$2:F$68,5,FALSE)),"0",VLOOKUP(A77,'Award Adjustment_Data'!A$2:F$68,5,FALSE))</f>
        <v>51780</v>
      </c>
      <c r="F77" s="354">
        <f>IF(ISNA(VLOOKUP(A77,'Award Adjustment_Data'!A$2:G$68,6,FALSE)),"0",VLOOKUP(A77,'Award Adjustment_Data'!A$2:G$68,6,FALSE))</f>
        <v>39037</v>
      </c>
      <c r="G77" s="29">
        <f>F77/E77</f>
        <v>0.7539011201235999</v>
      </c>
      <c r="H77" s="27">
        <f>IF(ISNA(VLOOKUP(A77,Program_Review_Data!$A$2:$E$68,4,FALSE)),"0",VLOOKUP(A77,Program_Review_Data!$A$2:$E$68,4,FALSE))</f>
        <v>30058</v>
      </c>
      <c r="I77" s="27">
        <f>IF(ISNA(VLOOKUP(A77,Program_Review_Data!$A$2:$E$68,5,FALSE)),"0",VLOOKUP(A77,Program_Review_Data!$A$2:$E$68,5,FALSE))</f>
        <v>12940</v>
      </c>
      <c r="J77" s="29">
        <f>I77/H77</f>
        <v>0.4305010313394105</v>
      </c>
      <c r="K77" s="27">
        <f>IF(ISNA(VLOOKUP($A77,Other_Data!$A$2:$E$66,4,FALSE)),"0",VLOOKUP($A77,Other_Data!$A$2:$E$66,4,FALSE))</f>
        <v>7744</v>
      </c>
      <c r="L77" s="27">
        <f>IF(ISNA(VLOOKUP($A77,Other_Data!$A$2:$E$66,5,FALSE)),"0",VLOOKUP($A77,Other_Data!$A$2:$E$66,5,FALSE))</f>
        <v>4066</v>
      </c>
      <c r="M77" s="29">
        <f>L77/K77</f>
        <v>0.525051652892562</v>
      </c>
      <c r="N77" s="33">
        <f>IF(ISNA(VLOOKUP($A77,Burial_Data!$A$2:$C$65,3,FALSE)),"0",VLOOKUP($A77,Burial_Data!$A$2:$C$65,3,FALSE))</f>
        <v>8579</v>
      </c>
      <c r="O77" s="354">
        <f>IF(ISNA(VLOOKUP($A77,Accrued_Data!$A$2:$D$68,3,FALSE)),"0",VLOOKUP($A77,Accrued_Data!$A$2:$D$68,3,FALSE))</f>
        <v>5058</v>
      </c>
      <c r="P77" s="222">
        <f>'[1]ResultingReport'!$J$20</f>
        <v>758</v>
      </c>
    </row>
    <row r="78" spans="1:16" ht="12.75">
      <c r="A78" t="s">
        <v>455</v>
      </c>
      <c r="B78" s="28">
        <f>IF(ISNA(VLOOKUP(A78,Entitlement_Data!A$3:G$64,6,FALSE)),"0",VLOOKUP(A78,Entitlement_Data!A$3:G$64,6,FALSE))</f>
        <v>16825</v>
      </c>
      <c r="C78" s="28">
        <f>IF(ISNA(VLOOKUP(A78,Entitlement_Data!A$3:G$64,7,FALSE)),"0",VLOOKUP(A78,Entitlement_Data!A$3:G$64,7,FALSE))</f>
        <v>4801</v>
      </c>
      <c r="D78" s="29">
        <f>C78/B78</f>
        <v>0.28534918276374444</v>
      </c>
      <c r="E78" s="354">
        <f>IF(ISNA(VLOOKUP(A78,'Award Adjustment_Data'!A$2:F$68,5,FALSE)),"0",VLOOKUP(A78,'Award Adjustment_Data'!A$2:F$68,5,FALSE))</f>
        <v>18032</v>
      </c>
      <c r="F78" s="354">
        <f>IF(ISNA(VLOOKUP(A78,'Award Adjustment_Data'!A$2:G$68,6,FALSE)),"0",VLOOKUP(A78,'Award Adjustment_Data'!A$2:G$68,6,FALSE))</f>
        <v>3614</v>
      </c>
      <c r="G78" s="29">
        <f>F78/E78</f>
        <v>0.20042147293700088</v>
      </c>
      <c r="H78" s="27">
        <f>IF(ISNA(VLOOKUP(A78,Program_Review_Data!$A$2:$E$68,4,FALSE)),"0",VLOOKUP(A78,Program_Review_Data!$A$2:$E$68,4,FALSE))</f>
        <v>21846</v>
      </c>
      <c r="I78" s="27">
        <f>IF(ISNA(VLOOKUP(A78,Program_Review_Data!$A$2:$E$68,5,FALSE)),"0",VLOOKUP(A78,Program_Review_Data!$A$2:$E$68,5,FALSE))</f>
        <v>6093</v>
      </c>
      <c r="J78" s="29">
        <f>I78/H78</f>
        <v>0.2789068937105191</v>
      </c>
      <c r="K78" s="27">
        <f>IF(ISNA(VLOOKUP(A78,Other_Data!$A$2:$E$66,4,FALSE)),"0",VLOOKUP(A78,Other_Data!$A$2:$E$66,4,FALSE))</f>
        <v>571</v>
      </c>
      <c r="L78" s="27">
        <f>IF(ISNA(VLOOKUP($A78,Other_Data!$A$2:$E$66,5,FALSE)),"0",VLOOKUP($A78,Other_Data!$A$2:$E$66,5,FALSE))</f>
        <v>286</v>
      </c>
      <c r="M78" s="29">
        <f>L78/K78</f>
        <v>0.500875656742557</v>
      </c>
      <c r="N78" s="33">
        <f>IF(ISNA(VLOOKUP($A78,Burial_Data!$A$2:$C$65,3,FALSE)),"0",VLOOKUP($A78,Burial_Data!$A$2:$C$65,3,FALSE))</f>
        <v>2481</v>
      </c>
      <c r="O78" s="354">
        <f>IF(ISNA(VLOOKUP($A78,Accrued_Data!$A$2:$D$68,3,FALSE)),"0",VLOOKUP($A78,Accrued_Data!$A$2:$D$68,3,FALSE))</f>
        <v>1508</v>
      </c>
      <c r="P78" s="222">
        <f>'[1]ResultingReport'!$J$54</f>
        <v>692</v>
      </c>
    </row>
    <row r="79" spans="1:16" ht="12.75">
      <c r="A79" t="s">
        <v>475</v>
      </c>
      <c r="B79" s="28">
        <f>IF(ISNA(VLOOKUP(A79,Entitlement_Data!A$3:G$64,6,FALSE)),"0",VLOOKUP(A79,Entitlement_Data!A$3:G$64,6,FALSE))</f>
        <v>25177</v>
      </c>
      <c r="C79" s="28">
        <f>IF(ISNA(VLOOKUP(A79,Entitlement_Data!A$3:G$64,7,FALSE)),"0",VLOOKUP(A79,Entitlement_Data!A$3:G$64,7,FALSE))</f>
        <v>12254</v>
      </c>
      <c r="D79" s="29">
        <f>C79/B79</f>
        <v>0.48671406442387893</v>
      </c>
      <c r="E79" s="354">
        <f>IF(ISNA(VLOOKUP(A79,'Award Adjustment_Data'!A$2:F$68,5,FALSE)),"0",VLOOKUP(A79,'Award Adjustment_Data'!A$2:F$68,5,FALSE))</f>
        <v>34867</v>
      </c>
      <c r="F79" s="354">
        <f>IF(ISNA(VLOOKUP(A79,'Award Adjustment_Data'!A$2:G$68,6,FALSE)),"0",VLOOKUP(A79,'Award Adjustment_Data'!A$2:G$68,6,FALSE))</f>
        <v>22426</v>
      </c>
      <c r="G79" s="29">
        <f>F79/E79</f>
        <v>0.6431869676198124</v>
      </c>
      <c r="H79" s="27">
        <f>IF(ISNA(VLOOKUP(A79,Program_Review_Data!$A$2:$E$68,4,FALSE)),"0",VLOOKUP(A79,Program_Review_Data!$A$2:$E$68,4,FALSE))</f>
        <v>24778</v>
      </c>
      <c r="I79" s="27">
        <f>IF(ISNA(VLOOKUP(A79,Program_Review_Data!$A$2:$E$68,5,FALSE)),"0",VLOOKUP(A79,Program_Review_Data!$A$2:$E$68,5,FALSE))</f>
        <v>9877</v>
      </c>
      <c r="J79" s="29">
        <f>I79/H79</f>
        <v>0.3986197433206877</v>
      </c>
      <c r="K79" s="27">
        <f>IF(ISNA(VLOOKUP(A79,Other_Data!$A$2:$E$66,4,FALSE)),"0",VLOOKUP(A79,Other_Data!$A$2:$E$66,4,FALSE))</f>
        <v>5606</v>
      </c>
      <c r="L79" s="27">
        <f>IF(ISNA(VLOOKUP($A79,Other_Data!$A$2:$E$66,5,FALSE)),"0",VLOOKUP($A79,Other_Data!$A$2:$E$66,5,FALSE))</f>
        <v>3897</v>
      </c>
      <c r="M79" s="29">
        <f>L79/K79</f>
        <v>0.6951480556546558</v>
      </c>
      <c r="N79" s="33">
        <f>IF(ISNA(VLOOKUP($A79,Burial_Data!$A$2:$C$65,3,FALSE)),"0",VLOOKUP($A79,Burial_Data!$A$2:$C$65,3,FALSE))</f>
        <v>4032</v>
      </c>
      <c r="O79" s="354">
        <f>IF(ISNA(VLOOKUP($A79,Accrued_Data!$A$2:$D$68,3,FALSE)),"0",VLOOKUP($A79,Accrued_Data!$A$2:$D$68,3,FALSE))</f>
        <v>4700</v>
      </c>
      <c r="P79" s="222">
        <f>'[1]ResultingReport'!$J$61</f>
        <v>944</v>
      </c>
    </row>
    <row r="80" spans="1:16" ht="13.5">
      <c r="A80" s="26" t="s">
        <v>494</v>
      </c>
      <c r="B80" s="28">
        <f>B76-B77-B78-B79</f>
        <v>404</v>
      </c>
      <c r="C80" s="28">
        <f>C76-C77-C78-C79</f>
        <v>187</v>
      </c>
      <c r="D80" s="29">
        <f>C80/B80</f>
        <v>0.4628712871287129</v>
      </c>
      <c r="E80" s="28">
        <f>E76-E77-E78-E79</f>
        <v>770</v>
      </c>
      <c r="F80" s="28">
        <f>F76-F77-F78-F79</f>
        <v>571</v>
      </c>
      <c r="G80" s="29">
        <f>F80/E80</f>
        <v>0.7415584415584415</v>
      </c>
      <c r="H80" s="28">
        <f>H76-H77-H78-H79</f>
        <v>218</v>
      </c>
      <c r="I80" s="28">
        <f>I76-I77-I78-I79</f>
        <v>175</v>
      </c>
      <c r="J80" s="29">
        <f>I80/H80</f>
        <v>0.8027522935779816</v>
      </c>
      <c r="K80" s="28">
        <f>K76-K77-K78-K79</f>
        <v>376</v>
      </c>
      <c r="L80" s="28">
        <f>L76-L77-L78-L79</f>
        <v>312</v>
      </c>
      <c r="M80" s="29">
        <f>L80/K80</f>
        <v>0.8297872340425532</v>
      </c>
      <c r="N80" s="48">
        <f>N76-SUM(N77:N79)</f>
        <v>73</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23745</v>
      </c>
      <c r="C86" s="245">
        <f>SUM(C87:C90)</f>
        <v>24219</v>
      </c>
      <c r="D86" s="245">
        <f>B86-C86</f>
        <v>-474</v>
      </c>
      <c r="E86" s="246">
        <f>D86/C86</f>
        <v>-0.019571410875758703</v>
      </c>
      <c r="F86" s="245">
        <f>SUM(F87:F90)</f>
        <v>168702</v>
      </c>
      <c r="G86" s="245">
        <f>SUM(G87:G90)</f>
        <v>192247</v>
      </c>
      <c r="H86" s="245">
        <f>F86-G86</f>
        <v>-23545</v>
      </c>
      <c r="I86" s="246">
        <f>H86/G86</f>
        <v>-0.12247265236908768</v>
      </c>
      <c r="K86" s="248" t="s">
        <v>352</v>
      </c>
      <c r="L86" s="248"/>
      <c r="M86" s="248"/>
      <c r="N86" s="248"/>
      <c r="O86" s="248"/>
      <c r="P86" s="249"/>
    </row>
    <row r="87" spans="1:16" ht="15">
      <c r="A87" s="211" t="s">
        <v>334</v>
      </c>
      <c r="B87" s="378">
        <v>6561</v>
      </c>
      <c r="C87" s="369">
        <v>6323</v>
      </c>
      <c r="D87" s="370">
        <f>B87-C87</f>
        <v>238</v>
      </c>
      <c r="E87" s="371">
        <f>D87/C87</f>
        <v>0.03764036058832833</v>
      </c>
      <c r="F87" s="381">
        <v>35859</v>
      </c>
      <c r="G87" s="376">
        <v>45974</v>
      </c>
      <c r="H87" s="370">
        <f>F87-G87</f>
        <v>-10115</v>
      </c>
      <c r="I87" s="371">
        <f>H87/G87</f>
        <v>-0.2200156610257972</v>
      </c>
      <c r="K87" s="248" t="s">
        <v>353</v>
      </c>
      <c r="L87" s="248"/>
      <c r="M87" s="248"/>
      <c r="N87" s="248"/>
      <c r="O87" s="248"/>
      <c r="P87" s="249"/>
    </row>
    <row r="88" spans="1:16" ht="14.25">
      <c r="A88" s="293" t="s">
        <v>335</v>
      </c>
      <c r="B88" s="379">
        <v>5268</v>
      </c>
      <c r="C88" s="294">
        <v>5337</v>
      </c>
      <c r="D88" s="247">
        <f>B88-C88</f>
        <v>-69</v>
      </c>
      <c r="E88" s="372">
        <f>D88/C88</f>
        <v>-0.012928611579539067</v>
      </c>
      <c r="F88" s="382">
        <v>42039</v>
      </c>
      <c r="G88" s="257">
        <v>40949</v>
      </c>
      <c r="H88" s="247">
        <f>F88-G88</f>
        <v>1090</v>
      </c>
      <c r="I88" s="372">
        <f>H88/G88</f>
        <v>0.02661847664167623</v>
      </c>
      <c r="K88" s="248" t="s">
        <v>354</v>
      </c>
      <c r="L88" s="248"/>
      <c r="M88" s="248"/>
      <c r="N88" s="248"/>
      <c r="O88" s="248"/>
      <c r="P88" s="249"/>
    </row>
    <row r="89" spans="1:16" ht="15">
      <c r="A89" s="211" t="s">
        <v>336</v>
      </c>
      <c r="B89" s="379">
        <v>7818</v>
      </c>
      <c r="C89" s="294">
        <v>7882</v>
      </c>
      <c r="D89" s="247">
        <f>B89-C89</f>
        <v>-64</v>
      </c>
      <c r="E89" s="372">
        <f>D89/C89</f>
        <v>-0.008119766556711495</v>
      </c>
      <c r="F89" s="382">
        <v>65862</v>
      </c>
      <c r="G89" s="257">
        <v>74597</v>
      </c>
      <c r="H89" s="247">
        <f>F89-G89</f>
        <v>-8735</v>
      </c>
      <c r="I89" s="372">
        <f>H89/G89</f>
        <v>-0.1170958617638779</v>
      </c>
      <c r="K89" s="248" t="s">
        <v>360</v>
      </c>
      <c r="L89" s="248"/>
      <c r="M89" s="248"/>
      <c r="N89" s="248"/>
      <c r="O89" s="248"/>
      <c r="P89" s="249"/>
    </row>
    <row r="90" spans="1:15" ht="15.75" thickBot="1">
      <c r="A90" s="212" t="s">
        <v>337</v>
      </c>
      <c r="B90" s="380">
        <v>4098</v>
      </c>
      <c r="C90" s="373">
        <v>4677</v>
      </c>
      <c r="D90" s="374">
        <f>B90-C90</f>
        <v>-579</v>
      </c>
      <c r="E90" s="375">
        <f>D90/C90</f>
        <v>-0.12379730596536241</v>
      </c>
      <c r="F90" s="383">
        <v>24942</v>
      </c>
      <c r="G90" s="377">
        <v>30727</v>
      </c>
      <c r="H90" s="374">
        <f>F90-G90</f>
        <v>-5785</v>
      </c>
      <c r="I90" s="375">
        <f>H90/G90</f>
        <v>-0.18827090181273798</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19490</v>
      </c>
      <c r="C4" s="357">
        <v>16382</v>
      </c>
      <c r="F4">
        <v>11</v>
      </c>
      <c r="G4" s="332">
        <v>10</v>
      </c>
    </row>
    <row r="5" spans="1:7" ht="12.75">
      <c r="A5" t="s">
        <v>433</v>
      </c>
      <c r="B5">
        <v>11222</v>
      </c>
      <c r="C5" s="357">
        <v>8557</v>
      </c>
      <c r="F5">
        <v>2</v>
      </c>
      <c r="G5" s="332">
        <v>2</v>
      </c>
    </row>
    <row r="6" spans="1:7" ht="12.75">
      <c r="A6" t="s">
        <v>334</v>
      </c>
      <c r="B6">
        <v>7855</v>
      </c>
      <c r="C6" s="357">
        <v>4782</v>
      </c>
      <c r="F6">
        <v>2</v>
      </c>
      <c r="G6" s="332">
        <v>2</v>
      </c>
    </row>
    <row r="7" spans="1:7" ht="12.75">
      <c r="A7" t="s">
        <v>436</v>
      </c>
      <c r="B7">
        <v>23761</v>
      </c>
      <c r="C7" s="357">
        <v>16952</v>
      </c>
      <c r="F7">
        <v>6</v>
      </c>
      <c r="G7" s="332">
        <v>2</v>
      </c>
    </row>
    <row r="8" spans="1:6" ht="12.75">
      <c r="A8" t="s">
        <v>440</v>
      </c>
      <c r="B8">
        <v>17416</v>
      </c>
      <c r="C8" s="357">
        <v>10767</v>
      </c>
      <c r="F8">
        <v>5</v>
      </c>
    </row>
    <row r="9" spans="1:3" ht="12.75">
      <c r="A9" t="s">
        <v>443</v>
      </c>
      <c r="B9">
        <v>2922</v>
      </c>
      <c r="C9" s="357">
        <v>1253</v>
      </c>
    </row>
    <row r="10" spans="1:7" ht="12.75">
      <c r="A10" t="s">
        <v>447</v>
      </c>
      <c r="B10">
        <v>18932</v>
      </c>
      <c r="C10" s="357">
        <v>14987</v>
      </c>
      <c r="F10">
        <v>7</v>
      </c>
      <c r="G10" s="332">
        <v>4</v>
      </c>
    </row>
    <row r="11" spans="1:7" ht="12.75">
      <c r="A11" t="s">
        <v>453</v>
      </c>
      <c r="B11">
        <v>2212</v>
      </c>
      <c r="C11" s="357">
        <v>1447</v>
      </c>
      <c r="F11">
        <v>1</v>
      </c>
      <c r="G11" s="332">
        <v>1</v>
      </c>
    </row>
    <row r="12" spans="1:7" ht="12.75">
      <c r="A12" t="s">
        <v>459</v>
      </c>
      <c r="B12">
        <v>12773</v>
      </c>
      <c r="C12" s="357">
        <v>10470</v>
      </c>
      <c r="F12">
        <v>4</v>
      </c>
      <c r="G12" s="332">
        <v>4</v>
      </c>
    </row>
    <row r="13" spans="1:7" ht="12.75">
      <c r="A13" t="s">
        <v>460</v>
      </c>
      <c r="B13">
        <v>4463</v>
      </c>
      <c r="C13" s="357">
        <v>2577</v>
      </c>
      <c r="F13">
        <v>4</v>
      </c>
      <c r="G13" s="332">
        <v>3</v>
      </c>
    </row>
    <row r="14" spans="1:7" ht="12.75">
      <c r="A14" t="s">
        <v>462</v>
      </c>
      <c r="B14">
        <v>22967</v>
      </c>
      <c r="C14" s="357">
        <v>14556</v>
      </c>
      <c r="F14">
        <v>33897</v>
      </c>
      <c r="G14" s="332">
        <v>21865</v>
      </c>
    </row>
    <row r="15" spans="1:7" ht="12.75">
      <c r="A15" t="s">
        <v>464</v>
      </c>
      <c r="B15">
        <v>11289</v>
      </c>
      <c r="C15" s="357">
        <v>8398</v>
      </c>
      <c r="F15">
        <v>3</v>
      </c>
      <c r="G15" s="332">
        <v>3</v>
      </c>
    </row>
    <row r="16" spans="1:3" ht="12.75">
      <c r="A16" t="s">
        <v>466</v>
      </c>
      <c r="B16">
        <v>3952</v>
      </c>
      <c r="C16" s="357">
        <v>1600</v>
      </c>
    </row>
    <row r="17" spans="1:3" ht="12.75">
      <c r="A17" t="s">
        <v>477</v>
      </c>
      <c r="B17">
        <v>3200</v>
      </c>
      <c r="C17" s="357">
        <v>562</v>
      </c>
    </row>
    <row r="18" spans="1:7" ht="12.75">
      <c r="A18" t="s">
        <v>481</v>
      </c>
      <c r="B18">
        <v>993</v>
      </c>
      <c r="C18" s="357">
        <v>575</v>
      </c>
      <c r="F18">
        <v>1</v>
      </c>
      <c r="G18" s="332">
        <v>1</v>
      </c>
    </row>
    <row r="19" spans="1:3" ht="12.75">
      <c r="A19" t="s">
        <v>483</v>
      </c>
      <c r="B19">
        <v>1092</v>
      </c>
      <c r="C19" s="357">
        <v>558</v>
      </c>
    </row>
    <row r="20" spans="1:7" ht="12.75">
      <c r="A20" t="s">
        <v>335</v>
      </c>
      <c r="B20">
        <v>32284</v>
      </c>
      <c r="C20" s="357">
        <v>20419</v>
      </c>
      <c r="F20">
        <v>5</v>
      </c>
      <c r="G20" s="332">
        <v>4</v>
      </c>
    </row>
    <row r="21" spans="1:7" ht="12.75">
      <c r="A21" t="s">
        <v>437</v>
      </c>
      <c r="B21">
        <v>23790</v>
      </c>
      <c r="C21" s="357">
        <v>15503</v>
      </c>
      <c r="F21">
        <v>4</v>
      </c>
      <c r="G21" s="332">
        <v>3</v>
      </c>
    </row>
    <row r="22" spans="1:7" ht="12.75">
      <c r="A22" t="s">
        <v>446</v>
      </c>
      <c r="B22">
        <v>10468</v>
      </c>
      <c r="C22" s="357">
        <v>5292</v>
      </c>
      <c r="F22">
        <v>4</v>
      </c>
      <c r="G22" s="332">
        <v>3</v>
      </c>
    </row>
    <row r="23" spans="1:7" ht="12.75">
      <c r="A23" t="s">
        <v>448</v>
      </c>
      <c r="B23">
        <v>10444</v>
      </c>
      <c r="C23" s="357">
        <v>7292</v>
      </c>
      <c r="F23">
        <v>6</v>
      </c>
      <c r="G23" s="332">
        <v>3</v>
      </c>
    </row>
    <row r="24" spans="1:7" ht="12.75">
      <c r="A24" t="s">
        <v>452</v>
      </c>
      <c r="B24">
        <v>11137</v>
      </c>
      <c r="C24" s="357">
        <v>7049</v>
      </c>
      <c r="F24">
        <v>2</v>
      </c>
      <c r="G24" s="332">
        <v>1</v>
      </c>
    </row>
    <row r="25" spans="1:7" ht="12.75">
      <c r="A25" t="s">
        <v>456</v>
      </c>
      <c r="B25">
        <v>14881</v>
      </c>
      <c r="C25" s="357">
        <v>9941</v>
      </c>
      <c r="F25">
        <v>13</v>
      </c>
      <c r="G25" s="332">
        <v>9</v>
      </c>
    </row>
    <row r="26" spans="1:3" ht="12.75">
      <c r="A26" t="s">
        <v>457</v>
      </c>
      <c r="B26">
        <v>12748</v>
      </c>
      <c r="C26" s="357">
        <v>4790</v>
      </c>
    </row>
    <row r="27" spans="1:7" ht="12.75">
      <c r="A27" t="s">
        <v>468</v>
      </c>
      <c r="B27">
        <v>28712</v>
      </c>
      <c r="C27" s="357">
        <v>21309</v>
      </c>
      <c r="F27">
        <v>10</v>
      </c>
      <c r="G27" s="332">
        <v>1</v>
      </c>
    </row>
    <row r="28" spans="1:7" ht="12.75">
      <c r="A28" t="s">
        <v>471</v>
      </c>
      <c r="B28">
        <v>5186</v>
      </c>
      <c r="C28" s="357">
        <v>3369</v>
      </c>
      <c r="F28">
        <v>5</v>
      </c>
      <c r="G28" s="332">
        <v>4</v>
      </c>
    </row>
    <row r="29" spans="1:7" ht="12.75">
      <c r="A29" t="s">
        <v>476</v>
      </c>
      <c r="B29">
        <v>46945</v>
      </c>
      <c r="C29" s="357">
        <v>30198</v>
      </c>
      <c r="F29">
        <v>36</v>
      </c>
      <c r="G29" s="332">
        <v>16</v>
      </c>
    </row>
    <row r="30" spans="1:3" ht="12.75">
      <c r="A30" t="s">
        <v>479</v>
      </c>
      <c r="B30">
        <v>150</v>
      </c>
      <c r="C30" s="357">
        <v>83</v>
      </c>
    </row>
    <row r="31" spans="1:7" ht="12.75">
      <c r="A31" t="s">
        <v>484</v>
      </c>
      <c r="B31">
        <v>47406</v>
      </c>
      <c r="C31" s="357">
        <v>30095</v>
      </c>
      <c r="F31">
        <v>6</v>
      </c>
      <c r="G31" s="332">
        <v>5</v>
      </c>
    </row>
    <row r="32" spans="1:7" ht="12.75">
      <c r="A32" t="s">
        <v>435</v>
      </c>
      <c r="B32">
        <v>20793</v>
      </c>
      <c r="C32" s="357">
        <v>16774</v>
      </c>
      <c r="F32">
        <v>7</v>
      </c>
      <c r="G32" s="332">
        <v>7</v>
      </c>
    </row>
    <row r="33" spans="1:3" ht="12.75">
      <c r="A33" t="s">
        <v>439</v>
      </c>
      <c r="B33">
        <v>6913</v>
      </c>
      <c r="C33" s="357">
        <v>4819</v>
      </c>
    </row>
    <row r="34" spans="1:3" ht="12.75">
      <c r="A34" t="s">
        <v>441</v>
      </c>
      <c r="B34">
        <v>1059</v>
      </c>
      <c r="C34" s="357">
        <v>311</v>
      </c>
    </row>
    <row r="35" spans="1:7" ht="12.75">
      <c r="A35" t="s">
        <v>445</v>
      </c>
      <c r="B35">
        <v>37604</v>
      </c>
      <c r="C35" s="357">
        <v>27630</v>
      </c>
      <c r="F35">
        <v>8</v>
      </c>
      <c r="G35" s="332">
        <v>6</v>
      </c>
    </row>
    <row r="36" spans="1:6" ht="12.75">
      <c r="A36" t="s">
        <v>449</v>
      </c>
      <c r="B36">
        <v>4670</v>
      </c>
      <c r="C36" s="357">
        <v>1670</v>
      </c>
      <c r="F36">
        <v>1</v>
      </c>
    </row>
    <row r="37" spans="1:7" ht="12.75">
      <c r="A37" t="s">
        <v>450</v>
      </c>
      <c r="B37">
        <v>8227</v>
      </c>
      <c r="C37" s="357">
        <v>5173</v>
      </c>
      <c r="F37">
        <v>5</v>
      </c>
      <c r="G37" s="332">
        <v>2</v>
      </c>
    </row>
    <row r="38" spans="1:7" ht="12.75">
      <c r="A38" t="s">
        <v>455</v>
      </c>
      <c r="B38">
        <v>10391</v>
      </c>
      <c r="C38" s="357">
        <v>3939</v>
      </c>
      <c r="F38">
        <v>16825</v>
      </c>
      <c r="G38" s="332">
        <v>4801</v>
      </c>
    </row>
    <row r="39" spans="1:3" ht="12.75">
      <c r="A39" t="s">
        <v>337</v>
      </c>
      <c r="B39">
        <v>17612</v>
      </c>
      <c r="C39" s="357">
        <v>9431</v>
      </c>
    </row>
    <row r="40" spans="1:7" ht="12.75">
      <c r="A40" t="s">
        <v>458</v>
      </c>
      <c r="B40">
        <v>14351</v>
      </c>
      <c r="C40" s="357">
        <v>9860</v>
      </c>
      <c r="F40">
        <v>2</v>
      </c>
      <c r="G40" s="332">
        <v>2</v>
      </c>
    </row>
    <row r="41" spans="1:3" ht="12.75">
      <c r="A41" t="s">
        <v>473</v>
      </c>
      <c r="B41">
        <v>1049</v>
      </c>
      <c r="C41" s="357">
        <v>339</v>
      </c>
    </row>
    <row r="42" spans="1:7" ht="12.75">
      <c r="A42" t="s">
        <v>474</v>
      </c>
      <c r="B42">
        <v>19936</v>
      </c>
      <c r="C42" s="357">
        <v>13619</v>
      </c>
      <c r="F42">
        <v>9</v>
      </c>
      <c r="G42" s="332">
        <v>6</v>
      </c>
    </row>
    <row r="43" spans="1:7" ht="12.75">
      <c r="A43" t="s">
        <v>475</v>
      </c>
      <c r="B43">
        <v>11944</v>
      </c>
      <c r="C43" s="357">
        <v>3465</v>
      </c>
      <c r="F43">
        <v>25177</v>
      </c>
      <c r="G43" s="332">
        <v>12254</v>
      </c>
    </row>
    <row r="44" spans="1:7" ht="12.75">
      <c r="A44" t="s">
        <v>478</v>
      </c>
      <c r="B44">
        <v>48555</v>
      </c>
      <c r="C44" s="357">
        <v>37073</v>
      </c>
      <c r="F44">
        <v>17</v>
      </c>
      <c r="G44" s="332">
        <v>7</v>
      </c>
    </row>
    <row r="45" spans="1:3" ht="12.75">
      <c r="A45" t="s">
        <v>482</v>
      </c>
      <c r="B45">
        <v>4933</v>
      </c>
      <c r="C45" s="357">
        <v>2657</v>
      </c>
    </row>
    <row r="46" spans="1:3" ht="12.75">
      <c r="A46" t="s">
        <v>428</v>
      </c>
      <c r="B46">
        <v>5119</v>
      </c>
      <c r="C46" s="357">
        <v>2715</v>
      </c>
    </row>
    <row r="47" spans="1:3" ht="12.75">
      <c r="A47" t="s">
        <v>430</v>
      </c>
      <c r="B47">
        <v>2606</v>
      </c>
      <c r="C47" s="357">
        <v>1720</v>
      </c>
    </row>
    <row r="48" spans="1:6" ht="12.75">
      <c r="A48" t="s">
        <v>432</v>
      </c>
      <c r="B48">
        <v>2209</v>
      </c>
      <c r="C48" s="357">
        <v>1034</v>
      </c>
      <c r="F48">
        <v>1</v>
      </c>
    </row>
    <row r="49" spans="1:7" ht="12.75">
      <c r="A49" t="s">
        <v>438</v>
      </c>
      <c r="B49">
        <v>12878</v>
      </c>
      <c r="C49" s="357">
        <v>7720</v>
      </c>
      <c r="D49">
        <v>425</v>
      </c>
      <c r="E49">
        <v>289</v>
      </c>
      <c r="F49">
        <v>4</v>
      </c>
      <c r="G49" s="332">
        <v>4</v>
      </c>
    </row>
    <row r="50" spans="1:7" ht="12.75">
      <c r="A50" t="s">
        <v>434</v>
      </c>
      <c r="B50">
        <v>1223</v>
      </c>
      <c r="C50" s="357">
        <v>426</v>
      </c>
      <c r="F50">
        <v>4</v>
      </c>
      <c r="G50" s="332">
        <v>4</v>
      </c>
    </row>
    <row r="51" spans="1:3" ht="12.75">
      <c r="A51" t="s">
        <v>442</v>
      </c>
      <c r="B51">
        <v>2055</v>
      </c>
      <c r="C51" s="357">
        <v>981</v>
      </c>
    </row>
    <row r="52" spans="1:3" ht="12.75">
      <c r="A52" t="s">
        <v>444</v>
      </c>
      <c r="B52">
        <v>6000</v>
      </c>
      <c r="C52" s="357">
        <v>4509</v>
      </c>
    </row>
    <row r="53" spans="1:7" ht="12.75">
      <c r="A53" t="s">
        <v>451</v>
      </c>
      <c r="B53">
        <v>22133</v>
      </c>
      <c r="C53" s="357">
        <v>19908</v>
      </c>
      <c r="F53">
        <v>4</v>
      </c>
      <c r="G53" s="332">
        <v>2</v>
      </c>
    </row>
    <row r="54" spans="1:7" ht="12.75">
      <c r="A54" t="s">
        <v>454</v>
      </c>
      <c r="B54">
        <v>2559</v>
      </c>
      <c r="C54" s="357">
        <v>1563</v>
      </c>
      <c r="F54">
        <v>185</v>
      </c>
      <c r="G54" s="332">
        <v>52</v>
      </c>
    </row>
    <row r="55" spans="1:7" ht="12.75">
      <c r="A55" t="s">
        <v>461</v>
      </c>
      <c r="B55">
        <v>29718</v>
      </c>
      <c r="C55" s="357">
        <v>26572</v>
      </c>
      <c r="F55">
        <v>5</v>
      </c>
      <c r="G55" s="332">
        <v>4</v>
      </c>
    </row>
    <row r="56" spans="1:7" ht="12.75">
      <c r="A56" t="s">
        <v>463</v>
      </c>
      <c r="B56">
        <v>22880</v>
      </c>
      <c r="C56" s="357">
        <v>17260</v>
      </c>
      <c r="F56">
        <v>4</v>
      </c>
      <c r="G56" s="332">
        <v>3</v>
      </c>
    </row>
    <row r="57" spans="1:7" ht="12.75">
      <c r="A57" t="s">
        <v>465</v>
      </c>
      <c r="B57">
        <v>11865</v>
      </c>
      <c r="C57" s="357">
        <v>7510</v>
      </c>
      <c r="F57">
        <v>2</v>
      </c>
      <c r="G57" s="332">
        <v>2</v>
      </c>
    </row>
    <row r="58" spans="1:7" ht="12.75">
      <c r="A58" t="s">
        <v>467</v>
      </c>
      <c r="B58">
        <v>9580</v>
      </c>
      <c r="C58" s="357">
        <v>7627</v>
      </c>
      <c r="F58">
        <v>3</v>
      </c>
      <c r="G58" s="332">
        <v>1</v>
      </c>
    </row>
    <row r="59" spans="1:7" ht="12.75">
      <c r="A59" t="s">
        <v>469</v>
      </c>
      <c r="B59">
        <v>17917</v>
      </c>
      <c r="C59" s="357">
        <v>13624</v>
      </c>
      <c r="F59">
        <v>1</v>
      </c>
      <c r="G59" s="332">
        <v>1</v>
      </c>
    </row>
    <row r="60" spans="1:3" ht="12.75">
      <c r="A60" t="s">
        <v>470</v>
      </c>
      <c r="B60">
        <v>29544</v>
      </c>
      <c r="C60" s="357">
        <v>19284</v>
      </c>
    </row>
    <row r="61" spans="1:7" ht="12.75">
      <c r="A61" t="s">
        <v>472</v>
      </c>
      <c r="B61">
        <v>24662</v>
      </c>
      <c r="C61" s="357">
        <v>18959</v>
      </c>
      <c r="F61">
        <v>5</v>
      </c>
      <c r="G61" s="332">
        <v>3</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13303</v>
      </c>
      <c r="F2" t="s">
        <v>175</v>
      </c>
      <c r="G2" s="332">
        <f>SUM(G3:G4)</f>
        <v>1</v>
      </c>
    </row>
    <row r="3" spans="1:7" ht="12.75">
      <c r="A3" t="s">
        <v>480</v>
      </c>
      <c r="B3" s="332">
        <f>VLOOKUP(A3,Entitlement_Data!A3:C64,2,FALSE)</f>
        <v>0</v>
      </c>
      <c r="C3" t="s">
        <v>547</v>
      </c>
      <c r="D3">
        <f>SUM(D5,D7)</f>
        <v>8009</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12878</v>
      </c>
      <c r="E4" s="332" t="s">
        <v>491</v>
      </c>
      <c r="F4" t="s">
        <v>429</v>
      </c>
      <c r="G4" s="339">
        <f>IF(ISNA(VLOOKUP(F4,Entitlement_Data!A2:G67,3,FALSE)),"0",(VLOOKUP(F4,Entitlement_Data!A2:G67,3,FALSE)))</f>
        <v>1</v>
      </c>
    </row>
    <row r="5" spans="3:4" ht="12.75">
      <c r="C5" t="s">
        <v>438</v>
      </c>
      <c r="D5">
        <f>VLOOKUP(C5,Entitlement_Data!A2:G67,3,FALSE)</f>
        <v>7720</v>
      </c>
    </row>
    <row r="6" spans="3:5" ht="12.75">
      <c r="C6" t="s">
        <v>438</v>
      </c>
      <c r="D6">
        <f>VLOOKUP(C6,Entitlement_Data!A2:G66,4,FALSE)</f>
        <v>425</v>
      </c>
      <c r="E6" s="332" t="s">
        <v>280</v>
      </c>
    </row>
    <row r="7" spans="3:5" ht="12.75">
      <c r="C7" t="s">
        <v>438</v>
      </c>
      <c r="D7">
        <f>VLOOKUP(C7,Entitlement_Data!A2:G68,5,FALSE)</f>
        <v>289</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5620</v>
      </c>
      <c r="D4" s="332">
        <v>4225</v>
      </c>
      <c r="E4" s="293">
        <v>22</v>
      </c>
      <c r="F4">
        <v>21</v>
      </c>
      <c r="I4" s="293"/>
      <c r="N4"/>
      <c r="Q4"/>
      <c r="T4"/>
    </row>
    <row r="5" spans="1:20" ht="12.75">
      <c r="A5" t="s">
        <v>433</v>
      </c>
      <c r="B5">
        <v>301</v>
      </c>
      <c r="C5">
        <v>4079</v>
      </c>
      <c r="D5" s="332">
        <v>1995</v>
      </c>
      <c r="E5">
        <v>9</v>
      </c>
      <c r="F5">
        <v>9</v>
      </c>
      <c r="I5" s="293"/>
      <c r="N5"/>
      <c r="Q5"/>
      <c r="T5"/>
    </row>
    <row r="6" spans="1:20" ht="12.75">
      <c r="A6" t="s">
        <v>334</v>
      </c>
      <c r="B6">
        <v>307</v>
      </c>
      <c r="C6">
        <v>3704</v>
      </c>
      <c r="D6" s="332">
        <v>2175</v>
      </c>
      <c r="E6">
        <v>9</v>
      </c>
      <c r="F6">
        <v>9</v>
      </c>
      <c r="I6" s="293"/>
      <c r="N6"/>
      <c r="Q6"/>
      <c r="T6"/>
    </row>
    <row r="7" spans="1:20" ht="12.75">
      <c r="A7" t="s">
        <v>436</v>
      </c>
      <c r="B7">
        <v>325</v>
      </c>
      <c r="C7">
        <v>6922</v>
      </c>
      <c r="D7" s="332">
        <v>4008</v>
      </c>
      <c r="E7">
        <v>32</v>
      </c>
      <c r="F7">
        <v>28</v>
      </c>
      <c r="I7" s="293"/>
      <c r="N7"/>
      <c r="Q7"/>
      <c r="T7"/>
    </row>
    <row r="8" spans="1:20" ht="12.75">
      <c r="A8" t="s">
        <v>440</v>
      </c>
      <c r="B8">
        <v>329</v>
      </c>
      <c r="C8">
        <v>5592</v>
      </c>
      <c r="D8" s="332">
        <v>3486</v>
      </c>
      <c r="E8">
        <v>18</v>
      </c>
      <c r="F8">
        <v>11</v>
      </c>
      <c r="I8" s="293"/>
      <c r="N8"/>
      <c r="Q8"/>
      <c r="T8"/>
    </row>
    <row r="9" spans="1:20" ht="12.75">
      <c r="A9" t="s">
        <v>443</v>
      </c>
      <c r="B9">
        <v>308</v>
      </c>
      <c r="C9">
        <v>1107</v>
      </c>
      <c r="D9" s="332">
        <v>310</v>
      </c>
      <c r="I9" s="293"/>
      <c r="N9"/>
      <c r="Q9"/>
      <c r="T9"/>
    </row>
    <row r="10" spans="1:20" ht="12.75">
      <c r="A10" t="s">
        <v>447</v>
      </c>
      <c r="B10">
        <v>326</v>
      </c>
      <c r="C10">
        <v>5814</v>
      </c>
      <c r="D10" s="332">
        <v>4170</v>
      </c>
      <c r="E10">
        <v>12</v>
      </c>
      <c r="F10">
        <v>9</v>
      </c>
      <c r="I10" s="293"/>
      <c r="N10"/>
      <c r="Q10"/>
      <c r="T10"/>
    </row>
    <row r="11" spans="1:20" ht="12.75">
      <c r="A11" t="s">
        <v>453</v>
      </c>
      <c r="B11">
        <v>373</v>
      </c>
      <c r="C11">
        <v>994</v>
      </c>
      <c r="D11" s="332">
        <v>536</v>
      </c>
      <c r="E11">
        <v>2</v>
      </c>
      <c r="F11">
        <v>2</v>
      </c>
      <c r="I11" s="293"/>
      <c r="N11"/>
      <c r="Q11"/>
      <c r="T11"/>
    </row>
    <row r="12" spans="1:20" ht="12.75">
      <c r="A12" t="s">
        <v>459</v>
      </c>
      <c r="B12">
        <v>306</v>
      </c>
      <c r="C12">
        <v>4686</v>
      </c>
      <c r="D12" s="332">
        <v>2213</v>
      </c>
      <c r="E12">
        <v>13</v>
      </c>
      <c r="F12">
        <v>13</v>
      </c>
      <c r="I12" s="293"/>
      <c r="N12"/>
      <c r="Q12"/>
      <c r="T12"/>
    </row>
    <row r="13" spans="1:20" ht="12.75">
      <c r="A13" t="s">
        <v>460</v>
      </c>
      <c r="B13">
        <v>309</v>
      </c>
      <c r="C13">
        <v>1778</v>
      </c>
      <c r="D13" s="332">
        <v>1035</v>
      </c>
      <c r="E13">
        <v>3</v>
      </c>
      <c r="F13">
        <v>3</v>
      </c>
      <c r="I13" s="293"/>
      <c r="N13"/>
      <c r="Q13"/>
      <c r="T13"/>
    </row>
    <row r="14" spans="1:20" ht="12.75">
      <c r="A14" t="s">
        <v>462</v>
      </c>
      <c r="B14">
        <v>310</v>
      </c>
      <c r="C14">
        <v>6147</v>
      </c>
      <c r="D14" s="332">
        <v>3811</v>
      </c>
      <c r="E14">
        <v>51780</v>
      </c>
      <c r="F14">
        <v>39037</v>
      </c>
      <c r="I14" s="293"/>
      <c r="N14"/>
      <c r="Q14"/>
      <c r="T14"/>
    </row>
    <row r="15" spans="1:20" ht="12.75">
      <c r="A15" t="s">
        <v>464</v>
      </c>
      <c r="B15">
        <v>311</v>
      </c>
      <c r="C15">
        <v>4362</v>
      </c>
      <c r="D15" s="332">
        <v>3338</v>
      </c>
      <c r="E15">
        <v>4</v>
      </c>
      <c r="F15">
        <v>2</v>
      </c>
      <c r="I15" s="293"/>
      <c r="N15"/>
      <c r="Q15"/>
      <c r="T15"/>
    </row>
    <row r="16" spans="1:20" ht="12.75">
      <c r="A16" t="s">
        <v>466</v>
      </c>
      <c r="B16">
        <v>304</v>
      </c>
      <c r="C16">
        <v>1014</v>
      </c>
      <c r="D16" s="332">
        <v>321</v>
      </c>
      <c r="E16">
        <v>1</v>
      </c>
      <c r="F16">
        <v>1</v>
      </c>
      <c r="I16" s="293"/>
      <c r="N16"/>
      <c r="Q16"/>
      <c r="T16"/>
    </row>
    <row r="17" spans="1:20" ht="12.75">
      <c r="A17" t="s">
        <v>477</v>
      </c>
      <c r="B17">
        <v>402</v>
      </c>
      <c r="C17">
        <v>1980</v>
      </c>
      <c r="D17" s="332">
        <v>960</v>
      </c>
      <c r="E17">
        <v>1</v>
      </c>
      <c r="F17">
        <v>1</v>
      </c>
      <c r="I17" s="293"/>
      <c r="N17"/>
      <c r="Q17"/>
      <c r="T17"/>
    </row>
    <row r="18" spans="1:20" ht="12.75">
      <c r="A18" t="s">
        <v>481</v>
      </c>
      <c r="B18">
        <v>405</v>
      </c>
      <c r="C18">
        <v>432</v>
      </c>
      <c r="D18" s="332">
        <v>211</v>
      </c>
      <c r="E18">
        <v>1</v>
      </c>
      <c r="I18" s="293"/>
      <c r="N18"/>
      <c r="Q18"/>
      <c r="T18"/>
    </row>
    <row r="19" spans="1:20" ht="12.75">
      <c r="A19" t="s">
        <v>483</v>
      </c>
      <c r="B19">
        <v>460</v>
      </c>
      <c r="C19">
        <v>546</v>
      </c>
      <c r="D19" s="332">
        <v>334</v>
      </c>
      <c r="E19">
        <v>2</v>
      </c>
      <c r="F19">
        <v>2</v>
      </c>
      <c r="I19" s="293"/>
      <c r="N19"/>
      <c r="Q19"/>
      <c r="T19"/>
    </row>
    <row r="20" spans="1:20" ht="12.75">
      <c r="A20" t="s">
        <v>335</v>
      </c>
      <c r="B20">
        <v>316</v>
      </c>
      <c r="C20">
        <v>11242</v>
      </c>
      <c r="D20" s="332">
        <v>6154</v>
      </c>
      <c r="E20">
        <v>6</v>
      </c>
      <c r="F20">
        <v>3</v>
      </c>
      <c r="I20" s="293"/>
      <c r="N20"/>
      <c r="Q20"/>
      <c r="T20"/>
    </row>
    <row r="21" spans="1:20" ht="12.75">
      <c r="A21" t="s">
        <v>437</v>
      </c>
      <c r="B21">
        <v>319</v>
      </c>
      <c r="C21">
        <v>5335</v>
      </c>
      <c r="D21" s="332">
        <v>1459</v>
      </c>
      <c r="E21">
        <v>18</v>
      </c>
      <c r="F21">
        <v>15</v>
      </c>
      <c r="I21" s="293"/>
      <c r="N21"/>
      <c r="Q21"/>
      <c r="T21"/>
    </row>
    <row r="22" spans="1:20" ht="12.75">
      <c r="A22" t="s">
        <v>446</v>
      </c>
      <c r="B22">
        <v>315</v>
      </c>
      <c r="C22">
        <v>1902</v>
      </c>
      <c r="D22" s="332">
        <v>649</v>
      </c>
      <c r="E22">
        <v>4</v>
      </c>
      <c r="F22">
        <v>3</v>
      </c>
      <c r="I22" s="293"/>
      <c r="N22"/>
      <c r="Q22"/>
      <c r="T22"/>
    </row>
    <row r="23" spans="1:20" ht="12.75">
      <c r="A23" t="s">
        <v>448</v>
      </c>
      <c r="B23">
        <v>323</v>
      </c>
      <c r="C23">
        <v>3270</v>
      </c>
      <c r="D23" s="332">
        <v>819</v>
      </c>
      <c r="E23">
        <v>18</v>
      </c>
      <c r="F23">
        <v>8</v>
      </c>
      <c r="I23" s="293"/>
      <c r="N23"/>
      <c r="Q23"/>
      <c r="T23"/>
    </row>
    <row r="24" spans="1:20" ht="12.75">
      <c r="A24" t="s">
        <v>452</v>
      </c>
      <c r="B24">
        <v>327</v>
      </c>
      <c r="C24">
        <v>4938</v>
      </c>
      <c r="D24" s="332">
        <v>3645</v>
      </c>
      <c r="E24">
        <v>6</v>
      </c>
      <c r="F24">
        <v>6</v>
      </c>
      <c r="I24" s="293"/>
      <c r="N24"/>
      <c r="Q24"/>
      <c r="T24"/>
    </row>
    <row r="25" spans="1:20" ht="12.75">
      <c r="A25" t="s">
        <v>456</v>
      </c>
      <c r="B25">
        <v>322</v>
      </c>
      <c r="C25">
        <v>6812</v>
      </c>
      <c r="D25" s="332">
        <v>4144</v>
      </c>
      <c r="E25">
        <v>7</v>
      </c>
      <c r="F25">
        <v>6</v>
      </c>
      <c r="I25" s="293"/>
      <c r="N25"/>
      <c r="Q25"/>
      <c r="T25"/>
    </row>
    <row r="26" spans="1:20" ht="12.75">
      <c r="A26" t="s">
        <v>457</v>
      </c>
      <c r="B26">
        <v>320</v>
      </c>
      <c r="C26">
        <v>5760</v>
      </c>
      <c r="D26" s="332">
        <v>2728</v>
      </c>
      <c r="E26">
        <v>55</v>
      </c>
      <c r="F26">
        <v>27</v>
      </c>
      <c r="I26" s="293"/>
      <c r="N26"/>
      <c r="Q26"/>
      <c r="T26"/>
    </row>
    <row r="27" spans="1:20" ht="12.75">
      <c r="A27" t="s">
        <v>468</v>
      </c>
      <c r="B27">
        <v>314</v>
      </c>
      <c r="C27">
        <v>10182</v>
      </c>
      <c r="D27" s="332">
        <v>6906</v>
      </c>
      <c r="E27">
        <v>24</v>
      </c>
      <c r="F27">
        <v>18</v>
      </c>
      <c r="I27" s="293"/>
      <c r="N27"/>
      <c r="Q27"/>
      <c r="T27"/>
    </row>
    <row r="28" spans="1:20" ht="12.75">
      <c r="A28" t="s">
        <v>471</v>
      </c>
      <c r="B28">
        <v>355</v>
      </c>
      <c r="C28">
        <v>2176</v>
      </c>
      <c r="D28" s="332">
        <v>1174</v>
      </c>
      <c r="E28">
        <v>5</v>
      </c>
      <c r="F28">
        <v>4</v>
      </c>
      <c r="I28" s="293"/>
      <c r="N28"/>
      <c r="Q28"/>
      <c r="T28"/>
    </row>
    <row r="29" spans="1:20" ht="12.75">
      <c r="A29" t="s">
        <v>476</v>
      </c>
      <c r="B29">
        <v>317</v>
      </c>
      <c r="C29">
        <v>14641</v>
      </c>
      <c r="D29" s="332">
        <v>8256</v>
      </c>
      <c r="E29">
        <v>41</v>
      </c>
      <c r="F29">
        <v>33</v>
      </c>
      <c r="I29" s="293"/>
      <c r="N29"/>
      <c r="Q29"/>
      <c r="T29"/>
    </row>
    <row r="30" spans="1:20" ht="12.75">
      <c r="A30" t="s">
        <v>479</v>
      </c>
      <c r="B30">
        <v>372</v>
      </c>
      <c r="C30">
        <v>55</v>
      </c>
      <c r="D30" s="332">
        <v>48</v>
      </c>
      <c r="E30">
        <v>1</v>
      </c>
      <c r="F30">
        <v>1</v>
      </c>
      <c r="I30" s="293"/>
      <c r="N30"/>
      <c r="Q30"/>
      <c r="T30"/>
    </row>
    <row r="31" spans="1:20" ht="12.75">
      <c r="A31" t="s">
        <v>484</v>
      </c>
      <c r="B31">
        <v>318</v>
      </c>
      <c r="C31">
        <v>25113</v>
      </c>
      <c r="D31" s="332">
        <v>19003</v>
      </c>
      <c r="E31">
        <v>150</v>
      </c>
      <c r="F31">
        <v>94</v>
      </c>
      <c r="I31" s="293"/>
      <c r="N31"/>
      <c r="Q31"/>
      <c r="T31"/>
    </row>
    <row r="32" spans="1:20" ht="12.75">
      <c r="A32" t="s">
        <v>435</v>
      </c>
      <c r="B32">
        <v>328</v>
      </c>
      <c r="C32">
        <v>5734</v>
      </c>
      <c r="D32" s="332">
        <v>4599</v>
      </c>
      <c r="E32">
        <v>29</v>
      </c>
      <c r="F32">
        <v>27</v>
      </c>
      <c r="I32" s="293"/>
      <c r="N32"/>
      <c r="Q32"/>
      <c r="T32"/>
    </row>
    <row r="33" spans="1:20" ht="12.75">
      <c r="A33" t="s">
        <v>439</v>
      </c>
      <c r="B33">
        <v>333</v>
      </c>
      <c r="C33">
        <v>2876</v>
      </c>
      <c r="D33" s="332">
        <v>1207</v>
      </c>
      <c r="E33">
        <v>11</v>
      </c>
      <c r="F33">
        <v>5</v>
      </c>
      <c r="I33" s="293"/>
      <c r="N33"/>
      <c r="Q33"/>
      <c r="T33"/>
    </row>
    <row r="34" spans="1:20" ht="12.75">
      <c r="A34" t="s">
        <v>441</v>
      </c>
      <c r="B34">
        <v>437</v>
      </c>
      <c r="C34">
        <v>368</v>
      </c>
      <c r="D34" s="332">
        <v>32</v>
      </c>
      <c r="I34" s="293"/>
      <c r="N34"/>
      <c r="Q34"/>
      <c r="T34"/>
    </row>
    <row r="35" spans="1:20" ht="12.75">
      <c r="A35" t="s">
        <v>445</v>
      </c>
      <c r="B35">
        <v>362</v>
      </c>
      <c r="C35">
        <v>14559</v>
      </c>
      <c r="D35" s="332">
        <v>10282</v>
      </c>
      <c r="E35">
        <v>31</v>
      </c>
      <c r="F35">
        <v>27</v>
      </c>
      <c r="I35" s="293"/>
      <c r="N35"/>
      <c r="Q35"/>
      <c r="T35"/>
    </row>
    <row r="36" spans="1:20" ht="12.75">
      <c r="A36" t="s">
        <v>449</v>
      </c>
      <c r="B36">
        <v>334</v>
      </c>
      <c r="C36">
        <v>1871</v>
      </c>
      <c r="D36" s="332">
        <v>264</v>
      </c>
      <c r="E36">
        <v>35</v>
      </c>
      <c r="F36">
        <v>25</v>
      </c>
      <c r="I36" s="293"/>
      <c r="N36"/>
      <c r="Q36"/>
      <c r="T36"/>
    </row>
    <row r="37" spans="1:20" ht="12.75">
      <c r="A37" t="s">
        <v>450</v>
      </c>
      <c r="B37">
        <v>350</v>
      </c>
      <c r="C37">
        <v>5596</v>
      </c>
      <c r="D37" s="332">
        <v>2610</v>
      </c>
      <c r="E37">
        <v>9</v>
      </c>
      <c r="F37">
        <v>8</v>
      </c>
      <c r="I37" s="293"/>
      <c r="N37"/>
      <c r="Q37"/>
      <c r="T37"/>
    </row>
    <row r="38" spans="1:20" ht="12.75">
      <c r="A38" t="s">
        <v>455</v>
      </c>
      <c r="B38">
        <v>330</v>
      </c>
      <c r="C38">
        <v>3811</v>
      </c>
      <c r="D38" s="332">
        <v>1059</v>
      </c>
      <c r="E38">
        <v>18032</v>
      </c>
      <c r="F38">
        <v>3614</v>
      </c>
      <c r="I38" s="293"/>
      <c r="N38"/>
      <c r="Q38"/>
      <c r="T38"/>
    </row>
    <row r="39" spans="1:20" ht="12.75">
      <c r="A39" t="s">
        <v>337</v>
      </c>
      <c r="B39">
        <v>351</v>
      </c>
      <c r="C39">
        <v>5684</v>
      </c>
      <c r="D39" s="332">
        <v>1262</v>
      </c>
      <c r="E39">
        <v>11</v>
      </c>
      <c r="F39">
        <v>8</v>
      </c>
      <c r="I39" s="293"/>
      <c r="N39"/>
      <c r="Q39"/>
      <c r="T39"/>
    </row>
    <row r="40" spans="1:20" ht="12.75">
      <c r="A40" t="s">
        <v>458</v>
      </c>
      <c r="B40">
        <v>321</v>
      </c>
      <c r="C40">
        <v>4991</v>
      </c>
      <c r="D40" s="332">
        <v>3294</v>
      </c>
      <c r="E40">
        <v>47</v>
      </c>
      <c r="F40">
        <v>39</v>
      </c>
      <c r="I40" s="293"/>
      <c r="N40"/>
      <c r="Q40"/>
      <c r="T40"/>
    </row>
    <row r="41" spans="1:20" ht="12.75">
      <c r="A41" t="s">
        <v>473</v>
      </c>
      <c r="B41">
        <v>438</v>
      </c>
      <c r="C41">
        <v>742</v>
      </c>
      <c r="D41" s="332">
        <v>22</v>
      </c>
      <c r="E41">
        <v>1</v>
      </c>
      <c r="F41">
        <v>1</v>
      </c>
      <c r="I41" s="293"/>
      <c r="N41"/>
      <c r="Q41"/>
      <c r="T41"/>
    </row>
    <row r="42" spans="1:20" ht="12.75">
      <c r="A42" t="s">
        <v>474</v>
      </c>
      <c r="B42">
        <v>331</v>
      </c>
      <c r="C42">
        <v>5373</v>
      </c>
      <c r="D42" s="332">
        <v>3413</v>
      </c>
      <c r="E42">
        <v>12</v>
      </c>
      <c r="F42">
        <v>10</v>
      </c>
      <c r="I42" s="293"/>
      <c r="N42"/>
      <c r="Q42"/>
      <c r="T42"/>
    </row>
    <row r="43" spans="1:20" ht="12.75">
      <c r="A43" t="s">
        <v>475</v>
      </c>
      <c r="B43">
        <v>335</v>
      </c>
      <c r="C43">
        <v>4134</v>
      </c>
      <c r="D43" s="332">
        <v>638</v>
      </c>
      <c r="E43">
        <v>34867</v>
      </c>
      <c r="F43">
        <v>22426</v>
      </c>
      <c r="I43" s="293"/>
      <c r="N43"/>
      <c r="Q43"/>
      <c r="T43"/>
    </row>
    <row r="44" spans="1:20" ht="12.75">
      <c r="A44" t="s">
        <v>478</v>
      </c>
      <c r="B44">
        <v>349</v>
      </c>
      <c r="C44">
        <v>10823</v>
      </c>
      <c r="D44" s="332">
        <v>5541</v>
      </c>
      <c r="E44">
        <v>21</v>
      </c>
      <c r="F44">
        <v>16</v>
      </c>
      <c r="I44" s="293"/>
      <c r="N44"/>
      <c r="Q44"/>
      <c r="T44"/>
    </row>
    <row r="45" spans="1:20" ht="12.75">
      <c r="A45" t="s">
        <v>482</v>
      </c>
      <c r="B45">
        <v>452</v>
      </c>
      <c r="C45">
        <v>1786</v>
      </c>
      <c r="D45" s="332">
        <v>777</v>
      </c>
      <c r="E45">
        <v>5</v>
      </c>
      <c r="F45">
        <v>4</v>
      </c>
      <c r="I45" s="293"/>
      <c r="N45"/>
      <c r="Q45"/>
      <c r="T45"/>
    </row>
    <row r="46" spans="1:20" ht="12.75">
      <c r="A46" t="s">
        <v>428</v>
      </c>
      <c r="B46">
        <v>340</v>
      </c>
      <c r="C46">
        <v>2132</v>
      </c>
      <c r="D46" s="332">
        <v>1111</v>
      </c>
      <c r="E46">
        <v>6</v>
      </c>
      <c r="F46">
        <v>6</v>
      </c>
      <c r="I46" s="293"/>
      <c r="N46"/>
      <c r="Q46"/>
      <c r="T46"/>
    </row>
    <row r="47" spans="1:20" ht="12.75">
      <c r="A47" t="s">
        <v>430</v>
      </c>
      <c r="B47">
        <v>463</v>
      </c>
      <c r="C47">
        <v>2301</v>
      </c>
      <c r="D47" s="332">
        <v>1526</v>
      </c>
      <c r="E47">
        <v>2</v>
      </c>
      <c r="F47">
        <v>2</v>
      </c>
      <c r="I47" s="293"/>
      <c r="N47"/>
      <c r="Q47"/>
      <c r="T47"/>
    </row>
    <row r="48" spans="1:20" ht="12.75">
      <c r="A48" t="s">
        <v>432</v>
      </c>
      <c r="B48">
        <v>347</v>
      </c>
      <c r="C48">
        <v>1477</v>
      </c>
      <c r="D48" s="332">
        <v>460</v>
      </c>
      <c r="E48">
        <v>1</v>
      </c>
      <c r="F48">
        <v>1</v>
      </c>
      <c r="I48" s="293"/>
      <c r="N48"/>
      <c r="Q48"/>
      <c r="T48"/>
    </row>
    <row r="49" spans="1:20" ht="12.75">
      <c r="A49" t="s">
        <v>438</v>
      </c>
      <c r="B49">
        <v>339</v>
      </c>
      <c r="C49">
        <v>5751</v>
      </c>
      <c r="D49" s="332">
        <v>3235</v>
      </c>
      <c r="E49">
        <v>7</v>
      </c>
      <c r="F49">
        <v>5</v>
      </c>
      <c r="G49">
        <v>7</v>
      </c>
      <c r="H49" s="332">
        <v>7</v>
      </c>
      <c r="I49" s="293"/>
      <c r="N49"/>
      <c r="Q49"/>
      <c r="T49"/>
    </row>
    <row r="50" spans="1:20" ht="12.75">
      <c r="A50" t="s">
        <v>434</v>
      </c>
      <c r="B50">
        <v>442</v>
      </c>
      <c r="C50">
        <v>582</v>
      </c>
      <c r="D50" s="332">
        <v>274</v>
      </c>
      <c r="E50">
        <v>2</v>
      </c>
      <c r="F50">
        <v>2</v>
      </c>
      <c r="I50" s="293"/>
      <c r="N50"/>
      <c r="Q50"/>
      <c r="T50"/>
    </row>
    <row r="51" spans="1:20" ht="12.75">
      <c r="A51" t="s">
        <v>442</v>
      </c>
      <c r="B51">
        <v>436</v>
      </c>
      <c r="C51">
        <v>1229</v>
      </c>
      <c r="D51" s="332">
        <v>403</v>
      </c>
      <c r="E51">
        <v>1</v>
      </c>
      <c r="F51">
        <v>1</v>
      </c>
      <c r="I51" s="293"/>
      <c r="N51"/>
      <c r="Q51"/>
      <c r="T51"/>
    </row>
    <row r="52" spans="1:20" ht="12.75">
      <c r="A52" t="s">
        <v>444</v>
      </c>
      <c r="B52">
        <v>459</v>
      </c>
      <c r="C52">
        <v>1620</v>
      </c>
      <c r="D52" s="332">
        <v>356</v>
      </c>
      <c r="I52" s="293"/>
      <c r="N52"/>
      <c r="Q52"/>
      <c r="T52"/>
    </row>
    <row r="53" spans="1:20" ht="12.75">
      <c r="A53" t="s">
        <v>451</v>
      </c>
      <c r="B53">
        <v>344</v>
      </c>
      <c r="C53">
        <v>6479</v>
      </c>
      <c r="D53" s="332">
        <v>3455</v>
      </c>
      <c r="E53">
        <v>10</v>
      </c>
      <c r="F53">
        <v>9</v>
      </c>
      <c r="I53" s="293"/>
      <c r="N53"/>
      <c r="Q53"/>
      <c r="T53"/>
    </row>
    <row r="54" spans="1:20" ht="12.75">
      <c r="A54" t="s">
        <v>454</v>
      </c>
      <c r="B54">
        <v>358</v>
      </c>
      <c r="C54">
        <v>1330</v>
      </c>
      <c r="D54" s="332">
        <v>511</v>
      </c>
      <c r="E54">
        <v>159</v>
      </c>
      <c r="F54">
        <v>116</v>
      </c>
      <c r="I54" s="293"/>
      <c r="N54"/>
      <c r="Q54"/>
      <c r="T54"/>
    </row>
    <row r="55" spans="1:20" ht="12.75">
      <c r="A55" t="s">
        <v>461</v>
      </c>
      <c r="B55">
        <v>343</v>
      </c>
      <c r="C55">
        <v>11055</v>
      </c>
      <c r="D55" s="332">
        <v>7518</v>
      </c>
      <c r="E55">
        <v>13</v>
      </c>
      <c r="F55">
        <v>12</v>
      </c>
      <c r="I55" s="293"/>
      <c r="N55"/>
      <c r="Q55"/>
      <c r="T55"/>
    </row>
    <row r="56" spans="1:20" ht="12.75">
      <c r="A56" t="s">
        <v>463</v>
      </c>
      <c r="B56">
        <v>345</v>
      </c>
      <c r="C56">
        <v>6017</v>
      </c>
      <c r="D56" s="332">
        <v>2760</v>
      </c>
      <c r="E56">
        <v>6</v>
      </c>
      <c r="F56">
        <v>5</v>
      </c>
      <c r="I56" s="293"/>
      <c r="N56"/>
      <c r="Q56"/>
      <c r="T56"/>
    </row>
    <row r="57" spans="1:20" ht="12.75">
      <c r="A57" t="s">
        <v>465</v>
      </c>
      <c r="B57">
        <v>348</v>
      </c>
      <c r="C57">
        <v>5679</v>
      </c>
      <c r="D57" s="332">
        <v>3570</v>
      </c>
      <c r="E57">
        <v>15</v>
      </c>
      <c r="F57">
        <v>11</v>
      </c>
      <c r="I57" s="293"/>
      <c r="N57"/>
      <c r="Q57"/>
      <c r="T57"/>
    </row>
    <row r="58" spans="1:20" ht="12.75">
      <c r="A58" t="s">
        <v>467</v>
      </c>
      <c r="B58">
        <v>354</v>
      </c>
      <c r="C58">
        <v>2394</v>
      </c>
      <c r="D58" s="332">
        <v>1540</v>
      </c>
      <c r="E58">
        <v>1</v>
      </c>
      <c r="F58">
        <v>1</v>
      </c>
      <c r="I58" s="293"/>
      <c r="N58"/>
      <c r="Q58"/>
      <c r="T58"/>
    </row>
    <row r="59" spans="1:20" ht="12.75">
      <c r="A59" t="s">
        <v>469</v>
      </c>
      <c r="B59">
        <v>341</v>
      </c>
      <c r="C59">
        <v>8819</v>
      </c>
      <c r="D59" s="332">
        <v>6235</v>
      </c>
      <c r="E59">
        <v>42</v>
      </c>
      <c r="F59">
        <v>23</v>
      </c>
      <c r="I59" s="293"/>
      <c r="N59"/>
      <c r="Q59"/>
      <c r="T59"/>
    </row>
    <row r="60" spans="1:20" ht="12.75">
      <c r="A60" t="s">
        <v>470</v>
      </c>
      <c r="B60">
        <v>377</v>
      </c>
      <c r="C60">
        <v>6280</v>
      </c>
      <c r="D60" s="332">
        <v>3659</v>
      </c>
      <c r="E60">
        <v>30</v>
      </c>
      <c r="F60">
        <v>26</v>
      </c>
      <c r="I60" s="293"/>
      <c r="N60"/>
      <c r="Q60"/>
      <c r="T60"/>
    </row>
    <row r="61" spans="1:20" ht="12.75">
      <c r="A61" t="s">
        <v>472</v>
      </c>
      <c r="B61">
        <v>346</v>
      </c>
      <c r="C61">
        <v>12831</v>
      </c>
      <c r="D61" s="332">
        <v>8736</v>
      </c>
      <c r="E61">
        <v>14</v>
      </c>
      <c r="F61">
        <v>11</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37</v>
      </c>
      <c r="D64" s="332">
        <v>7</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39</v>
      </c>
      <c r="C2" t="s">
        <v>546</v>
      </c>
      <c r="D2">
        <f>SUM(D4:D5)</f>
        <v>5758</v>
      </c>
      <c r="F2" t="s">
        <v>175</v>
      </c>
      <c r="G2" s="332">
        <f>SUM(G3:G4)</f>
        <v>9</v>
      </c>
      <c r="H2" t="s">
        <v>175</v>
      </c>
      <c r="J2" t="s">
        <v>182</v>
      </c>
      <c r="K2" t="s">
        <v>462</v>
      </c>
      <c r="L2" s="332">
        <f>IF(ISNA(VLOOKUP(K2,'Award Adjustment_Data'!$A$2:$I$69,3,FALSE)),"0",(VLOOKUP(K2,'Award Adjustment_Data'!$A$2:$I$69,3,FALSE)))</f>
        <v>6147</v>
      </c>
      <c r="M2">
        <v>310</v>
      </c>
      <c r="N2">
        <v>135</v>
      </c>
      <c r="O2" s="332">
        <v>568</v>
      </c>
      <c r="P2" s="293">
        <v>310</v>
      </c>
      <c r="Q2">
        <v>135</v>
      </c>
      <c r="R2">
        <v>242</v>
      </c>
    </row>
    <row r="3" spans="1:18" ht="12.75">
      <c r="A3" t="s">
        <v>480</v>
      </c>
      <c r="B3" s="332">
        <f>VLOOKUP(A3,'Award Adjustment_Data'!A$3:K$65,3,FALSE)</f>
        <v>2</v>
      </c>
      <c r="C3" t="s">
        <v>547</v>
      </c>
      <c r="D3">
        <f>SUM(D6:D7)</f>
        <v>3242</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3811</v>
      </c>
      <c r="M3">
        <v>330</v>
      </c>
      <c r="N3">
        <v>135</v>
      </c>
      <c r="O3" s="332">
        <v>505</v>
      </c>
      <c r="P3" s="293">
        <v>330</v>
      </c>
      <c r="Q3">
        <v>135</v>
      </c>
      <c r="R3">
        <v>12</v>
      </c>
    </row>
    <row r="4" spans="1:18" ht="12.75">
      <c r="A4" t="s">
        <v>429</v>
      </c>
      <c r="B4" s="332">
        <f>VLOOKUP(A4,'Award Adjustment_Data'!A$3:K$65,3,FALSE)</f>
        <v>37</v>
      </c>
      <c r="C4" t="s">
        <v>438</v>
      </c>
      <c r="D4">
        <f>VLOOKUP(C4,'Award Adjustment_Data'!A3:G66,3,FALSE)</f>
        <v>5751</v>
      </c>
      <c r="E4" s="332" t="s">
        <v>491</v>
      </c>
      <c r="F4" t="s">
        <v>429</v>
      </c>
      <c r="G4" s="339">
        <f>IF(ISNA(VLOOKUP(F4,'Award Adjustment_Data'!A2:H69,4,FALSE)),"0",(VLOOKUP(F4,'Award Adjustment_Data'!A2:H69,4,FALSE)))</f>
        <v>7</v>
      </c>
      <c r="H4" t="s">
        <v>429</v>
      </c>
      <c r="I4" s="339" t="str">
        <f>IF(ISNA(VLOOKUP(H4,'Award Adjustment_Data'!C3:J70,5,FALSE)),"0",(VLOOKUP(H4,'Award Adjustment_Data'!C3:J70,5,FALSE)))</f>
        <v>0</v>
      </c>
      <c r="J4" s="360"/>
      <c r="K4" t="s">
        <v>475</v>
      </c>
      <c r="L4" s="332">
        <f>IF(ISNA(VLOOKUP(K4,'Award Adjustment_Data'!$A$2:$I$69,3,FALSE)),"0",(VLOOKUP(K4,'Award Adjustment_Data'!$A$2:$I$69,3,FALSE)))</f>
        <v>4134</v>
      </c>
      <c r="M4">
        <v>335</v>
      </c>
      <c r="N4">
        <v>135</v>
      </c>
      <c r="O4" s="332">
        <v>702</v>
      </c>
      <c r="P4" s="293">
        <v>335</v>
      </c>
      <c r="Q4">
        <v>135</v>
      </c>
      <c r="R4">
        <v>310</v>
      </c>
    </row>
    <row r="5" spans="3:12" ht="12.75">
      <c r="C5" t="s">
        <v>438</v>
      </c>
      <c r="D5">
        <f>VLOOKUP(C4,'Award Adjustment_Data'!A2:G69,7,FALSE)</f>
        <v>7</v>
      </c>
      <c r="E5" s="332" t="s">
        <v>489</v>
      </c>
      <c r="J5" t="s">
        <v>581</v>
      </c>
      <c r="K5" t="s">
        <v>462</v>
      </c>
      <c r="L5" s="332">
        <f>IF(ISNA(VLOOKUP(K5,'Award Adjustment_Data'!$A$2:$I$69,4,FALSE)),"0",(VLOOKUP(K5,'Award Adjustment_Data'!$A$2:$I$69,4,FALSE)))</f>
        <v>3811</v>
      </c>
    </row>
    <row r="6" spans="3:12" ht="12.75">
      <c r="C6" t="s">
        <v>438</v>
      </c>
      <c r="D6">
        <f>VLOOKUP(C6,'Award Adjustment_Data'!A5:G68,4,FALSE)</f>
        <v>3235</v>
      </c>
      <c r="E6" s="332" t="s">
        <v>554</v>
      </c>
      <c r="K6" t="s">
        <v>455</v>
      </c>
      <c r="L6" s="332">
        <f>IF(ISNA(VLOOKUP(K6,'Award Adjustment_Data'!$A$2:$I$69,4,FALSE)),"0",(VLOOKUP(K6,'Award Adjustment_Data'!$A$2:$I$69,4,FALSE)))</f>
        <v>1059</v>
      </c>
    </row>
    <row r="7" spans="3:12" ht="12.75">
      <c r="C7" t="s">
        <v>438</v>
      </c>
      <c r="D7">
        <f>VLOOKUP(C6,'Award Adjustment_Data'!A4:H71,8,FALSE)</f>
        <v>7</v>
      </c>
      <c r="E7" s="332" t="s">
        <v>553</v>
      </c>
      <c r="K7" t="s">
        <v>475</v>
      </c>
      <c r="L7" s="332">
        <f>IF(ISNA(VLOOKUP(K7,'Award Adjustment_Data'!$A$2:$I$69,3,FALSE)),"0",(VLOOKUP(K7,'Award Adjustment_Data'!$A$2:$I$69,4,FALSE)))</f>
        <v>638</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3, 2012 Monday Morning Workload Report (Office of Performance Analysis and Integrity)</dc:title>
  <dc:subject>November 3, 2012-Monday Morning Workload Report</dc:subject>
  <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2012-11-05T16:44:25Z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20121105</vt:lpwstr>
  </property>
  <property fmtid="{D5CDD505-2E9C-101B-9397-08002B2CF9AE}" pid="6" name="Type">
    <vt:lpwstr>Report</vt:lpwstr>
  </property>
</Properties>
</file>