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1515" yWindow="180" windowWidth="10815"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DATA'!$B$2:$D$52</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SOJ'!$A$1:$Y$50</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K34" i="46" l="1"/>
  <c r="O15" i="46" l="1"/>
  <c r="N15" i="46"/>
  <c r="M15" i="46"/>
  <c r="L15" i="46"/>
  <c r="K15" i="46"/>
  <c r="J15" i="46"/>
  <c r="O16" i="46" l="1"/>
  <c r="N16" i="46"/>
  <c r="M16" i="46"/>
  <c r="L16" i="46"/>
  <c r="K16" i="46"/>
  <c r="J16" i="46"/>
  <c r="O34" i="46"/>
  <c r="N34" i="46"/>
  <c r="M34" i="46"/>
  <c r="L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I5" i="7"/>
  <c r="L11" i="35"/>
  <c r="G7" i="35"/>
  <c r="H22" i="35" l="1"/>
  <c r="H30" i="35"/>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<sst xmlns="http://schemas.openxmlformats.org/spreadsheetml/2006/main" count="4089" uniqueCount="1064">
  <si>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</si>
  <si>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</si>
  <si>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</si>
  <si>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</si>
  <si>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</si>
  <si>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</si>
  <si>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</si>
  <si>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</si>
  <si>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</si>
  <si>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</si>
  <si>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</si>
  <si>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</si>
  <si>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</si>
  <si>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</si>
  <si>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</si>
  <si>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</si>
  <si>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</si>
  <si>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</si>
  <si>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</si>
  <si>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</si>
  <si>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</si>
  <si>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</si>
  <si>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</si>
  <si>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</si>
  <si>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</si>
  <si>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</si>
  <si>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</si>
  <si>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</si>
  <si>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</si>
  <si>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</si>
  <si>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</si>
  <si>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</si>
  <si>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</si>
  <si>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</si>
  <si>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</si>
  <si>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</si>
  <si>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</si>
  <si>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</si>
  <si>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</si>
  <si>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</si>
  <si>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</si>
  <si>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</si>
  <si>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</si>
  <si>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</si>
  <si>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</si>
  <si>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</si>
  <si>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</si>
  <si>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</si>
  <si>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</si>
  <si>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</si>
  <si>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</si>
  <si>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</si>
  <si>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</si>
  <si>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</si>
  <si>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</si>
  <si>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</si>
  <si>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</si>
  <si>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</si>
  <si>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</si>
  <si>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</si>
  <si>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</si>
  <si>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</si>
  <si>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</si>
  <si>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</si>
  <si>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</si>
  <si>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</si>
  <si>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</si>
  <si>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</si>
  <si>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</si>
  <si>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</si>
  <si>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</si>
  <si>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</si>
  <si>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</si>
  <si>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</si>
  <si>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</si>
  <si>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</si>
  <si>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</si>
  <si>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</si>
  <si>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</si>
  <si>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</si>
  <si>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</si>
  <si>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</si>
  <si>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</si>
  <si>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</si>
  <si>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</si>
  <si>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</si>
  <si>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</si>
  <si>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</si>
  <si>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</si>
  <si>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</si>
  <si>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</si>
  <si>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</si>
  <si>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</si>
  <si>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</si>
  <si>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</si>
  <si>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</si>
  <si>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</si>
  <si>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</si>
  <si>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</si>
  <si>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</si>
  <si>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</si>
  <si>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</si>
  <si>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690</t>
  </si>
  <si>
    <t>314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</si>
  <si>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</si>
  <si>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</si>
  <si>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</si>
  <si>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</si>
  <si>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</si>
  <si>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</si>
  <si>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</si>
  <si>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</si>
  <si>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</si>
  <si>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</si>
  <si>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</si>
  <si>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</si>
  <si>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</si>
  <si>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</si>
  <si>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</si>
  <si>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</si>
  <si>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</si>
  <si>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</si>
  <si>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</si>
  <si>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</si>
  <si>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</si>
  <si>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</si>
  <si>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</si>
  <si>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</si>
  <si>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</si>
  <si>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</si>
  <si>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</si>
  <si>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</si>
  <si>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</si>
  <si>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</si>
  <si>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</si>
  <si>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</si>
  <si>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</si>
  <si>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</si>
  <si>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</si>
  <si>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</si>
  <si>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</si>
  <si>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</si>
  <si>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</si>
  <si>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</si>
  <si>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</si>
  <si>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</si>
  <si>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</si>
  <si>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</si>
  <si>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</si>
  <si>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</si>
  <si>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</si>
  <si>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</si>
  <si>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</si>
  <si>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</si>
  <si>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</si>
  <si>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</si>
  <si>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</si>
  <si>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</si>
  <si>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</si>
  <si>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</si>
  <si>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</si>
  <si>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</si>
  <si>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</si>
  <si>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</si>
  <si>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</si>
  <si>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</si>
  <si>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</si>
  <si>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</si>
  <si>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</si>
  <si>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</si>
  <si>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</si>
  <si>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</si>
  <si>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</si>
  <si>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</si>
  <si>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</si>
  <si>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</si>
  <si>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</si>
  <si>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</si>
  <si>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</si>
  <si>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</si>
  <si>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</si>
  <si>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</si>
  <si>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</si>
  <si>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</si>
  <si>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</si>
  <si>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</si>
  <si>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</si>
  <si>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</si>
  <si>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</si>
  <si>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</si>
  <si>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</si>
  <si>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</si>
  <si>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</si>
  <si>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</si>
  <si>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</si>
  <si>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</si>
  <si>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</si>
  <si>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</si>
  <si>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</si>
  <si>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</si>
  <si>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</si>
  <si>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</si>
  <si>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</si>
  <si>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</si>
  <si>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</si>
  <si>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</si>
  <si>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</si>
  <si>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</si>
  <si>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</si>
  <si>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</si>
  <si>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</si>
  <si>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</si>
  <si>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</si>
  <si>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</si>
  <si>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</si>
  <si>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</si>
  <si>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</si>
  <si>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</si>
  <si>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</si>
  <si>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</si>
  <si>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</si>
  <si>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</si>
  <si>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</si>
  <si>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</si>
  <si>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</si>
  <si>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</si>
  <si>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</si>
  <si>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</si>
  <si>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</si>
  <si>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</si>
  <si>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</si>
  <si>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</si>
  <si>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</si>
  <si>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</si>
  <si>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</si>
  <si>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</si>
  <si>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</si>
  <si>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</si>
  <si>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</si>
  <si>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</si>
  <si>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</si>
  <si>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</si>
  <si>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</si>
  <si>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</si>
  <si>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</si>
  <si>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</si>
  <si>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</si>
  <si>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</si>
  <si>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</si>
  <si>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</si>
  <si>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</si>
  <si>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</si>
  <si>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</si>
  <si>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</si>
  <si>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</si>
  <si>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</si>
  <si>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</si>
  <si>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</si>
  <si>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</si>
  <si>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</si>
  <si>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</si>
  <si>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</si>
  <si>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</si>
  <si>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</si>
  <si>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</si>
  <si>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</si>
  <si>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</si>
  <si>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</si>
  <si>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</si>
  <si>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</si>
  <si>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</si>
  <si>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</si>
  <si>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</si>
  <si>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</si>
  <si>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</si>
  <si>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</si>
  <si>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</si>
  <si>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</si>
  <si>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</si>
  <si>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</si>
  <si>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</si>
  <si>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</si>
  <si>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</si>
  <si>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</si>
  <si>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</si>
  <si>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</si>
  <si>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</si>
  <si>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</si>
  <si>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</si>
  <si>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</si>
  <si>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</si>
  <si>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</si>
  <si>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</si>
  <si>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</si>
  <si>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</si>
  <si>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</si>
  <si>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</si>
  <si>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</si>
  <si>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</si>
  <si>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</si>
  <si>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</si>
  <si>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</si>
  <si>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</si>
  <si>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</si>
  <si>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</si>
  <si>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</si>
  <si>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</si>
  <si>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</si>
  <si>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</si>
  <si>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</si>
  <si>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</si>
  <si>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</si>
  <si>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</si>
  <si>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</si>
  <si>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</si>
  <si>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</si>
  <si>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</si>
  <si>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</si>
  <si>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</si>
  <si>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</si>
  <si>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</si>
  <si>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</si>
  <si>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</si>
  <si>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</si>
  <si>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</si>
  <si>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</si>
  <si>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</si>
  <si>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</si>
  <si>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</si>
  <si>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</si>
  <si>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</si>
  <si>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</si>
  <si>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</si>
  <si>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</si>
  <si>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</si>
  <si>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</si>
  <si>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</si>
  <si>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</si>
  <si>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</si>
  <si>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</si>
  <si>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</si>
  <si>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</si>
  <si>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</si>
  <si>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</si>
  <si>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</si>
  <si>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</si>
  <si>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</si>
  <si>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</si>
  <si>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</si>
  <si>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</si>
  <si>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</si>
  <si>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</si>
  <si>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</si>
  <si>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</si>
  <si>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</si>
  <si>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</si>
  <si>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</si>
  <si>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</si>
  <si>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</si>
  <si>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</si>
  <si>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</si>
  <si>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</si>
  <si>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</si>
  <si>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</si>
  <si>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</si>
  <si>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</si>
  <si>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</si>
  <si>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</si>
  <si>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</si>
  <si>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</si>
  <si>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</si>
  <si>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</si>
  <si>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</si>
  <si>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</si>
  <si>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</si>
  <si>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</si>
  <si>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</si>
  <si>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</si>
  <si>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</si>
  <si>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</si>
  <si>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</si>
  <si>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</si>
  <si>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</si>
  <si>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</si>
  <si>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</si>
  <si>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</si>
  <si>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</si>
  <si>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</si>
  <si>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</si>
  <si>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</si>
  <si>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</si>
  <si>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</si>
  <si>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</si>
  <si>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</si>
  <si>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</si>
  <si>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</si>
  <si>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</si>
  <si>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</si>
  <si>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</si>
  <si>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</si>
  <si>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</si>
  <si>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</si>
  <si>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</si>
  <si>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</si>
  <si>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</si>
  <si>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</si>
  <si>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</si>
  <si>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</si>
  <si>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</si>
  <si>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</si>
  <si>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</si>
  <si>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</si>
  <si>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</si>
  <si>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</si>
  <si>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</si>
  <si>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</si>
  <si>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</si>
  <si>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</si>
  <si>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</si>
  <si>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</si>
  <si>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</si>
  <si>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</si>
  <si>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</si>
  <si>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</si>
  <si>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</si>
  <si>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</si>
  <si>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</si>
  <si>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</si>
  <si>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</si>
  <si>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</si>
  <si>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</si>
  <si>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</si>
  <si>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</si>
  <si>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</si>
  <si>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</si>
  <si>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</si>
  <si>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</si>
  <si>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</si>
  <si>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</si>
  <si>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</si>
  <si>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</si>
  <si>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</si>
  <si>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</si>
  <si>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</si>
  <si>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</si>
  <si>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</si>
  <si>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</si>
  <si>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</si>
  <si>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</si>
  <si>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</si>
  <si>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</si>
  <si>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</si>
  <si>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</si>
  <si>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</si>
  <si>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</si>
  <si>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</si>
  <si>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</si>
  <si>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</si>
  <si>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</si>
  <si>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</si>
  <si>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</si>
  <si>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</si>
  <si>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</si>
  <si>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</si>
  <si>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</si>
  <si>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</si>
  <si>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</si>
  <si>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</si>
  <si>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</si>
  <si>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</si>
  <si>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</si>
  <si>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</si>
  <si>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</si>
  <si>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</si>
  <si>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</si>
  <si>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</si>
  <si>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</si>
  <si>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</si>
  <si>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</si>
  <si>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</si>
  <si>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</si>
  <si>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</si>
  <si>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</si>
  <si>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</si>
  <si>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</si>
  <si>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</si>
  <si>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</si>
  <si>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</si>
  <si>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</si>
  <si>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</si>
  <si>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</si>
  <si>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</si>
  <si>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</si>
  <si>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</si>
  <si>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</si>
  <si>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</si>
  <si>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</si>
  <si>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</si>
  <si>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</si>
  <si>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</si>
  <si>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</si>
  <si>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</si>
  <si>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</si>
  <si>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</si>
  <si>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</si>
  <si>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</si>
  <si>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</si>
  <si>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</si>
  <si>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</si>
  <si>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</si>
  <si>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</si>
  <si>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</si>
  <si>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</si>
  <si>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</si>
  <si>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</si>
  <si>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</si>
  <si>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</si>
  <si>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</si>
  <si>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</si>
  <si>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</si>
  <si>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</si>
  <si>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</si>
  <si>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</si>
  <si>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</si>
  <si>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</si>
  <si>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</si>
  <si>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</si>
  <si>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</si>
  <si>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</si>
  <si>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</si>
  <si>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</si>
  <si>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</si>
  <si>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</si>
  <si>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</si>
  <si>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</si>
  <si>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</si>
  <si>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</si>
  <si>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</si>
  <si>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</si>
  <si>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</si>
  <si>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</si>
  <si>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</si>
  <si>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</si>
  <si>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</si>
  <si>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</si>
  <si>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</si>
  <si>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</si>
  <si>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</si>
  <si>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</si>
  <si>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</si>
  <si>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</si>
  <si>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</si>
  <si>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</si>
  <si>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</si>
  <si>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</si>
  <si>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</si>
  <si>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</si>
  <si>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</si>
  <si>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</si>
  <si>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</si>
  <si>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</si>
  <si>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</si>
  <si>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</si>
  <si>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</si>
  <si>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</si>
  <si>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</si>
  <si>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</si>
  <si>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</si>
  <si>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</si>
  <si>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</si>
  <si>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</si>
  <si>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</si>
  <si>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</si>
  <si>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</si>
  <si>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</si>
  <si>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</si>
  <si>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</si>
  <si>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</si>
  <si>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</si>
  <si>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</si>
  <si>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</si>
  <si>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</si>
  <si>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</si>
  <si>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</si>
  <si>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</si>
  <si>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</si>
  <si>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</si>
  <si>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</si>
  <si>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</si>
  <si>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</si>
  <si>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</si>
  <si>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</si>
  <si>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</si>
  <si>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</si>
  <si>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</si>
  <si>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</si>
  <si>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</si>
  <si>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</si>
  <si>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</si>
  <si>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</si>
  <si>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</si>
  <si>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</si>
  <si>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</si>
  <si>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</si>
  <si>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</si>
  <si>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</si>
  <si>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</si>
  <si>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</si>
  <si>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</si>
  <si>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</si>
  <si>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</si>
  <si>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</si>
  <si>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</si>
  <si>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</si>
  <si>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</si>
  <si>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</si>
  <si>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</si>
  <si>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</si>
  <si>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</si>
  <si>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</si>
  <si>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</si>
  <si>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</si>
  <si>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</si>
  <si>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</si>
  <si>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</si>
  <si>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</si>
  <si>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</si>
  <si>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</si>
  <si>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</si>
  <si>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</si>
  <si>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</si>
  <si>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</si>
  <si>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</si>
  <si>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</si>
  <si>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</si>
  <si>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</si>
  <si>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</si>
  <si>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</si>
  <si>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</si>
  <si>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</si>
  <si>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</si>
  <si>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</si>
  <si>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</si>
  <si>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</si>
  <si>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</si>
  <si>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</si>
  <si>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</si>
  <si>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</si>
  <si>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</si>
  <si>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</si>
  <si>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</si>
  <si>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</si>
  <si>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</si>
  <si>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</si>
  <si>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</si>
  <si>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</si>
  <si>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</si>
  <si>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</si>
  <si>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</si>
  <si>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</si>
  <si>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</si>
  <si>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</si>
  <si>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</si>
  <si>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</si>
  <si>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</si>
  <si>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</si>
  <si>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</si>
  <si>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</si>
  <si>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</si>
  <si>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</si>
  <si>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</si>
  <si>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</si>
  <si>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</si>
  <si>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</si>
  <si>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</si>
  <si>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</si>
  <si>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</si>
  <si>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</si>
  <si>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</si>
  <si>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</si>
  <si>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</si>
  <si>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</si>
  <si>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</si>
  <si>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</si>
  <si>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</si>
  <si>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</si>
  <si>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</si>
  <si>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</si>
  <si>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</si>
  <si>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</si>
  <si>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</si>
  <si>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</si>
  <si>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</si>
  <si>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</si>
  <si>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</si>
  <si>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</si>
  <si>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</si>
  <si>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</si>
  <si>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</si>
  <si>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</si>
  <si>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</si>
  <si>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</si>
  <si>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</si>
  <si>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</si>
  <si>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</si>
  <si>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</si>
  <si>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</si>
  <si>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</si>
  <si>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</si>
  <si>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</si>
  <si>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</si>
  <si>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</si>
  <si>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</si>
  <si>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</si>
  <si>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</si>
  <si>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</si>
  <si>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</si>
  <si>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</si>
  <si>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</si>
  <si>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</si>
  <si>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</si>
  <si>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</si>
  <si>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</si>
  <si>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</si>
  <si>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</si>
  <si>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</si>
  <si>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</si>
  <si>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</si>
  <si>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</si>
  <si>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</si>
  <si>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</si>
  <si>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</si>
  <si>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</si>
  <si>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</si>
  <si>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</si>
  <si>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</si>
  <si>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</si>
  <si>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</si>
  <si>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</si>
  <si>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</si>
  <si>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</si>
  <si>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</si>
  <si>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</si>
  <si>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</si>
  <si>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</si>
  <si>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</si>
  <si>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</si>
  <si>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</si>
  <si>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</si>
  <si>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</si>
  <si>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</si>
  <si>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</si>
  <si>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</si>
  <si>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</si>
  <si>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</si>
  <si>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</si>
  <si>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</si>
  <si>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</si>
  <si>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</si>
  <si>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</si>
  <si>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</si>
  <si>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</si>
  <si>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</si>
  <si>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</si>
  <si>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</si>
  <si>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</si>
  <si>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</si>
  <si>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</si>
  <si>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</si>
  <si>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</si>
  <si>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</si>
  <si>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</si>
  <si>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</si>
  <si>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</si>
  <si>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</si>
  <si>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</si>
  <si>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</si>
  <si>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</si>
  <si>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</si>
  <si>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</si>
  <si>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</si>
  <si>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</si>
  <si>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</si>
  <si>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</si>
  <si>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</si>
  <si>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</si>
  <si>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</si>
  <si>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</si>
  <si>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</si>
  <si>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</si>
  <si>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</si>
  <si>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</si>
  <si>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</si>
  <si>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</si>
  <si>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</si>
  <si>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</si>
  <si>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</si>
  <si>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</si>
  <si>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</si>
  <si>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</si>
  <si>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</si>
  <si>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</si>
  <si>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</si>
  <si>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</si>
  <si>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</si>
  <si>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</si>
  <si>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</si>
  <si>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</si>
  <si>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</si>
  <si>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</si>
  <si>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</si>
  <si>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</si>
  <si>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</si>
  <si>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</si>
  <si>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</si>
  <si>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</si>
  <si>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</si>
  <si>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</si>
  <si>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</si>
  <si>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</si>
  <si>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</si>
  <si>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</si>
  <si>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</si>
  <si>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</si>
  <si>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</si>
  <si>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</si>
  <si>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</si>
  <si>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</si>
  <si>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</si>
  <si>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</si>
  <si>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</si>
  <si>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</si>
  <si>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</si>
  <si>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</si>
  <si>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</si>
  <si>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</si>
  <si>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</si>
  <si>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</si>
  <si>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</si>
  <si>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</si>
  <si>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</si>
  <si>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</si>
  <si>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</si>
  <si>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</si>
  <si>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</si>
  <si>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</si>
  <si>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</si>
  <si>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</si>
  <si>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</si>
  <si>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</si>
  <si>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</si>
  <si>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</si>
  <si>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</si>
  <si>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</si>
  <si>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</si>
  <si>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</si>
  <si>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</si>
  <si>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</si>
  <si>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</si>
  <si>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</si>
  <si>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</si>
  <si>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</si>
  <si>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</si>
  <si>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</si>
  <si>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</si>
  <si>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</si>
  <si>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</si>
  <si>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</si>
  <si>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</si>
  <si>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</si>
  <si>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</si>
  <si>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</si>
  <si>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</si>
  <si>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</si>
  <si>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</si>
  <si>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</si>
  <si>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</si>
  <si>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</si>
  <si>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</si>
  <si>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</si>
  <si>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</si>
  <si>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</si>
  <si>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</si>
  <si>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</si>
  <si>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</si>
  <si>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</si>
  <si>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</si>
  <si>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</si>
  <si>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</si>
  <si>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</si>
  <si>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</si>
  <si>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</si>
  <si>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</si>
  <si>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</si>
  <si>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</si>
  <si>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</si>
  <si>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</si>
  <si>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</si>
  <si>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</si>
  <si>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</si>
  <si>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</si>
  <si>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</si>
  <si>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</si>
  <si>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</si>
  <si>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</si>
  <si>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</si>
  <si>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</si>
  <si>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</si>
  <si>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</si>
  <si>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</si>
  <si>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</si>
  <si>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</si>
  <si>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</si>
  <si>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</si>
  <si>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</si>
  <si>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</si>
  <si>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</si>
  <si>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</si>
  <si>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</si>
  <si>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</si>
  <si>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</si>
  <si>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</si>
  <si>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</si>
  <si>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</si>
  <si>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</si>
  <si>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</si>
  <si>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</si>
  <si>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</si>
  <si>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</si>
  <si>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</si>
  <si>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</si>
  <si>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</si>
  <si>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</si>
  <si>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</si>
  <si>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</si>
  <si>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</si>
  <si>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</si>
  <si>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</si>
  <si>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</si>
  <si>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</si>
  <si>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</si>
  <si>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</si>
  <si>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</si>
  <si>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</si>
  <si>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</si>
  <si>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</si>
  <si>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</si>
  <si>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</si>
  <si>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</si>
  <si>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</si>
  <si>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</si>
  <si>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</si>
  <si>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</si>
  <si>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</si>
  <si>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</si>
  <si>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</si>
  <si>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</si>
  <si>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</si>
  <si>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</si>
  <si>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</si>
  <si>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</si>
  <si>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</si>
  <si>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</si>
  <si>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</si>
  <si>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</si>
  <si>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</si>
  <si>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</si>
  <si>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</si>
  <si>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</si>
  <si>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</si>
  <si>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</si>
  <si>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</si>
  <si>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</si>
  <si>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</si>
  <si>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</si>
  <si>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</si>
  <si>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</si>
  <si>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</si>
  <si>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</si>
  <si>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</si>
  <si>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</si>
  <si>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</si>
  <si>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</si>
  <si>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</si>
  <si>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</si>
  <si>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</si>
  <si>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</si>
  <si>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</si>
  <si>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</si>
  <si>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</si>
  <si>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</si>
  <si>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</si>
  <si>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</si>
  <si>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</si>
  <si>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</si>
  <si>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</si>
  <si>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</si>
  <si>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</si>
  <si>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</si>
  <si>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</si>
  <si>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</si>
  <si>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</si>
  <si>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</si>
  <si>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</si>
  <si>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</si>
  <si>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</si>
  <si>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</si>
  <si>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</si>
  <si>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</si>
  <si>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</si>
  <si>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</si>
  <si>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</si>
  <si>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</si>
  <si>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</si>
  <si>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</si>
  <si>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</si>
  <si>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</si>
  <si>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</si>
  <si>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</si>
  <si>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</si>
  <si>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</si>
  <si>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</si>
  <si>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</si>
  <si>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</si>
  <si>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</si>
  <si>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</si>
  <si>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</si>
  <si>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</si>
  <si>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</si>
  <si>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</si>
  <si>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</si>
  <si>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</si>
  <si>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</si>
  <si>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</si>
  <si>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</si>
  <si>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</si>
  <si>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</si>
  <si>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</si>
  <si>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</si>
  <si>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</si>
  <si>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</si>
  <si>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</si>
  <si>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</si>
  <si>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</si>
  <si>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</si>
  <si>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</si>
  <si>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</si>
  <si>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</si>
  <si>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</si>
  <si>
    <t>USA TOTAL*</t>
  </si>
  <si>
    <t>*VBA measures and reports compensation and pension accuracy separately. Therefore, there is not a combined compensation and pension accuracy estimate.</t>
  </si>
  <si>
    <t>12 Month Entitlement Accuracy - Claim Level</t>
  </si>
  <si>
    <t>12 Month Authorization Accuracy - Claim Level</t>
  </si>
  <si>
    <t>3 Month Entitlement Accuracy - 
Issue Based
% Correct</t>
  </si>
  <si>
    <t>3 month Entitlement Accuracy - 
Claim Level
% Correct</t>
  </si>
  <si>
    <t>Other District</t>
  </si>
  <si>
    <t>Appeals Mgmt. Center</t>
  </si>
  <si>
    <t>EP 410 - Initial claims from Veterans' children with Spina bifida and/or birth defects</t>
  </si>
  <si>
    <t>295</t>
  </si>
  <si>
    <t>293</t>
  </si>
  <si>
    <t>Change</t>
  </si>
  <si>
    <t>409</t>
  </si>
  <si>
    <t>Current Pending on 06/04/2016</t>
  </si>
  <si>
    <t>Prior Pending on 05/28/2016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</si>
</sst>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2">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4" fontId="8" fillId="0" borderId="0" xfId="53" applyNumberFormat="1" applyFont="1" applyFill="1" applyBorder="1" applyAlignment="1" applyProtection="1">
      <alignment horizontal="center" vertical="center" wrapText="1"/>
      <protection hidden="1"/>
    </xf>
    <xf numFmtId="10" fontId="4" fillId="38" borderId="2" xfId="58"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20" xfId="0" applyFont="1" applyFill="1" applyBorder="1" applyAlignment="1" applyProtection="1">
      <alignment horizontal="center" vertical="center" wrapText="1"/>
      <protection hidden="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4" fillId="38" borderId="53" xfId="0" applyNumberFormat="1" applyFont="1" applyFill="1" applyBorder="1" applyProtection="1">
      <protection hidden="1"/>
    </xf>
    <xf numFmtId="4" fontId="4" fillId="38" borderId="50" xfId="0" applyNumberFormat="1" applyFont="1" applyFill="1" applyBorder="1" applyProtection="1">
      <protection hidden="1"/>
    </xf>
    <xf numFmtId="4" fontId="4" fillId="38" borderId="51" xfId="0" applyNumberFormat="1" applyFont="1" applyFill="1" applyBorder="1" applyProtection="1">
      <protection hidden="1"/>
    </xf>
    <xf numFmtId="0" fontId="4" fillId="38" borderId="8" xfId="0" applyFont="1" applyFill="1" applyBorder="1" applyProtection="1">
      <protection hidden="1"/>
    </xf>
    <xf numFmtId="0" fontId="4" fillId="38" borderId="0" xfId="0" applyFont="1" applyFill="1" applyBorder="1" applyProtection="1">
      <protection hidden="1"/>
    </xf>
    <xf numFmtId="0" fontId="4" fillId="38" borderId="4" xfId="0" applyFont="1" applyFill="1" applyBorder="1" applyProtection="1">
      <protection hidden="1"/>
    </xf>
    <xf numFmtId="4" fontId="4" fillId="38" borderId="8" xfId="0" applyNumberFormat="1" applyFont="1" applyFill="1" applyBorder="1" applyProtection="1">
      <protection hidden="1"/>
    </xf>
    <xf numFmtId="4" fontId="4" fillId="38" borderId="0" xfId="0" applyNumberFormat="1" applyFont="1" applyFill="1" applyBorder="1" applyProtection="1">
      <protection hidden="1"/>
    </xf>
    <xf numFmtId="4" fontId="4" fillId="38" borderId="4" xfId="0" applyNumberFormat="1" applyFont="1" applyFill="1" applyBorder="1" applyProtection="1">
      <protection hidden="1"/>
    </xf>
    <xf numFmtId="4" fontId="4" fillId="38" borderId="25" xfId="0" applyNumberFormat="1" applyFont="1" applyFill="1" applyBorder="1" applyProtection="1">
      <protection hidden="1"/>
    </xf>
    <xf numFmtId="4" fontId="4" fillId="38" borderId="43" xfId="0" applyNumberFormat="1" applyFont="1" applyFill="1" applyBorder="1" applyProtection="1">
      <protection hidden="1"/>
    </xf>
    <xf numFmtId="4" fontId="4"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4" fillId="38" borderId="15" xfId="0" applyNumberFormat="1" applyFont="1" applyFill="1" applyBorder="1" applyProtection="1">
      <protection hidden="1"/>
    </xf>
    <xf numFmtId="4" fontId="4" fillId="38" borderId="16" xfId="0" applyNumberFormat="1" applyFont="1" applyFill="1" applyBorder="1" applyProtection="1">
      <protection hidden="1"/>
    </xf>
    <xf numFmtId="4" fontId="4" fillId="38" borderId="29" xfId="0" applyNumberFormat="1" applyFont="1" applyFill="1" applyBorder="1" applyProtection="1">
      <protection hidden="1"/>
    </xf>
    <xf numFmtId="0" fontId="15" fillId="0" borderId="50" xfId="0" applyFont="1" applyBorder="1" applyAlignment="1">
      <alignment horizontal="left"/>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9" formatCode="mm/dd/yyyy"/>
    </dxf>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2"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1"/>
    <tableColumn id="19" uniqueName="19" name="RO" queryTableFieldId="4"/>
    <tableColumn id="20" uniqueName="20" name="COMP3_ISSUES_WGHTED_ACC" queryTableFieldId="5" dataDxfId="10"/>
    <tableColumn id="21" uniqueName="21" name="COMP3_RTNG_CLM_WGHTED_ACC" queryTableFieldId="6" dataDxfId="9"/>
    <tableColumn id="22" uniqueName="22" name="COMP12_RTNG_CLM_WGHTED_ACC" queryTableFieldId="7" dataDxfId="8"/>
    <tableColumn id="23" uniqueName="23" name="COMP12_RTNG_CLM_MOE" queryTableFieldId="8" dataDxfId="7"/>
    <tableColumn id="24" uniqueName="24" name="COMP12_AUTH_CLM_WGHTED_ACC" queryTableFieldId="9" dataDxfId="6"/>
    <tableColumn id="25" uniqueName="25" name="COMP12_AUTH_CLM_MOE" queryTableFieldId="10" dataDxfId="5"/>
    <tableColumn id="26" uniqueName="26" name="PMC3_RTNG_CLM_WGHTED_ACC" queryTableFieldId="11" dataDxfId="4"/>
    <tableColumn id="27" uniqueName="27" name="PMC12_RTNG_CLM_WGHTED_ACC" queryTableFieldId="12" dataDxfId="3"/>
    <tableColumn id="28" uniqueName="28" name="PMC12_RTNG_CLM_MOE" queryTableFieldId="13" dataDxfId="2"/>
    <tableColumn id="29" uniqueName="29" name="PMC12_AUTH_CLM_WGHTED_ACC" queryTableFieldId="14" dataDxfId="1"/>
    <tableColumn id="30" uniqueName="30" name="PMC12_AUTH_CLM_MOE" queryTableFieldId="15" dataDxfId="0"/>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12"/>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303</v>
      </c>
      <c r="B1" s="275"/>
      <c r="C1" s="275"/>
      <c r="D1" s="275"/>
      <c r="E1" s="275"/>
      <c r="F1" s="275"/>
      <c r="G1" s="275"/>
      <c r="H1" s="275"/>
      <c r="I1" s="275"/>
      <c r="J1" s="275"/>
      <c r="K1" s="275"/>
      <c r="L1" s="275"/>
      <c r="M1" s="275"/>
      <c r="N1" s="275"/>
      <c r="O1" s="275"/>
      <c r="P1" s="276"/>
    </row>
    <row r="2" spans="1:16" ht="29.25" customHeight="1" x14ac:dyDescent="0.2">
      <c r="A2" s="268" t="s">
        <v>305</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301</v>
      </c>
      <c r="B8" s="266"/>
      <c r="C8" s="266"/>
      <c r="D8" s="266"/>
      <c r="E8" s="266"/>
      <c r="F8" s="266"/>
      <c r="G8" s="267"/>
      <c r="H8" s="265" t="s">
        <v>302</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1048</v>
      </c>
      <c r="C2" t="s">
        <v>502</v>
      </c>
      <c r="D2" t="s">
        <v>918</v>
      </c>
      <c r="E2" t="s">
        <v>919</v>
      </c>
      <c r="F2" t="s">
        <v>920</v>
      </c>
      <c r="G2" t="s">
        <v>921</v>
      </c>
      <c r="H2" t="s">
        <v>923</v>
      </c>
      <c r="I2" t="s">
        <v>1042</v>
      </c>
      <c r="J2" t="s">
        <v>924</v>
      </c>
      <c r="K2" t="s">
        <v>925</v>
      </c>
      <c r="L2" t="s">
        <v>922</v>
      </c>
      <c r="M2" t="s">
        <v>927</v>
      </c>
      <c r="N2" t="s">
        <v>928</v>
      </c>
      <c r="O2" t="s">
        <v>929</v>
      </c>
      <c r="P2" t="s">
        <v>930</v>
      </c>
    </row>
    <row r="3" spans="2:16" x14ac:dyDescent="0.2">
      <c r="B3" t="s">
        <v>586</v>
      </c>
      <c r="C3" t="s">
        <v>404</v>
      </c>
      <c r="D3" s="18">
        <v>42523.55982638889</v>
      </c>
      <c r="E3" t="s">
        <v>163</v>
      </c>
      <c r="F3" s="19">
        <v>0.92647617451942443</v>
      </c>
      <c r="G3" s="19">
        <v>0.83000399520575319</v>
      </c>
      <c r="H3" s="19">
        <v>0.89601788089332568</v>
      </c>
      <c r="I3" s="19">
        <v>4.7505348361241387E-2</v>
      </c>
      <c r="J3" s="19">
        <v>0.91039643831100736</v>
      </c>
      <c r="K3" s="19">
        <v>5.0812096313089229E-2</v>
      </c>
      <c r="L3" s="19"/>
      <c r="M3" s="19"/>
      <c r="N3" s="19"/>
      <c r="O3" s="19"/>
      <c r="P3" s="19"/>
    </row>
    <row r="4" spans="2:16" x14ac:dyDescent="0.2">
      <c r="B4" t="s">
        <v>645</v>
      </c>
      <c r="C4" t="s">
        <v>404</v>
      </c>
      <c r="D4" s="18">
        <v>42523.55982638889</v>
      </c>
      <c r="E4" t="s">
        <v>188</v>
      </c>
      <c r="F4" s="19">
        <v>0.95126951017765948</v>
      </c>
      <c r="G4" s="19">
        <v>0.83280062997961823</v>
      </c>
      <c r="H4" s="19">
        <v>0.89094686819628199</v>
      </c>
      <c r="I4" s="19">
        <v>4.5341008571601622E-2</v>
      </c>
      <c r="J4" s="19">
        <v>0.93279634483762919</v>
      </c>
      <c r="K4" s="19">
        <v>4.9540144986021203E-2</v>
      </c>
      <c r="L4" s="19"/>
      <c r="M4" s="19"/>
      <c r="N4" s="19"/>
      <c r="O4" s="19"/>
      <c r="P4" s="19"/>
    </row>
    <row r="5" spans="2:16" x14ac:dyDescent="0.2">
      <c r="B5" t="s">
        <v>539</v>
      </c>
      <c r="C5" t="s">
        <v>380</v>
      </c>
      <c r="D5" s="18">
        <v>42523.55982638889</v>
      </c>
      <c r="E5" t="s">
        <v>145</v>
      </c>
      <c r="F5" s="19">
        <v>0.89406978287476513</v>
      </c>
      <c r="G5" s="19">
        <v>0.857683526166372</v>
      </c>
      <c r="H5" s="19">
        <v>0.86439219656336452</v>
      </c>
      <c r="I5" s="19">
        <v>5.1398563565952814E-2</v>
      </c>
      <c r="J5" s="19">
        <v>0.85959462627084193</v>
      </c>
      <c r="K5" s="19">
        <v>5.12396059098792E-2</v>
      </c>
      <c r="L5" s="19"/>
      <c r="M5" s="19"/>
      <c r="N5" s="19"/>
      <c r="O5" s="19"/>
      <c r="P5" s="19"/>
    </row>
    <row r="6" spans="2:16" x14ac:dyDescent="0.2">
      <c r="B6" t="s">
        <v>533</v>
      </c>
      <c r="C6" t="s">
        <v>369</v>
      </c>
      <c r="D6" s="18">
        <v>42523.55982638889</v>
      </c>
      <c r="E6" t="s">
        <v>143</v>
      </c>
      <c r="F6" s="19">
        <v>0.92506679963054628</v>
      </c>
      <c r="G6" s="19">
        <v>0.7383269860848336</v>
      </c>
      <c r="H6" s="19">
        <v>0.82481768535097455</v>
      </c>
      <c r="I6" s="19">
        <v>4.5452336260636841E-2</v>
      </c>
      <c r="J6" s="19">
        <v>0.89301468756776048</v>
      </c>
      <c r="K6" s="19">
        <v>4.6861723127848191E-2</v>
      </c>
      <c r="L6" s="19"/>
      <c r="M6" s="19"/>
      <c r="N6" s="19"/>
      <c r="O6" s="19"/>
      <c r="P6" s="19"/>
    </row>
    <row r="7" spans="2:16" x14ac:dyDescent="0.2">
      <c r="B7" t="s">
        <v>601</v>
      </c>
      <c r="C7" t="s">
        <v>404</v>
      </c>
      <c r="D7" s="18">
        <v>42523.55982638889</v>
      </c>
      <c r="E7" t="s">
        <v>169</v>
      </c>
      <c r="F7" s="19">
        <v>0.93645656428696755</v>
      </c>
      <c r="G7" s="19">
        <v>0.87338633837736179</v>
      </c>
      <c r="H7" s="19">
        <v>0.91855036468812878</v>
      </c>
      <c r="I7" s="19">
        <v>4.5166308369816832E-2</v>
      </c>
      <c r="J7" s="19">
        <v>0.9803758118856587</v>
      </c>
      <c r="K7" s="19">
        <v>1.8309279030412996E-2</v>
      </c>
      <c r="L7" s="19"/>
      <c r="M7" s="19"/>
      <c r="N7" s="19"/>
      <c r="O7" s="19"/>
      <c r="P7" s="19"/>
    </row>
    <row r="8" spans="2:16" x14ac:dyDescent="0.2">
      <c r="B8" t="s">
        <v>512</v>
      </c>
      <c r="C8" t="s">
        <v>369</v>
      </c>
      <c r="D8" s="18">
        <v>42523.55982638889</v>
      </c>
      <c r="E8" t="s">
        <v>136</v>
      </c>
      <c r="F8" s="19">
        <v>0.92655484185211123</v>
      </c>
      <c r="G8" s="19">
        <v>0.76953563411896742</v>
      </c>
      <c r="H8" s="19">
        <v>0.79675520317943016</v>
      </c>
      <c r="I8" s="19">
        <v>6.1943447498479E-2</v>
      </c>
      <c r="J8" s="19">
        <v>0.9389581939096503</v>
      </c>
      <c r="K8" s="19">
        <v>2.8273980510646553E-2</v>
      </c>
      <c r="L8" s="19"/>
      <c r="M8" s="19"/>
      <c r="N8" s="19"/>
      <c r="O8" s="19"/>
      <c r="P8" s="19"/>
    </row>
    <row r="9" spans="2:16" x14ac:dyDescent="0.2">
      <c r="B9" t="s">
        <v>520</v>
      </c>
      <c r="C9" t="s">
        <v>369</v>
      </c>
      <c r="D9" s="18">
        <v>42523.55982638889</v>
      </c>
      <c r="E9" t="s">
        <v>139</v>
      </c>
      <c r="F9" s="19">
        <v>0.95749388910330635</v>
      </c>
      <c r="G9" s="19">
        <v>0.93941632803841879</v>
      </c>
      <c r="H9" s="19">
        <v>0.88088201375287833</v>
      </c>
      <c r="I9" s="19">
        <v>5.1872764183063538E-2</v>
      </c>
      <c r="J9" s="19">
        <v>0.84132287103251502</v>
      </c>
      <c r="K9" s="19">
        <v>5.1855722371118705E-2</v>
      </c>
      <c r="L9" s="19"/>
      <c r="M9" s="19"/>
      <c r="N9" s="19"/>
      <c r="O9" s="19"/>
      <c r="P9" s="19"/>
    </row>
    <row r="10" spans="2:16" x14ac:dyDescent="0.2">
      <c r="B10" t="s">
        <v>637</v>
      </c>
      <c r="C10" t="s">
        <v>385</v>
      </c>
      <c r="D10" s="18">
        <v>42523.55982638889</v>
      </c>
      <c r="E10" t="s">
        <v>673</v>
      </c>
      <c r="F10" s="19">
        <v>0.94724497566940435</v>
      </c>
      <c r="G10" s="19">
        <v>0.92022997726968836</v>
      </c>
      <c r="H10" s="19">
        <v>0.90920130941977706</v>
      </c>
      <c r="I10" s="19">
        <v>4.3893805528906212E-2</v>
      </c>
      <c r="J10" s="19">
        <v>0.8678003578971889</v>
      </c>
      <c r="K10" s="19">
        <v>6.1294005463685151E-2</v>
      </c>
      <c r="L10" s="19"/>
      <c r="M10" s="19"/>
      <c r="N10" s="19"/>
      <c r="O10" s="19"/>
      <c r="P10" s="19"/>
    </row>
    <row r="11" spans="2:16" x14ac:dyDescent="0.2">
      <c r="B11" t="s">
        <v>567</v>
      </c>
      <c r="C11" t="s">
        <v>390</v>
      </c>
      <c r="D11" s="18">
        <v>42523.55982638889</v>
      </c>
      <c r="E11" t="s">
        <v>155</v>
      </c>
      <c r="F11" s="19">
        <v>0.91814687689942442</v>
      </c>
      <c r="G11" s="19">
        <v>0.77859960552268248</v>
      </c>
      <c r="H11" s="19">
        <v>0.87180554282863454</v>
      </c>
      <c r="I11" s="19">
        <v>4.8812720363468148E-2</v>
      </c>
      <c r="J11" s="19">
        <v>0.86885995179720144</v>
      </c>
      <c r="K11" s="19">
        <v>4.8127441023031708E-2</v>
      </c>
      <c r="L11" s="252"/>
      <c r="M11" s="252"/>
      <c r="N11" s="252"/>
      <c r="O11" s="252"/>
      <c r="P11" s="252"/>
    </row>
    <row r="12" spans="2:16" x14ac:dyDescent="0.2">
      <c r="B12" t="s">
        <v>559</v>
      </c>
      <c r="C12" t="s">
        <v>390</v>
      </c>
      <c r="D12" s="18">
        <v>42523.55982638889</v>
      </c>
      <c r="E12" t="s">
        <v>152</v>
      </c>
      <c r="F12" s="19">
        <v>0.99471685919702713</v>
      </c>
      <c r="G12" s="19">
        <v>0.97757355462588291</v>
      </c>
      <c r="H12" s="19">
        <v>0.91967317732396991</v>
      </c>
      <c r="I12" s="19">
        <v>4.2515436515956961E-2</v>
      </c>
      <c r="J12" s="19">
        <v>0.87409854017073163</v>
      </c>
      <c r="K12" s="19">
        <v>5.3953918377098162E-2</v>
      </c>
      <c r="L12" s="19"/>
      <c r="M12" s="19"/>
      <c r="N12" s="19"/>
      <c r="O12" s="19"/>
      <c r="P12" s="19"/>
    </row>
    <row r="13" spans="2:16" x14ac:dyDescent="0.2">
      <c r="B13" t="s">
        <v>547</v>
      </c>
      <c r="C13" t="s">
        <v>380</v>
      </c>
      <c r="D13" s="18">
        <v>42523.55982638889</v>
      </c>
      <c r="E13" t="s">
        <v>148</v>
      </c>
      <c r="F13" s="19">
        <v>0.9659318368689912</v>
      </c>
      <c r="G13" s="19">
        <v>0.92090924970439647</v>
      </c>
      <c r="H13" s="19">
        <v>0.9254248291136824</v>
      </c>
      <c r="I13" s="19">
        <v>4.7125018075738156E-2</v>
      </c>
      <c r="J13" s="19">
        <v>0.89729878877065883</v>
      </c>
      <c r="K13" s="19">
        <v>5.6065800629195195E-2</v>
      </c>
      <c r="L13" s="19"/>
      <c r="M13" s="19"/>
      <c r="N13" s="19"/>
      <c r="O13" s="19"/>
      <c r="P13" s="19"/>
    </row>
    <row r="14" spans="2:16" x14ac:dyDescent="0.2">
      <c r="B14" t="s">
        <v>385</v>
      </c>
      <c r="C14" t="s">
        <v>385</v>
      </c>
      <c r="D14" s="18">
        <v>42523.55982638889</v>
      </c>
      <c r="E14" t="s">
        <v>664</v>
      </c>
      <c r="F14" s="19">
        <v>0.95209781995609466</v>
      </c>
      <c r="G14" s="19">
        <v>0.87404224332205016</v>
      </c>
      <c r="H14" s="19">
        <v>0.88818299861832728</v>
      </c>
      <c r="I14" s="19">
        <v>1.8162899333542128E-2</v>
      </c>
      <c r="J14" s="19">
        <v>0.92207486767710545</v>
      </c>
      <c r="K14" s="19">
        <v>1.6847932134684881E-2</v>
      </c>
      <c r="L14" s="19"/>
      <c r="M14" s="19"/>
      <c r="N14" s="19"/>
      <c r="O14" s="19"/>
      <c r="P14" s="19"/>
    </row>
    <row r="15" spans="2:16" x14ac:dyDescent="0.2">
      <c r="B15" t="s">
        <v>584</v>
      </c>
      <c r="C15" t="s">
        <v>385</v>
      </c>
      <c r="D15" s="18">
        <v>42523.55982638889</v>
      </c>
      <c r="E15" t="s">
        <v>162</v>
      </c>
      <c r="F15" s="19">
        <v>0.97901983579161533</v>
      </c>
      <c r="G15" s="19">
        <v>0.93728172293364376</v>
      </c>
      <c r="H15" s="19">
        <v>0.92122045105027117</v>
      </c>
      <c r="I15" s="19">
        <v>4.2352855537678522E-2</v>
      </c>
      <c r="J15" s="19">
        <v>0.88321170334371668</v>
      </c>
      <c r="K15" s="19">
        <v>4.9369073128550982E-2</v>
      </c>
      <c r="L15" s="19"/>
      <c r="M15" s="19"/>
      <c r="N15" s="19"/>
      <c r="O15" s="19"/>
      <c r="P15" s="19"/>
    </row>
    <row r="16" spans="2:16" x14ac:dyDescent="0.2">
      <c r="B16" t="s">
        <v>576</v>
      </c>
      <c r="C16" t="s">
        <v>390</v>
      </c>
      <c r="D16" s="18">
        <v>42523.55982638889</v>
      </c>
      <c r="E16" t="s">
        <v>159</v>
      </c>
      <c r="F16" s="19">
        <v>0.92678980719967641</v>
      </c>
      <c r="G16" s="19">
        <v>0.79746427734832503</v>
      </c>
      <c r="H16" s="19">
        <v>0.92853692201518301</v>
      </c>
      <c r="I16" s="19">
        <v>4.8562340416118982E-2</v>
      </c>
      <c r="J16" s="19">
        <v>0.97948066097693842</v>
      </c>
      <c r="K16" s="19">
        <v>2.1923811209476299E-2</v>
      </c>
      <c r="L16" s="252"/>
      <c r="M16" s="252"/>
      <c r="N16" s="252"/>
      <c r="O16" s="252"/>
      <c r="P16" s="252"/>
    </row>
    <row r="17" spans="2:16" x14ac:dyDescent="0.2">
      <c r="B17" t="s">
        <v>569</v>
      </c>
      <c r="C17" t="s">
        <v>390</v>
      </c>
      <c r="D17" s="18">
        <v>42523.55982638889</v>
      </c>
      <c r="E17" t="s">
        <v>156</v>
      </c>
      <c r="F17" s="19">
        <v>0.93273033631229418</v>
      </c>
      <c r="G17" s="19">
        <v>0.80901749478995266</v>
      </c>
      <c r="H17" s="19">
        <v>0.8867012673666349</v>
      </c>
      <c r="I17" s="19">
        <v>4.6633151334560807E-2</v>
      </c>
      <c r="J17" s="19">
        <v>0.89159011583953007</v>
      </c>
      <c r="K17" s="19">
        <v>4.8649418723258363E-2</v>
      </c>
      <c r="L17" s="19"/>
      <c r="M17" s="19"/>
      <c r="N17" s="19"/>
      <c r="O17" s="19"/>
      <c r="P17" s="19"/>
    </row>
    <row r="18" spans="2:16" x14ac:dyDescent="0.2">
      <c r="B18" t="s">
        <v>633</v>
      </c>
      <c r="C18" t="s">
        <v>390</v>
      </c>
      <c r="D18" s="18">
        <v>42523.55982638889</v>
      </c>
      <c r="E18" t="s">
        <v>183</v>
      </c>
      <c r="F18" s="19">
        <v>0.91096234835627632</v>
      </c>
      <c r="G18" s="19">
        <v>0.85736981100932586</v>
      </c>
      <c r="H18" s="19">
        <v>0.8964141085439491</v>
      </c>
      <c r="I18" s="19">
        <v>4.9723939396192234E-2</v>
      </c>
      <c r="J18" s="19">
        <v>0.98053301780482305</v>
      </c>
      <c r="K18" s="19">
        <v>2.0635322460261989E-2</v>
      </c>
      <c r="L18" s="19"/>
      <c r="M18" s="19"/>
      <c r="N18" s="19"/>
      <c r="O18" s="19"/>
      <c r="P18" s="19"/>
    </row>
    <row r="19" spans="2:16" x14ac:dyDescent="0.2">
      <c r="B19" t="s">
        <v>631</v>
      </c>
      <c r="C19" t="s">
        <v>385</v>
      </c>
      <c r="D19" s="18">
        <v>42523.55982638889</v>
      </c>
      <c r="E19" t="s">
        <v>182</v>
      </c>
      <c r="F19" s="19">
        <v>0.94314196368411085</v>
      </c>
      <c r="G19" s="19">
        <v>0.89294278862624177</v>
      </c>
      <c r="H19" s="19">
        <v>0.94593666711839897</v>
      </c>
      <c r="I19" s="19">
        <v>4.012116740990429E-2</v>
      </c>
      <c r="J19" s="19">
        <v>0.9670244657189826</v>
      </c>
      <c r="K19" s="19">
        <v>2.7943870388378401E-2</v>
      </c>
      <c r="L19" s="19"/>
      <c r="M19" s="19"/>
      <c r="N19" s="19"/>
      <c r="O19" s="19"/>
      <c r="P19" s="19"/>
    </row>
    <row r="20" spans="2:16" x14ac:dyDescent="0.2">
      <c r="B20" t="s">
        <v>522</v>
      </c>
      <c r="C20" t="s">
        <v>369</v>
      </c>
      <c r="D20" s="18">
        <v>42523.55982638889</v>
      </c>
      <c r="E20" t="s">
        <v>140</v>
      </c>
      <c r="F20" s="19">
        <v>0.98550431014763651</v>
      </c>
      <c r="G20" s="19">
        <v>0.95907060885295936</v>
      </c>
      <c r="H20" s="19">
        <v>0.91217461954313916</v>
      </c>
      <c r="I20" s="19">
        <v>4.6362616252821807E-2</v>
      </c>
      <c r="J20" s="19">
        <v>0.96768081420528351</v>
      </c>
      <c r="K20" s="19">
        <v>2.9281158335094447E-2</v>
      </c>
      <c r="L20" s="19"/>
      <c r="M20" s="19"/>
      <c r="N20" s="19"/>
      <c r="O20" s="19"/>
      <c r="P20" s="19"/>
    </row>
    <row r="21" spans="2:16" x14ac:dyDescent="0.2">
      <c r="B21" t="s">
        <v>641</v>
      </c>
      <c r="C21" t="s">
        <v>404</v>
      </c>
      <c r="D21" s="18">
        <v>42523.55982638889</v>
      </c>
      <c r="E21" t="s">
        <v>186</v>
      </c>
      <c r="F21" s="19">
        <v>0.9507092853770196</v>
      </c>
      <c r="G21" s="19">
        <v>0.94889053254437872</v>
      </c>
      <c r="H21" s="19">
        <v>0.88545948021754473</v>
      </c>
      <c r="I21" s="19">
        <v>4.6274360137517616E-2</v>
      </c>
      <c r="J21" s="19">
        <v>0.95827612090587866</v>
      </c>
      <c r="K21" s="19">
        <v>3.472807632682539E-2</v>
      </c>
      <c r="L21" s="19"/>
      <c r="M21" s="19"/>
      <c r="N21" s="19"/>
      <c r="O21" s="19"/>
      <c r="P21" s="19"/>
    </row>
    <row r="22" spans="2:16" x14ac:dyDescent="0.2">
      <c r="B22" t="s">
        <v>619</v>
      </c>
      <c r="C22" t="s">
        <v>385</v>
      </c>
      <c r="D22" s="18">
        <v>42523.55982638889</v>
      </c>
      <c r="E22" t="s">
        <v>177</v>
      </c>
      <c r="F22" s="19">
        <v>0.9308489988941957</v>
      </c>
      <c r="G22" s="19">
        <v>0.82562025033527031</v>
      </c>
      <c r="H22" s="19">
        <v>0.83092211524342918</v>
      </c>
      <c r="I22" s="19">
        <v>5.145863553029436E-2</v>
      </c>
      <c r="J22" s="19">
        <v>0.90727106179019179</v>
      </c>
      <c r="K22" s="19">
        <v>4.362610862990117E-2</v>
      </c>
      <c r="L22" s="19"/>
      <c r="M22" s="19"/>
      <c r="N22" s="19"/>
      <c r="O22" s="19"/>
      <c r="P22" s="19"/>
    </row>
    <row r="23" spans="2:16" x14ac:dyDescent="0.2">
      <c r="B23" t="s">
        <v>537</v>
      </c>
      <c r="C23" t="s">
        <v>369</v>
      </c>
      <c r="D23" s="18">
        <v>42523.55982638889</v>
      </c>
      <c r="E23" t="s">
        <v>144</v>
      </c>
      <c r="F23" s="19">
        <v>0.97178680378350379</v>
      </c>
      <c r="G23" s="19">
        <v>0.85955357142857158</v>
      </c>
      <c r="H23" s="19">
        <v>0.87490208126715829</v>
      </c>
      <c r="I23" s="19">
        <v>4.8737043671129354E-2</v>
      </c>
      <c r="J23" s="19">
        <v>0.89090327471487485</v>
      </c>
      <c r="K23" s="19">
        <v>4.9018001873642449E-2</v>
      </c>
      <c r="L23" s="19"/>
      <c r="M23" s="19"/>
      <c r="N23" s="19"/>
      <c r="O23" s="19"/>
      <c r="P23" s="19"/>
    </row>
    <row r="24" spans="2:16" x14ac:dyDescent="0.2">
      <c r="B24" t="s">
        <v>561</v>
      </c>
      <c r="C24" t="s">
        <v>390</v>
      </c>
      <c r="D24" s="18">
        <v>42523.55982638889</v>
      </c>
      <c r="E24" t="s">
        <v>153</v>
      </c>
      <c r="F24" s="19">
        <v>0.92334207865274998</v>
      </c>
      <c r="G24" s="19">
        <v>0.83340208423795059</v>
      </c>
      <c r="H24" s="19">
        <v>0.90257513048676752</v>
      </c>
      <c r="I24" s="19">
        <v>4.8474692970635044E-2</v>
      </c>
      <c r="J24" s="19">
        <v>0.95960969450531441</v>
      </c>
      <c r="K24" s="19">
        <v>2.8682822610317727E-2</v>
      </c>
      <c r="L24" s="19"/>
      <c r="M24" s="19"/>
      <c r="N24" s="19"/>
      <c r="O24" s="19"/>
      <c r="P24" s="19"/>
    </row>
    <row r="25" spans="2:16" x14ac:dyDescent="0.2">
      <c r="B25" t="s">
        <v>555</v>
      </c>
      <c r="C25" t="s">
        <v>385</v>
      </c>
      <c r="D25" s="18">
        <v>42523.55982638889</v>
      </c>
      <c r="E25" t="s">
        <v>151</v>
      </c>
      <c r="F25" s="19">
        <v>0.93725966850828735</v>
      </c>
      <c r="G25" s="19">
        <v>0.87609501347708896</v>
      </c>
      <c r="H25" s="19">
        <v>0.85780781258844174</v>
      </c>
      <c r="I25" s="19">
        <v>5.1398035126279634E-2</v>
      </c>
      <c r="J25" s="19">
        <v>0.87578297604455568</v>
      </c>
      <c r="K25" s="19">
        <v>5.2638889000434334E-2</v>
      </c>
      <c r="L25" s="19"/>
      <c r="M25" s="19"/>
      <c r="N25" s="19"/>
      <c r="O25" s="19"/>
      <c r="P25" s="19"/>
    </row>
    <row r="26" spans="2:16" x14ac:dyDescent="0.2">
      <c r="B26" t="s">
        <v>578</v>
      </c>
      <c r="C26" t="s">
        <v>390</v>
      </c>
      <c r="D26" s="18">
        <v>42523.55982638889</v>
      </c>
      <c r="E26" t="s">
        <v>160</v>
      </c>
      <c r="F26" s="19">
        <v>0.98449470334716227</v>
      </c>
      <c r="G26" s="19">
        <v>0.9005875137194137</v>
      </c>
      <c r="H26" s="19">
        <v>0.93577970649518083</v>
      </c>
      <c r="I26" s="19">
        <v>3.9993331831528638E-2</v>
      </c>
      <c r="J26" s="19">
        <v>0.98791899441340769</v>
      </c>
      <c r="K26" s="19">
        <v>1.7970945023380834E-2</v>
      </c>
      <c r="L26" s="19"/>
      <c r="M26" s="19"/>
      <c r="N26" s="19"/>
      <c r="O26" s="19"/>
      <c r="P26" s="19"/>
    </row>
    <row r="27" spans="2:16" x14ac:dyDescent="0.2">
      <c r="B27" t="s">
        <v>607</v>
      </c>
      <c r="C27" t="s">
        <v>385</v>
      </c>
      <c r="D27" s="18">
        <v>42523.55982638889</v>
      </c>
      <c r="E27" t="s">
        <v>172</v>
      </c>
      <c r="F27" s="19">
        <v>0.9491993606102247</v>
      </c>
      <c r="G27" s="19">
        <v>0.86480246280143647</v>
      </c>
      <c r="H27" s="19">
        <v>0.87470699927977469</v>
      </c>
      <c r="I27" s="19">
        <v>5.263078743487782E-2</v>
      </c>
      <c r="J27" s="19">
        <v>0.93860882661522316</v>
      </c>
      <c r="K27" s="19">
        <v>4.1691908578543747E-2</v>
      </c>
      <c r="L27" s="19"/>
      <c r="M27" s="19"/>
      <c r="N27" s="19"/>
      <c r="O27" s="19"/>
      <c r="P27" s="19"/>
    </row>
    <row r="28" spans="2:16" x14ac:dyDescent="0.2">
      <c r="B28" t="s">
        <v>593</v>
      </c>
      <c r="C28" t="s">
        <v>404</v>
      </c>
      <c r="D28" s="18">
        <v>42523.55982638889</v>
      </c>
      <c r="E28" t="s">
        <v>166</v>
      </c>
      <c r="F28" s="19">
        <v>0.95980945011321828</v>
      </c>
      <c r="G28" s="19">
        <v>0.8789413171449596</v>
      </c>
      <c r="H28" s="19">
        <v>0.85625035152457729</v>
      </c>
      <c r="I28" s="19">
        <v>4.7474471643118646E-2</v>
      </c>
      <c r="J28" s="19">
        <v>0.83159591124118148</v>
      </c>
      <c r="K28" s="19">
        <v>5.8021354492262846E-2</v>
      </c>
      <c r="L28" s="19"/>
      <c r="M28" s="19"/>
      <c r="N28" s="19"/>
      <c r="O28" s="19"/>
      <c r="P28" s="19"/>
    </row>
    <row r="29" spans="2:16" x14ac:dyDescent="0.2">
      <c r="B29" t="s">
        <v>563</v>
      </c>
      <c r="C29" t="s">
        <v>380</v>
      </c>
      <c r="D29" s="18">
        <v>42523.55982638889</v>
      </c>
      <c r="E29" t="s">
        <v>154</v>
      </c>
      <c r="F29" s="19">
        <v>0.95624171957954363</v>
      </c>
      <c r="G29" s="19">
        <v>0.90747818701258576</v>
      </c>
      <c r="H29" s="19">
        <v>0.9149447221391509</v>
      </c>
      <c r="I29" s="19">
        <v>4.1369129067004594E-2</v>
      </c>
      <c r="J29" s="19">
        <v>0.92685665730019207</v>
      </c>
      <c r="K29" s="19">
        <v>4.3097801286969502E-2</v>
      </c>
      <c r="L29" s="19"/>
      <c r="M29" s="19"/>
      <c r="N29" s="19"/>
      <c r="O29" s="19"/>
      <c r="P29" s="19"/>
    </row>
    <row r="30" spans="2:16" x14ac:dyDescent="0.2">
      <c r="B30" t="s">
        <v>622</v>
      </c>
      <c r="C30" t="s">
        <v>369</v>
      </c>
      <c r="D30" s="18">
        <v>42523.55982638889</v>
      </c>
      <c r="E30" t="s">
        <v>178</v>
      </c>
      <c r="F30" s="19">
        <v>0.93928573521054159</v>
      </c>
      <c r="G30" s="19">
        <v>0.82312127976190486</v>
      </c>
      <c r="H30" s="19">
        <v>0.89422442955850068</v>
      </c>
      <c r="I30" s="19">
        <v>4.4773744786629738E-2</v>
      </c>
      <c r="J30" s="19">
        <v>0.88500695732838575</v>
      </c>
      <c r="K30" s="19">
        <v>5.4306918013589112E-2</v>
      </c>
      <c r="L30" s="19"/>
      <c r="M30" s="19"/>
      <c r="N30" s="19"/>
      <c r="O30" s="19"/>
      <c r="P30" s="19"/>
    </row>
    <row r="31" spans="2:16" x14ac:dyDescent="0.2">
      <c r="B31" t="s">
        <v>615</v>
      </c>
      <c r="C31" t="s">
        <v>404</v>
      </c>
      <c r="D31" s="18">
        <v>42523.55982638889</v>
      </c>
      <c r="E31" t="s">
        <v>176</v>
      </c>
      <c r="F31" s="19">
        <v>0.96524711346613001</v>
      </c>
      <c r="G31" s="19">
        <v>0.86014826688038482</v>
      </c>
      <c r="H31" s="19">
        <v>0.90134478510813043</v>
      </c>
      <c r="I31" s="19">
        <v>5.106551051324125E-2</v>
      </c>
      <c r="J31" s="19">
        <v>0.98574953732264037</v>
      </c>
      <c r="K31" s="19">
        <v>1.6939697486179385E-2</v>
      </c>
      <c r="L31" s="19"/>
      <c r="M31" s="19"/>
      <c r="N31" s="19"/>
      <c r="O31" s="19"/>
      <c r="P31" s="19"/>
    </row>
    <row r="32" spans="2:16" x14ac:dyDescent="0.2">
      <c r="B32" t="s">
        <v>390</v>
      </c>
      <c r="C32" t="s">
        <v>390</v>
      </c>
      <c r="D32" s="18">
        <v>42523.55982638889</v>
      </c>
      <c r="E32" t="s">
        <v>663</v>
      </c>
      <c r="F32" s="19">
        <v>0.96091596250044231</v>
      </c>
      <c r="G32" s="19">
        <v>0.88757281363270579</v>
      </c>
      <c r="H32" s="19">
        <v>0.92039659405586871</v>
      </c>
      <c r="I32" s="19">
        <v>1.3411268863130132E-2</v>
      </c>
      <c r="J32" s="19">
        <v>0.91242014942284511</v>
      </c>
      <c r="K32" s="19">
        <v>1.793387413518488E-2</v>
      </c>
      <c r="L32" s="19"/>
      <c r="M32" s="19"/>
      <c r="N32" s="19"/>
      <c r="O32" s="19"/>
      <c r="P32" s="19"/>
    </row>
    <row r="33" spans="2:16" x14ac:dyDescent="0.2">
      <c r="B33" t="s">
        <v>209</v>
      </c>
      <c r="C33" t="s">
        <v>390</v>
      </c>
      <c r="D33" s="18">
        <v>42523.55982638889</v>
      </c>
      <c r="E33" t="s">
        <v>157</v>
      </c>
      <c r="F33" s="19">
        <v>1</v>
      </c>
      <c r="G33" s="19">
        <v>1</v>
      </c>
      <c r="H33" s="19">
        <v>0.98341672504086186</v>
      </c>
      <c r="I33" s="19">
        <v>2.0623968651257416E-2</v>
      </c>
      <c r="J33" s="19">
        <v>0.90419454253710763</v>
      </c>
      <c r="K33" s="19">
        <v>4.5021914306141116E-2</v>
      </c>
      <c r="L33" s="19">
        <v>0.96381824981301423</v>
      </c>
      <c r="M33" s="19">
        <v>0.95042603228627476</v>
      </c>
      <c r="N33" s="19">
        <v>4.0580938895507186E-2</v>
      </c>
      <c r="O33" s="19">
        <v>0.98537633964097116</v>
      </c>
      <c r="P33" s="19">
        <v>1.6492527707524546E-2</v>
      </c>
    </row>
    <row r="34" spans="2:16" x14ac:dyDescent="0.2">
      <c r="B34" t="s">
        <v>571</v>
      </c>
      <c r="C34" t="s">
        <v>390</v>
      </c>
      <c r="D34" s="18">
        <v>42523.55982638889</v>
      </c>
      <c r="E34" t="s">
        <v>157</v>
      </c>
      <c r="F34" s="19">
        <v>1</v>
      </c>
      <c r="G34" s="19">
        <v>1</v>
      </c>
      <c r="H34" s="19">
        <v>0.98341672504086186</v>
      </c>
      <c r="I34" s="19">
        <v>2.0623968651257416E-2</v>
      </c>
      <c r="J34" s="19">
        <v>0.90419454253710763</v>
      </c>
      <c r="K34" s="19">
        <v>4.5021914306141116E-2</v>
      </c>
      <c r="L34" s="19">
        <v>0.96381824981301423</v>
      </c>
      <c r="M34" s="19">
        <v>0.95042603228627476</v>
      </c>
      <c r="N34" s="19">
        <v>4.0580938895507186E-2</v>
      </c>
      <c r="O34" s="19">
        <v>0.98537633964097116</v>
      </c>
      <c r="P34" s="19">
        <v>1.6492527707524546E-2</v>
      </c>
    </row>
    <row r="35" spans="2:16" x14ac:dyDescent="0.2">
      <c r="B35" t="s">
        <v>553</v>
      </c>
      <c r="C35" t="s">
        <v>380</v>
      </c>
      <c r="D35" s="18">
        <v>42523.55982638889</v>
      </c>
      <c r="E35" t="s">
        <v>150</v>
      </c>
      <c r="F35" s="19">
        <v>0.87938303942666274</v>
      </c>
      <c r="G35" s="19">
        <v>0.77305222602739732</v>
      </c>
      <c r="H35" s="19">
        <v>0.83374928188965369</v>
      </c>
      <c r="I35" s="19">
        <v>5.4746315557768384E-2</v>
      </c>
      <c r="J35" s="19">
        <v>0.92404629686133322</v>
      </c>
      <c r="K35" s="19">
        <v>5.0222973990679522E-2</v>
      </c>
      <c r="L35" s="19"/>
      <c r="M35" s="19"/>
      <c r="N35" s="19"/>
      <c r="O35" s="19"/>
      <c r="P35" s="19"/>
    </row>
    <row r="36" spans="2:16" x14ac:dyDescent="0.2">
      <c r="B36" t="s">
        <v>609</v>
      </c>
      <c r="C36" t="s">
        <v>385</v>
      </c>
      <c r="D36" s="18">
        <v>42523.55982638889</v>
      </c>
      <c r="E36" t="s">
        <v>173</v>
      </c>
      <c r="F36" s="19">
        <v>0.93981990837601914</v>
      </c>
      <c r="G36" s="19">
        <v>0.8736629498165478</v>
      </c>
      <c r="H36" s="19">
        <v>0.89269237278026059</v>
      </c>
      <c r="I36" s="19">
        <v>4.9836004838229898E-2</v>
      </c>
      <c r="J36" s="19">
        <v>0.93338171387347757</v>
      </c>
      <c r="K36" s="19">
        <v>4.9220788389207681E-2</v>
      </c>
      <c r="L36" s="19"/>
      <c r="M36" s="19"/>
      <c r="N36" s="19"/>
      <c r="O36" s="19"/>
      <c r="P36" s="19"/>
    </row>
    <row r="37" spans="2:16" x14ac:dyDescent="0.2">
      <c r="B37" t="s">
        <v>549</v>
      </c>
      <c r="C37" t="s">
        <v>380</v>
      </c>
      <c r="D37" s="18">
        <v>42523.55982638889</v>
      </c>
      <c r="E37" t="s">
        <v>91</v>
      </c>
      <c r="F37" s="19">
        <v>0.95232588078482938</v>
      </c>
      <c r="G37" s="19">
        <v>0.81681623238548329</v>
      </c>
      <c r="H37" s="19">
        <v>0.90603296654735088</v>
      </c>
      <c r="I37" s="19">
        <v>5.0221727146441138E-2</v>
      </c>
      <c r="J37" s="19">
        <v>0.91618538652038584</v>
      </c>
      <c r="K37" s="19">
        <v>4.7174169819398273E-2</v>
      </c>
      <c r="L37" s="19"/>
      <c r="M37" s="19"/>
      <c r="N37" s="19"/>
      <c r="O37" s="19"/>
      <c r="P37" s="19"/>
    </row>
    <row r="38" spans="2:16" x14ac:dyDescent="0.2">
      <c r="B38" t="s">
        <v>551</v>
      </c>
      <c r="C38" t="s">
        <v>385</v>
      </c>
      <c r="D38" s="18">
        <v>42523.55982638889</v>
      </c>
      <c r="E38" t="s">
        <v>149</v>
      </c>
      <c r="F38" s="19">
        <v>0.97276017708420015</v>
      </c>
      <c r="G38" s="19">
        <v>0.89474118394937707</v>
      </c>
      <c r="H38" s="19">
        <v>0.92949598478444639</v>
      </c>
      <c r="I38" s="19">
        <v>3.8766599971680547E-2</v>
      </c>
      <c r="J38" s="19">
        <v>0.93765139751552795</v>
      </c>
      <c r="K38" s="19">
        <v>3.9925276310386268E-2</v>
      </c>
      <c r="L38" s="19"/>
      <c r="M38" s="19"/>
      <c r="N38" s="19"/>
      <c r="O38" s="19"/>
      <c r="P38" s="19"/>
    </row>
    <row r="39" spans="2:16" x14ac:dyDescent="0.2">
      <c r="B39" t="s">
        <v>518</v>
      </c>
      <c r="C39" t="s">
        <v>369</v>
      </c>
      <c r="D39" s="18">
        <v>42523.55982638889</v>
      </c>
      <c r="E39" t="s">
        <v>138</v>
      </c>
      <c r="F39" s="19">
        <v>0.95114073900963747</v>
      </c>
      <c r="G39" s="19">
        <v>0.89088807089913646</v>
      </c>
      <c r="H39" s="19">
        <v>0.86821956081475105</v>
      </c>
      <c r="I39" s="19">
        <v>5.3625544237120765E-2</v>
      </c>
      <c r="J39" s="19">
        <v>0.91263332894945381</v>
      </c>
      <c r="K39" s="19">
        <v>4.3729990137022057E-2</v>
      </c>
      <c r="L39" s="19"/>
      <c r="M39" s="19"/>
      <c r="N39" s="19"/>
      <c r="O39" s="19"/>
      <c r="P39" s="19"/>
    </row>
    <row r="40" spans="2:16" x14ac:dyDescent="0.2">
      <c r="B40" t="s">
        <v>524</v>
      </c>
      <c r="C40" t="s">
        <v>369</v>
      </c>
      <c r="D40" s="18">
        <v>42523.55982638889</v>
      </c>
      <c r="E40" t="s">
        <v>141</v>
      </c>
      <c r="F40" s="19">
        <v>0.95456246324905125</v>
      </c>
      <c r="G40" s="19">
        <v>0.89852095316351699</v>
      </c>
      <c r="H40" s="19">
        <v>0.91574398391386136</v>
      </c>
      <c r="I40" s="19">
        <v>3.6417395667038263E-2</v>
      </c>
      <c r="J40" s="19">
        <v>0.85260934649088982</v>
      </c>
      <c r="K40" s="19">
        <v>5.209406360328387E-2</v>
      </c>
      <c r="L40" s="19"/>
      <c r="M40" s="19"/>
      <c r="N40" s="19"/>
      <c r="O40" s="19"/>
      <c r="P40" s="19"/>
    </row>
    <row r="41" spans="2:16" x14ac:dyDescent="0.2">
      <c r="B41" t="s">
        <v>369</v>
      </c>
      <c r="C41" t="s">
        <v>369</v>
      </c>
      <c r="D41" s="18">
        <v>42523.55982638889</v>
      </c>
      <c r="E41" t="s">
        <v>662</v>
      </c>
      <c r="F41" s="19">
        <v>0.9542106859709939</v>
      </c>
      <c r="G41" s="19">
        <v>0.85973352975078243</v>
      </c>
      <c r="H41" s="19">
        <v>0.87393584011604464</v>
      </c>
      <c r="I41" s="19">
        <v>1.5822924023502126E-2</v>
      </c>
      <c r="J41" s="19">
        <v>0.86659099283404872</v>
      </c>
      <c r="K41" s="19">
        <v>3.2949705321745598E-2</v>
      </c>
      <c r="L41" s="19"/>
      <c r="M41" s="19"/>
      <c r="N41" s="19"/>
      <c r="O41" s="19"/>
      <c r="P41" s="19"/>
    </row>
    <row r="42" spans="2:16" x14ac:dyDescent="0.2">
      <c r="B42" t="s">
        <v>591</v>
      </c>
      <c r="C42" t="s">
        <v>404</v>
      </c>
      <c r="D42" s="18">
        <v>42523.55982638889</v>
      </c>
      <c r="E42" t="s">
        <v>165</v>
      </c>
      <c r="F42" s="19">
        <v>0.96028936580833191</v>
      </c>
      <c r="G42" s="19">
        <v>0.85487422259352086</v>
      </c>
      <c r="H42" s="19">
        <v>0.89516861825495819</v>
      </c>
      <c r="I42" s="19">
        <v>4.7275691823873277E-2</v>
      </c>
      <c r="J42" s="19">
        <v>0.91600409239659442</v>
      </c>
      <c r="K42" s="19">
        <v>4.1268529981989703E-2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404</v>
      </c>
      <c r="C44" t="s">
        <v>404</v>
      </c>
      <c r="D44" s="18">
        <v>42523.55982638889</v>
      </c>
      <c r="E44" t="s">
        <v>665</v>
      </c>
      <c r="F44" s="19">
        <v>0.95519309175775813</v>
      </c>
      <c r="G44" s="19">
        <v>0.84778020333952986</v>
      </c>
      <c r="H44" s="19">
        <v>0.87826525916777531</v>
      </c>
      <c r="I44" s="19">
        <v>1.8103389523994907E-2</v>
      </c>
      <c r="J44" s="19">
        <v>0.91511640752800905</v>
      </c>
      <c r="K44" s="19">
        <v>1.7360899981611267E-2</v>
      </c>
      <c r="L44" s="19"/>
      <c r="M44" s="19"/>
      <c r="N44" s="19"/>
      <c r="O44" s="19"/>
      <c r="P44" s="19"/>
    </row>
    <row r="45" spans="2:16" x14ac:dyDescent="0.2">
      <c r="B45" t="s">
        <v>210</v>
      </c>
      <c r="C45" t="s">
        <v>369</v>
      </c>
      <c r="D45" s="18">
        <v>42523.55982638889</v>
      </c>
      <c r="E45" t="s">
        <v>99</v>
      </c>
      <c r="F45" s="19">
        <v>0.93564667966013171</v>
      </c>
      <c r="G45" s="19">
        <v>0.87252439432558371</v>
      </c>
      <c r="H45" s="19">
        <v>0.90114556170774107</v>
      </c>
      <c r="I45" s="19">
        <v>4.26412133876687E-2</v>
      </c>
      <c r="J45" s="19">
        <v>0.87175666609830182</v>
      </c>
      <c r="K45" s="19">
        <v>5.7210641482935289E-2</v>
      </c>
      <c r="L45" s="19">
        <v>0.96905212879848479</v>
      </c>
      <c r="M45" s="19">
        <v>0.93380770494496457</v>
      </c>
      <c r="N45" s="19">
        <v>4.2732283279129174E-2</v>
      </c>
      <c r="O45" s="19">
        <v>0.93635327007875535</v>
      </c>
      <c r="P45" s="19">
        <v>4.2123807888963326E-2</v>
      </c>
    </row>
    <row r="46" spans="2:16" x14ac:dyDescent="0.2">
      <c r="B46" t="s">
        <v>526</v>
      </c>
      <c r="C46" t="s">
        <v>369</v>
      </c>
      <c r="D46" s="18">
        <v>42523.55982638889</v>
      </c>
      <c r="E46" t="s">
        <v>99</v>
      </c>
      <c r="F46" s="19">
        <v>0.93564667966013171</v>
      </c>
      <c r="G46" s="19">
        <v>0.87252439432558371</v>
      </c>
      <c r="H46" s="19">
        <v>0.90114556170774107</v>
      </c>
      <c r="I46" s="19">
        <v>4.26412133876687E-2</v>
      </c>
      <c r="J46" s="19">
        <v>0.87175666609830182</v>
      </c>
      <c r="K46" s="19">
        <v>5.7210641482935289E-2</v>
      </c>
      <c r="L46" s="19">
        <v>0.96905212879848479</v>
      </c>
      <c r="M46" s="19">
        <v>0.93380770494496457</v>
      </c>
      <c r="N46" s="19">
        <v>4.2732283279129174E-2</v>
      </c>
      <c r="O46" s="19">
        <v>0.93635327007875535</v>
      </c>
      <c r="P46" s="19">
        <v>4.2123807888963326E-2</v>
      </c>
    </row>
    <row r="47" spans="2:16" x14ac:dyDescent="0.2">
      <c r="B47" t="s">
        <v>595</v>
      </c>
      <c r="C47" t="s">
        <v>404</v>
      </c>
      <c r="D47" s="18">
        <v>42523.55982638889</v>
      </c>
      <c r="E47" t="s">
        <v>167</v>
      </c>
      <c r="F47" s="19">
        <v>0.96553312815090353</v>
      </c>
      <c r="G47" s="19">
        <v>0.89936545706920479</v>
      </c>
      <c r="H47" s="19">
        <v>0.87902570718654427</v>
      </c>
      <c r="I47" s="19">
        <v>5.3708016792055273E-2</v>
      </c>
      <c r="J47" s="19">
        <v>0.93221472575421194</v>
      </c>
      <c r="K47" s="19">
        <v>4.271121856866756E-2</v>
      </c>
      <c r="L47" s="19"/>
      <c r="M47" s="19"/>
      <c r="N47" s="19"/>
      <c r="O47" s="19"/>
      <c r="P47" s="19"/>
    </row>
    <row r="48" spans="2:16" x14ac:dyDescent="0.2">
      <c r="B48" t="s">
        <v>529</v>
      </c>
      <c r="C48" t="s">
        <v>369</v>
      </c>
      <c r="D48" s="18">
        <v>42523.55982638889</v>
      </c>
      <c r="E48" t="s">
        <v>142</v>
      </c>
      <c r="F48" s="19">
        <v>0.93340851673194869</v>
      </c>
      <c r="G48" s="19">
        <v>0.82150477128320565</v>
      </c>
      <c r="H48" s="19">
        <v>0.87787324861114557</v>
      </c>
      <c r="I48" s="19">
        <v>4.7785048468809703E-2</v>
      </c>
      <c r="J48" s="19">
        <v>0.8884581868249174</v>
      </c>
      <c r="K48" s="19">
        <v>5.6818741707293154E-2</v>
      </c>
      <c r="L48" s="19"/>
      <c r="M48" s="19"/>
      <c r="N48" s="19"/>
      <c r="O48" s="19"/>
      <c r="P48" s="19"/>
    </row>
    <row r="49" spans="2:16" x14ac:dyDescent="0.2">
      <c r="B49" t="s">
        <v>603</v>
      </c>
      <c r="C49" t="s">
        <v>404</v>
      </c>
      <c r="D49" s="18">
        <v>42523.55982638889</v>
      </c>
      <c r="E49" t="s">
        <v>170</v>
      </c>
      <c r="F49" s="19">
        <v>0.98572397618298135</v>
      </c>
      <c r="G49" s="19">
        <v>0.98259425104723386</v>
      </c>
      <c r="H49" s="19">
        <v>0.89945446849869104</v>
      </c>
      <c r="I49" s="19">
        <v>5.1725901900894794E-2</v>
      </c>
      <c r="J49" s="19">
        <v>0.92716857926664364</v>
      </c>
      <c r="K49" s="19">
        <v>4.282059259664095E-2</v>
      </c>
      <c r="L49" s="19"/>
      <c r="M49" s="19"/>
      <c r="N49" s="19"/>
      <c r="O49" s="19"/>
      <c r="P49" s="19"/>
    </row>
    <row r="50" spans="2:16" x14ac:dyDescent="0.2">
      <c r="B50" t="s">
        <v>514</v>
      </c>
      <c r="C50" t="s">
        <v>369</v>
      </c>
      <c r="D50" s="18">
        <v>42523.55982638889</v>
      </c>
      <c r="E50" t="s">
        <v>137</v>
      </c>
      <c r="F50" s="19">
        <v>0.92644461502359943</v>
      </c>
      <c r="G50" s="19">
        <v>0.80909546534546517</v>
      </c>
      <c r="H50" s="19">
        <v>0.86795165473074543</v>
      </c>
      <c r="I50" s="19">
        <v>5.7247394299317945E-2</v>
      </c>
      <c r="J50" s="19">
        <v>0.93143567855554144</v>
      </c>
      <c r="K50" s="19">
        <v>4.1751687807561881E-2</v>
      </c>
      <c r="L50" s="19"/>
      <c r="M50" s="19"/>
      <c r="N50" s="19"/>
      <c r="O50" s="19"/>
      <c r="P50" s="19"/>
    </row>
    <row r="51" spans="2:16" x14ac:dyDescent="0.2">
      <c r="B51" t="s">
        <v>611</v>
      </c>
      <c r="C51" t="s">
        <v>404</v>
      </c>
      <c r="D51" s="18">
        <v>42523.55982638889</v>
      </c>
      <c r="E51" t="s">
        <v>174</v>
      </c>
      <c r="F51" s="19">
        <v>0.93982639705662563</v>
      </c>
      <c r="G51" s="19">
        <v>0.86319813829787218</v>
      </c>
      <c r="H51" s="19">
        <v>0.8932317863130621</v>
      </c>
      <c r="I51" s="19">
        <v>4.8253740807695567E-2</v>
      </c>
      <c r="J51" s="19">
        <v>0.89932832667639306</v>
      </c>
      <c r="K51" s="19">
        <v>5.4562451163412504E-2</v>
      </c>
      <c r="L51" s="19"/>
      <c r="M51" s="19"/>
      <c r="N51" s="19"/>
      <c r="O51" s="19"/>
      <c r="P51" s="19"/>
    </row>
    <row r="52" spans="2:16" x14ac:dyDescent="0.2">
      <c r="B52" t="s">
        <v>535</v>
      </c>
      <c r="C52" t="s">
        <v>369</v>
      </c>
      <c r="D52" s="18">
        <v>42523.55982638889</v>
      </c>
      <c r="E52" t="s">
        <v>103</v>
      </c>
      <c r="F52" s="19">
        <v>0.94901350667454265</v>
      </c>
      <c r="G52" s="19">
        <v>0.81625003229723792</v>
      </c>
      <c r="H52" s="19">
        <v>0.89054999290542369</v>
      </c>
      <c r="I52" s="19">
        <v>4.8485879563683339E-2</v>
      </c>
      <c r="J52" s="19">
        <v>0.89573928387618584</v>
      </c>
      <c r="K52" s="19">
        <v>4.7773152407445493E-2</v>
      </c>
      <c r="L52" s="19"/>
      <c r="M52" s="19"/>
      <c r="N52" s="19"/>
      <c r="O52" s="19"/>
      <c r="P52" s="19"/>
    </row>
    <row r="53" spans="2:16" x14ac:dyDescent="0.2">
      <c r="B53" t="s">
        <v>588</v>
      </c>
      <c r="C53" t="s">
        <v>385</v>
      </c>
      <c r="D53" s="18">
        <v>42523.55982638889</v>
      </c>
      <c r="E53" t="s">
        <v>164</v>
      </c>
      <c r="F53" s="19">
        <v>0.97389600074270466</v>
      </c>
      <c r="G53" s="19">
        <v>0.86188118811881187</v>
      </c>
      <c r="H53" s="19">
        <v>0.91191547485135804</v>
      </c>
      <c r="I53" s="19">
        <v>4.3965879650911074E-2</v>
      </c>
      <c r="J53" s="19">
        <v>0.96203178395157674</v>
      </c>
      <c r="K53" s="19">
        <v>3.490181174041574E-2</v>
      </c>
      <c r="L53" s="252"/>
      <c r="M53" s="252"/>
      <c r="N53" s="252"/>
      <c r="O53" s="252"/>
      <c r="P53" s="252"/>
    </row>
    <row r="54" spans="2:16" x14ac:dyDescent="0.2">
      <c r="B54" t="s">
        <v>624</v>
      </c>
      <c r="C54" t="s">
        <v>404</v>
      </c>
      <c r="D54" s="18">
        <v>42523.55982638889</v>
      </c>
      <c r="E54" t="s">
        <v>179</v>
      </c>
      <c r="F54" s="19">
        <v>0.94060309652608998</v>
      </c>
      <c r="G54" s="19">
        <v>0.74997768570193724</v>
      </c>
      <c r="H54" s="19">
        <v>0.84368205260785412</v>
      </c>
      <c r="I54" s="19">
        <v>5.0040663575158816E-2</v>
      </c>
      <c r="J54" s="19">
        <v>0.90863004575091677</v>
      </c>
      <c r="K54" s="19">
        <v>4.6505654916824707E-2</v>
      </c>
      <c r="L54" s="19"/>
      <c r="M54" s="19"/>
      <c r="N54" s="19"/>
      <c r="O54" s="19"/>
      <c r="P54" s="19"/>
    </row>
    <row r="55" spans="2:16" x14ac:dyDescent="0.2">
      <c r="B55" t="s">
        <v>613</v>
      </c>
      <c r="C55" t="s">
        <v>380</v>
      </c>
      <c r="D55" s="18">
        <v>42523.55982638889</v>
      </c>
      <c r="E55" t="s">
        <v>175</v>
      </c>
      <c r="F55" s="19">
        <v>0.89549857725744619</v>
      </c>
      <c r="G55" s="19">
        <v>0.71864043689466839</v>
      </c>
      <c r="H55" s="19">
        <v>0.81367419865662161</v>
      </c>
      <c r="I55" s="19">
        <v>5.574222115040172E-2</v>
      </c>
      <c r="J55" s="19">
        <v>0.82858614837163447</v>
      </c>
      <c r="K55" s="19">
        <v>5.7083578481517704E-2</v>
      </c>
      <c r="L55" s="19"/>
      <c r="M55" s="19"/>
      <c r="N55" s="19"/>
      <c r="O55" s="19"/>
      <c r="P55" s="19"/>
    </row>
    <row r="56" spans="2:16" x14ac:dyDescent="0.2">
      <c r="B56" t="s">
        <v>597</v>
      </c>
      <c r="C56" t="s">
        <v>404</v>
      </c>
      <c r="D56" s="18">
        <v>42523.55982638889</v>
      </c>
      <c r="E56" t="s">
        <v>168</v>
      </c>
      <c r="F56" s="19">
        <v>0.96165148072211581</v>
      </c>
      <c r="G56" s="19">
        <v>0.83440302444170911</v>
      </c>
      <c r="H56" s="19">
        <v>0.89020506528246723</v>
      </c>
      <c r="I56" s="19">
        <v>4.568208093293457E-2</v>
      </c>
      <c r="J56" s="19">
        <v>0.92621324212910561</v>
      </c>
      <c r="K56" s="19">
        <v>3.8743546759852379E-2</v>
      </c>
      <c r="L56" s="19"/>
      <c r="M56" s="19"/>
      <c r="N56" s="19"/>
      <c r="O56" s="19"/>
      <c r="P56" s="19"/>
    </row>
    <row r="57" spans="2:16" x14ac:dyDescent="0.2">
      <c r="B57" t="s">
        <v>635</v>
      </c>
      <c r="C57" t="s">
        <v>390</v>
      </c>
      <c r="D57" s="18">
        <v>42523.55982638889</v>
      </c>
      <c r="E57" t="s">
        <v>184</v>
      </c>
      <c r="F57" s="19">
        <v>0.93610282667792755</v>
      </c>
      <c r="G57" s="19">
        <v>0.74616588419405327</v>
      </c>
      <c r="H57" s="19">
        <v>0.88783165599268077</v>
      </c>
      <c r="I57" s="19">
        <v>5.1062407010682737E-2</v>
      </c>
      <c r="J57" s="19">
        <v>0.96099609960996102</v>
      </c>
      <c r="K57" s="19">
        <v>3.312053909260413E-2</v>
      </c>
      <c r="L57" s="19"/>
      <c r="M57" s="19"/>
      <c r="N57" s="19"/>
      <c r="O57" s="19"/>
      <c r="P57" s="19"/>
    </row>
    <row r="58" spans="2:16" x14ac:dyDescent="0.2">
      <c r="B58" t="s">
        <v>380</v>
      </c>
      <c r="C58" t="s">
        <v>380</v>
      </c>
      <c r="D58" s="18">
        <v>42523.55982638889</v>
      </c>
      <c r="E58" t="s">
        <v>661</v>
      </c>
      <c r="F58" s="19">
        <v>0.92382488959254694</v>
      </c>
      <c r="G58" s="19">
        <v>0.84403816773345552</v>
      </c>
      <c r="H58" s="19">
        <v>0.8734124927041238</v>
      </c>
      <c r="I58" s="19">
        <v>2.2447014921402653E-2</v>
      </c>
      <c r="J58" s="19">
        <v>0.87960582366110529</v>
      </c>
      <c r="K58" s="19">
        <v>2.8566053805075171E-2</v>
      </c>
      <c r="L58" s="19"/>
      <c r="M58" s="19"/>
      <c r="N58" s="19"/>
      <c r="O58" s="19"/>
      <c r="P58" s="19"/>
    </row>
    <row r="59" spans="2:16" x14ac:dyDescent="0.2">
      <c r="B59" t="s">
        <v>574</v>
      </c>
      <c r="C59" t="s">
        <v>390</v>
      </c>
      <c r="D59" s="18">
        <v>42523.55982638889</v>
      </c>
      <c r="E59" t="s">
        <v>158</v>
      </c>
      <c r="F59" s="19">
        <v>0.98019922934789805</v>
      </c>
      <c r="G59" s="19">
        <v>0.91811215897608622</v>
      </c>
      <c r="H59" s="19">
        <v>0.92114838677824684</v>
      </c>
      <c r="I59" s="19">
        <v>3.9016813585649929E-2</v>
      </c>
      <c r="J59" s="19">
        <v>0.84019615454627028</v>
      </c>
      <c r="K59" s="19">
        <v>5.6737793862762655E-2</v>
      </c>
      <c r="L59" s="19"/>
      <c r="M59" s="19"/>
      <c r="N59" s="19"/>
      <c r="O59" s="19"/>
      <c r="P59" s="19"/>
    </row>
    <row r="60" spans="2:16" x14ac:dyDescent="0.2">
      <c r="B60" t="s">
        <v>212</v>
      </c>
      <c r="C60" t="s">
        <v>390</v>
      </c>
      <c r="D60" s="18">
        <v>42523.55982638889</v>
      </c>
      <c r="E60" t="s">
        <v>161</v>
      </c>
      <c r="F60" s="19">
        <v>0.96679566579076348</v>
      </c>
      <c r="G60" s="19">
        <v>0.91438623924941365</v>
      </c>
      <c r="H60" s="19">
        <v>0.94946569283377935</v>
      </c>
      <c r="I60" s="19">
        <v>3.7573548254268091E-2</v>
      </c>
      <c r="J60" s="19">
        <v>0.90713137393473064</v>
      </c>
      <c r="K60" s="19">
        <v>4.4902788218365686E-2</v>
      </c>
      <c r="L60" s="19">
        <v>1</v>
      </c>
      <c r="M60" s="19">
        <v>0.99152175913147489</v>
      </c>
      <c r="N60" s="19">
        <v>1.2653016899448205E-2</v>
      </c>
      <c r="O60" s="19">
        <v>0.98107390978509668</v>
      </c>
      <c r="P60" s="19">
        <v>2.2946254030552213E-2</v>
      </c>
    </row>
    <row r="61" spans="2:16" x14ac:dyDescent="0.2">
      <c r="B61" t="s">
        <v>580</v>
      </c>
      <c r="C61" t="s">
        <v>390</v>
      </c>
      <c r="D61" s="18">
        <v>42523.55982638889</v>
      </c>
      <c r="E61" t="s">
        <v>161</v>
      </c>
      <c r="F61" s="19">
        <v>0.96679566579076348</v>
      </c>
      <c r="G61" s="19">
        <v>0.91438623924941365</v>
      </c>
      <c r="H61" s="19">
        <v>0.94946569283377935</v>
      </c>
      <c r="I61" s="19">
        <v>3.7573548254268091E-2</v>
      </c>
      <c r="J61" s="19">
        <v>0.90713137393473064</v>
      </c>
      <c r="K61" s="19">
        <v>4.4902788218365686E-2</v>
      </c>
      <c r="L61" s="19">
        <v>1</v>
      </c>
      <c r="M61" s="19">
        <v>0.99152175913147489</v>
      </c>
      <c r="N61" s="19">
        <v>1.2653016899448205E-2</v>
      </c>
      <c r="O61" s="19">
        <v>0.98107390978509668</v>
      </c>
      <c r="P61" s="19">
        <v>2.2946254030552213E-2</v>
      </c>
    </row>
    <row r="62" spans="2:16" x14ac:dyDescent="0.2">
      <c r="B62" t="s">
        <v>541</v>
      </c>
      <c r="C62" t="s">
        <v>380</v>
      </c>
      <c r="D62" s="18">
        <v>42523.55982638889</v>
      </c>
      <c r="E62" t="s">
        <v>146</v>
      </c>
      <c r="F62" s="19">
        <v>0.91861956827366664</v>
      </c>
      <c r="G62" s="19">
        <v>0.84330704745666385</v>
      </c>
      <c r="H62" s="19">
        <v>0.84921072498205508</v>
      </c>
      <c r="I62" s="19">
        <v>5.6735552760467059E-2</v>
      </c>
      <c r="J62" s="19">
        <v>0.84397979735348339</v>
      </c>
      <c r="K62" s="19">
        <v>7.2855262038497487E-2</v>
      </c>
      <c r="L62" s="19"/>
      <c r="M62" s="19"/>
      <c r="N62" s="19"/>
      <c r="O62" s="19"/>
      <c r="P62" s="19"/>
    </row>
    <row r="63" spans="2:16" x14ac:dyDescent="0.2">
      <c r="B63" t="s">
        <v>627</v>
      </c>
      <c r="C63" t="s">
        <v>369</v>
      </c>
      <c r="D63" s="18">
        <v>42523.55982638889</v>
      </c>
      <c r="E63" t="s">
        <v>180</v>
      </c>
      <c r="F63" s="19">
        <v>0.96692056177585284</v>
      </c>
      <c r="G63" s="19">
        <v>0.91168188969942165</v>
      </c>
      <c r="H63" s="19">
        <v>0.88462881371324054</v>
      </c>
      <c r="I63" s="19">
        <v>5.2573741053440627E-2</v>
      </c>
      <c r="J63" s="19">
        <v>0.93558359975321115</v>
      </c>
      <c r="K63" s="19">
        <v>3.8759447709025847E-2</v>
      </c>
      <c r="L63" s="19"/>
      <c r="M63" s="19"/>
      <c r="N63" s="19"/>
      <c r="O63" s="19"/>
      <c r="P63" s="19"/>
    </row>
    <row r="64" spans="2:16" x14ac:dyDescent="0.2">
      <c r="B64" t="s">
        <v>696</v>
      </c>
      <c r="C64" t="s">
        <v>6</v>
      </c>
      <c r="D64" s="18">
        <v>42523.55982638889</v>
      </c>
      <c r="E64" t="s">
        <v>437</v>
      </c>
      <c r="F64" s="19"/>
      <c r="G64" s="19"/>
      <c r="H64" s="19"/>
      <c r="I64" s="19"/>
      <c r="J64" s="19"/>
      <c r="K64" s="19"/>
      <c r="L64" s="19">
        <v>0.97874557663908168</v>
      </c>
      <c r="M64" s="19">
        <v>0.96022377020983829</v>
      </c>
      <c r="N64" s="19">
        <v>1.9441924371058263E-2</v>
      </c>
      <c r="O64" s="19">
        <v>0.96550388301797396</v>
      </c>
      <c r="P64" s="19">
        <v>1.8743197481844335E-2</v>
      </c>
    </row>
    <row r="65" spans="2:16" x14ac:dyDescent="0.2">
      <c r="B65" t="s">
        <v>698</v>
      </c>
      <c r="C65" t="s">
        <v>6</v>
      </c>
      <c r="D65" s="18">
        <v>42523.55982638889</v>
      </c>
      <c r="E65" t="s">
        <v>437</v>
      </c>
      <c r="F65" s="19">
        <v>0.9497728462013334</v>
      </c>
      <c r="G65" s="19">
        <v>0.86239789785801046</v>
      </c>
      <c r="H65" s="19">
        <v>0.88623449452111713</v>
      </c>
      <c r="I65" s="19">
        <v>7.9674287246910332E-3</v>
      </c>
      <c r="J65" s="19">
        <v>0.89614325721971511</v>
      </c>
      <c r="K65" s="19">
        <v>1.1878939951144361E-2</v>
      </c>
      <c r="L65" s="19">
        <v>0.97874557663908168</v>
      </c>
      <c r="M65" s="19">
        <v>0.96022377020983829</v>
      </c>
      <c r="N65" s="19">
        <v>1.9441924371058263E-2</v>
      </c>
      <c r="O65" s="19">
        <v>0.96550388301797396</v>
      </c>
      <c r="P65" s="19">
        <v>1.8743197481844335E-2</v>
      </c>
    </row>
    <row r="66" spans="2:16" x14ac:dyDescent="0.2">
      <c r="B66" t="s">
        <v>605</v>
      </c>
      <c r="C66" t="s">
        <v>385</v>
      </c>
      <c r="D66" s="18">
        <v>42523.55982638889</v>
      </c>
      <c r="E66" t="s">
        <v>171</v>
      </c>
      <c r="F66" s="19">
        <v>0.94728912820120692</v>
      </c>
      <c r="G66" s="19">
        <v>0.87912858169867514</v>
      </c>
      <c r="H66" s="19">
        <v>0.89172744334566578</v>
      </c>
      <c r="I66" s="19">
        <v>4.6851682873468331E-2</v>
      </c>
      <c r="J66" s="19">
        <v>0.87784379579011784</v>
      </c>
      <c r="K66" s="19">
        <v>4.9433115784685386E-2</v>
      </c>
      <c r="L66" s="19"/>
      <c r="M66" s="19"/>
      <c r="N66" s="19"/>
      <c r="O66" s="19"/>
      <c r="P66" s="19"/>
    </row>
    <row r="67" spans="2:16" x14ac:dyDescent="0.2">
      <c r="B67" t="s">
        <v>670</v>
      </c>
      <c r="C67" t="s">
        <v>369</v>
      </c>
      <c r="D67" s="18">
        <v>42523.55982638889</v>
      </c>
      <c r="E67" t="s">
        <v>669</v>
      </c>
      <c r="F67" s="152"/>
      <c r="G67" s="152"/>
      <c r="H67" s="152">
        <v>0.89759466437177282</v>
      </c>
      <c r="I67" s="152">
        <v>0.10671378704499994</v>
      </c>
      <c r="J67" s="152">
        <v>0.8014398438901591</v>
      </c>
      <c r="K67" s="152">
        <v>7.9984757881603349E-2</v>
      </c>
      <c r="L67" s="152"/>
      <c r="M67" s="152"/>
      <c r="N67" s="152"/>
      <c r="O67" s="152"/>
      <c r="P67" s="152"/>
    </row>
    <row r="68" spans="2:16" x14ac:dyDescent="0.2">
      <c r="B68" t="s">
        <v>629</v>
      </c>
      <c r="C68" t="s">
        <v>369</v>
      </c>
      <c r="D68" s="18">
        <v>42523.55982638889</v>
      </c>
      <c r="E68" t="s">
        <v>89</v>
      </c>
      <c r="F68" s="152">
        <v>0.9191072989348622</v>
      </c>
      <c r="G68" s="152">
        <v>0.88923685010641551</v>
      </c>
      <c r="H68" s="152">
        <v>0.85806531626797</v>
      </c>
      <c r="I68" s="152">
        <v>4.6232573966075351E-2</v>
      </c>
      <c r="J68" s="152">
        <v>0.88214563538367519</v>
      </c>
      <c r="K68" s="152">
        <v>4.7400330142663948E-2</v>
      </c>
      <c r="L68" s="152"/>
      <c r="M68" s="152"/>
      <c r="N68" s="152"/>
      <c r="O68" s="152"/>
      <c r="P68" s="152"/>
    </row>
    <row r="69" spans="2:16" x14ac:dyDescent="0.2">
      <c r="B69" t="s">
        <v>639</v>
      </c>
      <c r="C69" t="s">
        <v>390</v>
      </c>
      <c r="D69" s="18">
        <v>42523.55982638889</v>
      </c>
      <c r="E69" t="s">
        <v>185</v>
      </c>
      <c r="F69" s="152">
        <v>0.91965445985385919</v>
      </c>
      <c r="G69" s="152">
        <v>0.82063568120108599</v>
      </c>
      <c r="H69" s="152">
        <v>0.86848144069587663</v>
      </c>
      <c r="I69" s="152">
        <v>5.5779530091350012E-2</v>
      </c>
      <c r="J69" s="152">
        <v>0.91587340345604806</v>
      </c>
      <c r="K69" s="152">
        <v>5.7590586817544608E-2</v>
      </c>
      <c r="L69" s="152"/>
      <c r="M69" s="152"/>
      <c r="N69" s="152"/>
      <c r="O69" s="152"/>
      <c r="P69" s="152"/>
    </row>
    <row r="70" spans="2:16" x14ac:dyDescent="0.2">
      <c r="B70" t="s">
        <v>643</v>
      </c>
      <c r="C70" t="s">
        <v>369</v>
      </c>
      <c r="D70" s="18">
        <v>42523.55982638889</v>
      </c>
      <c r="E70" t="s">
        <v>187</v>
      </c>
      <c r="F70" s="152">
        <v>0.95149591370667741</v>
      </c>
      <c r="G70" s="152">
        <v>0.91573556797020483</v>
      </c>
      <c r="H70" s="152">
        <v>0.85804729914095657</v>
      </c>
      <c r="I70" s="152">
        <v>4.8649074517755582E-2</v>
      </c>
      <c r="J70" s="152">
        <v>0.90350992410974906</v>
      </c>
      <c r="K70" s="152">
        <v>5.2074850776981735E-2</v>
      </c>
      <c r="L70" s="152"/>
      <c r="M70" s="152"/>
      <c r="N70" s="152"/>
      <c r="O70" s="152"/>
      <c r="P70" s="152"/>
    </row>
    <row r="71" spans="2:16" x14ac:dyDescent="0.2">
      <c r="B71" t="s">
        <v>543</v>
      </c>
      <c r="C71" t="s">
        <v>369</v>
      </c>
      <c r="D71" s="18">
        <v>42523.55982638889</v>
      </c>
      <c r="E71" t="s">
        <v>147</v>
      </c>
      <c r="F71" s="152">
        <v>0.96872664880122283</v>
      </c>
      <c r="G71" s="152">
        <v>0.87883681535855473</v>
      </c>
      <c r="H71" s="152">
        <v>0.85656686002198301</v>
      </c>
      <c r="I71" s="152">
        <v>4.9582427621842839E-2</v>
      </c>
      <c r="J71" s="152">
        <v>0.93191652189407104</v>
      </c>
      <c r="K71" s="152">
        <v>4.3663242563424375E-2</v>
      </c>
      <c r="L71" s="152"/>
      <c r="M71" s="152"/>
      <c r="N71" s="152"/>
      <c r="O71" s="152"/>
      <c r="P71" s="152"/>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950</v>
      </c>
      <c r="C2" t="s">
        <v>951</v>
      </c>
      <c r="D2" t="s">
        <v>133</v>
      </c>
      <c r="F2" t="s">
        <v>945</v>
      </c>
      <c r="G2" t="s">
        <v>932</v>
      </c>
      <c r="H2" t="s">
        <v>933</v>
      </c>
      <c r="I2" t="s">
        <v>934</v>
      </c>
      <c r="J2" t="s">
        <v>935</v>
      </c>
      <c r="K2" t="s">
        <v>936</v>
      </c>
      <c r="L2" t="s">
        <v>937</v>
      </c>
      <c r="M2" t="s">
        <v>938</v>
      </c>
      <c r="N2" t="s">
        <v>939</v>
      </c>
      <c r="O2" t="s">
        <v>940</v>
      </c>
      <c r="P2" t="s">
        <v>941</v>
      </c>
      <c r="Q2" t="s">
        <v>942</v>
      </c>
      <c r="R2" t="s">
        <v>943</v>
      </c>
      <c r="S2" t="s">
        <v>944</v>
      </c>
      <c r="V2" t="s">
        <v>946</v>
      </c>
      <c r="W2" t="s">
        <v>932</v>
      </c>
      <c r="X2" t="s">
        <v>933</v>
      </c>
      <c r="Y2" t="s">
        <v>934</v>
      </c>
      <c r="Z2" t="s">
        <v>935</v>
      </c>
      <c r="AA2" t="s">
        <v>936</v>
      </c>
      <c r="AB2" t="s">
        <v>937</v>
      </c>
      <c r="AC2" t="s">
        <v>938</v>
      </c>
      <c r="AD2" t="s">
        <v>939</v>
      </c>
      <c r="AE2" t="s">
        <v>940</v>
      </c>
      <c r="AF2" t="s">
        <v>941</v>
      </c>
      <c r="AG2" t="s">
        <v>942</v>
      </c>
      <c r="AH2" t="s">
        <v>943</v>
      </c>
      <c r="AI2" t="s">
        <v>944</v>
      </c>
      <c r="AL2" t="s">
        <v>947</v>
      </c>
      <c r="AM2" t="s">
        <v>932</v>
      </c>
      <c r="AN2" t="s">
        <v>933</v>
      </c>
      <c r="AO2" t="s">
        <v>934</v>
      </c>
      <c r="AP2" t="s">
        <v>935</v>
      </c>
      <c r="AQ2" t="s">
        <v>936</v>
      </c>
      <c r="AR2" t="s">
        <v>937</v>
      </c>
      <c r="AS2" t="s">
        <v>938</v>
      </c>
      <c r="AT2" t="s">
        <v>939</v>
      </c>
      <c r="AU2" t="s">
        <v>940</v>
      </c>
      <c r="AV2" t="s">
        <v>941</v>
      </c>
      <c r="AW2" t="s">
        <v>942</v>
      </c>
      <c r="AX2" t="s">
        <v>943</v>
      </c>
      <c r="AY2" t="s">
        <v>944</v>
      </c>
    </row>
    <row r="3" spans="2:51" x14ac:dyDescent="0.2">
      <c r="B3" t="s">
        <v>953</v>
      </c>
      <c r="C3">
        <v>405311</v>
      </c>
      <c r="D3">
        <v>407.23161722269998</v>
      </c>
      <c r="F3" t="s">
        <v>8</v>
      </c>
      <c r="G3">
        <v>10627</v>
      </c>
      <c r="P3">
        <v>10627</v>
      </c>
      <c r="Q3">
        <v>175.84875294119999</v>
      </c>
      <c r="V3" t="s">
        <v>309</v>
      </c>
      <c r="W3">
        <v>343</v>
      </c>
      <c r="X3">
        <v>227</v>
      </c>
      <c r="Y3">
        <v>346.35682819380003</v>
      </c>
      <c r="Z3">
        <v>103</v>
      </c>
      <c r="AA3">
        <v>468.97087378639998</v>
      </c>
      <c r="AB3">
        <v>75</v>
      </c>
      <c r="AC3">
        <v>476.50666666670003</v>
      </c>
      <c r="AD3">
        <v>29</v>
      </c>
      <c r="AE3">
        <v>609.34482758620004</v>
      </c>
      <c r="AF3">
        <v>11</v>
      </c>
      <c r="AG3">
        <v>231.9090909091</v>
      </c>
      <c r="AH3">
        <v>1</v>
      </c>
      <c r="AI3">
        <v>327</v>
      </c>
      <c r="AL3" t="s">
        <v>309</v>
      </c>
      <c r="AM3">
        <v>1</v>
      </c>
      <c r="AP3">
        <v>2</v>
      </c>
      <c r="AQ3">
        <v>309.5</v>
      </c>
      <c r="AR3">
        <v>1</v>
      </c>
      <c r="AS3">
        <v>15</v>
      </c>
    </row>
    <row r="4" spans="2:51" x14ac:dyDescent="0.2">
      <c r="B4" t="s">
        <v>952</v>
      </c>
      <c r="C4">
        <v>34659</v>
      </c>
      <c r="D4">
        <v>407.23161722269998</v>
      </c>
      <c r="F4" t="s">
        <v>8</v>
      </c>
      <c r="G4">
        <v>10627</v>
      </c>
      <c r="P4">
        <v>10627</v>
      </c>
      <c r="Q4">
        <v>175.84875294119999</v>
      </c>
      <c r="V4" t="s">
        <v>8</v>
      </c>
      <c r="W4">
        <v>4456</v>
      </c>
      <c r="X4">
        <v>3290</v>
      </c>
      <c r="Y4">
        <v>474.84311340829998</v>
      </c>
      <c r="Z4">
        <v>493</v>
      </c>
      <c r="AA4">
        <v>457.69979716019998</v>
      </c>
      <c r="AB4">
        <v>454</v>
      </c>
      <c r="AC4">
        <v>460.65859030839999</v>
      </c>
      <c r="AD4">
        <v>674</v>
      </c>
      <c r="AE4">
        <v>862.79821958460002</v>
      </c>
      <c r="AF4">
        <v>34</v>
      </c>
      <c r="AG4">
        <v>393.6764705882</v>
      </c>
      <c r="AH4">
        <v>4</v>
      </c>
      <c r="AI4">
        <v>376.5</v>
      </c>
      <c r="AL4" t="s">
        <v>8</v>
      </c>
      <c r="AM4">
        <v>38</v>
      </c>
      <c r="AN4">
        <v>35</v>
      </c>
      <c r="AO4">
        <v>187.1142857143</v>
      </c>
      <c r="AP4">
        <v>11</v>
      </c>
      <c r="AQ4">
        <v>398.1818181818</v>
      </c>
      <c r="AR4">
        <v>3</v>
      </c>
      <c r="AS4">
        <v>190</v>
      </c>
    </row>
    <row r="5" spans="2:51" x14ac:dyDescent="0.2">
      <c r="B5" t="s">
        <v>964</v>
      </c>
      <c r="C5">
        <v>26282</v>
      </c>
      <c r="D5">
        <v>551.55243132179999</v>
      </c>
      <c r="F5" t="s">
        <v>43</v>
      </c>
      <c r="G5">
        <v>589</v>
      </c>
      <c r="H5">
        <v>495</v>
      </c>
      <c r="I5">
        <v>255.11515151520001</v>
      </c>
      <c r="J5">
        <v>56</v>
      </c>
      <c r="K5">
        <v>531.19642857140002</v>
      </c>
      <c r="L5">
        <v>75</v>
      </c>
      <c r="M5">
        <v>203.0933333333</v>
      </c>
      <c r="N5">
        <v>16</v>
      </c>
      <c r="O5">
        <v>287.25</v>
      </c>
      <c r="R5">
        <v>3</v>
      </c>
      <c r="S5">
        <v>254.6666666667</v>
      </c>
      <c r="V5" t="s">
        <v>8</v>
      </c>
      <c r="W5">
        <v>4799</v>
      </c>
      <c r="X5">
        <v>3517</v>
      </c>
      <c r="Y5">
        <v>466.54778156999998</v>
      </c>
      <c r="Z5">
        <v>596</v>
      </c>
      <c r="AA5">
        <v>459.64765100670002</v>
      </c>
      <c r="AB5">
        <v>529</v>
      </c>
      <c r="AC5">
        <v>462.90548204160001</v>
      </c>
      <c r="AD5">
        <v>703</v>
      </c>
      <c r="AE5">
        <v>852.3428165007</v>
      </c>
      <c r="AF5">
        <v>45</v>
      </c>
      <c r="AG5">
        <v>354.13333333330002</v>
      </c>
      <c r="AH5">
        <v>5</v>
      </c>
      <c r="AI5">
        <v>366.6</v>
      </c>
      <c r="AL5" t="s">
        <v>8</v>
      </c>
      <c r="AM5">
        <v>39</v>
      </c>
      <c r="AN5">
        <v>35</v>
      </c>
      <c r="AO5">
        <v>187.1142857143</v>
      </c>
      <c r="AP5">
        <v>13</v>
      </c>
      <c r="AQ5">
        <v>384.53846153849997</v>
      </c>
      <c r="AR5">
        <v>4</v>
      </c>
      <c r="AS5">
        <v>146.25</v>
      </c>
    </row>
    <row r="6" spans="2:51" x14ac:dyDescent="0.2">
      <c r="B6" t="s">
        <v>241</v>
      </c>
      <c r="C6">
        <v>52317</v>
      </c>
      <c r="D6">
        <v>556.9525010991</v>
      </c>
      <c r="F6" t="s">
        <v>37</v>
      </c>
      <c r="G6">
        <v>8250</v>
      </c>
      <c r="H6">
        <v>6678</v>
      </c>
      <c r="I6">
        <v>444.65708295899998</v>
      </c>
      <c r="J6">
        <v>389</v>
      </c>
      <c r="K6">
        <v>876.57326478150003</v>
      </c>
      <c r="L6">
        <v>1056</v>
      </c>
      <c r="M6">
        <v>633.69318181819995</v>
      </c>
      <c r="N6">
        <v>492</v>
      </c>
      <c r="O6">
        <v>598.63617886179998</v>
      </c>
      <c r="R6">
        <v>24</v>
      </c>
      <c r="S6">
        <v>419.9166666667</v>
      </c>
      <c r="V6" t="s">
        <v>399</v>
      </c>
      <c r="W6">
        <v>1499</v>
      </c>
      <c r="X6">
        <v>844</v>
      </c>
      <c r="Y6">
        <v>184.154028436</v>
      </c>
      <c r="Z6">
        <v>172</v>
      </c>
      <c r="AA6">
        <v>302.18604651160001</v>
      </c>
      <c r="AB6">
        <v>463</v>
      </c>
      <c r="AC6">
        <v>304.3628509719</v>
      </c>
      <c r="AD6">
        <v>126</v>
      </c>
      <c r="AE6">
        <v>316.15079365079998</v>
      </c>
      <c r="AF6">
        <v>64</v>
      </c>
      <c r="AG6">
        <v>170.203125</v>
      </c>
      <c r="AH6">
        <v>2</v>
      </c>
      <c r="AI6">
        <v>117</v>
      </c>
      <c r="AL6" t="s">
        <v>399</v>
      </c>
      <c r="AM6">
        <v>35</v>
      </c>
      <c r="AN6">
        <v>26</v>
      </c>
      <c r="AO6">
        <v>93.576923076900002</v>
      </c>
      <c r="AP6">
        <v>16</v>
      </c>
      <c r="AQ6">
        <v>212</v>
      </c>
      <c r="AR6">
        <v>8</v>
      </c>
      <c r="AS6">
        <v>198.625</v>
      </c>
      <c r="AT6">
        <v>1</v>
      </c>
      <c r="AU6">
        <v>39</v>
      </c>
    </row>
    <row r="7" spans="2:51" x14ac:dyDescent="0.2">
      <c r="B7" t="s">
        <v>240</v>
      </c>
      <c r="C7">
        <v>236237</v>
      </c>
      <c r="D7">
        <v>405.28290225630002</v>
      </c>
      <c r="F7" t="s">
        <v>42</v>
      </c>
      <c r="G7">
        <v>5457</v>
      </c>
      <c r="H7">
        <v>3834</v>
      </c>
      <c r="I7">
        <v>376.39436619719999</v>
      </c>
      <c r="J7">
        <v>800</v>
      </c>
      <c r="K7">
        <v>536.91875000000005</v>
      </c>
      <c r="L7">
        <v>1033</v>
      </c>
      <c r="M7">
        <v>491.8267182962</v>
      </c>
      <c r="N7">
        <v>549</v>
      </c>
      <c r="O7">
        <v>412.7249544627</v>
      </c>
      <c r="R7">
        <v>41</v>
      </c>
      <c r="S7">
        <v>385.31707317069998</v>
      </c>
      <c r="V7" t="s">
        <v>391</v>
      </c>
      <c r="W7">
        <v>12939</v>
      </c>
      <c r="X7">
        <v>9591</v>
      </c>
      <c r="Y7">
        <v>638.60139714319996</v>
      </c>
      <c r="Z7">
        <v>714</v>
      </c>
      <c r="AA7">
        <v>955.35854341740003</v>
      </c>
      <c r="AB7">
        <v>2338</v>
      </c>
      <c r="AC7">
        <v>1204.5389221557</v>
      </c>
      <c r="AD7">
        <v>791</v>
      </c>
      <c r="AE7">
        <v>908.01390644749995</v>
      </c>
      <c r="AF7">
        <v>198</v>
      </c>
      <c r="AG7">
        <v>198.2929292929</v>
      </c>
      <c r="AH7">
        <v>21</v>
      </c>
      <c r="AI7">
        <v>759.71428571429999</v>
      </c>
      <c r="AL7" t="s">
        <v>391</v>
      </c>
      <c r="AM7">
        <v>306</v>
      </c>
      <c r="AN7">
        <v>212</v>
      </c>
      <c r="AO7">
        <v>416.77358490569998</v>
      </c>
      <c r="AP7">
        <v>31</v>
      </c>
      <c r="AQ7">
        <v>876.70967741940001</v>
      </c>
      <c r="AR7">
        <v>90</v>
      </c>
      <c r="AS7">
        <v>387</v>
      </c>
      <c r="AT7">
        <v>4</v>
      </c>
      <c r="AU7">
        <v>903.75</v>
      </c>
    </row>
    <row r="8" spans="2:51" x14ac:dyDescent="0.2">
      <c r="B8" t="s">
        <v>242</v>
      </c>
      <c r="C8">
        <v>23414</v>
      </c>
      <c r="D8">
        <v>511.42381135459999</v>
      </c>
      <c r="F8" t="s">
        <v>50</v>
      </c>
      <c r="G8">
        <v>1093</v>
      </c>
      <c r="H8">
        <v>449</v>
      </c>
      <c r="I8">
        <v>288.3184855234</v>
      </c>
      <c r="J8">
        <v>436</v>
      </c>
      <c r="K8">
        <v>305.95871559630001</v>
      </c>
      <c r="L8">
        <v>477</v>
      </c>
      <c r="M8">
        <v>193.4591194969</v>
      </c>
      <c r="N8">
        <v>166</v>
      </c>
      <c r="O8">
        <v>211.63253012050001</v>
      </c>
      <c r="R8">
        <v>1</v>
      </c>
      <c r="S8">
        <v>194</v>
      </c>
      <c r="V8" t="s">
        <v>422</v>
      </c>
      <c r="W8">
        <v>1358</v>
      </c>
      <c r="X8">
        <v>919</v>
      </c>
      <c r="Y8">
        <v>200.0304678999</v>
      </c>
      <c r="Z8">
        <v>152</v>
      </c>
      <c r="AA8">
        <v>361.69736842110001</v>
      </c>
      <c r="AB8">
        <v>165</v>
      </c>
      <c r="AC8">
        <v>150.79393939389999</v>
      </c>
      <c r="AD8">
        <v>184</v>
      </c>
      <c r="AE8">
        <v>379.1847826087</v>
      </c>
      <c r="AF8">
        <v>85</v>
      </c>
      <c r="AG8">
        <v>154.49411764710001</v>
      </c>
      <c r="AH8">
        <v>5</v>
      </c>
      <c r="AI8">
        <v>322.39999999999998</v>
      </c>
      <c r="AL8" t="s">
        <v>422</v>
      </c>
      <c r="AM8">
        <v>27</v>
      </c>
      <c r="AN8">
        <v>23</v>
      </c>
      <c r="AO8">
        <v>161.26086956520001</v>
      </c>
      <c r="AP8">
        <v>6</v>
      </c>
      <c r="AQ8">
        <v>200</v>
      </c>
      <c r="AR8">
        <v>4</v>
      </c>
      <c r="AS8">
        <v>311.25</v>
      </c>
    </row>
    <row r="9" spans="2:51" x14ac:dyDescent="0.2">
      <c r="B9" t="s">
        <v>243</v>
      </c>
      <c r="C9">
        <v>10627</v>
      </c>
      <c r="D9">
        <v>175.84875294119999</v>
      </c>
      <c r="F9" t="s">
        <v>81</v>
      </c>
      <c r="G9">
        <v>1397</v>
      </c>
      <c r="H9">
        <v>1046</v>
      </c>
      <c r="I9">
        <v>237.9923518164</v>
      </c>
      <c r="J9">
        <v>183</v>
      </c>
      <c r="K9">
        <v>377.93442622949999</v>
      </c>
      <c r="L9">
        <v>150</v>
      </c>
      <c r="M9">
        <v>111.96666666669999</v>
      </c>
      <c r="N9">
        <v>195</v>
      </c>
      <c r="O9">
        <v>378.79487179490002</v>
      </c>
      <c r="R9">
        <v>6</v>
      </c>
      <c r="S9">
        <v>274.1666666667</v>
      </c>
      <c r="V9" t="s">
        <v>392</v>
      </c>
      <c r="W9">
        <v>8192</v>
      </c>
      <c r="X9">
        <v>6332</v>
      </c>
      <c r="Y9">
        <v>501.40950726469998</v>
      </c>
      <c r="Z9">
        <v>388</v>
      </c>
      <c r="AA9">
        <v>860.98195876290004</v>
      </c>
      <c r="AB9">
        <v>1337</v>
      </c>
      <c r="AC9">
        <v>910.34779356770002</v>
      </c>
      <c r="AD9">
        <v>412</v>
      </c>
      <c r="AE9">
        <v>704.98543689320002</v>
      </c>
      <c r="AF9">
        <v>110</v>
      </c>
      <c r="AG9">
        <v>145.8272727273</v>
      </c>
      <c r="AH9">
        <v>1</v>
      </c>
      <c r="AI9">
        <v>317</v>
      </c>
      <c r="AL9" t="s">
        <v>392</v>
      </c>
      <c r="AM9">
        <v>136</v>
      </c>
      <c r="AN9">
        <v>110</v>
      </c>
      <c r="AO9">
        <v>389.07272727269998</v>
      </c>
      <c r="AP9">
        <v>19</v>
      </c>
      <c r="AQ9">
        <v>782.21052631580005</v>
      </c>
      <c r="AR9">
        <v>25</v>
      </c>
      <c r="AS9">
        <v>219.76</v>
      </c>
      <c r="AT9">
        <v>1</v>
      </c>
      <c r="AU9">
        <v>267</v>
      </c>
    </row>
    <row r="10" spans="2:51" x14ac:dyDescent="0.2">
      <c r="B10" t="s">
        <v>948</v>
      </c>
      <c r="C10">
        <v>618</v>
      </c>
      <c r="D10">
        <v>438.63592233010002</v>
      </c>
      <c r="F10" t="s">
        <v>76</v>
      </c>
      <c r="G10">
        <v>4006</v>
      </c>
      <c r="H10">
        <v>1964</v>
      </c>
      <c r="I10">
        <v>217.2306517312</v>
      </c>
      <c r="J10">
        <v>777</v>
      </c>
      <c r="K10">
        <v>303.17503217500001</v>
      </c>
      <c r="L10">
        <v>1959</v>
      </c>
      <c r="M10">
        <v>360.40326697289998</v>
      </c>
      <c r="N10">
        <v>83</v>
      </c>
      <c r="O10">
        <v>228.45783132529999</v>
      </c>
      <c r="V10" t="s">
        <v>394</v>
      </c>
      <c r="W10">
        <v>8423</v>
      </c>
      <c r="X10">
        <v>6604</v>
      </c>
      <c r="Y10">
        <v>441.2578740157</v>
      </c>
      <c r="Z10">
        <v>400</v>
      </c>
      <c r="AA10">
        <v>852.46</v>
      </c>
      <c r="AB10">
        <v>1058</v>
      </c>
      <c r="AC10">
        <v>631.84404536859995</v>
      </c>
      <c r="AD10">
        <v>492</v>
      </c>
      <c r="AE10">
        <v>585.70325203250002</v>
      </c>
      <c r="AF10">
        <v>245</v>
      </c>
      <c r="AG10">
        <v>170.75918367349999</v>
      </c>
      <c r="AH10">
        <v>24</v>
      </c>
      <c r="AI10">
        <v>419.9166666667</v>
      </c>
      <c r="AL10" t="s">
        <v>394</v>
      </c>
      <c r="AM10">
        <v>323</v>
      </c>
      <c r="AN10">
        <v>218</v>
      </c>
      <c r="AO10">
        <v>402.5688073394</v>
      </c>
      <c r="AP10">
        <v>23</v>
      </c>
      <c r="AQ10">
        <v>515.13043478259999</v>
      </c>
      <c r="AR10">
        <v>97</v>
      </c>
      <c r="AS10">
        <v>403.92783505149998</v>
      </c>
      <c r="AT10">
        <v>8</v>
      </c>
      <c r="AU10">
        <v>333.25</v>
      </c>
    </row>
    <row r="11" spans="2:51" x14ac:dyDescent="0.2">
      <c r="F11" t="s">
        <v>38</v>
      </c>
      <c r="G11">
        <v>12734</v>
      </c>
      <c r="H11">
        <v>9548</v>
      </c>
      <c r="I11">
        <v>647.11510263929995</v>
      </c>
      <c r="J11">
        <v>608</v>
      </c>
      <c r="K11">
        <v>1015.7861842105</v>
      </c>
      <c r="L11">
        <v>2388</v>
      </c>
      <c r="M11">
        <v>1230.5632328308</v>
      </c>
      <c r="N11">
        <v>778</v>
      </c>
      <c r="O11">
        <v>926.30719794339996</v>
      </c>
      <c r="R11">
        <v>20</v>
      </c>
      <c r="S11">
        <v>774.35</v>
      </c>
      <c r="V11" t="s">
        <v>395</v>
      </c>
      <c r="W11">
        <v>5467</v>
      </c>
      <c r="X11">
        <v>3556</v>
      </c>
      <c r="Y11">
        <v>362.00899887510002</v>
      </c>
      <c r="Z11">
        <v>643</v>
      </c>
      <c r="AA11">
        <v>517.62208398129997</v>
      </c>
      <c r="AB11">
        <v>1047</v>
      </c>
      <c r="AC11">
        <v>495.84336198659997</v>
      </c>
      <c r="AD11">
        <v>558</v>
      </c>
      <c r="AE11">
        <v>419.57347670249999</v>
      </c>
      <c r="AF11">
        <v>264</v>
      </c>
      <c r="AG11">
        <v>165.42045454550001</v>
      </c>
      <c r="AH11">
        <v>42</v>
      </c>
      <c r="AI11">
        <v>379.19047619050002</v>
      </c>
      <c r="AL11" t="s">
        <v>395</v>
      </c>
      <c r="AM11">
        <v>236</v>
      </c>
      <c r="AN11">
        <v>185</v>
      </c>
      <c r="AO11">
        <v>366.25945945950002</v>
      </c>
      <c r="AP11">
        <v>20</v>
      </c>
      <c r="AQ11">
        <v>479.05</v>
      </c>
      <c r="AR11">
        <v>43</v>
      </c>
      <c r="AS11">
        <v>365.20930232559999</v>
      </c>
      <c r="AT11">
        <v>7</v>
      </c>
      <c r="AU11">
        <v>375.14285714290003</v>
      </c>
      <c r="AV11">
        <v>1</v>
      </c>
      <c r="AW11">
        <v>80</v>
      </c>
    </row>
    <row r="12" spans="2:51" x14ac:dyDescent="0.2">
      <c r="F12" t="s">
        <v>56</v>
      </c>
      <c r="G12">
        <v>3147</v>
      </c>
      <c r="H12">
        <v>2690</v>
      </c>
      <c r="I12">
        <v>318.49962825279999</v>
      </c>
      <c r="J12">
        <v>342</v>
      </c>
      <c r="K12">
        <v>327.04093567249998</v>
      </c>
      <c r="L12">
        <v>415</v>
      </c>
      <c r="M12">
        <v>314.6674698795</v>
      </c>
      <c r="N12">
        <v>42</v>
      </c>
      <c r="O12">
        <v>107.2857142857</v>
      </c>
      <c r="V12" t="s">
        <v>397</v>
      </c>
      <c r="W12">
        <v>6430</v>
      </c>
      <c r="X12">
        <v>5425</v>
      </c>
      <c r="Y12">
        <v>290.00940092169998</v>
      </c>
      <c r="Z12">
        <v>571</v>
      </c>
      <c r="AA12">
        <v>544.4605954466</v>
      </c>
      <c r="AB12">
        <v>343</v>
      </c>
      <c r="AC12">
        <v>223.29446064140001</v>
      </c>
      <c r="AD12">
        <v>409</v>
      </c>
      <c r="AE12">
        <v>397.09290953549998</v>
      </c>
      <c r="AF12">
        <v>238</v>
      </c>
      <c r="AG12">
        <v>180.0504201681</v>
      </c>
      <c r="AH12">
        <v>15</v>
      </c>
      <c r="AI12">
        <v>351.73333333329998</v>
      </c>
      <c r="AL12" t="s">
        <v>397</v>
      </c>
      <c r="AM12">
        <v>212</v>
      </c>
      <c r="AN12">
        <v>170</v>
      </c>
      <c r="AO12">
        <v>360.24117647060001</v>
      </c>
      <c r="AP12">
        <v>12</v>
      </c>
      <c r="AQ12">
        <v>640.66666666670005</v>
      </c>
      <c r="AR12">
        <v>39</v>
      </c>
      <c r="AS12">
        <v>228.358974359</v>
      </c>
      <c r="AT12">
        <v>3</v>
      </c>
      <c r="AU12">
        <v>466.6666666667</v>
      </c>
    </row>
    <row r="13" spans="2:51" x14ac:dyDescent="0.2">
      <c r="F13" t="s">
        <v>75</v>
      </c>
      <c r="G13">
        <v>6075</v>
      </c>
      <c r="H13">
        <v>5381</v>
      </c>
      <c r="I13">
        <v>284.29790001859999</v>
      </c>
      <c r="J13">
        <v>566</v>
      </c>
      <c r="K13">
        <v>544.48233215549999</v>
      </c>
      <c r="L13">
        <v>273</v>
      </c>
      <c r="M13">
        <v>131.7362637363</v>
      </c>
      <c r="N13">
        <v>406</v>
      </c>
      <c r="O13">
        <v>390.09113300489997</v>
      </c>
      <c r="R13">
        <v>15</v>
      </c>
      <c r="S13">
        <v>351.73333333329998</v>
      </c>
      <c r="V13" t="s">
        <v>400</v>
      </c>
      <c r="W13">
        <v>1043</v>
      </c>
      <c r="X13">
        <v>256</v>
      </c>
      <c r="Y13">
        <v>134.91796875</v>
      </c>
      <c r="Z13">
        <v>318</v>
      </c>
      <c r="AA13">
        <v>235.76729559750001</v>
      </c>
      <c r="AB13">
        <v>512</v>
      </c>
      <c r="AC13">
        <v>224.666015625</v>
      </c>
      <c r="AD13">
        <v>170</v>
      </c>
      <c r="AE13">
        <v>220.40588235289999</v>
      </c>
      <c r="AF13">
        <v>104</v>
      </c>
      <c r="AG13">
        <v>190.75961538460001</v>
      </c>
      <c r="AH13">
        <v>1</v>
      </c>
      <c r="AI13">
        <v>194</v>
      </c>
      <c r="AL13" t="s">
        <v>400</v>
      </c>
      <c r="AM13">
        <v>16</v>
      </c>
      <c r="AN13">
        <v>8</v>
      </c>
      <c r="AO13">
        <v>156</v>
      </c>
      <c r="AP13">
        <v>4</v>
      </c>
      <c r="AQ13">
        <v>274.5</v>
      </c>
      <c r="AR13">
        <v>5</v>
      </c>
      <c r="AS13">
        <v>120.4</v>
      </c>
      <c r="AT13">
        <v>3</v>
      </c>
      <c r="AU13">
        <v>188</v>
      </c>
    </row>
    <row r="14" spans="2:51" x14ac:dyDescent="0.2">
      <c r="F14" t="s">
        <v>41</v>
      </c>
      <c r="G14">
        <v>1491</v>
      </c>
      <c r="H14">
        <v>905</v>
      </c>
      <c r="I14">
        <v>194.70497237570001</v>
      </c>
      <c r="J14">
        <v>200</v>
      </c>
      <c r="K14">
        <v>328.40499999999997</v>
      </c>
      <c r="L14">
        <v>460</v>
      </c>
      <c r="M14">
        <v>298.29565217390001</v>
      </c>
      <c r="N14">
        <v>124</v>
      </c>
      <c r="O14">
        <v>312.91935483869997</v>
      </c>
      <c r="R14">
        <v>2</v>
      </c>
      <c r="S14">
        <v>117</v>
      </c>
      <c r="V14" t="s">
        <v>401</v>
      </c>
      <c r="W14">
        <v>2285</v>
      </c>
      <c r="X14">
        <v>1068</v>
      </c>
      <c r="Y14">
        <v>166.7088014981</v>
      </c>
      <c r="Z14">
        <v>470</v>
      </c>
      <c r="AA14">
        <v>216.22340425530001</v>
      </c>
      <c r="AB14">
        <v>995</v>
      </c>
      <c r="AC14">
        <v>285.45829145729999</v>
      </c>
      <c r="AD14">
        <v>76</v>
      </c>
      <c r="AE14">
        <v>277.5</v>
      </c>
      <c r="AF14">
        <v>145</v>
      </c>
      <c r="AG14">
        <v>155.64137931030001</v>
      </c>
      <c r="AH14">
        <v>1</v>
      </c>
      <c r="AI14">
        <v>368</v>
      </c>
      <c r="AL14" t="s">
        <v>401</v>
      </c>
      <c r="AM14">
        <v>30</v>
      </c>
      <c r="AN14">
        <v>19</v>
      </c>
      <c r="AO14">
        <v>123.3684210526</v>
      </c>
      <c r="AP14">
        <v>14</v>
      </c>
      <c r="AQ14">
        <v>187.07142857139999</v>
      </c>
      <c r="AR14">
        <v>6</v>
      </c>
      <c r="AS14">
        <v>81</v>
      </c>
      <c r="AT14">
        <v>5</v>
      </c>
      <c r="AU14">
        <v>155.80000000000001</v>
      </c>
    </row>
    <row r="15" spans="2:51" x14ac:dyDescent="0.2">
      <c r="F15" t="s">
        <v>74</v>
      </c>
      <c r="G15">
        <v>265</v>
      </c>
      <c r="H15">
        <v>140</v>
      </c>
      <c r="I15">
        <v>293.28571428570001</v>
      </c>
      <c r="J15">
        <v>114</v>
      </c>
      <c r="K15">
        <v>239.4122807018</v>
      </c>
      <c r="L15">
        <v>82</v>
      </c>
      <c r="M15">
        <v>228.17073170730001</v>
      </c>
      <c r="N15">
        <v>34</v>
      </c>
      <c r="O15">
        <v>261.3529411765</v>
      </c>
      <c r="R15">
        <v>9</v>
      </c>
      <c r="S15">
        <v>349.7777777778</v>
      </c>
      <c r="V15" t="s">
        <v>396</v>
      </c>
      <c r="W15">
        <v>3248</v>
      </c>
      <c r="X15">
        <v>2660</v>
      </c>
      <c r="Y15">
        <v>324.75225563909999</v>
      </c>
      <c r="Z15">
        <v>344</v>
      </c>
      <c r="AA15">
        <v>346.11337209300001</v>
      </c>
      <c r="AB15">
        <v>423</v>
      </c>
      <c r="AC15">
        <v>310.96453900709997</v>
      </c>
      <c r="AD15">
        <v>60</v>
      </c>
      <c r="AE15">
        <v>232.8</v>
      </c>
      <c r="AF15">
        <v>104</v>
      </c>
      <c r="AG15">
        <v>147.17307692310001</v>
      </c>
      <c r="AH15">
        <v>1</v>
      </c>
      <c r="AI15">
        <v>207</v>
      </c>
      <c r="AL15" t="s">
        <v>396</v>
      </c>
      <c r="AM15">
        <v>98</v>
      </c>
      <c r="AN15">
        <v>77</v>
      </c>
      <c r="AO15">
        <v>339.58441558440001</v>
      </c>
      <c r="AP15">
        <v>5</v>
      </c>
      <c r="AQ15">
        <v>374.4</v>
      </c>
      <c r="AR15">
        <v>18</v>
      </c>
      <c r="AS15">
        <v>448.44444444440001</v>
      </c>
      <c r="AT15">
        <v>3</v>
      </c>
      <c r="AU15">
        <v>312</v>
      </c>
    </row>
    <row r="16" spans="2:51" x14ac:dyDescent="0.2">
      <c r="F16" t="s">
        <v>48</v>
      </c>
      <c r="G16">
        <v>8072</v>
      </c>
      <c r="H16">
        <v>6313</v>
      </c>
      <c r="I16">
        <v>509.22319024239999</v>
      </c>
      <c r="J16">
        <v>310</v>
      </c>
      <c r="K16">
        <v>948.86774193550002</v>
      </c>
      <c r="L16">
        <v>1345</v>
      </c>
      <c r="M16">
        <v>921.22230483270005</v>
      </c>
      <c r="N16">
        <v>413</v>
      </c>
      <c r="O16">
        <v>701.54237288139996</v>
      </c>
      <c r="R16">
        <v>1</v>
      </c>
      <c r="S16">
        <v>317</v>
      </c>
      <c r="V16" t="s">
        <v>419</v>
      </c>
      <c r="W16">
        <v>481</v>
      </c>
      <c r="X16">
        <v>382</v>
      </c>
      <c r="Y16">
        <v>262.03403141360002</v>
      </c>
      <c r="Z16">
        <v>36</v>
      </c>
      <c r="AA16">
        <v>548.75</v>
      </c>
      <c r="AB16">
        <v>64</v>
      </c>
      <c r="AC16">
        <v>328.8125</v>
      </c>
      <c r="AD16">
        <v>11</v>
      </c>
      <c r="AE16">
        <v>313.90909090909997</v>
      </c>
      <c r="AF16">
        <v>22</v>
      </c>
      <c r="AG16">
        <v>182.45454545449999</v>
      </c>
      <c r="AH16">
        <v>2</v>
      </c>
      <c r="AI16">
        <v>198</v>
      </c>
      <c r="AL16" t="s">
        <v>419</v>
      </c>
      <c r="AM16">
        <v>3</v>
      </c>
      <c r="AN16">
        <v>2</v>
      </c>
      <c r="AO16">
        <v>135</v>
      </c>
      <c r="AP16">
        <v>2</v>
      </c>
      <c r="AQ16">
        <v>229</v>
      </c>
      <c r="AR16">
        <v>1</v>
      </c>
      <c r="AS16">
        <v>82</v>
      </c>
    </row>
    <row r="17" spans="6:49" x14ac:dyDescent="0.2">
      <c r="F17" t="s">
        <v>390</v>
      </c>
      <c r="G17">
        <v>52576</v>
      </c>
      <c r="H17">
        <v>39443</v>
      </c>
      <c r="I17">
        <v>439.64845473209999</v>
      </c>
      <c r="J17">
        <v>4781</v>
      </c>
      <c r="K17">
        <v>557.02614515790003</v>
      </c>
      <c r="L17">
        <v>9713</v>
      </c>
      <c r="M17">
        <v>669.99691135590001</v>
      </c>
      <c r="N17">
        <v>3298</v>
      </c>
      <c r="O17">
        <v>568.41843541540004</v>
      </c>
      <c r="R17">
        <v>122</v>
      </c>
      <c r="S17">
        <v>433.9426229508</v>
      </c>
      <c r="V17" t="s">
        <v>420</v>
      </c>
      <c r="W17">
        <v>188</v>
      </c>
      <c r="X17">
        <v>59</v>
      </c>
      <c r="Y17">
        <v>261.33898305079998</v>
      </c>
      <c r="Z17">
        <v>34</v>
      </c>
      <c r="AA17">
        <v>200.1470588235</v>
      </c>
      <c r="AB17">
        <v>44</v>
      </c>
      <c r="AC17">
        <v>361.20454545450002</v>
      </c>
      <c r="AD17">
        <v>36</v>
      </c>
      <c r="AE17">
        <v>336.1666666667</v>
      </c>
      <c r="AF17">
        <v>40</v>
      </c>
      <c r="AG17">
        <v>255.05</v>
      </c>
      <c r="AH17">
        <v>9</v>
      </c>
      <c r="AI17">
        <v>349.7777777778</v>
      </c>
      <c r="AL17" t="s">
        <v>420</v>
      </c>
      <c r="AM17">
        <v>9</v>
      </c>
      <c r="AN17">
        <v>6</v>
      </c>
      <c r="AO17">
        <v>200.1666666667</v>
      </c>
      <c r="AP17">
        <v>2</v>
      </c>
      <c r="AQ17">
        <v>177.5</v>
      </c>
      <c r="AR17">
        <v>3</v>
      </c>
      <c r="AS17">
        <v>203.3333333333</v>
      </c>
    </row>
    <row r="18" spans="6:49" x14ac:dyDescent="0.2">
      <c r="F18" t="s">
        <v>68</v>
      </c>
      <c r="G18">
        <v>3081</v>
      </c>
      <c r="H18">
        <v>2537</v>
      </c>
      <c r="I18">
        <v>305.60504532909999</v>
      </c>
      <c r="J18">
        <v>243</v>
      </c>
      <c r="K18">
        <v>437.30041152259997</v>
      </c>
      <c r="L18">
        <v>361</v>
      </c>
      <c r="M18">
        <v>300.7700831025</v>
      </c>
      <c r="N18">
        <v>179</v>
      </c>
      <c r="O18">
        <v>500.94972067039998</v>
      </c>
      <c r="R18">
        <v>4</v>
      </c>
      <c r="S18">
        <v>738.5</v>
      </c>
      <c r="V18" t="s">
        <v>390</v>
      </c>
      <c r="W18">
        <v>51553</v>
      </c>
      <c r="X18">
        <v>37696</v>
      </c>
      <c r="Y18">
        <v>440.51405984719997</v>
      </c>
      <c r="Z18">
        <v>4242</v>
      </c>
      <c r="AA18">
        <v>572.85832154640002</v>
      </c>
      <c r="AB18">
        <v>8789</v>
      </c>
      <c r="AC18">
        <v>686.18864489700002</v>
      </c>
      <c r="AD18">
        <v>3325</v>
      </c>
      <c r="AE18">
        <v>568.74556390980001</v>
      </c>
      <c r="AF18">
        <v>1619</v>
      </c>
      <c r="AG18">
        <v>172.70907967880001</v>
      </c>
      <c r="AH18">
        <v>124</v>
      </c>
      <c r="AI18">
        <v>433.1451612903</v>
      </c>
      <c r="AL18" t="s">
        <v>390</v>
      </c>
      <c r="AM18">
        <v>1431</v>
      </c>
      <c r="AN18">
        <v>1056</v>
      </c>
      <c r="AO18">
        <v>364.83522727270002</v>
      </c>
      <c r="AP18">
        <v>154</v>
      </c>
      <c r="AQ18">
        <v>533.44805194809999</v>
      </c>
      <c r="AR18">
        <v>339</v>
      </c>
      <c r="AS18">
        <v>344.54572271389998</v>
      </c>
      <c r="AT18">
        <v>35</v>
      </c>
      <c r="AU18">
        <v>368.34285714290002</v>
      </c>
      <c r="AV18">
        <v>1</v>
      </c>
      <c r="AW18">
        <v>80</v>
      </c>
    </row>
    <row r="19" spans="6:49" x14ac:dyDescent="0.2">
      <c r="F19" t="s">
        <v>34</v>
      </c>
      <c r="G19">
        <v>869</v>
      </c>
      <c r="H19">
        <v>573</v>
      </c>
      <c r="I19">
        <v>235.9162303665</v>
      </c>
      <c r="J19">
        <v>90</v>
      </c>
      <c r="K19">
        <v>464.4</v>
      </c>
      <c r="L19">
        <v>146</v>
      </c>
      <c r="M19">
        <v>216.70547945210001</v>
      </c>
      <c r="N19">
        <v>148</v>
      </c>
      <c r="O19">
        <v>548.5</v>
      </c>
      <c r="R19">
        <v>2</v>
      </c>
      <c r="S19">
        <v>206</v>
      </c>
      <c r="V19" t="s">
        <v>408</v>
      </c>
      <c r="W19">
        <v>940</v>
      </c>
      <c r="X19">
        <v>577</v>
      </c>
      <c r="Y19">
        <v>246.6672443674</v>
      </c>
      <c r="Z19">
        <v>93</v>
      </c>
      <c r="AA19">
        <v>474.8279569892</v>
      </c>
      <c r="AB19">
        <v>153</v>
      </c>
      <c r="AC19">
        <v>244.3137254902</v>
      </c>
      <c r="AD19">
        <v>143</v>
      </c>
      <c r="AE19">
        <v>529.86713286710005</v>
      </c>
      <c r="AF19">
        <v>65</v>
      </c>
      <c r="AG19">
        <v>186.8461538462</v>
      </c>
      <c r="AH19">
        <v>2</v>
      </c>
      <c r="AI19">
        <v>206</v>
      </c>
      <c r="AL19" t="s">
        <v>408</v>
      </c>
      <c r="AM19">
        <v>8</v>
      </c>
      <c r="AN19">
        <v>5</v>
      </c>
      <c r="AO19">
        <v>158.19999999999999</v>
      </c>
      <c r="AP19">
        <v>3</v>
      </c>
      <c r="AQ19">
        <v>202.3333333333</v>
      </c>
      <c r="AR19">
        <v>3</v>
      </c>
      <c r="AS19">
        <v>56</v>
      </c>
    </row>
    <row r="20" spans="6:49" x14ac:dyDescent="0.2">
      <c r="F20" t="s">
        <v>55</v>
      </c>
      <c r="G20">
        <v>931</v>
      </c>
      <c r="H20">
        <v>439</v>
      </c>
      <c r="I20">
        <v>268.35763097950002</v>
      </c>
      <c r="J20">
        <v>327</v>
      </c>
      <c r="K20">
        <v>353.68195718649997</v>
      </c>
      <c r="L20">
        <v>168</v>
      </c>
      <c r="M20">
        <v>258.73214285709997</v>
      </c>
      <c r="N20">
        <v>321</v>
      </c>
      <c r="O20">
        <v>609.19314641740004</v>
      </c>
      <c r="R20">
        <v>3</v>
      </c>
      <c r="S20">
        <v>461.3333333333</v>
      </c>
      <c r="V20" t="s">
        <v>424</v>
      </c>
      <c r="W20">
        <v>280</v>
      </c>
      <c r="X20">
        <v>132</v>
      </c>
      <c r="Y20">
        <v>182.0833333333</v>
      </c>
      <c r="Z20">
        <v>95</v>
      </c>
      <c r="AA20">
        <v>253.4947368421</v>
      </c>
      <c r="AB20">
        <v>59</v>
      </c>
      <c r="AC20">
        <v>278.186440678</v>
      </c>
      <c r="AD20">
        <v>55</v>
      </c>
      <c r="AE20">
        <v>491.09090909090003</v>
      </c>
      <c r="AF20">
        <v>32</v>
      </c>
      <c r="AG20">
        <v>149.40625</v>
      </c>
      <c r="AH20">
        <v>2</v>
      </c>
      <c r="AI20">
        <v>486</v>
      </c>
      <c r="AL20" t="s">
        <v>424</v>
      </c>
      <c r="AM20">
        <v>4</v>
      </c>
      <c r="AN20">
        <v>3</v>
      </c>
      <c r="AO20">
        <v>149.3333333333</v>
      </c>
      <c r="AP20">
        <v>1</v>
      </c>
      <c r="AQ20">
        <v>212</v>
      </c>
      <c r="AR20">
        <v>1</v>
      </c>
      <c r="AS20">
        <v>81</v>
      </c>
    </row>
    <row r="21" spans="6:49" x14ac:dyDescent="0.2">
      <c r="F21" t="s">
        <v>62</v>
      </c>
      <c r="G21">
        <v>8471</v>
      </c>
      <c r="H21">
        <v>7041</v>
      </c>
      <c r="I21">
        <v>384.452634569</v>
      </c>
      <c r="J21">
        <v>642</v>
      </c>
      <c r="K21">
        <v>688.69470404979995</v>
      </c>
      <c r="L21">
        <v>1052</v>
      </c>
      <c r="M21">
        <v>524.44106463879996</v>
      </c>
      <c r="N21">
        <v>364</v>
      </c>
      <c r="O21">
        <v>485.23901098900001</v>
      </c>
      <c r="R21">
        <v>14</v>
      </c>
      <c r="S21">
        <v>334.14285714290003</v>
      </c>
      <c r="V21" t="s">
        <v>428</v>
      </c>
      <c r="W21">
        <v>1102</v>
      </c>
      <c r="X21">
        <v>805</v>
      </c>
      <c r="Y21">
        <v>308.03726708070002</v>
      </c>
      <c r="Z21">
        <v>250</v>
      </c>
      <c r="AA21">
        <v>368.36799999999999</v>
      </c>
      <c r="AB21">
        <v>200</v>
      </c>
      <c r="AC21">
        <v>351.315</v>
      </c>
      <c r="AD21">
        <v>55</v>
      </c>
      <c r="AE21">
        <v>461.16363636360001</v>
      </c>
      <c r="AF21">
        <v>39</v>
      </c>
      <c r="AG21">
        <v>204.71794871789999</v>
      </c>
      <c r="AH21">
        <v>3</v>
      </c>
      <c r="AI21">
        <v>300</v>
      </c>
      <c r="AL21" t="s">
        <v>428</v>
      </c>
      <c r="AM21">
        <v>13</v>
      </c>
      <c r="AN21">
        <v>11</v>
      </c>
      <c r="AO21">
        <v>193</v>
      </c>
      <c r="AP21">
        <v>4</v>
      </c>
      <c r="AQ21">
        <v>193.75</v>
      </c>
      <c r="AR21">
        <v>2</v>
      </c>
      <c r="AS21">
        <v>139</v>
      </c>
    </row>
    <row r="22" spans="6:49" x14ac:dyDescent="0.2">
      <c r="F22" t="s">
        <v>64</v>
      </c>
      <c r="G22">
        <v>6912</v>
      </c>
      <c r="H22">
        <v>5278</v>
      </c>
      <c r="I22">
        <v>417.94221295950001</v>
      </c>
      <c r="J22">
        <v>530</v>
      </c>
      <c r="K22">
        <v>550.74150943400002</v>
      </c>
      <c r="L22">
        <v>1233</v>
      </c>
      <c r="M22">
        <v>714.35685320360005</v>
      </c>
      <c r="N22">
        <v>387</v>
      </c>
      <c r="O22">
        <v>516.27390180880002</v>
      </c>
      <c r="R22">
        <v>14</v>
      </c>
      <c r="S22">
        <v>610.71428571429999</v>
      </c>
      <c r="V22" t="s">
        <v>413</v>
      </c>
      <c r="W22">
        <v>3131</v>
      </c>
      <c r="X22">
        <v>2506</v>
      </c>
      <c r="Y22">
        <v>315.0486831604</v>
      </c>
      <c r="Z22">
        <v>244</v>
      </c>
      <c r="AA22">
        <v>456.9713114754</v>
      </c>
      <c r="AB22">
        <v>371</v>
      </c>
      <c r="AC22">
        <v>343.76010781669999</v>
      </c>
      <c r="AD22">
        <v>181</v>
      </c>
      <c r="AE22">
        <v>485.79005524860003</v>
      </c>
      <c r="AF22">
        <v>70</v>
      </c>
      <c r="AG22">
        <v>271.61428571430002</v>
      </c>
      <c r="AH22">
        <v>3</v>
      </c>
      <c r="AI22">
        <v>942</v>
      </c>
      <c r="AL22" t="s">
        <v>413</v>
      </c>
      <c r="AM22">
        <v>35</v>
      </c>
      <c r="AN22">
        <v>18</v>
      </c>
      <c r="AO22">
        <v>135.5</v>
      </c>
      <c r="AP22">
        <v>17</v>
      </c>
      <c r="AQ22">
        <v>280.5294117647</v>
      </c>
      <c r="AR22">
        <v>10</v>
      </c>
      <c r="AS22">
        <v>112.7</v>
      </c>
      <c r="AT22">
        <v>7</v>
      </c>
      <c r="AU22">
        <v>325.71428571429999</v>
      </c>
    </row>
    <row r="23" spans="6:49" x14ac:dyDescent="0.2">
      <c r="F23" t="s">
        <v>73</v>
      </c>
      <c r="G23">
        <v>4736</v>
      </c>
      <c r="H23">
        <v>3595</v>
      </c>
      <c r="I23">
        <v>275.2433936022</v>
      </c>
      <c r="J23">
        <v>899</v>
      </c>
      <c r="K23">
        <v>349.06674082310002</v>
      </c>
      <c r="L23">
        <v>878</v>
      </c>
      <c r="M23">
        <v>297.65034168559998</v>
      </c>
      <c r="N23">
        <v>244</v>
      </c>
      <c r="O23">
        <v>476.106557377</v>
      </c>
      <c r="R23">
        <v>19</v>
      </c>
      <c r="S23">
        <v>275.89473684209997</v>
      </c>
      <c r="V23" t="s">
        <v>409</v>
      </c>
      <c r="W23">
        <v>5040</v>
      </c>
      <c r="X23">
        <v>3535</v>
      </c>
      <c r="Y23">
        <v>384.26336633659997</v>
      </c>
      <c r="Z23">
        <v>376</v>
      </c>
      <c r="AA23">
        <v>528.16223404259995</v>
      </c>
      <c r="AB23">
        <v>1118</v>
      </c>
      <c r="AC23">
        <v>584.50715563510005</v>
      </c>
      <c r="AD23">
        <v>245</v>
      </c>
      <c r="AE23">
        <v>507.85306122449998</v>
      </c>
      <c r="AF23">
        <v>134</v>
      </c>
      <c r="AG23">
        <v>149.7611940299</v>
      </c>
      <c r="AH23">
        <v>8</v>
      </c>
      <c r="AI23">
        <v>328.125</v>
      </c>
      <c r="AL23" t="s">
        <v>409</v>
      </c>
      <c r="AM23">
        <v>43</v>
      </c>
      <c r="AN23">
        <v>36</v>
      </c>
      <c r="AO23">
        <v>165.55555555559999</v>
      </c>
      <c r="AP23">
        <v>18</v>
      </c>
      <c r="AQ23">
        <v>451.3888888889</v>
      </c>
      <c r="AR23">
        <v>7</v>
      </c>
      <c r="AS23">
        <v>73.571428571400006</v>
      </c>
    </row>
    <row r="24" spans="6:49" x14ac:dyDescent="0.2">
      <c r="F24" t="s">
        <v>45</v>
      </c>
      <c r="G24">
        <v>1275</v>
      </c>
      <c r="H24">
        <v>958</v>
      </c>
      <c r="I24">
        <v>301.63987473899999</v>
      </c>
      <c r="J24">
        <v>343</v>
      </c>
      <c r="K24">
        <v>382.62973760929998</v>
      </c>
      <c r="L24">
        <v>254</v>
      </c>
      <c r="M24">
        <v>371.15354330709999</v>
      </c>
      <c r="N24">
        <v>59</v>
      </c>
      <c r="O24">
        <v>503.45762711859999</v>
      </c>
      <c r="R24">
        <v>4</v>
      </c>
      <c r="S24">
        <v>306.75</v>
      </c>
      <c r="V24" t="s">
        <v>426</v>
      </c>
      <c r="W24">
        <v>7146</v>
      </c>
      <c r="X24">
        <v>5295</v>
      </c>
      <c r="Y24">
        <v>416.42341831919998</v>
      </c>
      <c r="Z24">
        <v>538</v>
      </c>
      <c r="AA24">
        <v>544.47583643120004</v>
      </c>
      <c r="AB24">
        <v>1257</v>
      </c>
      <c r="AC24">
        <v>683.93635640410002</v>
      </c>
      <c r="AD24">
        <v>400</v>
      </c>
      <c r="AE24">
        <v>527.0675</v>
      </c>
      <c r="AF24">
        <v>179</v>
      </c>
      <c r="AG24">
        <v>179.5083798883</v>
      </c>
      <c r="AH24">
        <v>15</v>
      </c>
      <c r="AI24">
        <v>629.86666666669998</v>
      </c>
      <c r="AL24" t="s">
        <v>426</v>
      </c>
      <c r="AM24">
        <v>75</v>
      </c>
      <c r="AN24">
        <v>56</v>
      </c>
      <c r="AO24">
        <v>201</v>
      </c>
      <c r="AP24">
        <v>36</v>
      </c>
      <c r="AQ24">
        <v>274.9722222222</v>
      </c>
      <c r="AR24">
        <v>17</v>
      </c>
      <c r="AS24">
        <v>185.1764705882</v>
      </c>
      <c r="AT24">
        <v>2</v>
      </c>
      <c r="AU24">
        <v>203</v>
      </c>
    </row>
    <row r="25" spans="6:49" x14ac:dyDescent="0.2">
      <c r="F25" t="s">
        <v>66</v>
      </c>
      <c r="G25">
        <v>4970</v>
      </c>
      <c r="H25">
        <v>3575</v>
      </c>
      <c r="I25">
        <v>388.24447552449999</v>
      </c>
      <c r="J25">
        <v>377</v>
      </c>
      <c r="K25">
        <v>539.175066313</v>
      </c>
      <c r="L25">
        <v>1144</v>
      </c>
      <c r="M25">
        <v>587.98339160839998</v>
      </c>
      <c r="N25">
        <v>242</v>
      </c>
      <c r="O25">
        <v>510.43801652889999</v>
      </c>
      <c r="R25">
        <v>9</v>
      </c>
      <c r="S25">
        <v>362.2222222222</v>
      </c>
      <c r="V25" t="s">
        <v>407</v>
      </c>
      <c r="W25">
        <v>18334</v>
      </c>
      <c r="X25">
        <v>14657</v>
      </c>
      <c r="Y25">
        <v>328.31002251479998</v>
      </c>
      <c r="Z25">
        <v>2114</v>
      </c>
      <c r="AA25">
        <v>465.61352885529999</v>
      </c>
      <c r="AB25">
        <v>2069</v>
      </c>
      <c r="AC25">
        <v>388.8371193813</v>
      </c>
      <c r="AD25">
        <v>859</v>
      </c>
      <c r="AE25">
        <v>413.83352735739999</v>
      </c>
      <c r="AF25">
        <v>724</v>
      </c>
      <c r="AG25">
        <v>166.76381215469999</v>
      </c>
      <c r="AH25">
        <v>25</v>
      </c>
      <c r="AI25">
        <v>354.92</v>
      </c>
      <c r="AL25" t="s">
        <v>407</v>
      </c>
      <c r="AM25">
        <v>296</v>
      </c>
      <c r="AN25">
        <v>216</v>
      </c>
      <c r="AO25">
        <v>181.13425925929999</v>
      </c>
      <c r="AP25">
        <v>140</v>
      </c>
      <c r="AQ25">
        <v>295.49285714289999</v>
      </c>
      <c r="AR25">
        <v>71</v>
      </c>
      <c r="AS25">
        <v>163.85915492960001</v>
      </c>
      <c r="AT25">
        <v>9</v>
      </c>
      <c r="AU25">
        <v>169.2222222222</v>
      </c>
    </row>
    <row r="26" spans="6:49" x14ac:dyDescent="0.2">
      <c r="F26" t="s">
        <v>32</v>
      </c>
      <c r="G26">
        <v>231</v>
      </c>
      <c r="H26">
        <v>129</v>
      </c>
      <c r="I26">
        <v>224.51162790699999</v>
      </c>
      <c r="J26">
        <v>97</v>
      </c>
      <c r="K26">
        <v>256.11340206189999</v>
      </c>
      <c r="L26">
        <v>45</v>
      </c>
      <c r="M26">
        <v>159.9555555556</v>
      </c>
      <c r="N26">
        <v>55</v>
      </c>
      <c r="O26">
        <v>474.6727272727</v>
      </c>
      <c r="R26">
        <v>2</v>
      </c>
      <c r="S26">
        <v>486</v>
      </c>
      <c r="V26" t="s">
        <v>405</v>
      </c>
      <c r="W26">
        <v>1768</v>
      </c>
      <c r="X26">
        <v>1337</v>
      </c>
      <c r="Y26">
        <v>289.85938668659998</v>
      </c>
      <c r="Z26">
        <v>246</v>
      </c>
      <c r="AA26">
        <v>360.15040650409998</v>
      </c>
      <c r="AB26">
        <v>306</v>
      </c>
      <c r="AC26">
        <v>295.4705882353</v>
      </c>
      <c r="AD26">
        <v>64</v>
      </c>
      <c r="AE26">
        <v>346.53125</v>
      </c>
      <c r="AF26">
        <v>60</v>
      </c>
      <c r="AG26">
        <v>194.53333333329999</v>
      </c>
      <c r="AH26">
        <v>1</v>
      </c>
      <c r="AI26">
        <v>269</v>
      </c>
      <c r="AL26" t="s">
        <v>405</v>
      </c>
      <c r="AM26">
        <v>19</v>
      </c>
      <c r="AN26">
        <v>14</v>
      </c>
      <c r="AO26">
        <v>165.21428571429999</v>
      </c>
      <c r="AP26">
        <v>6</v>
      </c>
      <c r="AQ26">
        <v>378</v>
      </c>
      <c r="AR26">
        <v>5</v>
      </c>
      <c r="AS26">
        <v>59.8</v>
      </c>
    </row>
    <row r="27" spans="6:49" x14ac:dyDescent="0.2">
      <c r="F27" t="s">
        <v>71</v>
      </c>
      <c r="G27">
        <v>4002</v>
      </c>
      <c r="H27">
        <v>3719</v>
      </c>
      <c r="I27">
        <v>239.51250336109999</v>
      </c>
      <c r="J27">
        <v>733</v>
      </c>
      <c r="K27">
        <v>338.40654843110002</v>
      </c>
      <c r="L27">
        <v>117</v>
      </c>
      <c r="M27">
        <v>97.735042734999993</v>
      </c>
      <c r="N27">
        <v>158</v>
      </c>
      <c r="O27">
        <v>248.1898734177</v>
      </c>
      <c r="R27">
        <v>8</v>
      </c>
      <c r="S27">
        <v>154.75</v>
      </c>
      <c r="V27" t="s">
        <v>80</v>
      </c>
      <c r="W27">
        <v>5017</v>
      </c>
      <c r="X27">
        <v>3670</v>
      </c>
      <c r="Y27">
        <v>282.99346049050001</v>
      </c>
      <c r="Z27">
        <v>901</v>
      </c>
      <c r="AA27">
        <v>355.5826859046</v>
      </c>
      <c r="AB27">
        <v>914</v>
      </c>
      <c r="AC27">
        <v>312.09190371990002</v>
      </c>
      <c r="AD27">
        <v>251</v>
      </c>
      <c r="AE27">
        <v>492.07171314739998</v>
      </c>
      <c r="AF27">
        <v>164</v>
      </c>
      <c r="AG27">
        <v>157.67073170730001</v>
      </c>
      <c r="AH27">
        <v>18</v>
      </c>
      <c r="AI27">
        <v>241.3333333333</v>
      </c>
      <c r="AL27" t="s">
        <v>80</v>
      </c>
      <c r="AM27">
        <v>71</v>
      </c>
      <c r="AN27">
        <v>56</v>
      </c>
      <c r="AO27">
        <v>166.44642857139999</v>
      </c>
      <c r="AP27">
        <v>30</v>
      </c>
      <c r="AQ27">
        <v>248.4</v>
      </c>
      <c r="AR27">
        <v>11</v>
      </c>
      <c r="AS27">
        <v>128.36363636359999</v>
      </c>
      <c r="AT27">
        <v>4</v>
      </c>
      <c r="AU27">
        <v>152.25</v>
      </c>
    </row>
    <row r="28" spans="6:49" x14ac:dyDescent="0.2">
      <c r="F28" t="s">
        <v>31</v>
      </c>
      <c r="G28">
        <v>1643</v>
      </c>
      <c r="H28">
        <v>1309</v>
      </c>
      <c r="I28">
        <v>286.7043544691</v>
      </c>
      <c r="J28">
        <v>286</v>
      </c>
      <c r="K28">
        <v>382.83216783220001</v>
      </c>
      <c r="L28">
        <v>284</v>
      </c>
      <c r="M28">
        <v>261.23943661969997</v>
      </c>
      <c r="N28">
        <v>49</v>
      </c>
      <c r="O28">
        <v>259.9387755102</v>
      </c>
      <c r="R28">
        <v>1</v>
      </c>
      <c r="S28">
        <v>269</v>
      </c>
      <c r="V28" t="s">
        <v>404</v>
      </c>
      <c r="W28">
        <v>42758</v>
      </c>
      <c r="X28">
        <v>32514</v>
      </c>
      <c r="Y28">
        <v>338.4801931476</v>
      </c>
      <c r="Z28">
        <v>4857</v>
      </c>
      <c r="AA28">
        <v>444.02614782789999</v>
      </c>
      <c r="AB28">
        <v>6447</v>
      </c>
      <c r="AC28">
        <v>456.79354738640001</v>
      </c>
      <c r="AD28">
        <v>2253</v>
      </c>
      <c r="AE28">
        <v>467.1526853085</v>
      </c>
      <c r="AF28">
        <v>1467</v>
      </c>
      <c r="AG28">
        <v>173.40831629179999</v>
      </c>
      <c r="AH28">
        <v>77</v>
      </c>
      <c r="AI28">
        <v>398.2987012987</v>
      </c>
      <c r="AL28" t="s">
        <v>404</v>
      </c>
      <c r="AM28">
        <v>564</v>
      </c>
      <c r="AN28">
        <v>415</v>
      </c>
      <c r="AO28">
        <v>177.77349397590001</v>
      </c>
      <c r="AP28">
        <v>255</v>
      </c>
      <c r="AQ28">
        <v>295.98431372549999</v>
      </c>
      <c r="AR28">
        <v>127</v>
      </c>
      <c r="AS28">
        <v>146.9448818898</v>
      </c>
      <c r="AT28">
        <v>22</v>
      </c>
      <c r="AU28">
        <v>219</v>
      </c>
    </row>
    <row r="29" spans="6:49" x14ac:dyDescent="0.2">
      <c r="F29" t="s">
        <v>52</v>
      </c>
      <c r="G29">
        <v>4832</v>
      </c>
      <c r="H29">
        <v>3736</v>
      </c>
      <c r="I29">
        <v>307.38998929339999</v>
      </c>
      <c r="J29">
        <v>711</v>
      </c>
      <c r="K29">
        <v>397.29254571029998</v>
      </c>
      <c r="L29">
        <v>807</v>
      </c>
      <c r="M29">
        <v>245.697645601</v>
      </c>
      <c r="N29">
        <v>288</v>
      </c>
      <c r="O29">
        <v>382.5625</v>
      </c>
      <c r="R29">
        <v>1</v>
      </c>
      <c r="S29">
        <v>2237</v>
      </c>
      <c r="V29" t="s">
        <v>388</v>
      </c>
      <c r="W29">
        <v>10120</v>
      </c>
      <c r="X29">
        <v>4717</v>
      </c>
      <c r="Y29">
        <v>268.62934690420002</v>
      </c>
      <c r="Z29">
        <v>741</v>
      </c>
      <c r="AA29">
        <v>573.32523616729998</v>
      </c>
      <c r="AB29">
        <v>3709</v>
      </c>
      <c r="AC29">
        <v>630.56052844429996</v>
      </c>
      <c r="AD29">
        <v>1184</v>
      </c>
      <c r="AE29">
        <v>474.04395604400003</v>
      </c>
      <c r="AF29">
        <v>496</v>
      </c>
      <c r="AG29">
        <v>175.03830645159999</v>
      </c>
      <c r="AH29">
        <v>14</v>
      </c>
      <c r="AI29">
        <v>695</v>
      </c>
      <c r="AL29" t="s">
        <v>388</v>
      </c>
      <c r="AM29">
        <v>255</v>
      </c>
      <c r="AN29">
        <v>185</v>
      </c>
      <c r="AO29">
        <v>395.2864864865</v>
      </c>
      <c r="AP29">
        <v>21</v>
      </c>
      <c r="AQ29">
        <v>526.42857142859998</v>
      </c>
      <c r="AR29">
        <v>62</v>
      </c>
      <c r="AS29">
        <v>329.04838709680001</v>
      </c>
      <c r="AT29">
        <v>8</v>
      </c>
      <c r="AU29">
        <v>281.25</v>
      </c>
    </row>
    <row r="30" spans="6:49" x14ac:dyDescent="0.2">
      <c r="F30" t="s">
        <v>404</v>
      </c>
      <c r="G30">
        <v>41953</v>
      </c>
      <c r="H30">
        <v>32889</v>
      </c>
      <c r="I30">
        <v>336.00893915900002</v>
      </c>
      <c r="J30">
        <v>5278</v>
      </c>
      <c r="K30">
        <v>437.8421750663</v>
      </c>
      <c r="L30">
        <v>6489</v>
      </c>
      <c r="M30">
        <v>452.3908152258</v>
      </c>
      <c r="N30">
        <v>2494</v>
      </c>
      <c r="O30">
        <v>481.33921411390003</v>
      </c>
      <c r="R30">
        <v>81</v>
      </c>
      <c r="S30">
        <v>400.28395061729998</v>
      </c>
      <c r="V30" t="s">
        <v>425</v>
      </c>
      <c r="W30">
        <v>31878</v>
      </c>
      <c r="X30">
        <v>27378</v>
      </c>
      <c r="Y30">
        <v>458.94842197550003</v>
      </c>
      <c r="Z30">
        <v>2156</v>
      </c>
      <c r="AA30">
        <v>701.6799628942</v>
      </c>
      <c r="AB30">
        <v>1123</v>
      </c>
      <c r="AC30">
        <v>300.0267141585</v>
      </c>
      <c r="AD30">
        <v>2333</v>
      </c>
      <c r="AE30">
        <v>334.30732961849998</v>
      </c>
      <c r="AF30">
        <v>995</v>
      </c>
      <c r="AG30">
        <v>170.07336683419999</v>
      </c>
      <c r="AH30">
        <v>49</v>
      </c>
      <c r="AI30">
        <v>266.97959183670002</v>
      </c>
      <c r="AL30" t="s">
        <v>425</v>
      </c>
      <c r="AM30">
        <v>430</v>
      </c>
      <c r="AN30">
        <v>327</v>
      </c>
      <c r="AO30">
        <v>254.2324159021</v>
      </c>
      <c r="AP30">
        <v>120</v>
      </c>
      <c r="AQ30">
        <v>463.28333333329999</v>
      </c>
      <c r="AR30">
        <v>95</v>
      </c>
      <c r="AS30">
        <v>176.48421052629999</v>
      </c>
      <c r="AT30">
        <v>8</v>
      </c>
      <c r="AU30">
        <v>356.125</v>
      </c>
    </row>
    <row r="31" spans="6:49" x14ac:dyDescent="0.2">
      <c r="F31" t="s">
        <v>25</v>
      </c>
      <c r="G31">
        <v>18107</v>
      </c>
      <c r="H31">
        <v>16034</v>
      </c>
      <c r="I31">
        <v>529.56105775230003</v>
      </c>
      <c r="J31">
        <v>951</v>
      </c>
      <c r="K31">
        <v>851.85383806519997</v>
      </c>
      <c r="L31">
        <v>1101</v>
      </c>
      <c r="M31">
        <v>361.53496821070001</v>
      </c>
      <c r="N31">
        <v>938</v>
      </c>
      <c r="O31">
        <v>350.17433155079999</v>
      </c>
      <c r="R31">
        <v>34</v>
      </c>
      <c r="S31">
        <v>337.5588235294</v>
      </c>
      <c r="V31" t="s">
        <v>381</v>
      </c>
      <c r="W31">
        <v>19296</v>
      </c>
      <c r="X31">
        <v>16536</v>
      </c>
      <c r="Y31">
        <v>527.62548379290001</v>
      </c>
      <c r="Z31">
        <v>1114</v>
      </c>
      <c r="AA31">
        <v>819.3357271095</v>
      </c>
      <c r="AB31">
        <v>1220</v>
      </c>
      <c r="AC31">
        <v>397.65737704920002</v>
      </c>
      <c r="AD31">
        <v>1000</v>
      </c>
      <c r="AE31">
        <v>355.13640922770003</v>
      </c>
      <c r="AF31">
        <v>506</v>
      </c>
      <c r="AG31">
        <v>164.6396039604</v>
      </c>
      <c r="AH31">
        <v>34</v>
      </c>
      <c r="AI31">
        <v>337.5588235294</v>
      </c>
      <c r="AL31" t="s">
        <v>381</v>
      </c>
      <c r="AM31">
        <v>273</v>
      </c>
      <c r="AN31">
        <v>186</v>
      </c>
      <c r="AO31">
        <v>272.63440860219998</v>
      </c>
      <c r="AP31">
        <v>67</v>
      </c>
      <c r="AQ31">
        <v>500.53731343279998</v>
      </c>
      <c r="AR31">
        <v>68</v>
      </c>
      <c r="AS31">
        <v>167.26470588239999</v>
      </c>
      <c r="AT31">
        <v>19</v>
      </c>
      <c r="AU31">
        <v>387.73684210530001</v>
      </c>
    </row>
    <row r="32" spans="6:49" x14ac:dyDescent="0.2">
      <c r="F32" t="s">
        <v>39</v>
      </c>
      <c r="G32">
        <v>13060</v>
      </c>
      <c r="H32">
        <v>10517</v>
      </c>
      <c r="I32">
        <v>401.43001141119998</v>
      </c>
      <c r="J32">
        <v>472</v>
      </c>
      <c r="K32">
        <v>744.91313559319997</v>
      </c>
      <c r="L32">
        <v>1634</v>
      </c>
      <c r="M32">
        <v>494.076499388</v>
      </c>
      <c r="N32">
        <v>880</v>
      </c>
      <c r="O32">
        <v>557.37613636360004</v>
      </c>
      <c r="R32">
        <v>29</v>
      </c>
      <c r="S32">
        <v>501.65517241380002</v>
      </c>
      <c r="V32" t="s">
        <v>393</v>
      </c>
      <c r="W32">
        <v>3335</v>
      </c>
      <c r="X32">
        <v>2137</v>
      </c>
      <c r="Y32">
        <v>407.33130556859999</v>
      </c>
      <c r="Z32">
        <v>398</v>
      </c>
      <c r="AA32">
        <v>535.48743718590003</v>
      </c>
      <c r="AB32">
        <v>591</v>
      </c>
      <c r="AC32">
        <v>512.42808798650003</v>
      </c>
      <c r="AD32">
        <v>479</v>
      </c>
      <c r="AE32">
        <v>635.24843423799996</v>
      </c>
      <c r="AF32">
        <v>118</v>
      </c>
      <c r="AG32">
        <v>169.29661016950001</v>
      </c>
      <c r="AH32">
        <v>10</v>
      </c>
      <c r="AI32">
        <v>510</v>
      </c>
      <c r="AL32" t="s">
        <v>393</v>
      </c>
      <c r="AM32">
        <v>113</v>
      </c>
      <c r="AN32">
        <v>84</v>
      </c>
      <c r="AO32">
        <v>427.07142857140002</v>
      </c>
      <c r="AP32">
        <v>14</v>
      </c>
      <c r="AQ32">
        <v>574.5</v>
      </c>
      <c r="AR32">
        <v>28</v>
      </c>
      <c r="AS32">
        <v>266.85714285709997</v>
      </c>
      <c r="AT32">
        <v>1</v>
      </c>
      <c r="AU32">
        <v>225</v>
      </c>
    </row>
    <row r="33" spans="6:47" x14ac:dyDescent="0.2">
      <c r="F33" t="s">
        <v>72</v>
      </c>
      <c r="G33">
        <v>4904</v>
      </c>
      <c r="H33">
        <v>2292</v>
      </c>
      <c r="I33">
        <v>371.50371017020001</v>
      </c>
      <c r="J33">
        <v>594</v>
      </c>
      <c r="K33">
        <v>540.28956228959998</v>
      </c>
      <c r="L33">
        <v>1724</v>
      </c>
      <c r="M33">
        <v>695.88109048720003</v>
      </c>
      <c r="N33">
        <v>882</v>
      </c>
      <c r="O33">
        <v>824.62131519269997</v>
      </c>
      <c r="R33">
        <v>6</v>
      </c>
      <c r="S33">
        <v>382.6666666667</v>
      </c>
      <c r="V33" t="s">
        <v>384</v>
      </c>
      <c r="W33">
        <v>7436</v>
      </c>
      <c r="X33">
        <v>4820</v>
      </c>
      <c r="Y33">
        <v>277.21742738590001</v>
      </c>
      <c r="Z33">
        <v>484</v>
      </c>
      <c r="AA33">
        <v>516.0268595041</v>
      </c>
      <c r="AB33">
        <v>1530</v>
      </c>
      <c r="AC33">
        <v>341.57973856209998</v>
      </c>
      <c r="AD33">
        <v>710</v>
      </c>
      <c r="AE33">
        <v>439.97323943660001</v>
      </c>
      <c r="AF33">
        <v>369</v>
      </c>
      <c r="AG33">
        <v>191.40650406500001</v>
      </c>
      <c r="AH33">
        <v>7</v>
      </c>
      <c r="AI33">
        <v>433.71428571429999</v>
      </c>
      <c r="AL33" t="s">
        <v>384</v>
      </c>
      <c r="AM33">
        <v>244</v>
      </c>
      <c r="AN33">
        <v>180</v>
      </c>
      <c r="AO33">
        <v>335.96666666670001</v>
      </c>
      <c r="AP33">
        <v>15</v>
      </c>
      <c r="AQ33">
        <v>405.73333333329998</v>
      </c>
      <c r="AR33">
        <v>55</v>
      </c>
      <c r="AS33">
        <v>293.70909090909998</v>
      </c>
      <c r="AT33">
        <v>9</v>
      </c>
      <c r="AU33">
        <v>395.2222222222</v>
      </c>
    </row>
    <row r="34" spans="6:47" x14ac:dyDescent="0.2">
      <c r="F34" t="s">
        <v>58</v>
      </c>
      <c r="G34">
        <v>6837</v>
      </c>
      <c r="H34">
        <v>4668</v>
      </c>
      <c r="I34">
        <v>262.6227506427</v>
      </c>
      <c r="J34">
        <v>460</v>
      </c>
      <c r="K34">
        <v>493.29782608699998</v>
      </c>
      <c r="L34">
        <v>1455</v>
      </c>
      <c r="M34">
        <v>306.612371134</v>
      </c>
      <c r="N34">
        <v>707</v>
      </c>
      <c r="O34">
        <v>432.30127298439999</v>
      </c>
      <c r="R34">
        <v>7</v>
      </c>
      <c r="S34">
        <v>433.71428571429999</v>
      </c>
      <c r="V34" t="s">
        <v>427</v>
      </c>
      <c r="W34">
        <v>5072</v>
      </c>
      <c r="X34">
        <v>2260</v>
      </c>
      <c r="Y34">
        <v>370.91367861890001</v>
      </c>
      <c r="Z34">
        <v>572</v>
      </c>
      <c r="AA34">
        <v>528.56993006990001</v>
      </c>
      <c r="AB34">
        <v>1692</v>
      </c>
      <c r="AC34">
        <v>691.90484633569997</v>
      </c>
      <c r="AD34">
        <v>859</v>
      </c>
      <c r="AE34">
        <v>816.83119906870002</v>
      </c>
      <c r="AF34">
        <v>255</v>
      </c>
      <c r="AG34">
        <v>189.54509803920001</v>
      </c>
      <c r="AH34">
        <v>6</v>
      </c>
      <c r="AI34">
        <v>382.6666666667</v>
      </c>
      <c r="AL34" t="s">
        <v>427</v>
      </c>
      <c r="AM34">
        <v>89</v>
      </c>
      <c r="AN34">
        <v>53</v>
      </c>
      <c r="AO34">
        <v>212.22641509429999</v>
      </c>
      <c r="AP34">
        <v>19</v>
      </c>
      <c r="AQ34">
        <v>383</v>
      </c>
      <c r="AR34">
        <v>26</v>
      </c>
      <c r="AS34">
        <v>182.23076923080001</v>
      </c>
      <c r="AT34">
        <v>10</v>
      </c>
      <c r="AU34">
        <v>205.3</v>
      </c>
    </row>
    <row r="35" spans="6:47" x14ac:dyDescent="0.2">
      <c r="F35" t="s">
        <v>53</v>
      </c>
      <c r="G35">
        <v>4549</v>
      </c>
      <c r="H35">
        <v>2973</v>
      </c>
      <c r="I35">
        <v>450.19542549609997</v>
      </c>
      <c r="J35">
        <v>577</v>
      </c>
      <c r="K35">
        <v>584.30155979200003</v>
      </c>
      <c r="L35">
        <v>863</v>
      </c>
      <c r="M35">
        <v>509.76129779839999</v>
      </c>
      <c r="N35">
        <v>702</v>
      </c>
      <c r="O35">
        <v>606.43447293450004</v>
      </c>
      <c r="R35">
        <v>11</v>
      </c>
      <c r="S35">
        <v>572.18181818180005</v>
      </c>
      <c r="V35" t="s">
        <v>383</v>
      </c>
      <c r="W35">
        <v>13361</v>
      </c>
      <c r="X35">
        <v>10422</v>
      </c>
      <c r="Y35">
        <v>403.86095384319998</v>
      </c>
      <c r="Z35">
        <v>485</v>
      </c>
      <c r="AA35">
        <v>739.15670103089997</v>
      </c>
      <c r="AB35">
        <v>1684</v>
      </c>
      <c r="AC35">
        <v>492.78859857480001</v>
      </c>
      <c r="AD35">
        <v>884</v>
      </c>
      <c r="AE35">
        <v>551.13461538460001</v>
      </c>
      <c r="AF35">
        <v>341</v>
      </c>
      <c r="AG35">
        <v>162.32647058820001</v>
      </c>
      <c r="AH35">
        <v>30</v>
      </c>
      <c r="AI35">
        <v>491.3333333333</v>
      </c>
      <c r="AL35" t="s">
        <v>383</v>
      </c>
      <c r="AM35">
        <v>149</v>
      </c>
      <c r="AN35">
        <v>109</v>
      </c>
      <c r="AO35">
        <v>252.53211009169999</v>
      </c>
      <c r="AP35">
        <v>24</v>
      </c>
      <c r="AQ35">
        <v>474.6666666667</v>
      </c>
      <c r="AR35">
        <v>32</v>
      </c>
      <c r="AS35">
        <v>160.46875</v>
      </c>
      <c r="AT35">
        <v>8</v>
      </c>
      <c r="AU35">
        <v>223</v>
      </c>
    </row>
    <row r="36" spans="6:47" x14ac:dyDescent="0.2">
      <c r="F36" t="s">
        <v>57</v>
      </c>
      <c r="G36">
        <v>9567</v>
      </c>
      <c r="H36">
        <v>4599</v>
      </c>
      <c r="I36">
        <v>254.3688560244</v>
      </c>
      <c r="J36">
        <v>744</v>
      </c>
      <c r="K36">
        <v>569.31989247310003</v>
      </c>
      <c r="L36">
        <v>3759</v>
      </c>
      <c r="M36">
        <v>631.69938813509998</v>
      </c>
      <c r="N36">
        <v>1195</v>
      </c>
      <c r="O36">
        <v>467.50251256280001</v>
      </c>
      <c r="R36">
        <v>14</v>
      </c>
      <c r="S36">
        <v>695</v>
      </c>
      <c r="V36" t="s">
        <v>380</v>
      </c>
      <c r="W36">
        <v>90498</v>
      </c>
      <c r="X36">
        <v>68270</v>
      </c>
      <c r="Y36">
        <v>436.6663297444</v>
      </c>
      <c r="Z36">
        <v>5950</v>
      </c>
      <c r="AA36">
        <v>667.91764705879996</v>
      </c>
      <c r="AB36">
        <v>11549</v>
      </c>
      <c r="AC36">
        <v>518.38618062169996</v>
      </c>
      <c r="AD36">
        <v>7449</v>
      </c>
      <c r="AE36">
        <v>470.15849563469999</v>
      </c>
      <c r="AF36">
        <v>3080</v>
      </c>
      <c r="AG36">
        <v>173.26705653019999</v>
      </c>
      <c r="AH36">
        <v>150</v>
      </c>
      <c r="AI36">
        <v>396.4066666667</v>
      </c>
      <c r="AL36" t="s">
        <v>380</v>
      </c>
      <c r="AM36">
        <v>1553</v>
      </c>
      <c r="AN36">
        <v>1124</v>
      </c>
      <c r="AO36">
        <v>304.35409252670001</v>
      </c>
      <c r="AP36">
        <v>280</v>
      </c>
      <c r="AQ36">
        <v>474.93928571430001</v>
      </c>
      <c r="AR36">
        <v>366</v>
      </c>
      <c r="AS36">
        <v>224.15300546450001</v>
      </c>
      <c r="AT36">
        <v>63</v>
      </c>
      <c r="AU36">
        <v>318.80952380949998</v>
      </c>
    </row>
    <row r="37" spans="6:47" x14ac:dyDescent="0.2">
      <c r="F37" t="s">
        <v>77</v>
      </c>
      <c r="G37">
        <v>30015</v>
      </c>
      <c r="H37">
        <v>26880</v>
      </c>
      <c r="I37">
        <v>457.6945457251</v>
      </c>
      <c r="J37">
        <v>1814</v>
      </c>
      <c r="K37">
        <v>736.68853362729999</v>
      </c>
      <c r="L37">
        <v>826</v>
      </c>
      <c r="M37">
        <v>179.2348668281</v>
      </c>
      <c r="N37">
        <v>2262</v>
      </c>
      <c r="O37">
        <v>317.84924845270001</v>
      </c>
      <c r="R37">
        <v>47</v>
      </c>
      <c r="S37">
        <v>251.1276595745</v>
      </c>
      <c r="V37" t="s">
        <v>406</v>
      </c>
      <c r="W37">
        <v>567</v>
      </c>
      <c r="X37">
        <v>273</v>
      </c>
      <c r="Y37">
        <v>150.67032967029999</v>
      </c>
      <c r="Z37">
        <v>231</v>
      </c>
      <c r="AA37">
        <v>207.75757575759999</v>
      </c>
      <c r="AB37">
        <v>125</v>
      </c>
      <c r="AC37">
        <v>174.10400000000001</v>
      </c>
      <c r="AD37">
        <v>110</v>
      </c>
      <c r="AE37">
        <v>240.7272727273</v>
      </c>
      <c r="AF37">
        <v>49</v>
      </c>
      <c r="AG37">
        <v>194.81632653060001</v>
      </c>
      <c r="AH37">
        <v>10</v>
      </c>
      <c r="AI37">
        <v>285.39999999999998</v>
      </c>
      <c r="AL37" t="s">
        <v>406</v>
      </c>
      <c r="AM37">
        <v>17</v>
      </c>
      <c r="AN37">
        <v>14</v>
      </c>
      <c r="AO37">
        <v>114</v>
      </c>
      <c r="AP37">
        <v>6</v>
      </c>
      <c r="AQ37">
        <v>187.6666666667</v>
      </c>
      <c r="AR37">
        <v>2</v>
      </c>
      <c r="AS37">
        <v>72.5</v>
      </c>
      <c r="AT37">
        <v>1</v>
      </c>
      <c r="AU37">
        <v>173</v>
      </c>
    </row>
    <row r="38" spans="6:47" x14ac:dyDescent="0.2">
      <c r="F38" t="s">
        <v>380</v>
      </c>
      <c r="G38">
        <v>87039</v>
      </c>
      <c r="H38">
        <v>67963</v>
      </c>
      <c r="I38">
        <v>435.55418052329998</v>
      </c>
      <c r="J38">
        <v>5612</v>
      </c>
      <c r="K38">
        <v>678.30185317179996</v>
      </c>
      <c r="L38">
        <v>11362</v>
      </c>
      <c r="M38">
        <v>511.68113008270001</v>
      </c>
      <c r="N38">
        <v>7566</v>
      </c>
      <c r="O38">
        <v>469.9480296218</v>
      </c>
      <c r="R38">
        <v>148</v>
      </c>
      <c r="S38">
        <v>399.8918918919</v>
      </c>
      <c r="V38" t="s">
        <v>410</v>
      </c>
      <c r="W38">
        <v>42071</v>
      </c>
      <c r="X38">
        <v>30096</v>
      </c>
      <c r="Y38">
        <v>461.70584130779997</v>
      </c>
      <c r="Z38">
        <v>2555</v>
      </c>
      <c r="AA38">
        <v>649.05831702540002</v>
      </c>
      <c r="AB38">
        <v>8541</v>
      </c>
      <c r="AC38">
        <v>697.11778480270004</v>
      </c>
      <c r="AD38">
        <v>2126</v>
      </c>
      <c r="AE38">
        <v>527.9369411765</v>
      </c>
      <c r="AF38">
        <v>1231</v>
      </c>
      <c r="AG38">
        <v>179.99512591390001</v>
      </c>
      <c r="AH38">
        <v>77</v>
      </c>
      <c r="AI38">
        <v>537.84415584420003</v>
      </c>
      <c r="AL38" t="s">
        <v>410</v>
      </c>
      <c r="AM38">
        <v>344</v>
      </c>
      <c r="AN38">
        <v>233</v>
      </c>
      <c r="AO38">
        <v>253.00858369100001</v>
      </c>
      <c r="AP38">
        <v>151</v>
      </c>
      <c r="AQ38">
        <v>363.63576158939998</v>
      </c>
      <c r="AR38">
        <v>99</v>
      </c>
      <c r="AS38">
        <v>259.15151515150001</v>
      </c>
      <c r="AT38">
        <v>12</v>
      </c>
      <c r="AU38">
        <v>294.1666666667</v>
      </c>
    </row>
    <row r="39" spans="6:47" x14ac:dyDescent="0.2">
      <c r="F39" t="s">
        <v>79</v>
      </c>
      <c r="G39">
        <v>20220</v>
      </c>
      <c r="H39">
        <v>15639</v>
      </c>
      <c r="I39">
        <v>407.89897052240002</v>
      </c>
      <c r="J39">
        <v>1050</v>
      </c>
      <c r="K39">
        <v>732.14571428570002</v>
      </c>
      <c r="L39">
        <v>3661</v>
      </c>
      <c r="M39">
        <v>689.62769735049994</v>
      </c>
      <c r="N39">
        <v>872</v>
      </c>
      <c r="O39">
        <v>423.26490825690001</v>
      </c>
      <c r="R39">
        <v>48</v>
      </c>
      <c r="S39">
        <v>500.125</v>
      </c>
      <c r="V39" t="s">
        <v>418</v>
      </c>
      <c r="W39">
        <v>305</v>
      </c>
      <c r="X39">
        <v>135</v>
      </c>
      <c r="Y39">
        <v>217.7703703704</v>
      </c>
      <c r="Z39">
        <v>163</v>
      </c>
      <c r="AA39">
        <v>204.68711656439999</v>
      </c>
      <c r="AB39">
        <v>98</v>
      </c>
      <c r="AC39">
        <v>247.81632653060001</v>
      </c>
      <c r="AD39">
        <v>49</v>
      </c>
      <c r="AE39">
        <v>404.42857142859998</v>
      </c>
      <c r="AF39">
        <v>21</v>
      </c>
      <c r="AG39">
        <v>336.3333333333</v>
      </c>
      <c r="AH39">
        <v>2</v>
      </c>
      <c r="AI39">
        <v>660.5</v>
      </c>
      <c r="AL39" t="s">
        <v>418</v>
      </c>
      <c r="AM39">
        <v>5</v>
      </c>
      <c r="AN39">
        <v>4</v>
      </c>
      <c r="AO39">
        <v>51</v>
      </c>
      <c r="AP39">
        <v>2</v>
      </c>
      <c r="AQ39">
        <v>304</v>
      </c>
      <c r="AR39">
        <v>1</v>
      </c>
      <c r="AS39">
        <v>46</v>
      </c>
    </row>
    <row r="40" spans="6:47" x14ac:dyDescent="0.2">
      <c r="F40" t="s">
        <v>40</v>
      </c>
      <c r="G40">
        <v>6572</v>
      </c>
      <c r="H40">
        <v>3963</v>
      </c>
      <c r="I40">
        <v>280.30355791070002</v>
      </c>
      <c r="J40">
        <v>251</v>
      </c>
      <c r="K40">
        <v>544.69721115540005</v>
      </c>
      <c r="L40">
        <v>2234</v>
      </c>
      <c r="M40">
        <v>787.71933751120002</v>
      </c>
      <c r="N40">
        <v>359</v>
      </c>
      <c r="O40">
        <v>393.94428969360001</v>
      </c>
      <c r="R40">
        <v>16</v>
      </c>
      <c r="S40">
        <v>358.625</v>
      </c>
      <c r="V40" t="s">
        <v>421</v>
      </c>
      <c r="W40">
        <v>241</v>
      </c>
      <c r="X40">
        <v>112</v>
      </c>
      <c r="Y40">
        <v>236.71428571429999</v>
      </c>
      <c r="Z40">
        <v>75</v>
      </c>
      <c r="AA40">
        <v>293.3466666667</v>
      </c>
      <c r="AB40">
        <v>77</v>
      </c>
      <c r="AC40">
        <v>314.0649350649</v>
      </c>
      <c r="AD40">
        <v>26</v>
      </c>
      <c r="AE40">
        <v>402.57692307690002</v>
      </c>
      <c r="AF40">
        <v>25</v>
      </c>
      <c r="AG40">
        <v>216.16</v>
      </c>
      <c r="AH40">
        <v>1</v>
      </c>
      <c r="AI40">
        <v>460</v>
      </c>
      <c r="AL40" t="s">
        <v>421</v>
      </c>
      <c r="AM40">
        <v>4</v>
      </c>
      <c r="AN40">
        <v>2</v>
      </c>
      <c r="AO40">
        <v>390</v>
      </c>
      <c r="AP40">
        <v>1</v>
      </c>
      <c r="AQ40">
        <v>542</v>
      </c>
      <c r="AR40">
        <v>2</v>
      </c>
      <c r="AS40">
        <v>299</v>
      </c>
    </row>
    <row r="41" spans="6:47" x14ac:dyDescent="0.2">
      <c r="F41" t="s">
        <v>46</v>
      </c>
      <c r="G41">
        <v>19635</v>
      </c>
      <c r="H41">
        <v>13537</v>
      </c>
      <c r="I41">
        <v>524.64080969270003</v>
      </c>
      <c r="J41">
        <v>1113</v>
      </c>
      <c r="K41">
        <v>651.71428571429999</v>
      </c>
      <c r="L41">
        <v>4836</v>
      </c>
      <c r="M41">
        <v>713.90756823820004</v>
      </c>
      <c r="N41">
        <v>1235</v>
      </c>
      <c r="O41">
        <v>618.94894651540005</v>
      </c>
      <c r="R41">
        <v>27</v>
      </c>
      <c r="S41">
        <v>609.48148148150005</v>
      </c>
      <c r="V41" t="s">
        <v>411</v>
      </c>
      <c r="W41">
        <v>5320</v>
      </c>
      <c r="X41">
        <v>4088</v>
      </c>
      <c r="Y41">
        <v>455.2409491194</v>
      </c>
      <c r="Z41">
        <v>271</v>
      </c>
      <c r="AA41">
        <v>917.28782287820002</v>
      </c>
      <c r="AB41">
        <v>565</v>
      </c>
      <c r="AC41">
        <v>257.55929203540001</v>
      </c>
      <c r="AD41">
        <v>473</v>
      </c>
      <c r="AE41">
        <v>581.23044397460001</v>
      </c>
      <c r="AF41">
        <v>185</v>
      </c>
      <c r="AG41">
        <v>168.77837837839999</v>
      </c>
      <c r="AH41">
        <v>9</v>
      </c>
      <c r="AI41">
        <v>285.2222222222</v>
      </c>
      <c r="AL41" t="s">
        <v>411</v>
      </c>
      <c r="AM41">
        <v>143</v>
      </c>
      <c r="AN41">
        <v>104</v>
      </c>
      <c r="AO41">
        <v>390.125</v>
      </c>
      <c r="AP41">
        <v>21</v>
      </c>
      <c r="AQ41">
        <v>646.95238095239995</v>
      </c>
      <c r="AR41">
        <v>36</v>
      </c>
      <c r="AS41">
        <v>289.5833333333</v>
      </c>
      <c r="AT41">
        <v>3</v>
      </c>
      <c r="AU41">
        <v>179.6666666667</v>
      </c>
    </row>
    <row r="42" spans="6:47" x14ac:dyDescent="0.2">
      <c r="F42" t="s">
        <v>49</v>
      </c>
      <c r="G42">
        <v>4636</v>
      </c>
      <c r="H42">
        <v>3060</v>
      </c>
      <c r="I42">
        <v>319.19183006539998</v>
      </c>
      <c r="J42">
        <v>330</v>
      </c>
      <c r="K42">
        <v>537.10303030299997</v>
      </c>
      <c r="L42">
        <v>1111</v>
      </c>
      <c r="M42">
        <v>362.40684068410002</v>
      </c>
      <c r="N42">
        <v>460</v>
      </c>
      <c r="O42">
        <v>538.93695652170004</v>
      </c>
      <c r="R42">
        <v>5</v>
      </c>
      <c r="S42">
        <v>795.8</v>
      </c>
      <c r="V42" t="s">
        <v>403</v>
      </c>
      <c r="W42">
        <v>6708</v>
      </c>
      <c r="X42">
        <v>3992</v>
      </c>
      <c r="Y42">
        <v>286.93211422849998</v>
      </c>
      <c r="Z42">
        <v>257</v>
      </c>
      <c r="AA42">
        <v>549.57587548640004</v>
      </c>
      <c r="AB42">
        <v>2129</v>
      </c>
      <c r="AC42">
        <v>774.82949741660002</v>
      </c>
      <c r="AD42">
        <v>349</v>
      </c>
      <c r="AE42">
        <v>415.44699140400002</v>
      </c>
      <c r="AF42">
        <v>224</v>
      </c>
      <c r="AG42">
        <v>183.63392857139999</v>
      </c>
      <c r="AH42">
        <v>14</v>
      </c>
      <c r="AI42">
        <v>368.21428571429999</v>
      </c>
      <c r="AL42" t="s">
        <v>403</v>
      </c>
      <c r="AM42">
        <v>61</v>
      </c>
      <c r="AN42">
        <v>39</v>
      </c>
      <c r="AO42">
        <v>201.1538461538</v>
      </c>
      <c r="AP42">
        <v>31</v>
      </c>
      <c r="AQ42">
        <v>352.5161290323</v>
      </c>
      <c r="AR42">
        <v>19</v>
      </c>
      <c r="AS42">
        <v>126.2105263158</v>
      </c>
      <c r="AT42">
        <v>3</v>
      </c>
      <c r="AU42">
        <v>327.3333333333</v>
      </c>
    </row>
    <row r="43" spans="6:47" x14ac:dyDescent="0.2">
      <c r="F43" t="s">
        <v>36</v>
      </c>
      <c r="G43">
        <v>223</v>
      </c>
      <c r="H43">
        <v>131</v>
      </c>
      <c r="I43">
        <v>332.0229007634</v>
      </c>
      <c r="J43">
        <v>90</v>
      </c>
      <c r="K43">
        <v>340.17777777779997</v>
      </c>
      <c r="L43">
        <v>65</v>
      </c>
      <c r="M43">
        <v>207.93846153850001</v>
      </c>
      <c r="N43">
        <v>27</v>
      </c>
      <c r="O43">
        <v>362.55555555559999</v>
      </c>
      <c r="V43" t="s">
        <v>412</v>
      </c>
      <c r="W43">
        <v>4435</v>
      </c>
      <c r="X43">
        <v>2961</v>
      </c>
      <c r="Y43">
        <v>211.89969604859999</v>
      </c>
      <c r="Z43">
        <v>621</v>
      </c>
      <c r="AA43">
        <v>300.49597423509999</v>
      </c>
      <c r="AB43">
        <v>854</v>
      </c>
      <c r="AC43">
        <v>222.36885245900001</v>
      </c>
      <c r="AD43">
        <v>369</v>
      </c>
      <c r="AE43">
        <v>289.35772357719998</v>
      </c>
      <c r="AF43">
        <v>248</v>
      </c>
      <c r="AG43">
        <v>169.0362903226</v>
      </c>
      <c r="AH43">
        <v>3</v>
      </c>
      <c r="AI43">
        <v>228</v>
      </c>
      <c r="AL43" t="s">
        <v>412</v>
      </c>
      <c r="AM43">
        <v>83</v>
      </c>
      <c r="AN43">
        <v>58</v>
      </c>
      <c r="AO43">
        <v>165.36206896549999</v>
      </c>
      <c r="AP43">
        <v>46</v>
      </c>
      <c r="AQ43">
        <v>210.6086956522</v>
      </c>
      <c r="AR43">
        <v>20</v>
      </c>
      <c r="AS43">
        <v>125.55</v>
      </c>
      <c r="AT43">
        <v>5</v>
      </c>
      <c r="AU43">
        <v>267.39999999999998</v>
      </c>
    </row>
    <row r="44" spans="6:47" x14ac:dyDescent="0.2">
      <c r="F44" t="s">
        <v>27</v>
      </c>
      <c r="G44">
        <v>4064</v>
      </c>
      <c r="H44">
        <v>2876</v>
      </c>
      <c r="I44">
        <v>202.58866481219999</v>
      </c>
      <c r="J44">
        <v>611</v>
      </c>
      <c r="K44">
        <v>289.73977086740001</v>
      </c>
      <c r="L44">
        <v>811</v>
      </c>
      <c r="M44">
        <v>202.09864364980001</v>
      </c>
      <c r="N44">
        <v>374</v>
      </c>
      <c r="O44">
        <v>279.62032085560003</v>
      </c>
      <c r="R44">
        <v>3</v>
      </c>
      <c r="S44">
        <v>228</v>
      </c>
      <c r="V44" t="s">
        <v>387</v>
      </c>
      <c r="W44">
        <v>6044</v>
      </c>
      <c r="X44">
        <v>4981</v>
      </c>
      <c r="Y44">
        <v>450.61051997589999</v>
      </c>
      <c r="Z44">
        <v>389</v>
      </c>
      <c r="AA44">
        <v>721.40874035989998</v>
      </c>
      <c r="AB44">
        <v>540</v>
      </c>
      <c r="AC44">
        <v>419.48333333329998</v>
      </c>
      <c r="AD44">
        <v>328</v>
      </c>
      <c r="AE44">
        <v>435.03353658539999</v>
      </c>
      <c r="AF44">
        <v>170</v>
      </c>
      <c r="AG44">
        <v>174.14117647059999</v>
      </c>
      <c r="AH44">
        <v>25</v>
      </c>
      <c r="AI44">
        <v>427.68</v>
      </c>
      <c r="AL44" t="s">
        <v>387</v>
      </c>
      <c r="AM44">
        <v>180</v>
      </c>
      <c r="AN44">
        <v>133</v>
      </c>
      <c r="AO44">
        <v>377.21804511279998</v>
      </c>
      <c r="AP44">
        <v>15</v>
      </c>
      <c r="AQ44">
        <v>677.2</v>
      </c>
      <c r="AR44">
        <v>44</v>
      </c>
      <c r="AS44">
        <v>323.27272727270002</v>
      </c>
      <c r="AT44">
        <v>3</v>
      </c>
      <c r="AU44">
        <v>472</v>
      </c>
    </row>
    <row r="45" spans="6:47" x14ac:dyDescent="0.2">
      <c r="F45" t="s">
        <v>51</v>
      </c>
      <c r="G45">
        <v>5260</v>
      </c>
      <c r="H45">
        <v>4214</v>
      </c>
      <c r="I45">
        <v>458.35049833890002</v>
      </c>
      <c r="J45">
        <v>281</v>
      </c>
      <c r="K45">
        <v>947.64412811390002</v>
      </c>
      <c r="L45">
        <v>554</v>
      </c>
      <c r="M45">
        <v>233.15884476529999</v>
      </c>
      <c r="N45">
        <v>483</v>
      </c>
      <c r="O45">
        <v>597.77225672880002</v>
      </c>
      <c r="R45">
        <v>9</v>
      </c>
      <c r="S45">
        <v>345.8888888889</v>
      </c>
      <c r="V45" t="s">
        <v>389</v>
      </c>
      <c r="W45">
        <v>4901</v>
      </c>
      <c r="X45">
        <v>3126</v>
      </c>
      <c r="Y45">
        <v>328.01791426739999</v>
      </c>
      <c r="Z45">
        <v>334</v>
      </c>
      <c r="AA45">
        <v>539.22455089820005</v>
      </c>
      <c r="AB45">
        <v>1144</v>
      </c>
      <c r="AC45">
        <v>374.6215034965</v>
      </c>
      <c r="AD45">
        <v>469</v>
      </c>
      <c r="AE45">
        <v>536.42004264390005</v>
      </c>
      <c r="AF45">
        <v>157</v>
      </c>
      <c r="AG45">
        <v>228.6178343949</v>
      </c>
      <c r="AH45">
        <v>5</v>
      </c>
      <c r="AI45">
        <v>795.8</v>
      </c>
      <c r="AL45" t="s">
        <v>389</v>
      </c>
      <c r="AM45">
        <v>158</v>
      </c>
      <c r="AN45">
        <v>113</v>
      </c>
      <c r="AO45">
        <v>345.1415929204</v>
      </c>
      <c r="AP45">
        <v>8</v>
      </c>
      <c r="AQ45">
        <v>336.375</v>
      </c>
      <c r="AR45">
        <v>44</v>
      </c>
      <c r="AS45">
        <v>371.20454545450002</v>
      </c>
      <c r="AT45">
        <v>1</v>
      </c>
      <c r="AU45">
        <v>415</v>
      </c>
    </row>
    <row r="46" spans="6:47" x14ac:dyDescent="0.2">
      <c r="F46" t="s">
        <v>59</v>
      </c>
      <c r="G46">
        <v>5875</v>
      </c>
      <c r="H46">
        <v>4989</v>
      </c>
      <c r="I46">
        <v>455.62597714970002</v>
      </c>
      <c r="J46">
        <v>380</v>
      </c>
      <c r="K46">
        <v>720.36842105259996</v>
      </c>
      <c r="L46">
        <v>532</v>
      </c>
      <c r="M46">
        <v>407.92669172929999</v>
      </c>
      <c r="N46">
        <v>329</v>
      </c>
      <c r="O46">
        <v>440.49848024319999</v>
      </c>
      <c r="R46">
        <v>25</v>
      </c>
      <c r="S46">
        <v>426.16</v>
      </c>
      <c r="V46" t="s">
        <v>385</v>
      </c>
      <c r="W46">
        <v>70592</v>
      </c>
      <c r="X46">
        <v>49764</v>
      </c>
      <c r="Y46">
        <v>419.9081866409</v>
      </c>
      <c r="Z46">
        <v>4896</v>
      </c>
      <c r="AA46">
        <v>571.6633986928</v>
      </c>
      <c r="AB46">
        <v>14073</v>
      </c>
      <c r="AC46">
        <v>615.67817807150004</v>
      </c>
      <c r="AD46">
        <v>4299</v>
      </c>
      <c r="AE46">
        <v>488.50348999530001</v>
      </c>
      <c r="AF46">
        <v>2310</v>
      </c>
      <c r="AG46">
        <v>183.27402597400001</v>
      </c>
      <c r="AH46">
        <v>146</v>
      </c>
      <c r="AI46">
        <v>473.46575342469998</v>
      </c>
      <c r="AL46" t="s">
        <v>385</v>
      </c>
      <c r="AM46">
        <v>995</v>
      </c>
      <c r="AN46">
        <v>700</v>
      </c>
      <c r="AO46">
        <v>298.1585714286</v>
      </c>
      <c r="AP46">
        <v>281</v>
      </c>
      <c r="AQ46">
        <v>370.94661921710002</v>
      </c>
      <c r="AR46">
        <v>267</v>
      </c>
      <c r="AS46">
        <v>270.92134831459998</v>
      </c>
      <c r="AT46">
        <v>28</v>
      </c>
      <c r="AU46">
        <v>299.71428571429999</v>
      </c>
    </row>
    <row r="47" spans="6:47" x14ac:dyDescent="0.2">
      <c r="F47" t="s">
        <v>181</v>
      </c>
      <c r="G47">
        <v>369</v>
      </c>
      <c r="H47">
        <v>237</v>
      </c>
      <c r="I47">
        <v>354.67932489449998</v>
      </c>
      <c r="J47">
        <v>184</v>
      </c>
      <c r="K47">
        <v>264.75543478259999</v>
      </c>
      <c r="L47">
        <v>83</v>
      </c>
      <c r="M47">
        <v>200.67469879519999</v>
      </c>
      <c r="N47">
        <v>47</v>
      </c>
      <c r="O47">
        <v>397.51063829790002</v>
      </c>
      <c r="R47">
        <v>2</v>
      </c>
      <c r="S47">
        <v>660.5</v>
      </c>
      <c r="V47" t="s">
        <v>416</v>
      </c>
      <c r="W47">
        <v>458</v>
      </c>
      <c r="X47">
        <v>336</v>
      </c>
      <c r="Y47">
        <v>274.24107142859998</v>
      </c>
      <c r="Z47">
        <v>24</v>
      </c>
      <c r="AA47">
        <v>339.2916666667</v>
      </c>
      <c r="AB47">
        <v>35</v>
      </c>
      <c r="AC47">
        <v>439.17142857139999</v>
      </c>
      <c r="AD47">
        <v>72</v>
      </c>
      <c r="AE47">
        <v>285.31944444440001</v>
      </c>
      <c r="AF47">
        <v>12</v>
      </c>
      <c r="AG47">
        <v>268.3333333333</v>
      </c>
      <c r="AH47">
        <v>3</v>
      </c>
      <c r="AI47">
        <v>300.6666666667</v>
      </c>
      <c r="AL47" t="s">
        <v>416</v>
      </c>
      <c r="AM47">
        <v>22</v>
      </c>
      <c r="AN47">
        <v>18</v>
      </c>
      <c r="AO47">
        <v>181.05555555559999</v>
      </c>
      <c r="AP47">
        <v>8</v>
      </c>
      <c r="AQ47">
        <v>256.75</v>
      </c>
      <c r="AR47">
        <v>4</v>
      </c>
      <c r="AS47">
        <v>70.5</v>
      </c>
    </row>
    <row r="48" spans="6:47" x14ac:dyDescent="0.2">
      <c r="F48" t="s">
        <v>70</v>
      </c>
      <c r="G48">
        <v>1025</v>
      </c>
      <c r="H48">
        <v>809</v>
      </c>
      <c r="I48">
        <v>375.22373300369998</v>
      </c>
      <c r="J48">
        <v>428</v>
      </c>
      <c r="K48">
        <v>294.9719626168</v>
      </c>
      <c r="L48">
        <v>100</v>
      </c>
      <c r="M48">
        <v>120.6</v>
      </c>
      <c r="N48">
        <v>107</v>
      </c>
      <c r="O48">
        <v>209.34579439250001</v>
      </c>
      <c r="R48">
        <v>9</v>
      </c>
      <c r="S48">
        <v>217</v>
      </c>
      <c r="V48" t="s">
        <v>417</v>
      </c>
      <c r="W48">
        <v>110</v>
      </c>
      <c r="X48">
        <v>75</v>
      </c>
      <c r="Y48">
        <v>213.7733333333</v>
      </c>
      <c r="Z48">
        <v>30</v>
      </c>
      <c r="AA48">
        <v>186.7</v>
      </c>
      <c r="AB48">
        <v>11</v>
      </c>
      <c r="AC48">
        <v>271.90909090909997</v>
      </c>
      <c r="AD48">
        <v>20</v>
      </c>
      <c r="AE48">
        <v>427.1</v>
      </c>
      <c r="AF48">
        <v>3</v>
      </c>
      <c r="AG48">
        <v>181</v>
      </c>
      <c r="AH48">
        <v>1</v>
      </c>
      <c r="AI48">
        <v>290</v>
      </c>
      <c r="AL48" t="s">
        <v>417</v>
      </c>
      <c r="AM48">
        <v>9</v>
      </c>
      <c r="AN48">
        <v>7</v>
      </c>
      <c r="AO48">
        <v>175.8571428571</v>
      </c>
      <c r="AP48">
        <v>2</v>
      </c>
      <c r="AQ48">
        <v>252</v>
      </c>
      <c r="AR48">
        <v>1</v>
      </c>
      <c r="AS48">
        <v>60</v>
      </c>
      <c r="AT48">
        <v>1</v>
      </c>
      <c r="AU48">
        <v>730</v>
      </c>
    </row>
    <row r="49" spans="6:49" x14ac:dyDescent="0.2">
      <c r="F49" t="s">
        <v>385</v>
      </c>
      <c r="G49">
        <v>67879</v>
      </c>
      <c r="H49">
        <v>49455</v>
      </c>
      <c r="I49">
        <v>420.32195575690002</v>
      </c>
      <c r="J49">
        <v>4718</v>
      </c>
      <c r="K49">
        <v>578.78592623990005</v>
      </c>
      <c r="L49">
        <v>13987</v>
      </c>
      <c r="M49">
        <v>621.42732537359996</v>
      </c>
      <c r="N49">
        <v>4293</v>
      </c>
      <c r="O49">
        <v>491.91635601119998</v>
      </c>
      <c r="R49">
        <v>144</v>
      </c>
      <c r="S49">
        <v>471.55555555559999</v>
      </c>
      <c r="V49" t="s">
        <v>423</v>
      </c>
      <c r="W49">
        <v>632</v>
      </c>
      <c r="X49">
        <v>380</v>
      </c>
      <c r="Y49">
        <v>366.65789473680002</v>
      </c>
      <c r="Z49">
        <v>43</v>
      </c>
      <c r="AA49">
        <v>531.65116279070003</v>
      </c>
      <c r="AB49">
        <v>142</v>
      </c>
      <c r="AC49">
        <v>441.71830985920002</v>
      </c>
      <c r="AD49">
        <v>76</v>
      </c>
      <c r="AE49">
        <v>620.5</v>
      </c>
      <c r="AF49">
        <v>29</v>
      </c>
      <c r="AG49">
        <v>182.96551724139999</v>
      </c>
      <c r="AH49">
        <v>5</v>
      </c>
      <c r="AI49">
        <v>446.4</v>
      </c>
      <c r="AL49" t="s">
        <v>423</v>
      </c>
      <c r="AM49">
        <v>16</v>
      </c>
      <c r="AN49">
        <v>15</v>
      </c>
      <c r="AO49">
        <v>207.86666666670001</v>
      </c>
      <c r="AP49">
        <v>3</v>
      </c>
      <c r="AQ49">
        <v>530.66666666670005</v>
      </c>
      <c r="AR49">
        <v>1</v>
      </c>
      <c r="AS49">
        <v>31</v>
      </c>
    </row>
    <row r="50" spans="6:49" x14ac:dyDescent="0.2">
      <c r="F50" t="s">
        <v>212</v>
      </c>
      <c r="G50">
        <v>1193</v>
      </c>
      <c r="H50">
        <v>848</v>
      </c>
      <c r="I50">
        <v>193.579009434</v>
      </c>
      <c r="J50">
        <v>538</v>
      </c>
      <c r="K50">
        <v>300.99628252790001</v>
      </c>
      <c r="L50">
        <v>296</v>
      </c>
      <c r="M50">
        <v>182.9932432432</v>
      </c>
      <c r="N50">
        <v>49</v>
      </c>
      <c r="O50">
        <v>239.83673469390001</v>
      </c>
      <c r="V50" t="s">
        <v>376</v>
      </c>
      <c r="W50">
        <v>5750</v>
      </c>
      <c r="X50">
        <v>4680</v>
      </c>
      <c r="Y50">
        <v>554.08012820509998</v>
      </c>
      <c r="Z50">
        <v>426</v>
      </c>
      <c r="AA50">
        <v>950.60093896709998</v>
      </c>
      <c r="AB50">
        <v>639</v>
      </c>
      <c r="AC50">
        <v>757.43818466350001</v>
      </c>
      <c r="AD50">
        <v>307</v>
      </c>
      <c r="AE50">
        <v>620.99022801299998</v>
      </c>
      <c r="AF50">
        <v>115</v>
      </c>
      <c r="AG50">
        <v>116.8869565217</v>
      </c>
      <c r="AH50">
        <v>9</v>
      </c>
      <c r="AI50">
        <v>717.11111111109994</v>
      </c>
      <c r="AL50" t="s">
        <v>376</v>
      </c>
      <c r="AM50">
        <v>65</v>
      </c>
      <c r="AN50">
        <v>49</v>
      </c>
      <c r="AO50">
        <v>236.42857142860001</v>
      </c>
      <c r="AP50">
        <v>19</v>
      </c>
      <c r="AQ50">
        <v>364.73684210530001</v>
      </c>
      <c r="AR50">
        <v>11</v>
      </c>
      <c r="AS50">
        <v>145.63636363640001</v>
      </c>
      <c r="AT50">
        <v>5</v>
      </c>
      <c r="AU50">
        <v>287.60000000000002</v>
      </c>
    </row>
    <row r="51" spans="6:49" x14ac:dyDescent="0.2">
      <c r="F51" t="s">
        <v>209</v>
      </c>
      <c r="G51">
        <v>2420</v>
      </c>
      <c r="H51">
        <v>1780</v>
      </c>
      <c r="I51">
        <v>379.62359550560001</v>
      </c>
      <c r="J51">
        <v>201</v>
      </c>
      <c r="K51">
        <v>620.82089552239995</v>
      </c>
      <c r="L51">
        <v>589</v>
      </c>
      <c r="M51">
        <v>338.25466893039999</v>
      </c>
      <c r="N51">
        <v>51</v>
      </c>
      <c r="O51">
        <v>390.431372549</v>
      </c>
      <c r="V51" t="s">
        <v>60</v>
      </c>
      <c r="W51">
        <v>5409</v>
      </c>
      <c r="X51">
        <v>3615</v>
      </c>
      <c r="Y51">
        <v>248.07994467500001</v>
      </c>
      <c r="Z51">
        <v>562</v>
      </c>
      <c r="AA51">
        <v>375.52669039149998</v>
      </c>
      <c r="AB51">
        <v>964</v>
      </c>
      <c r="AC51">
        <v>283.43879668049999</v>
      </c>
      <c r="AD51">
        <v>568</v>
      </c>
      <c r="AE51">
        <v>597.01408450700001</v>
      </c>
      <c r="AF51">
        <v>252</v>
      </c>
      <c r="AG51">
        <v>171.15079365080001</v>
      </c>
      <c r="AH51">
        <v>10</v>
      </c>
      <c r="AI51">
        <v>762.5</v>
      </c>
      <c r="AL51" t="s">
        <v>60</v>
      </c>
      <c r="AM51">
        <v>162</v>
      </c>
      <c r="AN51">
        <v>122</v>
      </c>
      <c r="AO51">
        <v>252.06557377050001</v>
      </c>
      <c r="AP51">
        <v>50</v>
      </c>
      <c r="AQ51">
        <v>415.7</v>
      </c>
      <c r="AR51">
        <v>31</v>
      </c>
      <c r="AS51">
        <v>202.74193548389999</v>
      </c>
      <c r="AT51">
        <v>9</v>
      </c>
      <c r="AU51">
        <v>211</v>
      </c>
    </row>
    <row r="52" spans="6:49" x14ac:dyDescent="0.2">
      <c r="F52" t="s">
        <v>210</v>
      </c>
      <c r="G52">
        <v>2086</v>
      </c>
      <c r="H52">
        <v>1547</v>
      </c>
      <c r="I52">
        <v>236.5067873303</v>
      </c>
      <c r="J52">
        <v>558</v>
      </c>
      <c r="K52">
        <v>414.394265233</v>
      </c>
      <c r="L52">
        <v>427</v>
      </c>
      <c r="M52">
        <v>168.51288056210001</v>
      </c>
      <c r="N52">
        <v>112</v>
      </c>
      <c r="O52">
        <v>301.58928571429999</v>
      </c>
      <c r="V52" t="s">
        <v>378</v>
      </c>
      <c r="W52">
        <v>15304</v>
      </c>
      <c r="X52">
        <v>10847</v>
      </c>
      <c r="Y52">
        <v>381.22854245410002</v>
      </c>
      <c r="Z52">
        <v>592</v>
      </c>
      <c r="AA52">
        <v>791.6537162162</v>
      </c>
      <c r="AB52">
        <v>3467</v>
      </c>
      <c r="AC52">
        <v>749.5036054226</v>
      </c>
      <c r="AD52">
        <v>639</v>
      </c>
      <c r="AE52">
        <v>490.43974960880001</v>
      </c>
      <c r="AF52">
        <v>348</v>
      </c>
      <c r="AG52">
        <v>146.2011494253</v>
      </c>
      <c r="AH52">
        <v>3</v>
      </c>
      <c r="AI52">
        <v>368.3333333333</v>
      </c>
      <c r="AL52" t="s">
        <v>378</v>
      </c>
      <c r="AM52">
        <v>133</v>
      </c>
      <c r="AN52">
        <v>106</v>
      </c>
      <c r="AO52">
        <v>231.3396226415</v>
      </c>
      <c r="AP52">
        <v>39</v>
      </c>
      <c r="AQ52">
        <v>345.43589743590002</v>
      </c>
      <c r="AR52">
        <v>15</v>
      </c>
      <c r="AS52">
        <v>229.53333333329999</v>
      </c>
      <c r="AT52">
        <v>12</v>
      </c>
      <c r="AU52">
        <v>289</v>
      </c>
    </row>
    <row r="53" spans="6:49" x14ac:dyDescent="0.2">
      <c r="F53" t="s">
        <v>462</v>
      </c>
      <c r="G53">
        <v>5699</v>
      </c>
      <c r="H53">
        <v>4175</v>
      </c>
      <c r="I53">
        <v>288.80502994009998</v>
      </c>
      <c r="J53">
        <v>1297</v>
      </c>
      <c r="K53">
        <v>399.3469545104</v>
      </c>
      <c r="L53">
        <v>1312</v>
      </c>
      <c r="M53">
        <v>247.9824695122</v>
      </c>
      <c r="N53">
        <v>212</v>
      </c>
      <c r="O53">
        <v>308.68867924530002</v>
      </c>
      <c r="V53" t="s">
        <v>374</v>
      </c>
      <c r="W53">
        <v>3956</v>
      </c>
      <c r="X53">
        <v>2642</v>
      </c>
      <c r="Y53">
        <v>323.89629068890002</v>
      </c>
      <c r="Z53">
        <v>451</v>
      </c>
      <c r="AA53">
        <v>446.0487804878</v>
      </c>
      <c r="AB53">
        <v>596</v>
      </c>
      <c r="AC53">
        <v>268.78859060399998</v>
      </c>
      <c r="AD53">
        <v>579</v>
      </c>
      <c r="AE53">
        <v>560.04490500860004</v>
      </c>
      <c r="AF53">
        <v>127</v>
      </c>
      <c r="AG53">
        <v>210.84251968500001</v>
      </c>
      <c r="AH53">
        <v>12</v>
      </c>
      <c r="AI53">
        <v>581.33333333329995</v>
      </c>
      <c r="AL53" t="s">
        <v>374</v>
      </c>
      <c r="AM53">
        <v>150</v>
      </c>
      <c r="AN53">
        <v>105</v>
      </c>
      <c r="AO53">
        <v>217.5904761905</v>
      </c>
      <c r="AP53">
        <v>36</v>
      </c>
      <c r="AQ53">
        <v>349.5</v>
      </c>
      <c r="AR53">
        <v>35</v>
      </c>
      <c r="AS53">
        <v>165.5428571429</v>
      </c>
      <c r="AT53">
        <v>10</v>
      </c>
      <c r="AU53">
        <v>247.8</v>
      </c>
    </row>
    <row r="54" spans="6:49" x14ac:dyDescent="0.2">
      <c r="F54" t="s">
        <v>78</v>
      </c>
      <c r="G54">
        <v>787</v>
      </c>
      <c r="H54">
        <v>595</v>
      </c>
      <c r="I54">
        <v>459.78823529409999</v>
      </c>
      <c r="J54">
        <v>58</v>
      </c>
      <c r="K54">
        <v>584.89655172410005</v>
      </c>
      <c r="L54">
        <v>22</v>
      </c>
      <c r="M54">
        <v>356.13636363640001</v>
      </c>
      <c r="N54">
        <v>167</v>
      </c>
      <c r="O54">
        <v>415.64071856290002</v>
      </c>
      <c r="R54">
        <v>3</v>
      </c>
      <c r="S54">
        <v>300.6666666667</v>
      </c>
      <c r="V54" t="s">
        <v>373</v>
      </c>
      <c r="W54">
        <v>1323</v>
      </c>
      <c r="X54">
        <v>857</v>
      </c>
      <c r="Y54">
        <v>221.06417736290001</v>
      </c>
      <c r="Z54">
        <v>128</v>
      </c>
      <c r="AA54">
        <v>345.3203125</v>
      </c>
      <c r="AB54">
        <v>240</v>
      </c>
      <c r="AC54">
        <v>232.4</v>
      </c>
      <c r="AD54">
        <v>143</v>
      </c>
      <c r="AE54">
        <v>294.53846153849997</v>
      </c>
      <c r="AF54">
        <v>76</v>
      </c>
      <c r="AG54">
        <v>141.73684210530001</v>
      </c>
      <c r="AH54">
        <v>7</v>
      </c>
      <c r="AI54">
        <v>196.8571428571</v>
      </c>
      <c r="AL54" t="s">
        <v>373</v>
      </c>
      <c r="AM54">
        <v>38</v>
      </c>
      <c r="AN54">
        <v>30</v>
      </c>
      <c r="AO54">
        <v>176.46666666670001</v>
      </c>
      <c r="AP54">
        <v>15</v>
      </c>
      <c r="AQ54">
        <v>418.53333333329999</v>
      </c>
      <c r="AR54">
        <v>7</v>
      </c>
      <c r="AS54">
        <v>208.1428571429</v>
      </c>
      <c r="AT54">
        <v>1</v>
      </c>
      <c r="AU54">
        <v>193</v>
      </c>
    </row>
    <row r="55" spans="6:49" x14ac:dyDescent="0.2">
      <c r="F55" t="s">
        <v>35</v>
      </c>
      <c r="G55">
        <v>3226</v>
      </c>
      <c r="H55">
        <v>1954</v>
      </c>
      <c r="I55">
        <v>468.71172555039999</v>
      </c>
      <c r="J55">
        <v>239</v>
      </c>
      <c r="K55">
        <v>478.56066945610002</v>
      </c>
      <c r="L55">
        <v>940</v>
      </c>
      <c r="M55">
        <v>508.32978723399998</v>
      </c>
      <c r="N55">
        <v>311</v>
      </c>
      <c r="O55">
        <v>617.97106109319998</v>
      </c>
      <c r="R55">
        <v>21</v>
      </c>
      <c r="S55">
        <v>485.3333333333</v>
      </c>
      <c r="V55" t="s">
        <v>375</v>
      </c>
      <c r="W55">
        <v>7446</v>
      </c>
      <c r="X55">
        <v>5268</v>
      </c>
      <c r="Y55">
        <v>394.75303720580001</v>
      </c>
      <c r="Z55">
        <v>500</v>
      </c>
      <c r="AA55">
        <v>516.35799999999995</v>
      </c>
      <c r="AB55">
        <v>917</v>
      </c>
      <c r="AC55">
        <v>410.679389313</v>
      </c>
      <c r="AD55">
        <v>956</v>
      </c>
      <c r="AE55">
        <v>690.77510460250005</v>
      </c>
      <c r="AF55">
        <v>283</v>
      </c>
      <c r="AG55">
        <v>190.35335689050001</v>
      </c>
      <c r="AH55">
        <v>22</v>
      </c>
      <c r="AI55">
        <v>540.72727272730003</v>
      </c>
      <c r="AL55" t="s">
        <v>375</v>
      </c>
      <c r="AM55">
        <v>185</v>
      </c>
      <c r="AN55">
        <v>140</v>
      </c>
      <c r="AO55">
        <v>236</v>
      </c>
      <c r="AP55">
        <v>49</v>
      </c>
      <c r="AQ55">
        <v>410.38775510200003</v>
      </c>
      <c r="AR55">
        <v>32</v>
      </c>
      <c r="AS55">
        <v>155.3125</v>
      </c>
      <c r="AT55">
        <v>13</v>
      </c>
      <c r="AU55">
        <v>388.84615384620002</v>
      </c>
    </row>
    <row r="56" spans="6:49" x14ac:dyDescent="0.2">
      <c r="F56" t="s">
        <v>61</v>
      </c>
      <c r="G56">
        <v>2617</v>
      </c>
      <c r="H56">
        <v>1948</v>
      </c>
      <c r="I56">
        <v>353.97227926080001</v>
      </c>
      <c r="J56">
        <v>307</v>
      </c>
      <c r="K56">
        <v>453.11726384360003</v>
      </c>
      <c r="L56">
        <v>258</v>
      </c>
      <c r="M56">
        <v>75.182170542600005</v>
      </c>
      <c r="N56">
        <v>406</v>
      </c>
      <c r="O56">
        <v>494.68965517240002</v>
      </c>
      <c r="R56">
        <v>5</v>
      </c>
      <c r="S56">
        <v>490.2</v>
      </c>
      <c r="V56" t="s">
        <v>372</v>
      </c>
      <c r="W56">
        <v>282</v>
      </c>
      <c r="X56">
        <v>165</v>
      </c>
      <c r="Y56">
        <v>153.67878787879999</v>
      </c>
      <c r="Z56">
        <v>68</v>
      </c>
      <c r="AA56">
        <v>168.4705882353</v>
      </c>
      <c r="AB56">
        <v>62</v>
      </c>
      <c r="AC56">
        <v>141.62903225810001</v>
      </c>
      <c r="AD56">
        <v>26</v>
      </c>
      <c r="AE56">
        <v>195.0384615385</v>
      </c>
      <c r="AF56">
        <v>28</v>
      </c>
      <c r="AG56">
        <v>190.6071428571</v>
      </c>
      <c r="AH56">
        <v>1</v>
      </c>
      <c r="AI56">
        <v>215</v>
      </c>
      <c r="AL56" t="s">
        <v>372</v>
      </c>
      <c r="AM56">
        <v>17</v>
      </c>
      <c r="AN56">
        <v>12</v>
      </c>
      <c r="AO56">
        <v>143.1666666667</v>
      </c>
      <c r="AP56">
        <v>4</v>
      </c>
      <c r="AQ56">
        <v>418.25</v>
      </c>
      <c r="AR56">
        <v>4</v>
      </c>
      <c r="AS56">
        <v>151.5</v>
      </c>
      <c r="AT56">
        <v>1</v>
      </c>
      <c r="AU56">
        <v>179</v>
      </c>
    </row>
    <row r="57" spans="6:49" x14ac:dyDescent="0.2">
      <c r="F57" t="s">
        <v>24</v>
      </c>
      <c r="G57">
        <v>2103</v>
      </c>
      <c r="H57">
        <v>1307</v>
      </c>
      <c r="I57">
        <v>261.40474368780002</v>
      </c>
      <c r="J57">
        <v>381</v>
      </c>
      <c r="K57">
        <v>288.35433070869999</v>
      </c>
      <c r="L57">
        <v>573</v>
      </c>
      <c r="M57">
        <v>314.94415357769998</v>
      </c>
      <c r="N57">
        <v>212</v>
      </c>
      <c r="O57">
        <v>556.28773584910005</v>
      </c>
      <c r="R57">
        <v>11</v>
      </c>
      <c r="S57">
        <v>805.18181818180005</v>
      </c>
      <c r="V57" t="s">
        <v>371</v>
      </c>
      <c r="W57">
        <v>3399</v>
      </c>
      <c r="X57">
        <v>1946</v>
      </c>
      <c r="Y57">
        <v>451.77634961439998</v>
      </c>
      <c r="Z57">
        <v>301</v>
      </c>
      <c r="AA57">
        <v>423.92691029899999</v>
      </c>
      <c r="AB57">
        <v>958</v>
      </c>
      <c r="AC57">
        <v>482.7828810021</v>
      </c>
      <c r="AD57">
        <v>328</v>
      </c>
      <c r="AE57">
        <v>580.33536585369995</v>
      </c>
      <c r="AF57">
        <v>146</v>
      </c>
      <c r="AG57">
        <v>170.96575342470001</v>
      </c>
      <c r="AH57">
        <v>21</v>
      </c>
      <c r="AI57">
        <v>409.19047619050002</v>
      </c>
      <c r="AL57" t="s">
        <v>371</v>
      </c>
      <c r="AM57">
        <v>77</v>
      </c>
      <c r="AN57">
        <v>59</v>
      </c>
      <c r="AO57">
        <v>222.5593220339</v>
      </c>
      <c r="AP57">
        <v>26</v>
      </c>
      <c r="AQ57">
        <v>337.92307692309998</v>
      </c>
      <c r="AR57">
        <v>15</v>
      </c>
      <c r="AS57">
        <v>172.26666666669999</v>
      </c>
      <c r="AT57">
        <v>3</v>
      </c>
      <c r="AU57">
        <v>385.6666666667</v>
      </c>
    </row>
    <row r="58" spans="6:49" x14ac:dyDescent="0.2">
      <c r="F58" t="s">
        <v>69</v>
      </c>
      <c r="G58">
        <v>15131</v>
      </c>
      <c r="H58">
        <v>10942</v>
      </c>
      <c r="I58">
        <v>366.99204898559998</v>
      </c>
      <c r="J58">
        <v>566</v>
      </c>
      <c r="K58">
        <v>802.03533568900002</v>
      </c>
      <c r="L58">
        <v>3664</v>
      </c>
      <c r="M58">
        <v>757.45469432309994</v>
      </c>
      <c r="N58">
        <v>522</v>
      </c>
      <c r="O58">
        <v>433.76819923369999</v>
      </c>
      <c r="R58">
        <v>3</v>
      </c>
      <c r="S58">
        <v>368.3333333333</v>
      </c>
      <c r="V58" t="s">
        <v>415</v>
      </c>
      <c r="W58">
        <v>620</v>
      </c>
      <c r="X58">
        <v>490</v>
      </c>
      <c r="Y58">
        <v>231.18367346939999</v>
      </c>
      <c r="Z58">
        <v>62</v>
      </c>
      <c r="AA58">
        <v>416.40322580650002</v>
      </c>
      <c r="AB58">
        <v>55</v>
      </c>
      <c r="AC58">
        <v>210.6</v>
      </c>
      <c r="AD58">
        <v>42</v>
      </c>
      <c r="AE58">
        <v>239.76190476190001</v>
      </c>
      <c r="AF58">
        <v>32</v>
      </c>
      <c r="AG58">
        <v>154</v>
      </c>
      <c r="AH58">
        <v>1</v>
      </c>
      <c r="AI58">
        <v>1443</v>
      </c>
      <c r="AL58" t="s">
        <v>415</v>
      </c>
      <c r="AM58">
        <v>10</v>
      </c>
      <c r="AN58">
        <v>7</v>
      </c>
      <c r="AO58">
        <v>186</v>
      </c>
      <c r="AP58">
        <v>2</v>
      </c>
      <c r="AQ58">
        <v>687</v>
      </c>
      <c r="AR58">
        <v>3</v>
      </c>
      <c r="AS58">
        <v>108.3333333333</v>
      </c>
    </row>
    <row r="59" spans="6:49" x14ac:dyDescent="0.2">
      <c r="F59" t="s">
        <v>44</v>
      </c>
      <c r="G59">
        <v>1259</v>
      </c>
      <c r="H59">
        <v>879</v>
      </c>
      <c r="I59">
        <v>279.30602957910003</v>
      </c>
      <c r="J59">
        <v>144</v>
      </c>
      <c r="K59">
        <v>437.19444444440001</v>
      </c>
      <c r="L59">
        <v>239</v>
      </c>
      <c r="M59">
        <v>210.26778242680001</v>
      </c>
      <c r="N59">
        <v>134</v>
      </c>
      <c r="O59">
        <v>286.88059701489999</v>
      </c>
      <c r="R59">
        <v>7</v>
      </c>
      <c r="S59">
        <v>196.8571428571</v>
      </c>
      <c r="V59" t="s">
        <v>379</v>
      </c>
      <c r="W59">
        <v>2426</v>
      </c>
      <c r="X59">
        <v>1633</v>
      </c>
      <c r="Y59">
        <v>358.67789344760001</v>
      </c>
      <c r="Z59">
        <v>270</v>
      </c>
      <c r="AA59">
        <v>401.54074074070002</v>
      </c>
      <c r="AB59">
        <v>132</v>
      </c>
      <c r="AC59">
        <v>339.42424242419997</v>
      </c>
      <c r="AD59">
        <v>532</v>
      </c>
      <c r="AE59">
        <v>542.63909774440003</v>
      </c>
      <c r="AF59">
        <v>119</v>
      </c>
      <c r="AG59">
        <v>206.95798319330001</v>
      </c>
      <c r="AH59">
        <v>10</v>
      </c>
      <c r="AI59">
        <v>542.20000000000005</v>
      </c>
      <c r="AL59" t="s">
        <v>379</v>
      </c>
      <c r="AM59">
        <v>51</v>
      </c>
      <c r="AN59">
        <v>37</v>
      </c>
      <c r="AO59">
        <v>195.37837837839999</v>
      </c>
      <c r="AP59">
        <v>8</v>
      </c>
      <c r="AQ59">
        <v>362</v>
      </c>
      <c r="AR59">
        <v>13</v>
      </c>
      <c r="AS59">
        <v>138.92307692310001</v>
      </c>
      <c r="AV59">
        <v>1</v>
      </c>
      <c r="AW59">
        <v>264</v>
      </c>
    </row>
    <row r="60" spans="6:49" x14ac:dyDescent="0.2">
      <c r="F60" t="s">
        <v>60</v>
      </c>
      <c r="G60">
        <v>3339</v>
      </c>
      <c r="H60">
        <v>2624</v>
      </c>
      <c r="I60">
        <v>277.54763719509998</v>
      </c>
      <c r="J60">
        <v>289</v>
      </c>
      <c r="K60">
        <v>564.88927335640005</v>
      </c>
      <c r="L60">
        <v>361</v>
      </c>
      <c r="M60">
        <v>186.75069252079999</v>
      </c>
      <c r="N60">
        <v>353</v>
      </c>
      <c r="O60">
        <v>644.21813031160002</v>
      </c>
      <c r="R60">
        <v>1</v>
      </c>
      <c r="S60">
        <v>47</v>
      </c>
      <c r="V60" t="s">
        <v>382</v>
      </c>
      <c r="W60">
        <v>9604</v>
      </c>
      <c r="X60">
        <v>6971</v>
      </c>
      <c r="Y60">
        <v>259.69817816670002</v>
      </c>
      <c r="Z60">
        <v>963</v>
      </c>
      <c r="AA60">
        <v>441.72793354100003</v>
      </c>
      <c r="AB60">
        <v>1259</v>
      </c>
      <c r="AC60">
        <v>221.3335980937</v>
      </c>
      <c r="AD60">
        <v>850</v>
      </c>
      <c r="AE60">
        <v>359.19058823530003</v>
      </c>
      <c r="AF60">
        <v>513</v>
      </c>
      <c r="AG60">
        <v>178.07017543859999</v>
      </c>
      <c r="AH60">
        <v>11</v>
      </c>
      <c r="AI60">
        <v>158.8181818182</v>
      </c>
      <c r="AL60" t="s">
        <v>382</v>
      </c>
      <c r="AM60">
        <v>174</v>
      </c>
      <c r="AN60">
        <v>130</v>
      </c>
      <c r="AO60">
        <v>214.05384615380001</v>
      </c>
      <c r="AP60">
        <v>48</v>
      </c>
      <c r="AQ60">
        <v>369.875</v>
      </c>
      <c r="AR60">
        <v>35</v>
      </c>
      <c r="AS60">
        <v>150.6285714286</v>
      </c>
      <c r="AT60">
        <v>9</v>
      </c>
      <c r="AU60">
        <v>295.3333333333</v>
      </c>
    </row>
    <row r="61" spans="6:49" x14ac:dyDescent="0.2">
      <c r="F61" t="s">
        <v>33</v>
      </c>
      <c r="G61">
        <v>5420</v>
      </c>
      <c r="H61">
        <v>4468</v>
      </c>
      <c r="I61">
        <v>555.5239480752</v>
      </c>
      <c r="J61">
        <v>331</v>
      </c>
      <c r="K61">
        <v>1013.1993957704</v>
      </c>
      <c r="L61">
        <v>623</v>
      </c>
      <c r="M61">
        <v>791.98073836280003</v>
      </c>
      <c r="N61">
        <v>318</v>
      </c>
      <c r="O61">
        <v>640.74213836479998</v>
      </c>
      <c r="R61">
        <v>11</v>
      </c>
      <c r="S61">
        <v>665.36363636359999</v>
      </c>
      <c r="V61" t="s">
        <v>414</v>
      </c>
      <c r="W61">
        <v>593</v>
      </c>
      <c r="X61">
        <v>396</v>
      </c>
      <c r="Y61">
        <v>421.14646464650002</v>
      </c>
      <c r="Z61">
        <v>24</v>
      </c>
      <c r="AA61">
        <v>868.125</v>
      </c>
      <c r="AB61">
        <v>141</v>
      </c>
      <c r="AC61">
        <v>744.3971631206</v>
      </c>
      <c r="AD61">
        <v>35</v>
      </c>
      <c r="AE61">
        <v>518.68571428569999</v>
      </c>
      <c r="AF61">
        <v>21</v>
      </c>
      <c r="AG61">
        <v>108.8571428571</v>
      </c>
      <c r="AL61" t="s">
        <v>414</v>
      </c>
      <c r="AM61">
        <v>10</v>
      </c>
      <c r="AN61">
        <v>8</v>
      </c>
      <c r="AO61">
        <v>313.75</v>
      </c>
      <c r="AP61">
        <v>5</v>
      </c>
      <c r="AQ61">
        <v>263.8</v>
      </c>
      <c r="AR61">
        <v>2</v>
      </c>
      <c r="AS61">
        <v>206</v>
      </c>
    </row>
    <row r="62" spans="6:49" x14ac:dyDescent="0.2">
      <c r="F62" t="s">
        <v>47</v>
      </c>
      <c r="G62">
        <v>2288</v>
      </c>
      <c r="H62">
        <v>1664</v>
      </c>
      <c r="I62">
        <v>348.609375</v>
      </c>
      <c r="J62">
        <v>284</v>
      </c>
      <c r="K62">
        <v>395.29577464789998</v>
      </c>
      <c r="L62">
        <v>97</v>
      </c>
      <c r="M62">
        <v>236.25773195880001</v>
      </c>
      <c r="N62">
        <v>517</v>
      </c>
      <c r="O62">
        <v>519.94197292069998</v>
      </c>
      <c r="R62">
        <v>10</v>
      </c>
      <c r="S62">
        <v>429.6</v>
      </c>
      <c r="V62" t="s">
        <v>369</v>
      </c>
      <c r="W62">
        <v>57312</v>
      </c>
      <c r="X62">
        <v>40301</v>
      </c>
      <c r="Y62">
        <v>361.72545905710001</v>
      </c>
      <c r="Z62">
        <v>4444</v>
      </c>
      <c r="AA62">
        <v>527.52565256529999</v>
      </c>
      <c r="AB62">
        <v>9618</v>
      </c>
      <c r="AC62">
        <v>513.69442711579995</v>
      </c>
      <c r="AD62">
        <v>5173</v>
      </c>
      <c r="AE62">
        <v>534.27198917459998</v>
      </c>
      <c r="AF62">
        <v>2104</v>
      </c>
      <c r="AG62">
        <v>171.78136882129999</v>
      </c>
      <c r="AH62">
        <v>116</v>
      </c>
      <c r="AI62">
        <v>485.15517241380002</v>
      </c>
      <c r="AL62" t="s">
        <v>369</v>
      </c>
      <c r="AM62">
        <v>1119</v>
      </c>
      <c r="AN62">
        <v>845</v>
      </c>
      <c r="AO62">
        <v>224.100591716</v>
      </c>
      <c r="AP62">
        <v>314</v>
      </c>
      <c r="AQ62">
        <v>376.14012738849999</v>
      </c>
      <c r="AR62">
        <v>209</v>
      </c>
      <c r="AS62">
        <v>167.12440191389999</v>
      </c>
      <c r="AT62">
        <v>64</v>
      </c>
      <c r="AU62">
        <v>300.859375</v>
      </c>
      <c r="AV62">
        <v>1</v>
      </c>
      <c r="AW62">
        <v>264</v>
      </c>
    </row>
    <row r="63" spans="6:49" x14ac:dyDescent="0.2">
      <c r="F63" t="s">
        <v>54</v>
      </c>
      <c r="G63">
        <v>619</v>
      </c>
      <c r="H63">
        <v>530</v>
      </c>
      <c r="I63">
        <v>247.79056603769999</v>
      </c>
      <c r="J63">
        <v>71</v>
      </c>
      <c r="K63">
        <v>438.81690140849997</v>
      </c>
      <c r="L63">
        <v>45</v>
      </c>
      <c r="M63">
        <v>94.844444444399997</v>
      </c>
      <c r="N63">
        <v>44</v>
      </c>
      <c r="O63">
        <v>196.45454545449999</v>
      </c>
      <c r="V63" t="s">
        <v>698</v>
      </c>
      <c r="W63">
        <v>317512</v>
      </c>
      <c r="X63">
        <v>232062</v>
      </c>
      <c r="Y63">
        <v>407.37850509579999</v>
      </c>
      <c r="Z63">
        <v>24985</v>
      </c>
      <c r="AA63">
        <v>559.45359215530004</v>
      </c>
      <c r="AB63">
        <v>51005</v>
      </c>
      <c r="AC63">
        <v>564.90012743850002</v>
      </c>
      <c r="AD63">
        <v>23202</v>
      </c>
      <c r="AE63">
        <v>513.27663059880001</v>
      </c>
      <c r="AF63">
        <v>10625</v>
      </c>
      <c r="AG63">
        <v>175.84947754870001</v>
      </c>
      <c r="AH63">
        <v>618</v>
      </c>
      <c r="AI63">
        <v>438.63592233010002</v>
      </c>
      <c r="AL63" t="s">
        <v>698</v>
      </c>
      <c r="AM63">
        <v>5701</v>
      </c>
      <c r="AN63">
        <v>4175</v>
      </c>
      <c r="AO63">
        <v>288.80502994009998</v>
      </c>
      <c r="AP63">
        <v>1297</v>
      </c>
      <c r="AQ63">
        <v>399.3469545104</v>
      </c>
      <c r="AR63">
        <v>1312</v>
      </c>
      <c r="AS63">
        <v>247.9824695122</v>
      </c>
      <c r="AT63">
        <v>212</v>
      </c>
      <c r="AU63">
        <v>308.68867924530002</v>
      </c>
      <c r="AV63">
        <v>2</v>
      </c>
      <c r="AW63">
        <v>172</v>
      </c>
    </row>
    <row r="64" spans="6:49" x14ac:dyDescent="0.2">
      <c r="F64" t="s">
        <v>65</v>
      </c>
      <c r="G64">
        <v>5171</v>
      </c>
      <c r="H64">
        <v>4178</v>
      </c>
      <c r="I64">
        <v>559.99329822879997</v>
      </c>
      <c r="J64">
        <v>119</v>
      </c>
      <c r="K64">
        <v>1197.1260504202</v>
      </c>
      <c r="L64">
        <v>146</v>
      </c>
      <c r="M64">
        <v>613.11643835619998</v>
      </c>
      <c r="N64">
        <v>841</v>
      </c>
      <c r="O64">
        <v>914.25089179550002</v>
      </c>
      <c r="R64">
        <v>6</v>
      </c>
      <c r="S64">
        <v>723.33333333329995</v>
      </c>
    </row>
    <row r="65" spans="6:19" x14ac:dyDescent="0.2">
      <c r="F65" t="s">
        <v>67</v>
      </c>
      <c r="G65">
        <v>611</v>
      </c>
      <c r="H65">
        <v>364</v>
      </c>
      <c r="I65">
        <v>408.77747252749998</v>
      </c>
      <c r="J65">
        <v>212</v>
      </c>
      <c r="K65">
        <v>435.108490566</v>
      </c>
      <c r="L65">
        <v>94</v>
      </c>
      <c r="M65">
        <v>135.71276595739999</v>
      </c>
      <c r="N65">
        <v>150</v>
      </c>
      <c r="O65">
        <v>685.5</v>
      </c>
      <c r="R65">
        <v>3</v>
      </c>
      <c r="S65">
        <v>144</v>
      </c>
    </row>
    <row r="66" spans="6:19" x14ac:dyDescent="0.2">
      <c r="F66" t="s">
        <v>82</v>
      </c>
      <c r="G66">
        <v>169</v>
      </c>
      <c r="H66">
        <v>39</v>
      </c>
      <c r="I66">
        <v>1007.4358974359</v>
      </c>
      <c r="J66">
        <v>3</v>
      </c>
      <c r="K66">
        <v>2103.6666666667002</v>
      </c>
      <c r="L66">
        <v>58</v>
      </c>
      <c r="M66">
        <v>741.13793103449996</v>
      </c>
      <c r="N66">
        <v>68</v>
      </c>
      <c r="O66">
        <v>623.5588235294</v>
      </c>
      <c r="R66">
        <v>4</v>
      </c>
      <c r="S66">
        <v>429.5</v>
      </c>
    </row>
    <row r="67" spans="6:19" x14ac:dyDescent="0.2">
      <c r="F67" t="s">
        <v>63</v>
      </c>
      <c r="G67">
        <v>5849</v>
      </c>
      <c r="H67">
        <v>3980</v>
      </c>
      <c r="I67">
        <v>280.20025125630002</v>
      </c>
      <c r="J67">
        <v>597</v>
      </c>
      <c r="K67">
        <v>399.17420435510002</v>
      </c>
      <c r="L67">
        <v>1193</v>
      </c>
      <c r="M67">
        <v>366.22296730929997</v>
      </c>
      <c r="N67">
        <v>651</v>
      </c>
      <c r="O67">
        <v>610.99078341009999</v>
      </c>
      <c r="R67">
        <v>25</v>
      </c>
      <c r="S67">
        <v>512.08000000000004</v>
      </c>
    </row>
    <row r="68" spans="6:19" x14ac:dyDescent="0.2">
      <c r="F68" t="s">
        <v>430</v>
      </c>
      <c r="G68">
        <v>28</v>
      </c>
      <c r="H68">
        <v>9</v>
      </c>
      <c r="I68">
        <v>568.66666666670005</v>
      </c>
      <c r="L68">
        <v>6</v>
      </c>
      <c r="M68">
        <v>924.66666666670005</v>
      </c>
      <c r="N68">
        <v>11</v>
      </c>
      <c r="O68">
        <v>292.1818181818</v>
      </c>
      <c r="R68">
        <v>2</v>
      </c>
      <c r="S68">
        <v>408.5</v>
      </c>
    </row>
    <row r="69" spans="6:19" x14ac:dyDescent="0.2">
      <c r="F69" t="s">
        <v>83</v>
      </c>
      <c r="G69">
        <v>8617</v>
      </c>
      <c r="H69">
        <v>6656</v>
      </c>
      <c r="I69">
        <v>242.4525240385</v>
      </c>
      <c r="J69">
        <v>941</v>
      </c>
      <c r="K69">
        <v>427.29861849100001</v>
      </c>
      <c r="L69">
        <v>1129</v>
      </c>
      <c r="M69">
        <v>154.5101860053</v>
      </c>
      <c r="N69">
        <v>822</v>
      </c>
      <c r="O69">
        <v>348.2566909976</v>
      </c>
      <c r="R69">
        <v>10</v>
      </c>
      <c r="S69">
        <v>167.9</v>
      </c>
    </row>
    <row r="70" spans="6:19" x14ac:dyDescent="0.2">
      <c r="F70" t="s">
        <v>135</v>
      </c>
      <c r="G70">
        <v>206</v>
      </c>
      <c r="H70">
        <v>175</v>
      </c>
      <c r="I70">
        <v>521.58857142859995</v>
      </c>
      <c r="J70">
        <v>54</v>
      </c>
      <c r="K70">
        <v>535.29629629630006</v>
      </c>
      <c r="L70">
        <v>6</v>
      </c>
      <c r="M70">
        <v>435.1666666667</v>
      </c>
      <c r="N70">
        <v>24</v>
      </c>
      <c r="O70">
        <v>462.8333333333</v>
      </c>
      <c r="R70">
        <v>1</v>
      </c>
      <c r="S70">
        <v>290</v>
      </c>
    </row>
    <row r="71" spans="6:19" x14ac:dyDescent="0.2">
      <c r="F71" t="s">
        <v>369</v>
      </c>
      <c r="G71">
        <v>57440</v>
      </c>
      <c r="H71">
        <v>42312</v>
      </c>
      <c r="I71">
        <v>372.38954409019999</v>
      </c>
      <c r="J71">
        <v>4596</v>
      </c>
      <c r="K71">
        <v>536.66949521319998</v>
      </c>
      <c r="L71">
        <v>9454</v>
      </c>
      <c r="M71">
        <v>514.47662365140002</v>
      </c>
      <c r="N71">
        <v>5551</v>
      </c>
      <c r="O71">
        <v>570.40569266800003</v>
      </c>
      <c r="R71">
        <v>123</v>
      </c>
      <c r="S71">
        <v>476.6260162602</v>
      </c>
    </row>
    <row r="72" spans="6:19" x14ac:dyDescent="0.2">
      <c r="F72" t="s">
        <v>698</v>
      </c>
      <c r="G72">
        <v>323213</v>
      </c>
      <c r="H72">
        <v>236237</v>
      </c>
      <c r="I72">
        <v>405.28290225630002</v>
      </c>
      <c r="J72">
        <v>26282</v>
      </c>
      <c r="K72">
        <v>551.55243132179999</v>
      </c>
      <c r="L72">
        <v>52317</v>
      </c>
      <c r="M72">
        <v>556.9525010991</v>
      </c>
      <c r="N72">
        <v>23414</v>
      </c>
      <c r="O72">
        <v>511.42381135459999</v>
      </c>
      <c r="P72">
        <v>10627</v>
      </c>
      <c r="Q72">
        <v>175.84875294119999</v>
      </c>
      <c r="R72">
        <v>618</v>
      </c>
      <c r="S72">
        <v>438.63592233010002</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bestFit="1" customWidth="1"/>
    <col min="2" max="2" width="27.28515625" bestFit="1" customWidth="1"/>
    <col min="3" max="3" width="8.5703125" bestFit="1" customWidth="1"/>
    <col min="4" max="4" width="20.7109375" bestFit="1" customWidth="1"/>
    <col min="5" max="5" width="10.28515625" bestFit="1" customWidth="1"/>
    <col min="6" max="6" width="34" bestFit="1" customWidth="1"/>
    <col min="7" max="7" width="11.5703125" bestFit="1" customWidth="1"/>
    <col min="8" max="8" width="14" bestFit="1" customWidth="1"/>
    <col min="9" max="9" width="14.42578125" bestFit="1" customWidth="1"/>
    <col min="10" max="10" width="10.28515625" bestFit="1" customWidth="1"/>
    <col min="11" max="11" width="13.140625" bestFit="1" customWidth="1"/>
    <col min="12" max="12" width="11.140625" bestFit="1" customWidth="1"/>
    <col min="13" max="13" width="12.5703125" bestFit="1" customWidth="1"/>
    <col min="14" max="14" width="18.7109375" bestFit="1" customWidth="1"/>
    <col min="15" max="15" width="10.5703125" bestFit="1" customWidth="1"/>
    <col min="16" max="16" width="12.42578125" bestFit="1" customWidth="1"/>
    <col min="17" max="17" width="10.140625" bestFit="1" customWidth="1"/>
    <col min="18" max="18" width="12.5703125" bestFit="1" customWidth="1"/>
  </cols>
  <sheetData>
    <row r="1" spans="1:18" x14ac:dyDescent="0.2">
      <c r="A1" t="s">
        <v>494</v>
      </c>
      <c r="B1" t="s">
        <v>366</v>
      </c>
      <c r="C1" t="s">
        <v>493</v>
      </c>
      <c r="D1" t="s">
        <v>495</v>
      </c>
      <c r="E1" t="s">
        <v>496</v>
      </c>
      <c r="F1" t="s">
        <v>497</v>
      </c>
      <c r="G1" t="s">
        <v>498</v>
      </c>
      <c r="H1" t="s">
        <v>499</v>
      </c>
      <c r="I1" t="s">
        <v>500</v>
      </c>
      <c r="J1" t="s">
        <v>501</v>
      </c>
      <c r="K1" t="s">
        <v>502</v>
      </c>
      <c r="L1" t="s">
        <v>367</v>
      </c>
      <c r="M1" t="s">
        <v>503</v>
      </c>
      <c r="N1" t="s">
        <v>504</v>
      </c>
      <c r="O1" t="s">
        <v>505</v>
      </c>
      <c r="P1" t="s">
        <v>506</v>
      </c>
      <c r="Q1" t="s">
        <v>507</v>
      </c>
      <c r="R1" t="s">
        <v>678</v>
      </c>
    </row>
    <row r="2" spans="1:18" x14ac:dyDescent="0.2">
      <c r="A2">
        <v>1</v>
      </c>
      <c r="B2">
        <v>-99</v>
      </c>
      <c r="C2" t="s">
        <v>437</v>
      </c>
      <c r="D2" t="s">
        <v>698</v>
      </c>
      <c r="E2" t="s">
        <v>437</v>
      </c>
      <c r="F2" t="s">
        <v>698</v>
      </c>
      <c r="G2" t="s">
        <v>437</v>
      </c>
      <c r="H2" t="s">
        <v>6</v>
      </c>
      <c r="I2">
        <v>-99</v>
      </c>
      <c r="J2">
        <v>1</v>
      </c>
      <c r="K2" t="s">
        <v>6</v>
      </c>
      <c r="L2">
        <v>-99</v>
      </c>
      <c r="M2" t="s">
        <v>654</v>
      </c>
      <c r="N2" t="s">
        <v>654</v>
      </c>
      <c r="O2">
        <v>-99</v>
      </c>
      <c r="P2">
        <v>-99</v>
      </c>
      <c r="Q2">
        <v>1</v>
      </c>
      <c r="R2" t="s">
        <v>654</v>
      </c>
    </row>
    <row r="3" spans="1:18" x14ac:dyDescent="0.2">
      <c r="A3">
        <v>2</v>
      </c>
      <c r="B3">
        <v>-99</v>
      </c>
      <c r="C3" t="s">
        <v>438</v>
      </c>
      <c r="D3" t="s">
        <v>6</v>
      </c>
      <c r="E3" t="s">
        <v>438</v>
      </c>
      <c r="F3" t="s">
        <v>1035</v>
      </c>
      <c r="G3" t="s">
        <v>437</v>
      </c>
      <c r="H3" t="s">
        <v>6</v>
      </c>
      <c r="I3">
        <v>-99</v>
      </c>
      <c r="J3">
        <v>1</v>
      </c>
      <c r="K3" t="s">
        <v>6</v>
      </c>
      <c r="L3">
        <v>-99</v>
      </c>
      <c r="M3" t="s">
        <v>654</v>
      </c>
      <c r="N3" t="s">
        <v>654</v>
      </c>
      <c r="O3">
        <v>-99</v>
      </c>
      <c r="P3">
        <v>-99</v>
      </c>
      <c r="Q3">
        <v>1</v>
      </c>
      <c r="R3" t="s">
        <v>654</v>
      </c>
    </row>
    <row r="4" spans="1:18" x14ac:dyDescent="0.2">
      <c r="A4">
        <v>3</v>
      </c>
      <c r="B4">
        <v>-99</v>
      </c>
      <c r="C4" t="s">
        <v>655</v>
      </c>
      <c r="D4" t="s">
        <v>6</v>
      </c>
      <c r="E4" t="s">
        <v>655</v>
      </c>
      <c r="F4" t="s">
        <v>1037</v>
      </c>
      <c r="G4" t="s">
        <v>437</v>
      </c>
      <c r="H4" t="s">
        <v>6</v>
      </c>
      <c r="I4">
        <v>-99</v>
      </c>
      <c r="J4">
        <v>1</v>
      </c>
      <c r="K4" t="s">
        <v>6</v>
      </c>
      <c r="L4">
        <v>-99</v>
      </c>
      <c r="M4" t="s">
        <v>654</v>
      </c>
      <c r="N4" t="s">
        <v>654</v>
      </c>
      <c r="O4">
        <v>-99</v>
      </c>
      <c r="P4">
        <v>-99</v>
      </c>
      <c r="Q4">
        <v>1</v>
      </c>
      <c r="R4" t="s">
        <v>208</v>
      </c>
    </row>
    <row r="5" spans="1:18" x14ac:dyDescent="0.2">
      <c r="A5">
        <v>4</v>
      </c>
      <c r="B5">
        <v>-99</v>
      </c>
      <c r="C5" t="s">
        <v>439</v>
      </c>
      <c r="D5" t="s">
        <v>6</v>
      </c>
      <c r="E5" t="s">
        <v>439</v>
      </c>
      <c r="F5" t="s">
        <v>1043</v>
      </c>
      <c r="G5" t="s">
        <v>437</v>
      </c>
      <c r="H5" t="s">
        <v>6</v>
      </c>
      <c r="I5">
        <v>-99</v>
      </c>
      <c r="J5">
        <v>1</v>
      </c>
      <c r="K5" t="s">
        <v>6</v>
      </c>
      <c r="L5">
        <v>-99</v>
      </c>
      <c r="M5" t="s">
        <v>654</v>
      </c>
      <c r="N5" t="s">
        <v>654</v>
      </c>
      <c r="O5">
        <v>-99</v>
      </c>
      <c r="P5">
        <v>-99</v>
      </c>
      <c r="Q5">
        <v>1</v>
      </c>
      <c r="R5" t="s">
        <v>683</v>
      </c>
    </row>
    <row r="6" spans="1:18" x14ac:dyDescent="0.2">
      <c r="A6">
        <v>5</v>
      </c>
      <c r="B6">
        <v>-99</v>
      </c>
      <c r="C6" t="s">
        <v>440</v>
      </c>
      <c r="D6" t="s">
        <v>6</v>
      </c>
      <c r="E6" t="s">
        <v>440</v>
      </c>
      <c r="F6" t="s">
        <v>695</v>
      </c>
      <c r="G6" t="s">
        <v>437</v>
      </c>
      <c r="H6" t="s">
        <v>6</v>
      </c>
      <c r="I6">
        <v>-99</v>
      </c>
      <c r="J6">
        <v>1</v>
      </c>
      <c r="K6" t="s">
        <v>6</v>
      </c>
      <c r="L6">
        <v>-99</v>
      </c>
      <c r="M6" t="s">
        <v>654</v>
      </c>
      <c r="N6" t="s">
        <v>654</v>
      </c>
      <c r="O6">
        <v>-99</v>
      </c>
      <c r="P6">
        <v>-99</v>
      </c>
      <c r="Q6">
        <v>1</v>
      </c>
      <c r="R6" t="s">
        <v>679</v>
      </c>
    </row>
    <row r="7" spans="1:18" x14ac:dyDescent="0.2">
      <c r="A7">
        <v>6</v>
      </c>
      <c r="B7">
        <v>-99</v>
      </c>
      <c r="C7" t="s">
        <v>441</v>
      </c>
      <c r="D7" t="s">
        <v>6</v>
      </c>
      <c r="E7" t="s">
        <v>441</v>
      </c>
      <c r="F7" t="s">
        <v>1038</v>
      </c>
      <c r="G7" t="s">
        <v>437</v>
      </c>
      <c r="H7" t="s">
        <v>6</v>
      </c>
      <c r="I7">
        <v>-99</v>
      </c>
      <c r="J7">
        <v>1</v>
      </c>
      <c r="K7" t="s">
        <v>6</v>
      </c>
      <c r="L7">
        <v>-99</v>
      </c>
      <c r="M7" t="s">
        <v>654</v>
      </c>
      <c r="N7" t="s">
        <v>654</v>
      </c>
      <c r="O7">
        <v>-99</v>
      </c>
      <c r="P7">
        <v>-99</v>
      </c>
      <c r="Q7">
        <v>1</v>
      </c>
      <c r="R7" t="s">
        <v>680</v>
      </c>
    </row>
    <row r="8" spans="1:18" x14ac:dyDescent="0.2">
      <c r="A8">
        <v>7</v>
      </c>
      <c r="B8">
        <v>-99</v>
      </c>
      <c r="C8" t="s">
        <v>442</v>
      </c>
      <c r="D8" t="s">
        <v>6</v>
      </c>
      <c r="E8" t="s">
        <v>442</v>
      </c>
      <c r="F8" t="s">
        <v>1044</v>
      </c>
      <c r="G8" t="s">
        <v>437</v>
      </c>
      <c r="H8" t="s">
        <v>6</v>
      </c>
      <c r="I8">
        <v>-99</v>
      </c>
      <c r="J8">
        <v>1</v>
      </c>
      <c r="K8" t="s">
        <v>6</v>
      </c>
      <c r="L8">
        <v>-99</v>
      </c>
      <c r="M8" t="s">
        <v>654</v>
      </c>
      <c r="N8" t="s">
        <v>654</v>
      </c>
      <c r="O8">
        <v>-99</v>
      </c>
      <c r="P8">
        <v>-99</v>
      </c>
      <c r="Q8">
        <v>1</v>
      </c>
      <c r="R8" t="s">
        <v>681</v>
      </c>
    </row>
    <row r="9" spans="1:18" x14ac:dyDescent="0.2">
      <c r="A9">
        <v>8</v>
      </c>
      <c r="B9">
        <v>-99</v>
      </c>
      <c r="C9" t="s">
        <v>443</v>
      </c>
      <c r="D9" t="s">
        <v>6</v>
      </c>
      <c r="E9" t="s">
        <v>443</v>
      </c>
      <c r="F9" t="s">
        <v>1045</v>
      </c>
      <c r="G9" t="s">
        <v>437</v>
      </c>
      <c r="H9" t="s">
        <v>6</v>
      </c>
      <c r="I9">
        <v>-99</v>
      </c>
      <c r="J9">
        <v>1</v>
      </c>
      <c r="K9" t="s">
        <v>6</v>
      </c>
      <c r="L9">
        <v>-99</v>
      </c>
      <c r="M9" t="s">
        <v>654</v>
      </c>
      <c r="N9" t="s">
        <v>654</v>
      </c>
      <c r="O9">
        <v>-99</v>
      </c>
      <c r="P9">
        <v>-99</v>
      </c>
      <c r="Q9">
        <v>1</v>
      </c>
      <c r="R9" t="s">
        <v>398</v>
      </c>
    </row>
    <row r="10" spans="1:18" x14ac:dyDescent="0.2">
      <c r="A10">
        <v>9</v>
      </c>
      <c r="B10">
        <v>-99</v>
      </c>
      <c r="C10" t="s">
        <v>444</v>
      </c>
      <c r="D10" t="s">
        <v>6</v>
      </c>
      <c r="E10" t="s">
        <v>444</v>
      </c>
      <c r="F10" t="s">
        <v>1046</v>
      </c>
      <c r="G10" t="s">
        <v>437</v>
      </c>
      <c r="H10" t="s">
        <v>6</v>
      </c>
      <c r="I10">
        <v>-99</v>
      </c>
      <c r="J10">
        <v>1</v>
      </c>
      <c r="K10" t="s">
        <v>6</v>
      </c>
      <c r="L10">
        <v>-99</v>
      </c>
      <c r="M10" t="s">
        <v>654</v>
      </c>
      <c r="N10" t="s">
        <v>654</v>
      </c>
      <c r="O10">
        <v>-99</v>
      </c>
      <c r="P10">
        <v>-99</v>
      </c>
      <c r="Q10">
        <v>1</v>
      </c>
      <c r="R10" t="s">
        <v>684</v>
      </c>
    </row>
    <row r="11" spans="1:18" x14ac:dyDescent="0.2">
      <c r="A11">
        <v>10</v>
      </c>
      <c r="B11">
        <v>-99</v>
      </c>
      <c r="C11" t="s">
        <v>445</v>
      </c>
      <c r="D11" t="s">
        <v>6</v>
      </c>
      <c r="E11" t="s">
        <v>445</v>
      </c>
      <c r="F11" t="s">
        <v>1047</v>
      </c>
      <c r="G11" t="s">
        <v>437</v>
      </c>
      <c r="H11" t="s">
        <v>6</v>
      </c>
      <c r="I11">
        <v>-99</v>
      </c>
      <c r="J11">
        <v>1</v>
      </c>
      <c r="K11" t="s">
        <v>6</v>
      </c>
      <c r="L11">
        <v>-99</v>
      </c>
      <c r="M11" t="s">
        <v>654</v>
      </c>
      <c r="N11" t="s">
        <v>654</v>
      </c>
      <c r="O11">
        <v>-99</v>
      </c>
      <c r="P11">
        <v>-99</v>
      </c>
      <c r="Q11">
        <v>1</v>
      </c>
      <c r="R11" t="s">
        <v>654</v>
      </c>
    </row>
    <row r="12" spans="1:18" x14ac:dyDescent="0.2">
      <c r="A12">
        <v>11</v>
      </c>
      <c r="B12">
        <v>-99</v>
      </c>
      <c r="C12" t="s">
        <v>447</v>
      </c>
      <c r="D12" t="s">
        <v>508</v>
      </c>
      <c r="E12" t="s">
        <v>656</v>
      </c>
      <c r="F12" t="s">
        <v>129</v>
      </c>
      <c r="G12" t="s">
        <v>656</v>
      </c>
      <c r="H12" t="s">
        <v>370</v>
      </c>
      <c r="I12">
        <v>-99</v>
      </c>
      <c r="J12">
        <v>-99</v>
      </c>
      <c r="K12" t="s">
        <v>654</v>
      </c>
      <c r="L12">
        <v>-99</v>
      </c>
      <c r="M12" t="s">
        <v>654</v>
      </c>
      <c r="N12" t="s">
        <v>654</v>
      </c>
      <c r="O12">
        <v>-99</v>
      </c>
      <c r="P12">
        <v>-99</v>
      </c>
      <c r="Q12">
        <v>2</v>
      </c>
      <c r="R12" t="s">
        <v>654</v>
      </c>
    </row>
    <row r="13" spans="1:18" x14ac:dyDescent="0.2">
      <c r="A13">
        <v>12</v>
      </c>
      <c r="B13">
        <v>-99</v>
      </c>
      <c r="C13" t="s">
        <v>449</v>
      </c>
      <c r="D13" t="s">
        <v>508</v>
      </c>
      <c r="E13" t="s">
        <v>657</v>
      </c>
      <c r="F13" t="s">
        <v>130</v>
      </c>
      <c r="G13" t="s">
        <v>657</v>
      </c>
      <c r="H13" t="s">
        <v>377</v>
      </c>
      <c r="I13">
        <v>-99</v>
      </c>
      <c r="J13">
        <v>-99</v>
      </c>
      <c r="K13" t="s">
        <v>654</v>
      </c>
      <c r="L13">
        <v>-99</v>
      </c>
      <c r="M13" t="s">
        <v>654</v>
      </c>
      <c r="N13" t="s">
        <v>654</v>
      </c>
      <c r="O13">
        <v>-99</v>
      </c>
      <c r="P13">
        <v>-99</v>
      </c>
      <c r="Q13">
        <v>2</v>
      </c>
      <c r="R13" t="s">
        <v>654</v>
      </c>
    </row>
    <row r="14" spans="1:18" x14ac:dyDescent="0.2">
      <c r="A14">
        <v>13</v>
      </c>
      <c r="B14">
        <v>-99</v>
      </c>
      <c r="C14" t="s">
        <v>452</v>
      </c>
      <c r="D14" t="s">
        <v>508</v>
      </c>
      <c r="E14" t="s">
        <v>658</v>
      </c>
      <c r="F14" t="s">
        <v>131</v>
      </c>
      <c r="G14" t="s">
        <v>658</v>
      </c>
      <c r="H14" t="s">
        <v>386</v>
      </c>
      <c r="I14">
        <v>-99</v>
      </c>
      <c r="J14">
        <v>-99</v>
      </c>
      <c r="K14" t="s">
        <v>654</v>
      </c>
      <c r="L14">
        <v>-99</v>
      </c>
      <c r="M14" t="s">
        <v>654</v>
      </c>
      <c r="N14" t="s">
        <v>654</v>
      </c>
      <c r="O14">
        <v>-99</v>
      </c>
      <c r="P14">
        <v>-99</v>
      </c>
      <c r="Q14">
        <v>2</v>
      </c>
      <c r="R14" t="s">
        <v>654</v>
      </c>
    </row>
    <row r="15" spans="1:18" x14ac:dyDescent="0.2">
      <c r="A15">
        <v>14</v>
      </c>
      <c r="B15">
        <v>-99</v>
      </c>
      <c r="C15" t="s">
        <v>659</v>
      </c>
      <c r="D15" t="s">
        <v>508</v>
      </c>
      <c r="E15" t="s">
        <v>660</v>
      </c>
      <c r="F15" t="s">
        <v>132</v>
      </c>
      <c r="G15" t="s">
        <v>660</v>
      </c>
      <c r="H15" t="s">
        <v>402</v>
      </c>
      <c r="I15">
        <v>-99</v>
      </c>
      <c r="J15">
        <v>-99</v>
      </c>
      <c r="K15" t="s">
        <v>654</v>
      </c>
      <c r="L15">
        <v>-99</v>
      </c>
      <c r="M15" t="s">
        <v>654</v>
      </c>
      <c r="N15" t="s">
        <v>654</v>
      </c>
      <c r="O15">
        <v>-99</v>
      </c>
      <c r="P15">
        <v>-99</v>
      </c>
      <c r="Q15">
        <v>2</v>
      </c>
      <c r="R15" t="s">
        <v>654</v>
      </c>
    </row>
    <row r="16" spans="1:18" x14ac:dyDescent="0.2">
      <c r="A16">
        <v>15</v>
      </c>
      <c r="B16">
        <v>-99</v>
      </c>
      <c r="C16" t="s">
        <v>662</v>
      </c>
      <c r="D16" t="s">
        <v>429</v>
      </c>
      <c r="E16" t="s">
        <v>662</v>
      </c>
      <c r="F16" t="s">
        <v>429</v>
      </c>
      <c r="G16" t="s">
        <v>654</v>
      </c>
      <c r="H16" t="s">
        <v>654</v>
      </c>
      <c r="I16">
        <v>-99</v>
      </c>
      <c r="J16">
        <v>30</v>
      </c>
      <c r="K16" t="s">
        <v>369</v>
      </c>
      <c r="L16">
        <v>-99</v>
      </c>
      <c r="M16" t="s">
        <v>654</v>
      </c>
      <c r="N16" t="s">
        <v>654</v>
      </c>
      <c r="O16">
        <v>-99</v>
      </c>
      <c r="P16">
        <v>-99</v>
      </c>
      <c r="Q16">
        <v>3</v>
      </c>
      <c r="R16" t="s">
        <v>654</v>
      </c>
    </row>
    <row r="17" spans="1:18" x14ac:dyDescent="0.2">
      <c r="A17">
        <v>16</v>
      </c>
      <c r="B17">
        <v>-99</v>
      </c>
      <c r="C17" t="s">
        <v>661</v>
      </c>
      <c r="D17" t="s">
        <v>435</v>
      </c>
      <c r="E17" t="s">
        <v>661</v>
      </c>
      <c r="F17" t="s">
        <v>435</v>
      </c>
      <c r="G17" t="s">
        <v>654</v>
      </c>
      <c r="H17" t="s">
        <v>654</v>
      </c>
      <c r="I17">
        <v>-99</v>
      </c>
      <c r="J17">
        <v>31</v>
      </c>
      <c r="K17" t="s">
        <v>380</v>
      </c>
      <c r="L17">
        <v>-99</v>
      </c>
      <c r="M17" t="s">
        <v>654</v>
      </c>
      <c r="N17" t="s">
        <v>654</v>
      </c>
      <c r="O17">
        <v>-99</v>
      </c>
      <c r="P17">
        <v>-99</v>
      </c>
      <c r="Q17">
        <v>3</v>
      </c>
      <c r="R17" t="s">
        <v>654</v>
      </c>
    </row>
    <row r="18" spans="1:18" x14ac:dyDescent="0.2">
      <c r="A18">
        <v>17</v>
      </c>
      <c r="B18">
        <v>-99</v>
      </c>
      <c r="C18" t="s">
        <v>663</v>
      </c>
      <c r="D18" t="s">
        <v>433</v>
      </c>
      <c r="E18" t="s">
        <v>663</v>
      </c>
      <c r="F18" t="s">
        <v>433</v>
      </c>
      <c r="G18" t="s">
        <v>654</v>
      </c>
      <c r="H18" t="s">
        <v>654</v>
      </c>
      <c r="I18">
        <v>-99</v>
      </c>
      <c r="J18">
        <v>32</v>
      </c>
      <c r="K18" t="s">
        <v>390</v>
      </c>
      <c r="L18">
        <v>-99</v>
      </c>
      <c r="M18" t="s">
        <v>654</v>
      </c>
      <c r="N18" t="s">
        <v>654</v>
      </c>
      <c r="O18">
        <v>-99</v>
      </c>
      <c r="P18">
        <v>-99</v>
      </c>
      <c r="Q18">
        <v>3</v>
      </c>
      <c r="R18" t="s">
        <v>654</v>
      </c>
    </row>
    <row r="19" spans="1:18" x14ac:dyDescent="0.2">
      <c r="A19">
        <v>18</v>
      </c>
      <c r="B19">
        <v>-99</v>
      </c>
      <c r="C19" t="s">
        <v>664</v>
      </c>
      <c r="D19" t="s">
        <v>432</v>
      </c>
      <c r="E19" t="s">
        <v>664</v>
      </c>
      <c r="F19" t="s">
        <v>432</v>
      </c>
      <c r="G19" t="s">
        <v>654</v>
      </c>
      <c r="H19" t="s">
        <v>654</v>
      </c>
      <c r="I19">
        <v>-99</v>
      </c>
      <c r="J19">
        <v>33</v>
      </c>
      <c r="K19" t="s">
        <v>385</v>
      </c>
      <c r="L19">
        <v>-99</v>
      </c>
      <c r="M19" t="s">
        <v>654</v>
      </c>
      <c r="N19" t="s">
        <v>654</v>
      </c>
      <c r="O19">
        <v>-99</v>
      </c>
      <c r="P19">
        <v>-99</v>
      </c>
      <c r="Q19">
        <v>3</v>
      </c>
      <c r="R19" t="s">
        <v>654</v>
      </c>
    </row>
    <row r="20" spans="1:18" x14ac:dyDescent="0.2">
      <c r="A20">
        <v>19</v>
      </c>
      <c r="B20">
        <v>-99</v>
      </c>
      <c r="C20" t="s">
        <v>665</v>
      </c>
      <c r="D20" t="s">
        <v>434</v>
      </c>
      <c r="E20" t="s">
        <v>665</v>
      </c>
      <c r="F20" t="s">
        <v>434</v>
      </c>
      <c r="G20" t="s">
        <v>654</v>
      </c>
      <c r="H20" t="s">
        <v>654</v>
      </c>
      <c r="I20">
        <v>-99</v>
      </c>
      <c r="J20">
        <v>34</v>
      </c>
      <c r="K20" t="s">
        <v>404</v>
      </c>
      <c r="L20">
        <v>-99</v>
      </c>
      <c r="M20" t="s">
        <v>654</v>
      </c>
      <c r="N20" t="s">
        <v>654</v>
      </c>
      <c r="O20">
        <v>-99</v>
      </c>
      <c r="P20">
        <v>-99</v>
      </c>
      <c r="Q20">
        <v>3</v>
      </c>
      <c r="R20" t="s">
        <v>654</v>
      </c>
    </row>
    <row r="21" spans="1:18" x14ac:dyDescent="0.2">
      <c r="A21">
        <v>20</v>
      </c>
      <c r="B21">
        <v>1</v>
      </c>
      <c r="C21" t="s">
        <v>667</v>
      </c>
      <c r="D21" t="s">
        <v>368</v>
      </c>
      <c r="E21" t="s">
        <v>667</v>
      </c>
      <c r="F21" t="s">
        <v>509</v>
      </c>
      <c r="G21" t="s">
        <v>668</v>
      </c>
      <c r="H21" t="s">
        <v>8</v>
      </c>
      <c r="I21">
        <v>-99</v>
      </c>
      <c r="J21">
        <v>35</v>
      </c>
      <c r="K21" t="s">
        <v>8</v>
      </c>
      <c r="L21">
        <v>8240</v>
      </c>
      <c r="M21" t="s">
        <v>510</v>
      </c>
      <c r="N21" t="s">
        <v>654</v>
      </c>
      <c r="O21">
        <v>1</v>
      </c>
      <c r="P21">
        <v>2</v>
      </c>
      <c r="Q21">
        <v>-99</v>
      </c>
      <c r="R21" t="s">
        <v>654</v>
      </c>
    </row>
    <row r="22" spans="1:18" x14ac:dyDescent="0.2">
      <c r="A22">
        <v>21</v>
      </c>
      <c r="B22">
        <v>8</v>
      </c>
      <c r="C22" t="s">
        <v>136</v>
      </c>
      <c r="D22" t="s">
        <v>35</v>
      </c>
      <c r="E22" t="s">
        <v>511</v>
      </c>
      <c r="F22" t="s">
        <v>512</v>
      </c>
      <c r="G22" t="s">
        <v>656</v>
      </c>
      <c r="H22" t="s">
        <v>370</v>
      </c>
      <c r="I22">
        <v>380</v>
      </c>
      <c r="J22">
        <v>30</v>
      </c>
      <c r="K22" t="s">
        <v>369</v>
      </c>
      <c r="L22">
        <v>8233</v>
      </c>
      <c r="M22" t="s">
        <v>325</v>
      </c>
      <c r="N22" t="s">
        <v>371</v>
      </c>
      <c r="O22">
        <v>1</v>
      </c>
      <c r="P22">
        <v>2</v>
      </c>
      <c r="Q22">
        <v>-99</v>
      </c>
      <c r="R22" t="s">
        <v>682</v>
      </c>
    </row>
    <row r="23" spans="1:18" x14ac:dyDescent="0.2">
      <c r="A23">
        <v>22</v>
      </c>
      <c r="B23">
        <v>9</v>
      </c>
      <c r="C23" t="s">
        <v>137</v>
      </c>
      <c r="D23" t="s">
        <v>67</v>
      </c>
      <c r="E23" t="s">
        <v>513</v>
      </c>
      <c r="F23" t="s">
        <v>514</v>
      </c>
      <c r="G23" t="s">
        <v>656</v>
      </c>
      <c r="H23" t="s">
        <v>370</v>
      </c>
      <c r="I23">
        <v>380</v>
      </c>
      <c r="J23">
        <v>30</v>
      </c>
      <c r="K23" t="s">
        <v>369</v>
      </c>
      <c r="L23">
        <v>8235</v>
      </c>
      <c r="M23" t="s">
        <v>360</v>
      </c>
      <c r="N23" t="s">
        <v>372</v>
      </c>
      <c r="O23">
        <v>1</v>
      </c>
      <c r="P23">
        <v>1</v>
      </c>
      <c r="Q23">
        <v>-99</v>
      </c>
      <c r="R23" t="s">
        <v>682</v>
      </c>
    </row>
    <row r="24" spans="1:18" x14ac:dyDescent="0.2">
      <c r="A24">
        <v>23</v>
      </c>
      <c r="B24">
        <v>-99</v>
      </c>
      <c r="C24" t="s">
        <v>137</v>
      </c>
      <c r="D24" t="s">
        <v>67</v>
      </c>
      <c r="E24" t="s">
        <v>515</v>
      </c>
      <c r="F24" t="s">
        <v>516</v>
      </c>
      <c r="G24" t="s">
        <v>656</v>
      </c>
      <c r="H24" t="s">
        <v>370</v>
      </c>
      <c r="I24">
        <v>380</v>
      </c>
      <c r="J24">
        <v>30</v>
      </c>
      <c r="K24" t="s">
        <v>369</v>
      </c>
      <c r="L24">
        <v>8235</v>
      </c>
      <c r="M24" t="s">
        <v>360</v>
      </c>
      <c r="N24" t="s">
        <v>372</v>
      </c>
      <c r="O24">
        <v>-99</v>
      </c>
      <c r="P24">
        <v>1</v>
      </c>
      <c r="Q24">
        <v>-99</v>
      </c>
      <c r="R24" t="s">
        <v>398</v>
      </c>
    </row>
    <row r="25" spans="1:18" x14ac:dyDescent="0.2">
      <c r="A25">
        <v>24</v>
      </c>
      <c r="B25">
        <v>10</v>
      </c>
      <c r="C25" t="s">
        <v>138</v>
      </c>
      <c r="D25" t="s">
        <v>60</v>
      </c>
      <c r="E25" t="s">
        <v>517</v>
      </c>
      <c r="F25" t="s">
        <v>518</v>
      </c>
      <c r="G25" t="s">
        <v>656</v>
      </c>
      <c r="H25" t="s">
        <v>370</v>
      </c>
      <c r="I25">
        <v>380</v>
      </c>
      <c r="J25">
        <v>30</v>
      </c>
      <c r="K25" t="s">
        <v>369</v>
      </c>
      <c r="L25">
        <v>8237</v>
      </c>
      <c r="M25" t="s">
        <v>335</v>
      </c>
      <c r="N25" t="s">
        <v>60</v>
      </c>
      <c r="O25">
        <v>1</v>
      </c>
      <c r="P25">
        <v>2</v>
      </c>
      <c r="Q25">
        <v>-99</v>
      </c>
      <c r="R25" t="s">
        <v>682</v>
      </c>
    </row>
    <row r="26" spans="1:18" x14ac:dyDescent="0.2">
      <c r="A26">
        <v>25</v>
      </c>
      <c r="B26">
        <v>11</v>
      </c>
      <c r="C26" t="s">
        <v>139</v>
      </c>
      <c r="D26" t="s">
        <v>24</v>
      </c>
      <c r="E26" t="s">
        <v>519</v>
      </c>
      <c r="F26" t="s">
        <v>520</v>
      </c>
      <c r="G26" t="s">
        <v>656</v>
      </c>
      <c r="H26" t="s">
        <v>370</v>
      </c>
      <c r="I26">
        <v>380</v>
      </c>
      <c r="J26">
        <v>30</v>
      </c>
      <c r="K26" t="s">
        <v>369</v>
      </c>
      <c r="L26">
        <v>8238</v>
      </c>
      <c r="M26" t="s">
        <v>335</v>
      </c>
      <c r="N26" t="s">
        <v>60</v>
      </c>
      <c r="O26">
        <v>1</v>
      </c>
      <c r="P26">
        <v>2</v>
      </c>
      <c r="Q26">
        <v>-99</v>
      </c>
      <c r="R26" t="s">
        <v>682</v>
      </c>
    </row>
    <row r="27" spans="1:18" x14ac:dyDescent="0.2">
      <c r="A27">
        <v>26</v>
      </c>
      <c r="B27">
        <v>12</v>
      </c>
      <c r="C27" t="s">
        <v>140</v>
      </c>
      <c r="D27" t="s">
        <v>44</v>
      </c>
      <c r="E27" t="s">
        <v>521</v>
      </c>
      <c r="F27" t="s">
        <v>522</v>
      </c>
      <c r="G27" t="s">
        <v>656</v>
      </c>
      <c r="H27" t="s">
        <v>370</v>
      </c>
      <c r="I27">
        <v>380</v>
      </c>
      <c r="J27">
        <v>30</v>
      </c>
      <c r="K27" t="s">
        <v>369</v>
      </c>
      <c r="L27">
        <v>8239</v>
      </c>
      <c r="M27" t="s">
        <v>353</v>
      </c>
      <c r="N27" t="s">
        <v>373</v>
      </c>
      <c r="O27">
        <v>1</v>
      </c>
      <c r="P27">
        <v>2</v>
      </c>
      <c r="Q27">
        <v>-99</v>
      </c>
      <c r="R27" t="s">
        <v>682</v>
      </c>
    </row>
    <row r="28" spans="1:18" x14ac:dyDescent="0.2">
      <c r="A28">
        <v>27</v>
      </c>
      <c r="B28">
        <v>13</v>
      </c>
      <c r="C28" t="s">
        <v>141</v>
      </c>
      <c r="D28" t="s">
        <v>61</v>
      </c>
      <c r="E28" t="s">
        <v>523</v>
      </c>
      <c r="F28" t="s">
        <v>524</v>
      </c>
      <c r="G28" t="s">
        <v>656</v>
      </c>
      <c r="H28" t="s">
        <v>370</v>
      </c>
      <c r="I28">
        <v>380</v>
      </c>
      <c r="J28">
        <v>30</v>
      </c>
      <c r="K28" t="s">
        <v>369</v>
      </c>
      <c r="L28">
        <v>8241</v>
      </c>
      <c r="M28" t="s">
        <v>357</v>
      </c>
      <c r="N28" t="s">
        <v>374</v>
      </c>
      <c r="O28">
        <v>1</v>
      </c>
      <c r="P28">
        <v>2</v>
      </c>
      <c r="Q28">
        <v>-99</v>
      </c>
      <c r="R28" t="s">
        <v>682</v>
      </c>
    </row>
    <row r="29" spans="1:18" x14ac:dyDescent="0.2">
      <c r="A29">
        <v>28</v>
      </c>
      <c r="B29">
        <v>14</v>
      </c>
      <c r="C29" t="s">
        <v>99</v>
      </c>
      <c r="D29" t="s">
        <v>63</v>
      </c>
      <c r="E29" t="s">
        <v>525</v>
      </c>
      <c r="F29" t="s">
        <v>526</v>
      </c>
      <c r="G29" t="s">
        <v>656</v>
      </c>
      <c r="H29" t="s">
        <v>370</v>
      </c>
      <c r="I29">
        <v>380</v>
      </c>
      <c r="J29">
        <v>30</v>
      </c>
      <c r="K29" t="s">
        <v>369</v>
      </c>
      <c r="L29">
        <v>8242</v>
      </c>
      <c r="M29" t="s">
        <v>347</v>
      </c>
      <c r="N29" t="s">
        <v>375</v>
      </c>
      <c r="O29">
        <v>1</v>
      </c>
      <c r="P29">
        <v>1</v>
      </c>
      <c r="Q29">
        <v>-99</v>
      </c>
      <c r="R29" t="s">
        <v>682</v>
      </c>
    </row>
    <row r="30" spans="1:18" x14ac:dyDescent="0.2">
      <c r="A30">
        <v>29</v>
      </c>
      <c r="B30">
        <v>-99</v>
      </c>
      <c r="C30" t="s">
        <v>99</v>
      </c>
      <c r="D30" t="s">
        <v>63</v>
      </c>
      <c r="E30" t="s">
        <v>527</v>
      </c>
      <c r="F30" t="s">
        <v>210</v>
      </c>
      <c r="G30" t="s">
        <v>656</v>
      </c>
      <c r="H30" t="s">
        <v>370</v>
      </c>
      <c r="I30">
        <v>380</v>
      </c>
      <c r="J30">
        <v>30</v>
      </c>
      <c r="K30" t="s">
        <v>369</v>
      </c>
      <c r="L30">
        <v>8242</v>
      </c>
      <c r="M30" t="s">
        <v>347</v>
      </c>
      <c r="N30" t="s">
        <v>375</v>
      </c>
      <c r="O30">
        <v>-99</v>
      </c>
      <c r="P30">
        <v>1</v>
      </c>
      <c r="Q30">
        <v>-99</v>
      </c>
      <c r="R30" t="s">
        <v>208</v>
      </c>
    </row>
    <row r="31" spans="1:18" x14ac:dyDescent="0.2">
      <c r="A31">
        <v>30</v>
      </c>
      <c r="B31">
        <v>15</v>
      </c>
      <c r="C31" t="s">
        <v>142</v>
      </c>
      <c r="D31" t="s">
        <v>65</v>
      </c>
      <c r="E31" t="s">
        <v>528</v>
      </c>
      <c r="F31" t="s">
        <v>529</v>
      </c>
      <c r="G31" t="s">
        <v>656</v>
      </c>
      <c r="H31" t="s">
        <v>370</v>
      </c>
      <c r="I31">
        <v>380</v>
      </c>
      <c r="J31">
        <v>30</v>
      </c>
      <c r="K31" t="s">
        <v>369</v>
      </c>
      <c r="L31">
        <v>8243</v>
      </c>
      <c r="M31" t="s">
        <v>347</v>
      </c>
      <c r="N31" t="s">
        <v>375</v>
      </c>
      <c r="O31">
        <v>1</v>
      </c>
      <c r="P31">
        <v>1</v>
      </c>
      <c r="Q31">
        <v>-99</v>
      </c>
      <c r="R31" t="s">
        <v>682</v>
      </c>
    </row>
    <row r="32" spans="1:18" x14ac:dyDescent="0.2">
      <c r="A32">
        <v>31</v>
      </c>
      <c r="B32">
        <v>-99</v>
      </c>
      <c r="C32" t="s">
        <v>142</v>
      </c>
      <c r="D32" t="s">
        <v>65</v>
      </c>
      <c r="E32" t="s">
        <v>530</v>
      </c>
      <c r="F32" t="s">
        <v>531</v>
      </c>
      <c r="G32" t="s">
        <v>656</v>
      </c>
      <c r="H32" t="s">
        <v>370</v>
      </c>
      <c r="I32">
        <v>380</v>
      </c>
      <c r="J32">
        <v>30</v>
      </c>
      <c r="K32" t="s">
        <v>369</v>
      </c>
      <c r="L32">
        <v>8243</v>
      </c>
      <c r="M32" t="s">
        <v>347</v>
      </c>
      <c r="N32" t="s">
        <v>375</v>
      </c>
      <c r="O32">
        <v>-99</v>
      </c>
      <c r="P32">
        <v>1</v>
      </c>
      <c r="Q32">
        <v>-99</v>
      </c>
      <c r="R32" t="s">
        <v>681</v>
      </c>
    </row>
    <row r="33" spans="1:18" x14ac:dyDescent="0.2">
      <c r="A33">
        <v>32</v>
      </c>
      <c r="B33">
        <v>16</v>
      </c>
      <c r="C33" t="s">
        <v>143</v>
      </c>
      <c r="D33" t="s">
        <v>33</v>
      </c>
      <c r="E33" t="s">
        <v>532</v>
      </c>
      <c r="F33" t="s">
        <v>533</v>
      </c>
      <c r="G33" t="s">
        <v>656</v>
      </c>
      <c r="H33" t="s">
        <v>370</v>
      </c>
      <c r="I33">
        <v>380</v>
      </c>
      <c r="J33">
        <v>30</v>
      </c>
      <c r="K33" t="s">
        <v>369</v>
      </c>
      <c r="L33">
        <v>8244</v>
      </c>
      <c r="M33" t="s">
        <v>342</v>
      </c>
      <c r="N33" t="s">
        <v>376</v>
      </c>
      <c r="O33">
        <v>1</v>
      </c>
      <c r="P33">
        <v>2</v>
      </c>
      <c r="Q33">
        <v>-99</v>
      </c>
      <c r="R33" t="s">
        <v>682</v>
      </c>
    </row>
    <row r="34" spans="1:18" x14ac:dyDescent="0.2">
      <c r="A34">
        <v>33</v>
      </c>
      <c r="B34">
        <v>23</v>
      </c>
      <c r="C34" t="s">
        <v>103</v>
      </c>
      <c r="D34" t="s">
        <v>69</v>
      </c>
      <c r="E34" t="s">
        <v>534</v>
      </c>
      <c r="F34" t="s">
        <v>535</v>
      </c>
      <c r="G34" t="s">
        <v>657</v>
      </c>
      <c r="H34" t="s">
        <v>377</v>
      </c>
      <c r="I34">
        <v>381</v>
      </c>
      <c r="J34">
        <v>30</v>
      </c>
      <c r="K34" t="s">
        <v>369</v>
      </c>
      <c r="L34">
        <v>8245</v>
      </c>
      <c r="M34" t="s">
        <v>321</v>
      </c>
      <c r="N34" t="s">
        <v>378</v>
      </c>
      <c r="O34">
        <v>1</v>
      </c>
      <c r="P34">
        <v>2</v>
      </c>
      <c r="Q34">
        <v>-99</v>
      </c>
      <c r="R34" t="s">
        <v>682</v>
      </c>
    </row>
    <row r="35" spans="1:18" x14ac:dyDescent="0.2">
      <c r="A35">
        <v>34</v>
      </c>
      <c r="B35">
        <v>24</v>
      </c>
      <c r="C35" t="s">
        <v>144</v>
      </c>
      <c r="D35" t="s">
        <v>47</v>
      </c>
      <c r="E35" t="s">
        <v>536</v>
      </c>
      <c r="F35" t="s">
        <v>537</v>
      </c>
      <c r="G35" t="s">
        <v>657</v>
      </c>
      <c r="H35" t="s">
        <v>377</v>
      </c>
      <c r="I35">
        <v>381</v>
      </c>
      <c r="J35">
        <v>30</v>
      </c>
      <c r="K35" t="s">
        <v>369</v>
      </c>
      <c r="L35">
        <v>8246</v>
      </c>
      <c r="M35" t="s">
        <v>337</v>
      </c>
      <c r="N35" t="s">
        <v>379</v>
      </c>
      <c r="O35">
        <v>1</v>
      </c>
      <c r="P35">
        <v>2</v>
      </c>
      <c r="Q35">
        <v>-99</v>
      </c>
      <c r="R35" t="s">
        <v>682</v>
      </c>
    </row>
    <row r="36" spans="1:18" x14ac:dyDescent="0.2">
      <c r="A36">
        <v>35</v>
      </c>
      <c r="B36">
        <v>30</v>
      </c>
      <c r="C36" t="s">
        <v>145</v>
      </c>
      <c r="D36" t="s">
        <v>25</v>
      </c>
      <c r="E36" t="s">
        <v>538</v>
      </c>
      <c r="F36" t="s">
        <v>539</v>
      </c>
      <c r="G36" t="s">
        <v>657</v>
      </c>
      <c r="H36" t="s">
        <v>377</v>
      </c>
      <c r="I36">
        <v>381</v>
      </c>
      <c r="J36">
        <v>31</v>
      </c>
      <c r="K36" t="s">
        <v>380</v>
      </c>
      <c r="L36">
        <v>8247</v>
      </c>
      <c r="M36" t="s">
        <v>362</v>
      </c>
      <c r="N36" t="s">
        <v>381</v>
      </c>
      <c r="O36">
        <v>1</v>
      </c>
      <c r="P36">
        <v>2</v>
      </c>
      <c r="Q36">
        <v>-99</v>
      </c>
      <c r="R36" t="s">
        <v>682</v>
      </c>
    </row>
    <row r="37" spans="1:18" x14ac:dyDescent="0.2">
      <c r="A37">
        <v>36</v>
      </c>
      <c r="B37">
        <v>194</v>
      </c>
      <c r="C37" t="s">
        <v>146</v>
      </c>
      <c r="D37" t="s">
        <v>77</v>
      </c>
      <c r="E37" t="s">
        <v>540</v>
      </c>
      <c r="F37" t="s">
        <v>541</v>
      </c>
      <c r="G37" t="s">
        <v>657</v>
      </c>
      <c r="H37" t="s">
        <v>377</v>
      </c>
      <c r="I37">
        <v>381</v>
      </c>
      <c r="J37">
        <v>31</v>
      </c>
      <c r="K37" t="s">
        <v>380</v>
      </c>
      <c r="L37">
        <v>8248</v>
      </c>
      <c r="M37" t="s">
        <v>317</v>
      </c>
      <c r="N37" t="s">
        <v>425</v>
      </c>
      <c r="O37">
        <v>1</v>
      </c>
      <c r="P37">
        <v>2</v>
      </c>
      <c r="Q37">
        <v>-99</v>
      </c>
      <c r="R37" t="s">
        <v>682</v>
      </c>
    </row>
    <row r="38" spans="1:18" x14ac:dyDescent="0.2">
      <c r="A38">
        <v>37</v>
      </c>
      <c r="B38">
        <v>34</v>
      </c>
      <c r="C38" t="s">
        <v>147</v>
      </c>
      <c r="D38" t="s">
        <v>83</v>
      </c>
      <c r="E38" t="s">
        <v>542</v>
      </c>
      <c r="F38" t="s">
        <v>543</v>
      </c>
      <c r="G38" t="s">
        <v>657</v>
      </c>
      <c r="H38" t="s">
        <v>377</v>
      </c>
      <c r="I38">
        <v>381</v>
      </c>
      <c r="J38">
        <v>30</v>
      </c>
      <c r="K38" t="s">
        <v>369</v>
      </c>
      <c r="L38">
        <v>8249</v>
      </c>
      <c r="M38" t="s">
        <v>348</v>
      </c>
      <c r="N38" t="s">
        <v>382</v>
      </c>
      <c r="O38">
        <v>1</v>
      </c>
      <c r="P38">
        <v>1</v>
      </c>
      <c r="Q38">
        <v>-99</v>
      </c>
      <c r="R38" t="s">
        <v>682</v>
      </c>
    </row>
    <row r="39" spans="1:18" x14ac:dyDescent="0.2">
      <c r="A39">
        <v>38</v>
      </c>
      <c r="B39">
        <v>-99</v>
      </c>
      <c r="C39" t="s">
        <v>147</v>
      </c>
      <c r="D39" t="s">
        <v>83</v>
      </c>
      <c r="E39" t="s">
        <v>544</v>
      </c>
      <c r="F39" t="s">
        <v>213</v>
      </c>
      <c r="G39" t="s">
        <v>657</v>
      </c>
      <c r="H39" t="s">
        <v>377</v>
      </c>
      <c r="I39">
        <v>381</v>
      </c>
      <c r="J39">
        <v>30</v>
      </c>
      <c r="K39" t="s">
        <v>369</v>
      </c>
      <c r="L39">
        <v>8249</v>
      </c>
      <c r="M39" t="s">
        <v>348</v>
      </c>
      <c r="N39" t="s">
        <v>382</v>
      </c>
      <c r="O39">
        <v>-99</v>
      </c>
      <c r="P39">
        <v>1</v>
      </c>
      <c r="Q39">
        <v>-99</v>
      </c>
      <c r="R39" t="s">
        <v>679</v>
      </c>
    </row>
    <row r="40" spans="1:18" x14ac:dyDescent="0.2">
      <c r="A40">
        <v>39</v>
      </c>
      <c r="B40">
        <v>-99</v>
      </c>
      <c r="C40" t="s">
        <v>147</v>
      </c>
      <c r="D40" t="s">
        <v>83</v>
      </c>
      <c r="E40" t="s">
        <v>545</v>
      </c>
      <c r="F40" t="s">
        <v>957</v>
      </c>
      <c r="G40" t="s">
        <v>657</v>
      </c>
      <c r="H40" t="s">
        <v>377</v>
      </c>
      <c r="I40">
        <v>381</v>
      </c>
      <c r="J40">
        <v>30</v>
      </c>
      <c r="K40" t="s">
        <v>369</v>
      </c>
      <c r="L40">
        <v>8249</v>
      </c>
      <c r="M40" t="s">
        <v>348</v>
      </c>
      <c r="N40" t="s">
        <v>382</v>
      </c>
      <c r="O40">
        <v>-99</v>
      </c>
      <c r="P40">
        <v>1</v>
      </c>
      <c r="Q40">
        <v>-99</v>
      </c>
      <c r="R40" t="s">
        <v>680</v>
      </c>
    </row>
    <row r="41" spans="1:18" x14ac:dyDescent="0.2">
      <c r="A41">
        <v>40</v>
      </c>
      <c r="B41">
        <v>35</v>
      </c>
      <c r="C41" t="s">
        <v>148</v>
      </c>
      <c r="D41" t="s">
        <v>39</v>
      </c>
      <c r="E41" t="s">
        <v>546</v>
      </c>
      <c r="F41" t="s">
        <v>547</v>
      </c>
      <c r="G41" t="s">
        <v>657</v>
      </c>
      <c r="H41" t="s">
        <v>377</v>
      </c>
      <c r="I41">
        <v>381</v>
      </c>
      <c r="J41">
        <v>31</v>
      </c>
      <c r="K41" t="s">
        <v>380</v>
      </c>
      <c r="L41">
        <v>8250</v>
      </c>
      <c r="M41" t="s">
        <v>340</v>
      </c>
      <c r="N41" t="s">
        <v>383</v>
      </c>
      <c r="O41">
        <v>1</v>
      </c>
      <c r="P41">
        <v>2</v>
      </c>
      <c r="Q41">
        <v>-99</v>
      </c>
      <c r="R41" t="s">
        <v>682</v>
      </c>
    </row>
    <row r="42" spans="1:18" x14ac:dyDescent="0.2">
      <c r="A42">
        <v>41</v>
      </c>
      <c r="B42">
        <v>36</v>
      </c>
      <c r="C42" t="s">
        <v>91</v>
      </c>
      <c r="D42" t="s">
        <v>58</v>
      </c>
      <c r="E42" t="s">
        <v>548</v>
      </c>
      <c r="F42" t="s">
        <v>549</v>
      </c>
      <c r="G42" t="s">
        <v>657</v>
      </c>
      <c r="H42" t="s">
        <v>377</v>
      </c>
      <c r="I42">
        <v>381</v>
      </c>
      <c r="J42">
        <v>31</v>
      </c>
      <c r="K42" t="s">
        <v>380</v>
      </c>
      <c r="L42">
        <v>8251</v>
      </c>
      <c r="M42" t="s">
        <v>343</v>
      </c>
      <c r="N42" t="s">
        <v>384</v>
      </c>
      <c r="O42">
        <v>1</v>
      </c>
      <c r="P42">
        <v>2</v>
      </c>
      <c r="Q42">
        <v>-99</v>
      </c>
      <c r="R42" t="s">
        <v>682</v>
      </c>
    </row>
    <row r="43" spans="1:18" x14ac:dyDescent="0.2">
      <c r="A43">
        <v>42</v>
      </c>
      <c r="B43">
        <v>37</v>
      </c>
      <c r="C43" t="s">
        <v>149</v>
      </c>
      <c r="D43" t="s">
        <v>59</v>
      </c>
      <c r="E43" t="s">
        <v>550</v>
      </c>
      <c r="F43" t="s">
        <v>551</v>
      </c>
      <c r="G43" t="s">
        <v>658</v>
      </c>
      <c r="H43" t="s">
        <v>386</v>
      </c>
      <c r="I43">
        <v>382</v>
      </c>
      <c r="J43">
        <v>33</v>
      </c>
      <c r="K43" t="s">
        <v>385</v>
      </c>
      <c r="L43">
        <v>8252</v>
      </c>
      <c r="M43" t="s">
        <v>320</v>
      </c>
      <c r="N43" t="s">
        <v>387</v>
      </c>
      <c r="O43">
        <v>1</v>
      </c>
      <c r="P43">
        <v>2</v>
      </c>
      <c r="Q43">
        <v>-99</v>
      </c>
      <c r="R43" t="s">
        <v>682</v>
      </c>
    </row>
    <row r="44" spans="1:18" x14ac:dyDescent="0.2">
      <c r="A44">
        <v>43</v>
      </c>
      <c r="B44">
        <v>38</v>
      </c>
      <c r="C44" t="s">
        <v>150</v>
      </c>
      <c r="D44" t="s">
        <v>57</v>
      </c>
      <c r="E44" t="s">
        <v>552</v>
      </c>
      <c r="F44" t="s">
        <v>553</v>
      </c>
      <c r="G44" t="s">
        <v>657</v>
      </c>
      <c r="H44" t="s">
        <v>377</v>
      </c>
      <c r="I44">
        <v>381</v>
      </c>
      <c r="J44">
        <v>31</v>
      </c>
      <c r="K44" t="s">
        <v>380</v>
      </c>
      <c r="L44">
        <v>8253</v>
      </c>
      <c r="M44" t="s">
        <v>354</v>
      </c>
      <c r="N44" t="s">
        <v>388</v>
      </c>
      <c r="O44">
        <v>1</v>
      </c>
      <c r="P44">
        <v>2</v>
      </c>
      <c r="Q44">
        <v>-99</v>
      </c>
      <c r="R44" t="s">
        <v>682</v>
      </c>
    </row>
    <row r="45" spans="1:18" x14ac:dyDescent="0.2">
      <c r="A45">
        <v>44</v>
      </c>
      <c r="B45">
        <v>39</v>
      </c>
      <c r="C45" t="s">
        <v>151</v>
      </c>
      <c r="D45" t="s">
        <v>49</v>
      </c>
      <c r="E45" t="s">
        <v>554</v>
      </c>
      <c r="F45" t="s">
        <v>555</v>
      </c>
      <c r="G45" t="s">
        <v>657</v>
      </c>
      <c r="H45" t="s">
        <v>377</v>
      </c>
      <c r="I45">
        <v>381</v>
      </c>
      <c r="J45">
        <v>33</v>
      </c>
      <c r="K45" t="s">
        <v>385</v>
      </c>
      <c r="L45">
        <v>8254</v>
      </c>
      <c r="M45" t="s">
        <v>355</v>
      </c>
      <c r="N45" t="s">
        <v>389</v>
      </c>
      <c r="O45">
        <v>1</v>
      </c>
      <c r="P45">
        <v>1</v>
      </c>
      <c r="Q45">
        <v>-99</v>
      </c>
      <c r="R45" t="s">
        <v>682</v>
      </c>
    </row>
    <row r="46" spans="1:18" x14ac:dyDescent="0.2">
      <c r="A46">
        <v>45</v>
      </c>
      <c r="B46">
        <v>-99</v>
      </c>
      <c r="C46" t="s">
        <v>151</v>
      </c>
      <c r="D46" t="s">
        <v>49</v>
      </c>
      <c r="E46" t="s">
        <v>556</v>
      </c>
      <c r="F46" t="s">
        <v>557</v>
      </c>
      <c r="G46" t="s">
        <v>657</v>
      </c>
      <c r="H46" t="s">
        <v>377</v>
      </c>
      <c r="I46">
        <v>381</v>
      </c>
      <c r="J46">
        <v>33</v>
      </c>
      <c r="K46" t="s">
        <v>385</v>
      </c>
      <c r="L46">
        <v>8254</v>
      </c>
      <c r="M46" t="s">
        <v>355</v>
      </c>
      <c r="N46" t="s">
        <v>389</v>
      </c>
      <c r="O46">
        <v>-99</v>
      </c>
      <c r="P46">
        <v>1</v>
      </c>
      <c r="Q46">
        <v>-99</v>
      </c>
      <c r="R46" t="s">
        <v>683</v>
      </c>
    </row>
    <row r="47" spans="1:18" x14ac:dyDescent="0.2">
      <c r="A47">
        <v>46</v>
      </c>
      <c r="B47">
        <v>52</v>
      </c>
      <c r="C47" t="s">
        <v>152</v>
      </c>
      <c r="D47" t="s">
        <v>38</v>
      </c>
      <c r="E47" t="s">
        <v>558</v>
      </c>
      <c r="F47" t="s">
        <v>559</v>
      </c>
      <c r="G47" t="s">
        <v>656</v>
      </c>
      <c r="H47" t="s">
        <v>370</v>
      </c>
      <c r="I47">
        <v>380</v>
      </c>
      <c r="J47">
        <v>32</v>
      </c>
      <c r="K47" t="s">
        <v>390</v>
      </c>
      <c r="L47">
        <v>8255</v>
      </c>
      <c r="M47" t="s">
        <v>356</v>
      </c>
      <c r="N47" t="s">
        <v>391</v>
      </c>
      <c r="O47">
        <v>1</v>
      </c>
      <c r="P47">
        <v>2</v>
      </c>
      <c r="Q47">
        <v>-99</v>
      </c>
      <c r="R47" t="s">
        <v>682</v>
      </c>
    </row>
    <row r="48" spans="1:18" x14ac:dyDescent="0.2">
      <c r="A48">
        <v>47</v>
      </c>
      <c r="B48">
        <v>53</v>
      </c>
      <c r="C48" t="s">
        <v>153</v>
      </c>
      <c r="D48" t="s">
        <v>48</v>
      </c>
      <c r="E48" t="s">
        <v>560</v>
      </c>
      <c r="F48" t="s">
        <v>561</v>
      </c>
      <c r="G48" t="s">
        <v>656</v>
      </c>
      <c r="H48" t="s">
        <v>370</v>
      </c>
      <c r="I48">
        <v>380</v>
      </c>
      <c r="J48">
        <v>32</v>
      </c>
      <c r="K48" t="s">
        <v>390</v>
      </c>
      <c r="L48">
        <v>8256</v>
      </c>
      <c r="M48" t="s">
        <v>330</v>
      </c>
      <c r="N48" t="s">
        <v>392</v>
      </c>
      <c r="O48">
        <v>1</v>
      </c>
      <c r="P48">
        <v>2</v>
      </c>
      <c r="Q48">
        <v>-99</v>
      </c>
      <c r="R48" t="s">
        <v>682</v>
      </c>
    </row>
    <row r="49" spans="1:18" x14ac:dyDescent="0.2">
      <c r="A49">
        <v>48</v>
      </c>
      <c r="B49">
        <v>54</v>
      </c>
      <c r="C49" t="s">
        <v>154</v>
      </c>
      <c r="D49" t="s">
        <v>53</v>
      </c>
      <c r="E49" t="s">
        <v>562</v>
      </c>
      <c r="F49" t="s">
        <v>563</v>
      </c>
      <c r="G49" t="s">
        <v>657</v>
      </c>
      <c r="H49" t="s">
        <v>377</v>
      </c>
      <c r="I49">
        <v>381</v>
      </c>
      <c r="J49">
        <v>31</v>
      </c>
      <c r="K49" t="s">
        <v>380</v>
      </c>
      <c r="L49">
        <v>8257</v>
      </c>
      <c r="M49" t="s">
        <v>336</v>
      </c>
      <c r="N49" t="s">
        <v>393</v>
      </c>
      <c r="O49">
        <v>1</v>
      </c>
      <c r="P49">
        <v>1</v>
      </c>
      <c r="Q49">
        <v>-99</v>
      </c>
      <c r="R49" t="s">
        <v>682</v>
      </c>
    </row>
    <row r="50" spans="1:18" x14ac:dyDescent="0.2">
      <c r="A50">
        <v>49</v>
      </c>
      <c r="B50">
        <v>-99</v>
      </c>
      <c r="C50" t="s">
        <v>154</v>
      </c>
      <c r="D50" t="s">
        <v>53</v>
      </c>
      <c r="E50" t="s">
        <v>564</v>
      </c>
      <c r="F50" t="s">
        <v>565</v>
      </c>
      <c r="G50" t="s">
        <v>657</v>
      </c>
      <c r="H50" t="s">
        <v>377</v>
      </c>
      <c r="I50">
        <v>381</v>
      </c>
      <c r="J50">
        <v>31</v>
      </c>
      <c r="K50" t="s">
        <v>380</v>
      </c>
      <c r="L50">
        <v>8257</v>
      </c>
      <c r="M50" t="s">
        <v>336</v>
      </c>
      <c r="N50" t="s">
        <v>393</v>
      </c>
      <c r="O50">
        <v>-99</v>
      </c>
      <c r="P50">
        <v>1</v>
      </c>
      <c r="Q50">
        <v>-99</v>
      </c>
      <c r="R50" t="s">
        <v>684</v>
      </c>
    </row>
    <row r="51" spans="1:18" x14ac:dyDescent="0.2">
      <c r="A51">
        <v>50</v>
      </c>
      <c r="B51">
        <v>55</v>
      </c>
      <c r="C51" t="s">
        <v>155</v>
      </c>
      <c r="D51" t="s">
        <v>37</v>
      </c>
      <c r="E51" t="s">
        <v>566</v>
      </c>
      <c r="F51" t="s">
        <v>567</v>
      </c>
      <c r="G51" t="s">
        <v>658</v>
      </c>
      <c r="H51" t="s">
        <v>386</v>
      </c>
      <c r="I51">
        <v>382</v>
      </c>
      <c r="J51">
        <v>32</v>
      </c>
      <c r="K51" t="s">
        <v>390</v>
      </c>
      <c r="L51">
        <v>8258</v>
      </c>
      <c r="M51" t="s">
        <v>349</v>
      </c>
      <c r="N51" t="s">
        <v>394</v>
      </c>
      <c r="O51">
        <v>1</v>
      </c>
      <c r="P51">
        <v>2</v>
      </c>
      <c r="Q51">
        <v>-99</v>
      </c>
      <c r="R51" t="s">
        <v>682</v>
      </c>
    </row>
    <row r="52" spans="1:18" x14ac:dyDescent="0.2">
      <c r="A52">
        <v>51</v>
      </c>
      <c r="B52">
        <v>56</v>
      </c>
      <c r="C52" t="s">
        <v>156</v>
      </c>
      <c r="D52" t="s">
        <v>42</v>
      </c>
      <c r="E52" t="s">
        <v>568</v>
      </c>
      <c r="F52" t="s">
        <v>569</v>
      </c>
      <c r="G52" t="s">
        <v>656</v>
      </c>
      <c r="H52" t="s">
        <v>370</v>
      </c>
      <c r="I52">
        <v>380</v>
      </c>
      <c r="J52">
        <v>32</v>
      </c>
      <c r="K52" t="s">
        <v>390</v>
      </c>
      <c r="L52">
        <v>8259</v>
      </c>
      <c r="M52" t="s">
        <v>326</v>
      </c>
      <c r="N52" t="s">
        <v>395</v>
      </c>
      <c r="O52">
        <v>1</v>
      </c>
      <c r="P52">
        <v>2</v>
      </c>
      <c r="Q52">
        <v>-99</v>
      </c>
      <c r="R52" t="s">
        <v>682</v>
      </c>
    </row>
    <row r="53" spans="1:18" x14ac:dyDescent="0.2">
      <c r="A53">
        <v>52</v>
      </c>
      <c r="B53">
        <v>57</v>
      </c>
      <c r="C53" t="s">
        <v>157</v>
      </c>
      <c r="D53" t="s">
        <v>56</v>
      </c>
      <c r="E53" t="s">
        <v>570</v>
      </c>
      <c r="F53" t="s">
        <v>571</v>
      </c>
      <c r="G53" t="s">
        <v>658</v>
      </c>
      <c r="H53" t="s">
        <v>386</v>
      </c>
      <c r="I53">
        <v>382</v>
      </c>
      <c r="J53">
        <v>32</v>
      </c>
      <c r="K53" t="s">
        <v>390</v>
      </c>
      <c r="L53">
        <v>8260</v>
      </c>
      <c r="M53" t="s">
        <v>316</v>
      </c>
      <c r="N53" t="s">
        <v>396</v>
      </c>
      <c r="O53">
        <v>1</v>
      </c>
      <c r="P53">
        <v>1</v>
      </c>
      <c r="Q53">
        <v>-99</v>
      </c>
      <c r="R53" t="s">
        <v>682</v>
      </c>
    </row>
    <row r="54" spans="1:18" x14ac:dyDescent="0.2">
      <c r="A54">
        <v>53</v>
      </c>
      <c r="B54">
        <v>-99</v>
      </c>
      <c r="C54" t="s">
        <v>157</v>
      </c>
      <c r="D54" t="s">
        <v>56</v>
      </c>
      <c r="E54" t="s">
        <v>572</v>
      </c>
      <c r="F54" t="s">
        <v>209</v>
      </c>
      <c r="G54" t="s">
        <v>658</v>
      </c>
      <c r="H54" t="s">
        <v>386</v>
      </c>
      <c r="I54">
        <v>382</v>
      </c>
      <c r="J54">
        <v>32</v>
      </c>
      <c r="K54" t="s">
        <v>390</v>
      </c>
      <c r="L54">
        <v>8260</v>
      </c>
      <c r="M54" t="s">
        <v>316</v>
      </c>
      <c r="N54" t="s">
        <v>396</v>
      </c>
      <c r="O54">
        <v>-99</v>
      </c>
      <c r="P54">
        <v>1</v>
      </c>
      <c r="Q54">
        <v>-99</v>
      </c>
      <c r="R54" t="s">
        <v>208</v>
      </c>
    </row>
    <row r="55" spans="1:18" x14ac:dyDescent="0.2">
      <c r="A55">
        <v>54</v>
      </c>
      <c r="B55">
        <v>58</v>
      </c>
      <c r="C55" t="s">
        <v>158</v>
      </c>
      <c r="D55" t="s">
        <v>75</v>
      </c>
      <c r="E55" t="s">
        <v>573</v>
      </c>
      <c r="F55" t="s">
        <v>574</v>
      </c>
      <c r="G55" t="s">
        <v>658</v>
      </c>
      <c r="H55" t="s">
        <v>386</v>
      </c>
      <c r="I55">
        <v>382</v>
      </c>
      <c r="J55">
        <v>32</v>
      </c>
      <c r="K55" t="s">
        <v>390</v>
      </c>
      <c r="L55">
        <v>8261</v>
      </c>
      <c r="M55" t="s">
        <v>339</v>
      </c>
      <c r="N55" t="s">
        <v>397</v>
      </c>
      <c r="O55">
        <v>1</v>
      </c>
      <c r="P55">
        <v>2</v>
      </c>
      <c r="Q55">
        <v>-99</v>
      </c>
      <c r="R55" t="s">
        <v>682</v>
      </c>
    </row>
    <row r="56" spans="1:18" x14ac:dyDescent="0.2">
      <c r="A56">
        <v>55</v>
      </c>
      <c r="B56">
        <v>59</v>
      </c>
      <c r="C56" t="s">
        <v>159</v>
      </c>
      <c r="D56" t="s">
        <v>41</v>
      </c>
      <c r="E56" t="s">
        <v>575</v>
      </c>
      <c r="F56" t="s">
        <v>576</v>
      </c>
      <c r="G56" t="s">
        <v>658</v>
      </c>
      <c r="H56" t="s">
        <v>386</v>
      </c>
      <c r="I56">
        <v>382</v>
      </c>
      <c r="J56">
        <v>32</v>
      </c>
      <c r="K56" t="s">
        <v>390</v>
      </c>
      <c r="L56">
        <v>8262</v>
      </c>
      <c r="M56" t="s">
        <v>363</v>
      </c>
      <c r="N56" t="s">
        <v>399</v>
      </c>
      <c r="O56">
        <v>1</v>
      </c>
      <c r="P56">
        <v>2</v>
      </c>
      <c r="Q56">
        <v>-99</v>
      </c>
      <c r="R56" t="s">
        <v>682</v>
      </c>
    </row>
    <row r="57" spans="1:18" x14ac:dyDescent="0.2">
      <c r="A57">
        <v>56</v>
      </c>
      <c r="B57">
        <v>60</v>
      </c>
      <c r="C57" t="s">
        <v>160</v>
      </c>
      <c r="D57" t="s">
        <v>50</v>
      </c>
      <c r="E57" t="s">
        <v>577</v>
      </c>
      <c r="F57" t="s">
        <v>578</v>
      </c>
      <c r="G57" t="s">
        <v>658</v>
      </c>
      <c r="H57" t="s">
        <v>386</v>
      </c>
      <c r="I57">
        <v>382</v>
      </c>
      <c r="J57">
        <v>32</v>
      </c>
      <c r="K57" t="s">
        <v>390</v>
      </c>
      <c r="L57">
        <v>8263</v>
      </c>
      <c r="M57" t="s">
        <v>322</v>
      </c>
      <c r="N57" t="s">
        <v>400</v>
      </c>
      <c r="O57">
        <v>1</v>
      </c>
      <c r="P57">
        <v>2</v>
      </c>
      <c r="Q57">
        <v>-99</v>
      </c>
      <c r="R57" t="s">
        <v>682</v>
      </c>
    </row>
    <row r="58" spans="1:18" x14ac:dyDescent="0.2">
      <c r="A58">
        <v>57</v>
      </c>
      <c r="B58">
        <v>84</v>
      </c>
      <c r="C58" t="s">
        <v>161</v>
      </c>
      <c r="D58" t="s">
        <v>76</v>
      </c>
      <c r="E58" t="s">
        <v>579</v>
      </c>
      <c r="F58" t="s">
        <v>580</v>
      </c>
      <c r="G58" t="s">
        <v>658</v>
      </c>
      <c r="H58" t="s">
        <v>386</v>
      </c>
      <c r="I58">
        <v>382</v>
      </c>
      <c r="J58">
        <v>32</v>
      </c>
      <c r="K58" t="s">
        <v>390</v>
      </c>
      <c r="L58">
        <v>8264</v>
      </c>
      <c r="M58" t="s">
        <v>333</v>
      </c>
      <c r="N58" t="s">
        <v>401</v>
      </c>
      <c r="O58">
        <v>1</v>
      </c>
      <c r="P58">
        <v>1</v>
      </c>
      <c r="Q58">
        <v>-99</v>
      </c>
      <c r="R58" t="s">
        <v>682</v>
      </c>
    </row>
    <row r="59" spans="1:18" x14ac:dyDescent="0.2">
      <c r="A59">
        <v>58</v>
      </c>
      <c r="B59">
        <v>-99</v>
      </c>
      <c r="C59" t="s">
        <v>161</v>
      </c>
      <c r="D59" t="s">
        <v>76</v>
      </c>
      <c r="E59" t="s">
        <v>581</v>
      </c>
      <c r="F59" t="s">
        <v>491</v>
      </c>
      <c r="G59" t="s">
        <v>658</v>
      </c>
      <c r="H59" t="s">
        <v>386</v>
      </c>
      <c r="I59">
        <v>382</v>
      </c>
      <c r="J59">
        <v>32</v>
      </c>
      <c r="K59" t="s">
        <v>390</v>
      </c>
      <c r="L59">
        <v>8264</v>
      </c>
      <c r="M59" t="s">
        <v>333</v>
      </c>
      <c r="N59" t="s">
        <v>401</v>
      </c>
      <c r="O59">
        <v>-99</v>
      </c>
      <c r="P59">
        <v>1</v>
      </c>
      <c r="Q59">
        <v>-99</v>
      </c>
      <c r="R59" t="s">
        <v>654</v>
      </c>
    </row>
    <row r="60" spans="1:18" x14ac:dyDescent="0.2">
      <c r="A60">
        <v>59</v>
      </c>
      <c r="B60">
        <v>-99</v>
      </c>
      <c r="C60" t="s">
        <v>161</v>
      </c>
      <c r="D60" t="s">
        <v>76</v>
      </c>
      <c r="E60" t="s">
        <v>582</v>
      </c>
      <c r="F60" t="s">
        <v>212</v>
      </c>
      <c r="G60" t="s">
        <v>658</v>
      </c>
      <c r="H60" t="s">
        <v>386</v>
      </c>
      <c r="I60">
        <v>382</v>
      </c>
      <c r="J60">
        <v>32</v>
      </c>
      <c r="K60" t="s">
        <v>390</v>
      </c>
      <c r="L60">
        <v>8264</v>
      </c>
      <c r="M60" t="s">
        <v>333</v>
      </c>
      <c r="N60" t="s">
        <v>401</v>
      </c>
      <c r="O60">
        <v>-99</v>
      </c>
      <c r="P60">
        <v>1</v>
      </c>
      <c r="Q60">
        <v>-99</v>
      </c>
      <c r="R60" t="s">
        <v>208</v>
      </c>
    </row>
    <row r="61" spans="1:18" x14ac:dyDescent="0.2">
      <c r="A61">
        <v>60</v>
      </c>
      <c r="B61">
        <v>100</v>
      </c>
      <c r="C61" t="s">
        <v>162</v>
      </c>
      <c r="D61" t="s">
        <v>40</v>
      </c>
      <c r="E61" t="s">
        <v>583</v>
      </c>
      <c r="F61" t="s">
        <v>584</v>
      </c>
      <c r="G61" t="s">
        <v>660</v>
      </c>
      <c r="H61" t="s">
        <v>402</v>
      </c>
      <c r="I61">
        <v>383</v>
      </c>
      <c r="J61">
        <v>33</v>
      </c>
      <c r="K61" t="s">
        <v>385</v>
      </c>
      <c r="L61">
        <v>8268</v>
      </c>
      <c r="M61" t="s">
        <v>350</v>
      </c>
      <c r="N61" t="s">
        <v>403</v>
      </c>
      <c r="O61">
        <v>1</v>
      </c>
      <c r="P61">
        <v>2</v>
      </c>
      <c r="Q61">
        <v>-99</v>
      </c>
      <c r="R61" t="s">
        <v>682</v>
      </c>
    </row>
    <row r="62" spans="1:18" x14ac:dyDescent="0.2">
      <c r="A62">
        <v>61</v>
      </c>
      <c r="B62">
        <v>101</v>
      </c>
      <c r="C62" t="s">
        <v>163</v>
      </c>
      <c r="D62" t="s">
        <v>31</v>
      </c>
      <c r="E62" t="s">
        <v>585</v>
      </c>
      <c r="F62" t="s">
        <v>586</v>
      </c>
      <c r="G62" t="s">
        <v>660</v>
      </c>
      <c r="H62" t="s">
        <v>402</v>
      </c>
      <c r="I62">
        <v>383</v>
      </c>
      <c r="J62">
        <v>34</v>
      </c>
      <c r="K62" t="s">
        <v>404</v>
      </c>
      <c r="L62">
        <v>8269</v>
      </c>
      <c r="M62" t="s">
        <v>318</v>
      </c>
      <c r="N62" t="s">
        <v>405</v>
      </c>
      <c r="O62">
        <v>1</v>
      </c>
      <c r="P62">
        <v>2</v>
      </c>
      <c r="Q62">
        <v>-99</v>
      </c>
      <c r="R62" t="s">
        <v>682</v>
      </c>
    </row>
    <row r="63" spans="1:18" x14ac:dyDescent="0.2">
      <c r="A63">
        <v>62</v>
      </c>
      <c r="B63">
        <v>102</v>
      </c>
      <c r="C63" t="s">
        <v>164</v>
      </c>
      <c r="D63" t="s">
        <v>70</v>
      </c>
      <c r="E63" t="s">
        <v>587</v>
      </c>
      <c r="F63" t="s">
        <v>588</v>
      </c>
      <c r="G63" t="s">
        <v>660</v>
      </c>
      <c r="H63" t="s">
        <v>402</v>
      </c>
      <c r="I63">
        <v>383</v>
      </c>
      <c r="J63">
        <v>33</v>
      </c>
      <c r="K63" t="s">
        <v>385</v>
      </c>
      <c r="L63">
        <v>8270</v>
      </c>
      <c r="M63" t="s">
        <v>344</v>
      </c>
      <c r="N63" t="s">
        <v>406</v>
      </c>
      <c r="O63">
        <v>1</v>
      </c>
      <c r="P63">
        <v>1</v>
      </c>
      <c r="Q63">
        <v>-99</v>
      </c>
      <c r="R63" t="s">
        <v>682</v>
      </c>
    </row>
    <row r="64" spans="1:18" x14ac:dyDescent="0.2">
      <c r="A64">
        <v>63</v>
      </c>
      <c r="B64">
        <v>-99</v>
      </c>
      <c r="C64" t="s">
        <v>164</v>
      </c>
      <c r="D64" t="s">
        <v>70</v>
      </c>
      <c r="E64" t="s">
        <v>589</v>
      </c>
      <c r="F64" t="s">
        <v>211</v>
      </c>
      <c r="G64" t="s">
        <v>660</v>
      </c>
      <c r="H64" t="s">
        <v>402</v>
      </c>
      <c r="I64">
        <v>383</v>
      </c>
      <c r="J64">
        <v>33</v>
      </c>
      <c r="K64" t="s">
        <v>385</v>
      </c>
      <c r="L64">
        <v>8270</v>
      </c>
      <c r="M64" t="s">
        <v>344</v>
      </c>
      <c r="N64" t="s">
        <v>406</v>
      </c>
      <c r="O64">
        <v>-99</v>
      </c>
      <c r="P64">
        <v>1</v>
      </c>
      <c r="Q64">
        <v>-99</v>
      </c>
      <c r="R64" t="s">
        <v>679</v>
      </c>
    </row>
    <row r="65" spans="1:18" x14ac:dyDescent="0.2">
      <c r="A65">
        <v>64</v>
      </c>
      <c r="B65">
        <v>103</v>
      </c>
      <c r="C65" t="s">
        <v>165</v>
      </c>
      <c r="D65" t="s">
        <v>62</v>
      </c>
      <c r="E65" t="s">
        <v>590</v>
      </c>
      <c r="F65" t="s">
        <v>591</v>
      </c>
      <c r="G65" t="s">
        <v>660</v>
      </c>
      <c r="H65" t="s">
        <v>402</v>
      </c>
      <c r="I65">
        <v>383</v>
      </c>
      <c r="J65">
        <v>34</v>
      </c>
      <c r="K65" t="s">
        <v>404</v>
      </c>
      <c r="L65">
        <v>8272</v>
      </c>
      <c r="M65" t="s">
        <v>332</v>
      </c>
      <c r="N65" t="s">
        <v>407</v>
      </c>
      <c r="O65">
        <v>1</v>
      </c>
      <c r="P65">
        <v>2</v>
      </c>
      <c r="Q65">
        <v>-99</v>
      </c>
      <c r="R65" t="s">
        <v>682</v>
      </c>
    </row>
    <row r="66" spans="1:18" x14ac:dyDescent="0.2">
      <c r="A66">
        <v>65</v>
      </c>
      <c r="B66">
        <v>104</v>
      </c>
      <c r="C66" t="s">
        <v>166</v>
      </c>
      <c r="D66" t="s">
        <v>52</v>
      </c>
      <c r="E66" t="s">
        <v>592</v>
      </c>
      <c r="F66" t="s">
        <v>593</v>
      </c>
      <c r="G66" t="s">
        <v>660</v>
      </c>
      <c r="H66" t="s">
        <v>402</v>
      </c>
      <c r="I66">
        <v>383</v>
      </c>
      <c r="J66">
        <v>34</v>
      </c>
      <c r="K66" t="s">
        <v>404</v>
      </c>
      <c r="L66">
        <v>8221</v>
      </c>
      <c r="M66" t="s">
        <v>332</v>
      </c>
      <c r="N66" t="s">
        <v>407</v>
      </c>
      <c r="O66">
        <v>1</v>
      </c>
      <c r="P66">
        <v>2</v>
      </c>
      <c r="Q66">
        <v>-99</v>
      </c>
      <c r="R66" t="s">
        <v>682</v>
      </c>
    </row>
    <row r="67" spans="1:18" x14ac:dyDescent="0.2">
      <c r="A67">
        <v>66</v>
      </c>
      <c r="B67">
        <v>196</v>
      </c>
      <c r="C67" t="s">
        <v>167</v>
      </c>
      <c r="D67" t="s">
        <v>64</v>
      </c>
      <c r="E67" t="s">
        <v>594</v>
      </c>
      <c r="F67" t="s">
        <v>595</v>
      </c>
      <c r="G67" t="s">
        <v>660</v>
      </c>
      <c r="H67" t="s">
        <v>402</v>
      </c>
      <c r="I67">
        <v>383</v>
      </c>
      <c r="J67">
        <v>34</v>
      </c>
      <c r="K67" t="s">
        <v>404</v>
      </c>
      <c r="L67">
        <v>8202</v>
      </c>
      <c r="M67" t="s">
        <v>345</v>
      </c>
      <c r="N67" t="s">
        <v>426</v>
      </c>
      <c r="O67">
        <v>1</v>
      </c>
      <c r="P67">
        <v>2</v>
      </c>
      <c r="Q67">
        <v>-99</v>
      </c>
      <c r="R67" t="s">
        <v>682</v>
      </c>
    </row>
    <row r="68" spans="1:18" x14ac:dyDescent="0.2">
      <c r="A68">
        <v>67</v>
      </c>
      <c r="B68">
        <v>110</v>
      </c>
      <c r="C68" t="s">
        <v>168</v>
      </c>
      <c r="D68" t="s">
        <v>73</v>
      </c>
      <c r="E68" t="s">
        <v>596</v>
      </c>
      <c r="F68" t="s">
        <v>597</v>
      </c>
      <c r="G68" t="s">
        <v>660</v>
      </c>
      <c r="H68" t="s">
        <v>402</v>
      </c>
      <c r="I68">
        <v>383</v>
      </c>
      <c r="J68">
        <v>34</v>
      </c>
      <c r="K68" t="s">
        <v>404</v>
      </c>
      <c r="L68">
        <v>8203</v>
      </c>
      <c r="M68" t="s">
        <v>329</v>
      </c>
      <c r="N68" t="s">
        <v>80</v>
      </c>
      <c r="O68">
        <v>1</v>
      </c>
      <c r="P68">
        <v>1</v>
      </c>
      <c r="Q68">
        <v>-99</v>
      </c>
      <c r="R68" t="s">
        <v>682</v>
      </c>
    </row>
    <row r="69" spans="1:18" x14ac:dyDescent="0.2">
      <c r="A69">
        <v>68</v>
      </c>
      <c r="B69">
        <v>-99</v>
      </c>
      <c r="C69" t="s">
        <v>168</v>
      </c>
      <c r="D69" t="s">
        <v>73</v>
      </c>
      <c r="E69" t="s">
        <v>598</v>
      </c>
      <c r="F69" t="s">
        <v>599</v>
      </c>
      <c r="G69" t="s">
        <v>660</v>
      </c>
      <c r="H69" t="s">
        <v>402</v>
      </c>
      <c r="I69">
        <v>383</v>
      </c>
      <c r="J69">
        <v>34</v>
      </c>
      <c r="K69" t="s">
        <v>404</v>
      </c>
      <c r="L69">
        <v>8203</v>
      </c>
      <c r="M69" t="s">
        <v>329</v>
      </c>
      <c r="N69" t="s">
        <v>80</v>
      </c>
      <c r="O69">
        <v>-99</v>
      </c>
      <c r="P69">
        <v>1</v>
      </c>
      <c r="Q69">
        <v>-99</v>
      </c>
      <c r="R69" t="s">
        <v>398</v>
      </c>
    </row>
    <row r="70" spans="1:18" x14ac:dyDescent="0.2">
      <c r="A70">
        <v>69</v>
      </c>
      <c r="B70">
        <v>111</v>
      </c>
      <c r="C70" t="s">
        <v>169</v>
      </c>
      <c r="D70" t="s">
        <v>34</v>
      </c>
      <c r="E70" t="s">
        <v>600</v>
      </c>
      <c r="F70" t="s">
        <v>601</v>
      </c>
      <c r="G70" t="s">
        <v>660</v>
      </c>
      <c r="H70" t="s">
        <v>402</v>
      </c>
      <c r="I70">
        <v>383</v>
      </c>
      <c r="J70">
        <v>34</v>
      </c>
      <c r="K70" t="s">
        <v>404</v>
      </c>
      <c r="L70">
        <v>8204</v>
      </c>
      <c r="M70" t="s">
        <v>334</v>
      </c>
      <c r="N70" t="s">
        <v>408</v>
      </c>
      <c r="O70">
        <v>1</v>
      </c>
      <c r="P70">
        <v>2</v>
      </c>
      <c r="Q70">
        <v>-99</v>
      </c>
      <c r="R70" t="s">
        <v>682</v>
      </c>
    </row>
    <row r="71" spans="1:18" x14ac:dyDescent="0.2">
      <c r="A71">
        <v>70</v>
      </c>
      <c r="B71">
        <v>112</v>
      </c>
      <c r="C71" t="s">
        <v>170</v>
      </c>
      <c r="D71" t="s">
        <v>66</v>
      </c>
      <c r="E71" t="s">
        <v>602</v>
      </c>
      <c r="F71" t="s">
        <v>603</v>
      </c>
      <c r="G71" t="s">
        <v>660</v>
      </c>
      <c r="H71" t="s">
        <v>402</v>
      </c>
      <c r="I71">
        <v>383</v>
      </c>
      <c r="J71">
        <v>34</v>
      </c>
      <c r="K71" t="s">
        <v>404</v>
      </c>
      <c r="L71">
        <v>8205</v>
      </c>
      <c r="M71" t="s">
        <v>351</v>
      </c>
      <c r="N71" t="s">
        <v>409</v>
      </c>
      <c r="O71">
        <v>1</v>
      </c>
      <c r="P71">
        <v>2</v>
      </c>
      <c r="Q71">
        <v>-99</v>
      </c>
      <c r="R71" t="s">
        <v>682</v>
      </c>
    </row>
    <row r="72" spans="1:18" x14ac:dyDescent="0.2">
      <c r="A72">
        <v>71</v>
      </c>
      <c r="B72">
        <v>113</v>
      </c>
      <c r="C72" t="s">
        <v>171</v>
      </c>
      <c r="D72" t="s">
        <v>79</v>
      </c>
      <c r="E72" t="s">
        <v>604</v>
      </c>
      <c r="F72" t="s">
        <v>605</v>
      </c>
      <c r="G72" t="s">
        <v>658</v>
      </c>
      <c r="H72" t="s">
        <v>386</v>
      </c>
      <c r="I72">
        <v>382</v>
      </c>
      <c r="J72">
        <v>33</v>
      </c>
      <c r="K72" t="s">
        <v>385</v>
      </c>
      <c r="L72">
        <v>8206</v>
      </c>
      <c r="M72" t="s">
        <v>327</v>
      </c>
      <c r="N72" t="s">
        <v>410</v>
      </c>
      <c r="O72">
        <v>1</v>
      </c>
      <c r="P72">
        <v>2</v>
      </c>
      <c r="Q72">
        <v>-99</v>
      </c>
      <c r="R72" t="s">
        <v>682</v>
      </c>
    </row>
    <row r="73" spans="1:18" x14ac:dyDescent="0.2">
      <c r="A73">
        <v>72</v>
      </c>
      <c r="B73">
        <v>114</v>
      </c>
      <c r="C73" t="s">
        <v>172</v>
      </c>
      <c r="D73" t="s">
        <v>51</v>
      </c>
      <c r="E73" t="s">
        <v>606</v>
      </c>
      <c r="F73" t="s">
        <v>607</v>
      </c>
      <c r="G73" t="s">
        <v>658</v>
      </c>
      <c r="H73" t="s">
        <v>386</v>
      </c>
      <c r="I73">
        <v>382</v>
      </c>
      <c r="J73">
        <v>33</v>
      </c>
      <c r="K73" t="s">
        <v>385</v>
      </c>
      <c r="L73">
        <v>8207</v>
      </c>
      <c r="M73" t="s">
        <v>315</v>
      </c>
      <c r="N73" t="s">
        <v>411</v>
      </c>
      <c r="O73">
        <v>1</v>
      </c>
      <c r="P73">
        <v>2</v>
      </c>
      <c r="Q73">
        <v>-99</v>
      </c>
      <c r="R73" t="s">
        <v>682</v>
      </c>
    </row>
    <row r="74" spans="1:18" x14ac:dyDescent="0.2">
      <c r="A74">
        <v>73</v>
      </c>
      <c r="B74">
        <v>115</v>
      </c>
      <c r="C74" t="s">
        <v>173</v>
      </c>
      <c r="D74" t="s">
        <v>27</v>
      </c>
      <c r="E74" t="s">
        <v>608</v>
      </c>
      <c r="F74" t="s">
        <v>609</v>
      </c>
      <c r="G74" t="s">
        <v>658</v>
      </c>
      <c r="H74" t="s">
        <v>386</v>
      </c>
      <c r="I74">
        <v>382</v>
      </c>
      <c r="J74">
        <v>33</v>
      </c>
      <c r="K74" t="s">
        <v>385</v>
      </c>
      <c r="L74">
        <v>8208</v>
      </c>
      <c r="M74" t="s">
        <v>338</v>
      </c>
      <c r="N74" t="s">
        <v>412</v>
      </c>
      <c r="O74">
        <v>1</v>
      </c>
      <c r="P74">
        <v>2</v>
      </c>
      <c r="Q74">
        <v>-99</v>
      </c>
      <c r="R74" t="s">
        <v>682</v>
      </c>
    </row>
    <row r="75" spans="1:18" x14ac:dyDescent="0.2">
      <c r="A75">
        <v>74</v>
      </c>
      <c r="B75">
        <v>116</v>
      </c>
      <c r="C75" t="s">
        <v>174</v>
      </c>
      <c r="D75" t="s">
        <v>68</v>
      </c>
      <c r="E75" t="s">
        <v>610</v>
      </c>
      <c r="F75" t="s">
        <v>611</v>
      </c>
      <c r="G75" t="s">
        <v>660</v>
      </c>
      <c r="H75" t="s">
        <v>402</v>
      </c>
      <c r="I75">
        <v>383</v>
      </c>
      <c r="J75">
        <v>34</v>
      </c>
      <c r="K75" t="s">
        <v>404</v>
      </c>
      <c r="L75">
        <v>8210</v>
      </c>
      <c r="M75" t="s">
        <v>328</v>
      </c>
      <c r="N75" t="s">
        <v>413</v>
      </c>
      <c r="O75">
        <v>1</v>
      </c>
      <c r="P75">
        <v>2</v>
      </c>
      <c r="Q75">
        <v>-99</v>
      </c>
      <c r="R75" t="s">
        <v>682</v>
      </c>
    </row>
    <row r="76" spans="1:18" x14ac:dyDescent="0.2">
      <c r="A76">
        <v>75</v>
      </c>
      <c r="B76">
        <v>197</v>
      </c>
      <c r="C76" t="s">
        <v>175</v>
      </c>
      <c r="D76" t="s">
        <v>72</v>
      </c>
      <c r="E76" t="s">
        <v>612</v>
      </c>
      <c r="F76" t="s">
        <v>613</v>
      </c>
      <c r="G76" t="s">
        <v>657</v>
      </c>
      <c r="H76" t="s">
        <v>377</v>
      </c>
      <c r="I76">
        <v>381</v>
      </c>
      <c r="J76">
        <v>31</v>
      </c>
      <c r="K76" t="s">
        <v>380</v>
      </c>
      <c r="L76">
        <v>8211</v>
      </c>
      <c r="M76" t="s">
        <v>331</v>
      </c>
      <c r="N76" t="s">
        <v>427</v>
      </c>
      <c r="O76">
        <v>1</v>
      </c>
      <c r="P76">
        <v>2</v>
      </c>
      <c r="Q76">
        <v>-99</v>
      </c>
      <c r="R76" t="s">
        <v>682</v>
      </c>
    </row>
    <row r="77" spans="1:18" x14ac:dyDescent="0.2">
      <c r="A77">
        <v>76</v>
      </c>
      <c r="B77">
        <v>119</v>
      </c>
      <c r="C77" t="s">
        <v>176</v>
      </c>
      <c r="D77" t="s">
        <v>55</v>
      </c>
      <c r="E77" t="s">
        <v>614</v>
      </c>
      <c r="F77" t="s">
        <v>615</v>
      </c>
      <c r="G77" t="s">
        <v>660</v>
      </c>
      <c r="H77" t="s">
        <v>402</v>
      </c>
      <c r="I77">
        <v>383</v>
      </c>
      <c r="J77">
        <v>34</v>
      </c>
      <c r="K77" t="s">
        <v>404</v>
      </c>
      <c r="L77">
        <v>8223</v>
      </c>
      <c r="M77" t="s">
        <v>616</v>
      </c>
      <c r="N77" t="s">
        <v>617</v>
      </c>
      <c r="O77">
        <v>1</v>
      </c>
      <c r="P77">
        <v>2</v>
      </c>
      <c r="Q77">
        <v>-99</v>
      </c>
      <c r="R77" t="s">
        <v>682</v>
      </c>
    </row>
    <row r="78" spans="1:18" x14ac:dyDescent="0.2">
      <c r="A78">
        <v>77</v>
      </c>
      <c r="B78">
        <v>131</v>
      </c>
      <c r="C78" t="s">
        <v>177</v>
      </c>
      <c r="D78" t="s">
        <v>46</v>
      </c>
      <c r="E78" t="s">
        <v>618</v>
      </c>
      <c r="F78" t="s">
        <v>619</v>
      </c>
      <c r="G78" t="s">
        <v>658</v>
      </c>
      <c r="H78" t="s">
        <v>386</v>
      </c>
      <c r="I78">
        <v>382</v>
      </c>
      <c r="J78">
        <v>33</v>
      </c>
      <c r="K78" t="s">
        <v>385</v>
      </c>
      <c r="L78">
        <v>8226</v>
      </c>
      <c r="M78" t="s">
        <v>327</v>
      </c>
      <c r="N78" t="s">
        <v>410</v>
      </c>
      <c r="O78">
        <v>1</v>
      </c>
      <c r="P78">
        <v>2</v>
      </c>
      <c r="Q78">
        <v>-99</v>
      </c>
      <c r="R78" t="s">
        <v>682</v>
      </c>
    </row>
    <row r="79" spans="1:18" x14ac:dyDescent="0.2">
      <c r="A79">
        <v>78</v>
      </c>
      <c r="B79">
        <v>132</v>
      </c>
      <c r="C79" t="s">
        <v>669</v>
      </c>
      <c r="D79" t="s">
        <v>430</v>
      </c>
      <c r="E79" t="s">
        <v>620</v>
      </c>
      <c r="F79" t="s">
        <v>670</v>
      </c>
      <c r="G79" t="s">
        <v>657</v>
      </c>
      <c r="H79" t="s">
        <v>377</v>
      </c>
      <c r="I79">
        <v>381</v>
      </c>
      <c r="J79">
        <v>30</v>
      </c>
      <c r="K79" t="s">
        <v>369</v>
      </c>
      <c r="L79">
        <v>8229</v>
      </c>
      <c r="M79" t="s">
        <v>346</v>
      </c>
      <c r="N79" t="s">
        <v>414</v>
      </c>
      <c r="O79">
        <v>1</v>
      </c>
      <c r="P79">
        <v>2</v>
      </c>
      <c r="Q79">
        <v>-99</v>
      </c>
      <c r="R79" t="s">
        <v>682</v>
      </c>
    </row>
    <row r="80" spans="1:18" x14ac:dyDescent="0.2">
      <c r="A80">
        <v>79</v>
      </c>
      <c r="B80">
        <v>143</v>
      </c>
      <c r="C80" t="s">
        <v>178</v>
      </c>
      <c r="D80" t="s">
        <v>54</v>
      </c>
      <c r="E80" t="s">
        <v>621</v>
      </c>
      <c r="F80" t="s">
        <v>622</v>
      </c>
      <c r="G80" t="s">
        <v>656</v>
      </c>
      <c r="H80" t="s">
        <v>370</v>
      </c>
      <c r="I80">
        <v>380</v>
      </c>
      <c r="J80">
        <v>30</v>
      </c>
      <c r="K80" t="s">
        <v>369</v>
      </c>
      <c r="L80">
        <v>8230</v>
      </c>
      <c r="M80" t="s">
        <v>359</v>
      </c>
      <c r="N80" t="s">
        <v>415</v>
      </c>
      <c r="O80">
        <v>1</v>
      </c>
      <c r="P80">
        <v>2</v>
      </c>
      <c r="Q80">
        <v>-99</v>
      </c>
      <c r="R80" t="s">
        <v>682</v>
      </c>
    </row>
    <row r="81" spans="1:18" x14ac:dyDescent="0.2">
      <c r="A81">
        <v>80</v>
      </c>
      <c r="B81">
        <v>144</v>
      </c>
      <c r="C81" t="s">
        <v>671</v>
      </c>
      <c r="D81" t="s">
        <v>489</v>
      </c>
      <c r="E81" t="s">
        <v>671</v>
      </c>
      <c r="F81" t="s">
        <v>489</v>
      </c>
      <c r="G81" t="s">
        <v>668</v>
      </c>
      <c r="H81" t="s">
        <v>8</v>
      </c>
      <c r="I81">
        <v>-99</v>
      </c>
      <c r="J81">
        <v>35</v>
      </c>
      <c r="K81" t="s">
        <v>8</v>
      </c>
      <c r="L81">
        <v>8215</v>
      </c>
      <c r="M81" t="s">
        <v>339</v>
      </c>
      <c r="N81" t="s">
        <v>397</v>
      </c>
      <c r="O81">
        <v>1</v>
      </c>
      <c r="P81">
        <v>2</v>
      </c>
      <c r="Q81">
        <v>-99</v>
      </c>
      <c r="R81" t="s">
        <v>654</v>
      </c>
    </row>
    <row r="82" spans="1:18" x14ac:dyDescent="0.2">
      <c r="A82">
        <v>81</v>
      </c>
      <c r="B82">
        <v>145</v>
      </c>
      <c r="C82" t="s">
        <v>179</v>
      </c>
      <c r="D82" t="s">
        <v>71</v>
      </c>
      <c r="E82" t="s">
        <v>623</v>
      </c>
      <c r="F82" t="s">
        <v>624</v>
      </c>
      <c r="G82" t="s">
        <v>660</v>
      </c>
      <c r="H82" t="s">
        <v>402</v>
      </c>
      <c r="I82">
        <v>383</v>
      </c>
      <c r="J82">
        <v>34</v>
      </c>
      <c r="K82" t="s">
        <v>404</v>
      </c>
      <c r="L82">
        <v>8231</v>
      </c>
      <c r="M82" t="s">
        <v>332</v>
      </c>
      <c r="N82" t="s">
        <v>407</v>
      </c>
      <c r="O82">
        <v>1</v>
      </c>
      <c r="P82">
        <v>1</v>
      </c>
      <c r="Q82">
        <v>-99</v>
      </c>
      <c r="R82" t="s">
        <v>682</v>
      </c>
    </row>
    <row r="83" spans="1:18" x14ac:dyDescent="0.2">
      <c r="A83">
        <v>82</v>
      </c>
      <c r="B83">
        <v>-99</v>
      </c>
      <c r="C83" t="s">
        <v>179</v>
      </c>
      <c r="D83" t="s">
        <v>71</v>
      </c>
      <c r="E83" t="s">
        <v>625</v>
      </c>
      <c r="F83" t="s">
        <v>956</v>
      </c>
      <c r="G83" t="s">
        <v>660</v>
      </c>
      <c r="H83" t="s">
        <v>402</v>
      </c>
      <c r="I83">
        <v>383</v>
      </c>
      <c r="J83">
        <v>34</v>
      </c>
      <c r="K83" t="s">
        <v>404</v>
      </c>
      <c r="L83">
        <v>8231</v>
      </c>
      <c r="M83" t="s">
        <v>332</v>
      </c>
      <c r="N83" t="s">
        <v>407</v>
      </c>
      <c r="O83">
        <v>-99</v>
      </c>
      <c r="P83">
        <v>1</v>
      </c>
      <c r="Q83">
        <v>-99</v>
      </c>
      <c r="R83" t="s">
        <v>680</v>
      </c>
    </row>
    <row r="84" spans="1:18" x14ac:dyDescent="0.2">
      <c r="A84">
        <v>83</v>
      </c>
      <c r="B84">
        <v>151</v>
      </c>
      <c r="C84" t="s">
        <v>672</v>
      </c>
      <c r="D84" t="s">
        <v>1056</v>
      </c>
      <c r="E84" t="s">
        <v>672</v>
      </c>
      <c r="F84" t="s">
        <v>490</v>
      </c>
      <c r="G84" t="s">
        <v>668</v>
      </c>
      <c r="H84" t="s">
        <v>8</v>
      </c>
      <c r="I84">
        <v>380</v>
      </c>
      <c r="J84">
        <v>35</v>
      </c>
      <c r="K84" t="s">
        <v>8</v>
      </c>
      <c r="L84">
        <v>3180155</v>
      </c>
      <c r="M84" t="s">
        <v>346</v>
      </c>
      <c r="N84" t="s">
        <v>414</v>
      </c>
      <c r="O84">
        <v>1</v>
      </c>
      <c r="P84">
        <v>2</v>
      </c>
      <c r="Q84">
        <v>-99</v>
      </c>
      <c r="R84" t="s">
        <v>654</v>
      </c>
    </row>
    <row r="85" spans="1:18" x14ac:dyDescent="0.2">
      <c r="A85">
        <v>84</v>
      </c>
      <c r="B85">
        <v>152</v>
      </c>
      <c r="C85" t="s">
        <v>180</v>
      </c>
      <c r="D85" t="s">
        <v>78</v>
      </c>
      <c r="E85" t="s">
        <v>626</v>
      </c>
      <c r="F85" t="s">
        <v>627</v>
      </c>
      <c r="G85" t="s">
        <v>656</v>
      </c>
      <c r="H85" t="s">
        <v>370</v>
      </c>
      <c r="I85">
        <v>380</v>
      </c>
      <c r="J85">
        <v>30</v>
      </c>
      <c r="K85" t="s">
        <v>369</v>
      </c>
      <c r="L85">
        <v>8234</v>
      </c>
      <c r="M85" t="s">
        <v>352</v>
      </c>
      <c r="N85" t="s">
        <v>416</v>
      </c>
      <c r="O85">
        <v>1</v>
      </c>
      <c r="P85">
        <v>2</v>
      </c>
      <c r="Q85">
        <v>-99</v>
      </c>
      <c r="R85" t="s">
        <v>682</v>
      </c>
    </row>
    <row r="86" spans="1:18" x14ac:dyDescent="0.2">
      <c r="A86">
        <v>85</v>
      </c>
      <c r="B86">
        <v>153</v>
      </c>
      <c r="C86" t="s">
        <v>89</v>
      </c>
      <c r="D86" t="s">
        <v>135</v>
      </c>
      <c r="E86" t="s">
        <v>628</v>
      </c>
      <c r="F86" t="s">
        <v>629</v>
      </c>
      <c r="G86" t="s">
        <v>656</v>
      </c>
      <c r="H86" t="s">
        <v>370</v>
      </c>
      <c r="I86">
        <v>380</v>
      </c>
      <c r="J86">
        <v>30</v>
      </c>
      <c r="K86" t="s">
        <v>369</v>
      </c>
      <c r="L86">
        <v>8236</v>
      </c>
      <c r="M86" t="s">
        <v>365</v>
      </c>
      <c r="N86" t="s">
        <v>417</v>
      </c>
      <c r="O86">
        <v>1</v>
      </c>
      <c r="P86">
        <v>2</v>
      </c>
      <c r="Q86">
        <v>-99</v>
      </c>
      <c r="R86" t="s">
        <v>682</v>
      </c>
    </row>
    <row r="87" spans="1:18" x14ac:dyDescent="0.2">
      <c r="A87">
        <v>86</v>
      </c>
      <c r="B87">
        <v>154</v>
      </c>
      <c r="C87" t="s">
        <v>182</v>
      </c>
      <c r="D87" t="s">
        <v>181</v>
      </c>
      <c r="E87" t="s">
        <v>630</v>
      </c>
      <c r="F87" t="s">
        <v>631</v>
      </c>
      <c r="G87" t="s">
        <v>660</v>
      </c>
      <c r="H87" t="s">
        <v>402</v>
      </c>
      <c r="I87">
        <v>383</v>
      </c>
      <c r="J87">
        <v>33</v>
      </c>
      <c r="K87" t="s">
        <v>385</v>
      </c>
      <c r="L87">
        <v>8265</v>
      </c>
      <c r="M87" t="s">
        <v>358</v>
      </c>
      <c r="N87" t="s">
        <v>418</v>
      </c>
      <c r="O87">
        <v>1</v>
      </c>
      <c r="P87">
        <v>2</v>
      </c>
      <c r="Q87">
        <v>-99</v>
      </c>
      <c r="R87" t="s">
        <v>682</v>
      </c>
    </row>
    <row r="88" spans="1:18" x14ac:dyDescent="0.2">
      <c r="A88">
        <v>87</v>
      </c>
      <c r="B88">
        <v>155</v>
      </c>
      <c r="C88" t="s">
        <v>183</v>
      </c>
      <c r="D88" t="s">
        <v>43</v>
      </c>
      <c r="E88" t="s">
        <v>632</v>
      </c>
      <c r="F88" t="s">
        <v>633</v>
      </c>
      <c r="G88" t="s">
        <v>658</v>
      </c>
      <c r="H88" t="s">
        <v>386</v>
      </c>
      <c r="I88">
        <v>382</v>
      </c>
      <c r="J88">
        <v>32</v>
      </c>
      <c r="K88" t="s">
        <v>390</v>
      </c>
      <c r="L88">
        <v>8266</v>
      </c>
      <c r="M88" t="s">
        <v>323</v>
      </c>
      <c r="N88" t="s">
        <v>419</v>
      </c>
      <c r="O88">
        <v>1</v>
      </c>
      <c r="P88">
        <v>2</v>
      </c>
      <c r="Q88">
        <v>-99</v>
      </c>
      <c r="R88" t="s">
        <v>682</v>
      </c>
    </row>
    <row r="89" spans="1:18" x14ac:dyDescent="0.2">
      <c r="A89">
        <v>88</v>
      </c>
      <c r="B89">
        <v>156</v>
      </c>
      <c r="C89" t="s">
        <v>184</v>
      </c>
      <c r="D89" t="s">
        <v>74</v>
      </c>
      <c r="E89" t="s">
        <v>634</v>
      </c>
      <c r="F89" t="s">
        <v>635</v>
      </c>
      <c r="G89" t="s">
        <v>658</v>
      </c>
      <c r="H89" t="s">
        <v>386</v>
      </c>
      <c r="I89">
        <v>382</v>
      </c>
      <c r="J89">
        <v>32</v>
      </c>
      <c r="K89" t="s">
        <v>390</v>
      </c>
      <c r="L89">
        <v>8267</v>
      </c>
      <c r="M89" t="s">
        <v>341</v>
      </c>
      <c r="N89" t="s">
        <v>420</v>
      </c>
      <c r="O89">
        <v>1</v>
      </c>
      <c r="P89">
        <v>2</v>
      </c>
      <c r="Q89">
        <v>-99</v>
      </c>
      <c r="R89" t="s">
        <v>682</v>
      </c>
    </row>
    <row r="90" spans="1:18" x14ac:dyDescent="0.2">
      <c r="A90">
        <v>89</v>
      </c>
      <c r="B90">
        <v>157</v>
      </c>
      <c r="C90" t="s">
        <v>673</v>
      </c>
      <c r="D90" t="s">
        <v>36</v>
      </c>
      <c r="E90" t="s">
        <v>636</v>
      </c>
      <c r="F90" t="s">
        <v>637</v>
      </c>
      <c r="G90" t="s">
        <v>660</v>
      </c>
      <c r="H90" t="s">
        <v>402</v>
      </c>
      <c r="I90">
        <v>383</v>
      </c>
      <c r="J90">
        <v>33</v>
      </c>
      <c r="K90" t="s">
        <v>385</v>
      </c>
      <c r="L90">
        <v>8271</v>
      </c>
      <c r="M90" t="s">
        <v>319</v>
      </c>
      <c r="N90" t="s">
        <v>421</v>
      </c>
      <c r="O90">
        <v>1</v>
      </c>
      <c r="P90">
        <v>2</v>
      </c>
      <c r="Q90">
        <v>-99</v>
      </c>
      <c r="R90" t="s">
        <v>682</v>
      </c>
    </row>
    <row r="91" spans="1:18" x14ac:dyDescent="0.2">
      <c r="A91">
        <v>90</v>
      </c>
      <c r="B91">
        <v>158</v>
      </c>
      <c r="C91" t="s">
        <v>185</v>
      </c>
      <c r="D91" t="s">
        <v>81</v>
      </c>
      <c r="E91" t="s">
        <v>638</v>
      </c>
      <c r="F91" t="s">
        <v>639</v>
      </c>
      <c r="G91" t="s">
        <v>658</v>
      </c>
      <c r="H91" t="s">
        <v>386</v>
      </c>
      <c r="I91">
        <v>382</v>
      </c>
      <c r="J91">
        <v>32</v>
      </c>
      <c r="K91" t="s">
        <v>390</v>
      </c>
      <c r="L91">
        <v>8209</v>
      </c>
      <c r="M91" t="s">
        <v>364</v>
      </c>
      <c r="N91" t="s">
        <v>422</v>
      </c>
      <c r="O91">
        <v>1</v>
      </c>
      <c r="P91">
        <v>2</v>
      </c>
      <c r="Q91">
        <v>-99</v>
      </c>
      <c r="R91" t="s">
        <v>682</v>
      </c>
    </row>
    <row r="92" spans="1:18" x14ac:dyDescent="0.2">
      <c r="A92">
        <v>91</v>
      </c>
      <c r="B92">
        <v>198</v>
      </c>
      <c r="C92" t="s">
        <v>186</v>
      </c>
      <c r="D92" t="s">
        <v>45</v>
      </c>
      <c r="E92" t="s">
        <v>640</v>
      </c>
      <c r="F92" t="s">
        <v>641</v>
      </c>
      <c r="G92" t="s">
        <v>660</v>
      </c>
      <c r="H92" t="s">
        <v>402</v>
      </c>
      <c r="I92">
        <v>383</v>
      </c>
      <c r="J92">
        <v>34</v>
      </c>
      <c r="K92" t="s">
        <v>404</v>
      </c>
      <c r="L92">
        <v>8224</v>
      </c>
      <c r="M92" t="s">
        <v>361</v>
      </c>
      <c r="N92" t="s">
        <v>428</v>
      </c>
      <c r="O92">
        <v>1</v>
      </c>
      <c r="P92">
        <v>2</v>
      </c>
      <c r="Q92">
        <v>-99</v>
      </c>
      <c r="R92" t="s">
        <v>682</v>
      </c>
    </row>
    <row r="93" spans="1:18" x14ac:dyDescent="0.2">
      <c r="A93">
        <v>92</v>
      </c>
      <c r="B93">
        <v>161</v>
      </c>
      <c r="C93" t="s">
        <v>187</v>
      </c>
      <c r="D93" t="s">
        <v>82</v>
      </c>
      <c r="E93" t="s">
        <v>642</v>
      </c>
      <c r="F93" t="s">
        <v>643</v>
      </c>
      <c r="G93" t="s">
        <v>656</v>
      </c>
      <c r="H93" t="s">
        <v>370</v>
      </c>
      <c r="I93">
        <v>380</v>
      </c>
      <c r="J93">
        <v>30</v>
      </c>
      <c r="K93" t="s">
        <v>369</v>
      </c>
      <c r="L93">
        <v>8225</v>
      </c>
      <c r="M93" t="s">
        <v>324</v>
      </c>
      <c r="N93" t="s">
        <v>423</v>
      </c>
      <c r="O93">
        <v>1</v>
      </c>
      <c r="P93">
        <v>2</v>
      </c>
      <c r="Q93">
        <v>-99</v>
      </c>
      <c r="R93" t="s">
        <v>682</v>
      </c>
    </row>
    <row r="94" spans="1:18" x14ac:dyDescent="0.2">
      <c r="A94">
        <v>93</v>
      </c>
      <c r="B94">
        <v>162</v>
      </c>
      <c r="C94" t="s">
        <v>188</v>
      </c>
      <c r="D94" t="s">
        <v>32</v>
      </c>
      <c r="E94" t="s">
        <v>644</v>
      </c>
      <c r="F94" t="s">
        <v>645</v>
      </c>
      <c r="G94" t="s">
        <v>660</v>
      </c>
      <c r="H94" t="s">
        <v>402</v>
      </c>
      <c r="I94">
        <v>383</v>
      </c>
      <c r="J94">
        <v>34</v>
      </c>
      <c r="K94" t="s">
        <v>404</v>
      </c>
      <c r="L94">
        <v>8227</v>
      </c>
      <c r="M94" t="s">
        <v>477</v>
      </c>
      <c r="N94" t="s">
        <v>424</v>
      </c>
      <c r="O94">
        <v>1</v>
      </c>
      <c r="P94">
        <v>2</v>
      </c>
      <c r="Q94">
        <v>-99</v>
      </c>
      <c r="R94" t="s">
        <v>682</v>
      </c>
    </row>
    <row r="95" spans="1:18" x14ac:dyDescent="0.2">
      <c r="A95">
        <v>94</v>
      </c>
      <c r="B95">
        <v>-99</v>
      </c>
      <c r="C95" t="s">
        <v>674</v>
      </c>
      <c r="D95" t="s">
        <v>8</v>
      </c>
      <c r="E95" t="s">
        <v>675</v>
      </c>
      <c r="F95" t="s">
        <v>224</v>
      </c>
      <c r="G95" t="s">
        <v>654</v>
      </c>
      <c r="H95" t="s">
        <v>8</v>
      </c>
      <c r="I95">
        <v>-99</v>
      </c>
      <c r="J95">
        <v>-99</v>
      </c>
      <c r="K95" t="s">
        <v>8</v>
      </c>
      <c r="L95">
        <v>-99</v>
      </c>
      <c r="M95" t="s">
        <v>654</v>
      </c>
      <c r="N95" t="s">
        <v>654</v>
      </c>
      <c r="O95">
        <v>-99</v>
      </c>
      <c r="P95">
        <v>-99</v>
      </c>
      <c r="Q95">
        <v>-99</v>
      </c>
      <c r="R95" t="s">
        <v>208</v>
      </c>
    </row>
    <row r="96" spans="1:18" x14ac:dyDescent="0.2">
      <c r="A96">
        <v>95</v>
      </c>
      <c r="B96">
        <v>-99</v>
      </c>
      <c r="C96" t="s">
        <v>674</v>
      </c>
      <c r="D96" t="s">
        <v>8</v>
      </c>
      <c r="E96" t="s">
        <v>676</v>
      </c>
      <c r="F96" t="s">
        <v>308</v>
      </c>
      <c r="G96" t="s">
        <v>654</v>
      </c>
      <c r="H96" t="s">
        <v>8</v>
      </c>
      <c r="I96">
        <v>-99</v>
      </c>
      <c r="J96">
        <v>-99</v>
      </c>
      <c r="K96" t="s">
        <v>8</v>
      </c>
      <c r="L96">
        <v>-99</v>
      </c>
      <c r="M96" t="s">
        <v>654</v>
      </c>
      <c r="N96" t="s">
        <v>654</v>
      </c>
      <c r="O96">
        <v>-99</v>
      </c>
      <c r="P96">
        <v>-99</v>
      </c>
      <c r="Q96">
        <v>-99</v>
      </c>
      <c r="R96" t="s">
        <v>679</v>
      </c>
    </row>
    <row r="97" spans="1:18" x14ac:dyDescent="0.2">
      <c r="A97">
        <v>96</v>
      </c>
      <c r="B97">
        <v>-99</v>
      </c>
      <c r="C97" t="s">
        <v>674</v>
      </c>
      <c r="D97" t="s">
        <v>8</v>
      </c>
      <c r="E97" t="s">
        <v>677</v>
      </c>
      <c r="F97" t="s">
        <v>307</v>
      </c>
      <c r="G97" t="s">
        <v>654</v>
      </c>
      <c r="H97" t="s">
        <v>8</v>
      </c>
      <c r="I97">
        <v>-99</v>
      </c>
      <c r="J97">
        <v>-99</v>
      </c>
      <c r="K97" t="s">
        <v>8</v>
      </c>
      <c r="L97">
        <v>-99</v>
      </c>
      <c r="M97" t="s">
        <v>654</v>
      </c>
      <c r="N97" t="s">
        <v>654</v>
      </c>
      <c r="O97">
        <v>-99</v>
      </c>
      <c r="P97">
        <v>-99</v>
      </c>
      <c r="Q97">
        <v>-99</v>
      </c>
      <c r="R97" t="s">
        <v>680</v>
      </c>
    </row>
    <row r="98" spans="1:18" x14ac:dyDescent="0.2">
      <c r="A98">
        <v>97</v>
      </c>
      <c r="B98">
        <v>-99</v>
      </c>
      <c r="C98" t="s">
        <v>666</v>
      </c>
      <c r="D98" t="s">
        <v>1055</v>
      </c>
      <c r="E98" t="s">
        <v>666</v>
      </c>
      <c r="F98" t="s">
        <v>1055</v>
      </c>
      <c r="G98" t="s">
        <v>654</v>
      </c>
      <c r="H98" t="s">
        <v>654</v>
      </c>
      <c r="I98">
        <v>-99</v>
      </c>
      <c r="J98">
        <v>35</v>
      </c>
      <c r="K98" t="s">
        <v>8</v>
      </c>
      <c r="L98">
        <v>-99</v>
      </c>
      <c r="M98" t="s">
        <v>654</v>
      </c>
      <c r="N98" t="s">
        <v>654</v>
      </c>
      <c r="O98">
        <v>-99</v>
      </c>
      <c r="P98">
        <v>-99</v>
      </c>
      <c r="Q98">
        <v>3</v>
      </c>
      <c r="R98" t="s">
        <v>654</v>
      </c>
    </row>
    <row r="99" spans="1:18" x14ac:dyDescent="0.2">
      <c r="A99">
        <v>98</v>
      </c>
      <c r="B99">
        <v>-99</v>
      </c>
      <c r="C99" t="s">
        <v>674</v>
      </c>
      <c r="D99" t="s">
        <v>8</v>
      </c>
      <c r="E99" t="s">
        <v>685</v>
      </c>
      <c r="F99" t="s">
        <v>686</v>
      </c>
      <c r="G99" t="s">
        <v>654</v>
      </c>
      <c r="H99" t="s">
        <v>8</v>
      </c>
      <c r="I99">
        <v>-99</v>
      </c>
      <c r="J99">
        <v>-99</v>
      </c>
      <c r="K99" t="s">
        <v>8</v>
      </c>
      <c r="L99">
        <v>-99</v>
      </c>
      <c r="M99" t="s">
        <v>654</v>
      </c>
      <c r="N99" t="s">
        <v>654</v>
      </c>
      <c r="O99">
        <v>-99</v>
      </c>
      <c r="P99">
        <v>-99</v>
      </c>
      <c r="Q99">
        <v>-99</v>
      </c>
      <c r="R99" t="s">
        <v>682</v>
      </c>
    </row>
    <row r="100" spans="1:18" x14ac:dyDescent="0.2">
      <c r="A100">
        <v>99</v>
      </c>
      <c r="B100">
        <v>250</v>
      </c>
      <c r="C100" t="s">
        <v>654</v>
      </c>
      <c r="D100" t="s">
        <v>32</v>
      </c>
      <c r="E100" t="s">
        <v>721</v>
      </c>
      <c r="F100" t="s">
        <v>687</v>
      </c>
      <c r="G100" t="s">
        <v>654</v>
      </c>
      <c r="H100" t="s">
        <v>402</v>
      </c>
      <c r="I100">
        <v>-99</v>
      </c>
      <c r="J100">
        <v>-99</v>
      </c>
      <c r="K100" t="s">
        <v>404</v>
      </c>
      <c r="L100">
        <v>-99</v>
      </c>
      <c r="M100" t="s">
        <v>654</v>
      </c>
      <c r="N100" t="s">
        <v>654</v>
      </c>
      <c r="O100">
        <v>-99</v>
      </c>
      <c r="P100">
        <v>-99</v>
      </c>
      <c r="Q100">
        <v>-99</v>
      </c>
      <c r="R100" t="s">
        <v>688</v>
      </c>
    </row>
    <row r="101" spans="1:18" x14ac:dyDescent="0.2">
      <c r="A101">
        <v>100</v>
      </c>
      <c r="B101">
        <v>256</v>
      </c>
      <c r="C101" t="s">
        <v>654</v>
      </c>
      <c r="D101" t="s">
        <v>212</v>
      </c>
      <c r="E101" t="s">
        <v>722</v>
      </c>
      <c r="F101" t="s">
        <v>689</v>
      </c>
      <c r="G101" t="s">
        <v>654</v>
      </c>
      <c r="H101" t="s">
        <v>386</v>
      </c>
      <c r="I101">
        <v>-99</v>
      </c>
      <c r="J101">
        <v>-99</v>
      </c>
      <c r="K101" t="s">
        <v>390</v>
      </c>
      <c r="L101">
        <v>-99</v>
      </c>
      <c r="M101" t="s">
        <v>654</v>
      </c>
      <c r="N101" t="s">
        <v>654</v>
      </c>
      <c r="O101">
        <v>-99</v>
      </c>
      <c r="P101">
        <v>-99</v>
      </c>
      <c r="Q101">
        <v>-99</v>
      </c>
      <c r="R101" t="s">
        <v>688</v>
      </c>
    </row>
    <row r="102" spans="1:18" x14ac:dyDescent="0.2">
      <c r="A102">
        <v>101</v>
      </c>
      <c r="B102">
        <v>257</v>
      </c>
      <c r="C102" t="s">
        <v>654</v>
      </c>
      <c r="D102" t="s">
        <v>209</v>
      </c>
      <c r="E102" t="s">
        <v>723</v>
      </c>
      <c r="F102" t="s">
        <v>690</v>
      </c>
      <c r="G102" t="s">
        <v>654</v>
      </c>
      <c r="H102" t="s">
        <v>386</v>
      </c>
      <c r="I102">
        <v>-99</v>
      </c>
      <c r="J102">
        <v>-99</v>
      </c>
      <c r="K102" t="s">
        <v>390</v>
      </c>
      <c r="L102">
        <v>-99</v>
      </c>
      <c r="M102" t="s">
        <v>654</v>
      </c>
      <c r="N102" t="s">
        <v>654</v>
      </c>
      <c r="O102">
        <v>-99</v>
      </c>
      <c r="P102">
        <v>-99</v>
      </c>
      <c r="Q102">
        <v>-99</v>
      </c>
      <c r="R102" t="s">
        <v>688</v>
      </c>
    </row>
    <row r="103" spans="1:18" x14ac:dyDescent="0.2">
      <c r="A103">
        <v>102</v>
      </c>
      <c r="B103">
        <v>258</v>
      </c>
      <c r="C103" t="s">
        <v>654</v>
      </c>
      <c r="D103" t="s">
        <v>210</v>
      </c>
      <c r="E103" t="s">
        <v>724</v>
      </c>
      <c r="F103" t="s">
        <v>691</v>
      </c>
      <c r="G103" t="s">
        <v>654</v>
      </c>
      <c r="H103" t="s">
        <v>370</v>
      </c>
      <c r="I103">
        <v>-99</v>
      </c>
      <c r="J103">
        <v>-99</v>
      </c>
      <c r="K103" t="s">
        <v>369</v>
      </c>
      <c r="L103">
        <v>-99</v>
      </c>
      <c r="M103" t="s">
        <v>654</v>
      </c>
      <c r="N103" t="s">
        <v>654</v>
      </c>
      <c r="O103">
        <v>-99</v>
      </c>
      <c r="P103">
        <v>-99</v>
      </c>
      <c r="Q103">
        <v>-99</v>
      </c>
      <c r="R103" t="s">
        <v>688</v>
      </c>
    </row>
    <row r="104" spans="1:18" x14ac:dyDescent="0.2">
      <c r="A104">
        <v>103</v>
      </c>
      <c r="B104">
        <v>259</v>
      </c>
      <c r="C104" t="s">
        <v>654</v>
      </c>
      <c r="D104" t="s">
        <v>135</v>
      </c>
      <c r="E104" t="s">
        <v>725</v>
      </c>
      <c r="F104" t="s">
        <v>692</v>
      </c>
      <c r="G104" t="s">
        <v>654</v>
      </c>
      <c r="H104" t="s">
        <v>370</v>
      </c>
      <c r="I104">
        <v>-99</v>
      </c>
      <c r="J104">
        <v>-99</v>
      </c>
      <c r="K104" t="s">
        <v>369</v>
      </c>
      <c r="L104">
        <v>-99</v>
      </c>
      <c r="M104" t="s">
        <v>654</v>
      </c>
      <c r="N104" t="s">
        <v>654</v>
      </c>
      <c r="O104">
        <v>-99</v>
      </c>
      <c r="P104">
        <v>-99</v>
      </c>
      <c r="Q104">
        <v>-99</v>
      </c>
      <c r="R104" t="s">
        <v>688</v>
      </c>
    </row>
    <row r="105" spans="1:18" x14ac:dyDescent="0.2">
      <c r="A105">
        <v>104</v>
      </c>
      <c r="B105">
        <v>260</v>
      </c>
      <c r="C105" t="s">
        <v>654</v>
      </c>
      <c r="D105" t="s">
        <v>46</v>
      </c>
      <c r="E105" t="s">
        <v>726</v>
      </c>
      <c r="F105" t="s">
        <v>693</v>
      </c>
      <c r="G105" t="s">
        <v>654</v>
      </c>
      <c r="H105" t="s">
        <v>386</v>
      </c>
      <c r="I105">
        <v>-99</v>
      </c>
      <c r="J105">
        <v>-99</v>
      </c>
      <c r="K105" t="s">
        <v>385</v>
      </c>
      <c r="L105">
        <v>-99</v>
      </c>
      <c r="M105" t="s">
        <v>654</v>
      </c>
      <c r="N105" t="s">
        <v>654</v>
      </c>
      <c r="O105">
        <v>-99</v>
      </c>
      <c r="P105">
        <v>-99</v>
      </c>
      <c r="Q105">
        <v>-99</v>
      </c>
      <c r="R105" t="s">
        <v>688</v>
      </c>
    </row>
    <row r="106" spans="1:18" x14ac:dyDescent="0.2">
      <c r="A106">
        <v>105</v>
      </c>
      <c r="B106">
        <v>261</v>
      </c>
      <c r="C106" t="s">
        <v>654</v>
      </c>
      <c r="D106" t="s">
        <v>65</v>
      </c>
      <c r="E106" t="s">
        <v>727</v>
      </c>
      <c r="F106" t="s">
        <v>694</v>
      </c>
      <c r="G106" t="s">
        <v>654</v>
      </c>
      <c r="H106" t="s">
        <v>370</v>
      </c>
      <c r="I106">
        <v>-99</v>
      </c>
      <c r="J106">
        <v>-99</v>
      </c>
      <c r="K106" t="s">
        <v>369</v>
      </c>
      <c r="L106">
        <v>-99</v>
      </c>
      <c r="M106" t="s">
        <v>654</v>
      </c>
      <c r="N106" t="s">
        <v>654</v>
      </c>
      <c r="O106">
        <v>-99</v>
      </c>
      <c r="P106">
        <v>-99</v>
      </c>
      <c r="Q106">
        <v>-99</v>
      </c>
      <c r="R106" t="s">
        <v>688</v>
      </c>
    </row>
  </sheetData>
  <sheetProtection autoFilter="0"/>
  <conditionalFormatting sqref="A2:A106">
    <cfRule type="duplicateValues" dxfId="15" priority="2"/>
  </conditionalFormatting>
  <conditionalFormatting sqref="B2:B106">
    <cfRule type="duplicateValues" dxfId="1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bestFit="1" customWidth="1"/>
    <col min="3" max="3" width="17.42578125" bestFit="1" customWidth="1"/>
    <col min="4" max="4" width="8" bestFit="1" customWidth="1"/>
    <col min="5" max="5" width="12.28515625" bestFit="1" customWidth="1"/>
  </cols>
  <sheetData>
    <row r="1" spans="1:5" x14ac:dyDescent="0.2">
      <c r="A1" t="s">
        <v>463</v>
      </c>
      <c r="B1" t="s">
        <v>457</v>
      </c>
      <c r="C1" t="s">
        <v>464</v>
      </c>
      <c r="D1" t="s">
        <v>465</v>
      </c>
      <c r="E1" t="s">
        <v>492</v>
      </c>
    </row>
    <row r="2" spans="1:5" x14ac:dyDescent="0.2">
      <c r="A2" t="s">
        <v>325</v>
      </c>
      <c r="B2" t="s">
        <v>371</v>
      </c>
      <c r="C2" t="s">
        <v>371</v>
      </c>
      <c r="D2" t="s">
        <v>466</v>
      </c>
      <c r="E2" t="s">
        <v>369</v>
      </c>
    </row>
    <row r="3" spans="1:5" x14ac:dyDescent="0.2">
      <c r="A3" t="s">
        <v>357</v>
      </c>
      <c r="B3" t="s">
        <v>374</v>
      </c>
      <c r="C3" t="s">
        <v>374</v>
      </c>
      <c r="D3" t="s">
        <v>466</v>
      </c>
      <c r="E3" t="s">
        <v>369</v>
      </c>
    </row>
    <row r="4" spans="1:5" x14ac:dyDescent="0.2">
      <c r="A4" t="s">
        <v>352</v>
      </c>
      <c r="B4" t="s">
        <v>416</v>
      </c>
      <c r="C4" t="s">
        <v>416</v>
      </c>
      <c r="D4" t="s">
        <v>466</v>
      </c>
      <c r="E4" t="s">
        <v>369</v>
      </c>
    </row>
    <row r="5" spans="1:5" x14ac:dyDescent="0.2">
      <c r="A5" t="s">
        <v>331</v>
      </c>
      <c r="B5" t="s">
        <v>427</v>
      </c>
      <c r="C5" t="s">
        <v>427</v>
      </c>
      <c r="D5" t="s">
        <v>467</v>
      </c>
      <c r="E5" t="s">
        <v>380</v>
      </c>
    </row>
    <row r="6" spans="1:5" x14ac:dyDescent="0.2">
      <c r="A6" t="s">
        <v>355</v>
      </c>
      <c r="B6" t="s">
        <v>389</v>
      </c>
      <c r="C6" t="s">
        <v>389</v>
      </c>
      <c r="D6" t="s">
        <v>467</v>
      </c>
      <c r="E6" t="s">
        <v>385</v>
      </c>
    </row>
    <row r="7" spans="1:5" x14ac:dyDescent="0.2">
      <c r="A7" t="s">
        <v>358</v>
      </c>
      <c r="B7" t="s">
        <v>418</v>
      </c>
      <c r="C7" t="s">
        <v>418</v>
      </c>
      <c r="D7" t="s">
        <v>469</v>
      </c>
      <c r="E7" t="s">
        <v>385</v>
      </c>
    </row>
    <row r="8" spans="1:5" x14ac:dyDescent="0.2">
      <c r="A8" t="s">
        <v>333</v>
      </c>
      <c r="B8" t="s">
        <v>401</v>
      </c>
      <c r="C8" t="s">
        <v>401</v>
      </c>
      <c r="D8" t="s">
        <v>470</v>
      </c>
      <c r="E8" t="s">
        <v>390</v>
      </c>
    </row>
    <row r="9" spans="1:5" x14ac:dyDescent="0.2">
      <c r="A9" t="s">
        <v>350</v>
      </c>
      <c r="B9" t="s">
        <v>403</v>
      </c>
      <c r="C9" t="s">
        <v>403</v>
      </c>
      <c r="D9" t="s">
        <v>469</v>
      </c>
      <c r="E9" t="s">
        <v>385</v>
      </c>
    </row>
    <row r="10" spans="1:5" x14ac:dyDescent="0.2">
      <c r="A10" t="s">
        <v>478</v>
      </c>
      <c r="B10" t="s">
        <v>479</v>
      </c>
      <c r="C10" t="s">
        <v>309</v>
      </c>
      <c r="D10" t="s">
        <v>454</v>
      </c>
      <c r="E10" t="s">
        <v>8</v>
      </c>
    </row>
    <row r="11" spans="1:5" x14ac:dyDescent="0.2">
      <c r="A11" t="s">
        <v>359</v>
      </c>
      <c r="B11" t="s">
        <v>415</v>
      </c>
      <c r="C11" t="s">
        <v>415</v>
      </c>
      <c r="D11" t="s">
        <v>466</v>
      </c>
      <c r="E11" t="s">
        <v>369</v>
      </c>
    </row>
    <row r="12" spans="1:5" x14ac:dyDescent="0.2">
      <c r="A12" t="s">
        <v>337</v>
      </c>
      <c r="B12" t="s">
        <v>379</v>
      </c>
      <c r="C12" t="s">
        <v>379</v>
      </c>
      <c r="D12" t="s">
        <v>467</v>
      </c>
      <c r="E12" t="s">
        <v>369</v>
      </c>
    </row>
    <row r="13" spans="1:5" x14ac:dyDescent="0.2">
      <c r="A13" t="s">
        <v>342</v>
      </c>
      <c r="B13" t="s">
        <v>376</v>
      </c>
      <c r="C13" t="s">
        <v>376</v>
      </c>
      <c r="D13" t="s">
        <v>466</v>
      </c>
      <c r="E13" t="s">
        <v>369</v>
      </c>
    </row>
    <row r="14" spans="1:5" x14ac:dyDescent="0.2">
      <c r="A14" t="s">
        <v>340</v>
      </c>
      <c r="B14" t="s">
        <v>383</v>
      </c>
      <c r="C14" t="s">
        <v>383</v>
      </c>
      <c r="D14" t="s">
        <v>467</v>
      </c>
      <c r="E14" t="s">
        <v>380</v>
      </c>
    </row>
    <row r="15" spans="1:5" x14ac:dyDescent="0.2">
      <c r="A15" t="s">
        <v>330</v>
      </c>
      <c r="B15" t="s">
        <v>392</v>
      </c>
      <c r="C15" t="s">
        <v>392</v>
      </c>
      <c r="D15" t="s">
        <v>466</v>
      </c>
      <c r="E15" t="s">
        <v>390</v>
      </c>
    </row>
    <row r="16" spans="1:5" x14ac:dyDescent="0.2">
      <c r="A16" t="s">
        <v>344</v>
      </c>
      <c r="B16" t="s">
        <v>406</v>
      </c>
      <c r="C16" t="s">
        <v>406</v>
      </c>
      <c r="D16" t="s">
        <v>469</v>
      </c>
      <c r="E16" t="s">
        <v>385</v>
      </c>
    </row>
    <row r="17" spans="1:5" x14ac:dyDescent="0.2">
      <c r="A17" t="s">
        <v>480</v>
      </c>
      <c r="B17" t="s">
        <v>481</v>
      </c>
      <c r="C17" t="s">
        <v>309</v>
      </c>
      <c r="D17" t="s">
        <v>454</v>
      </c>
      <c r="E17" t="s">
        <v>8</v>
      </c>
    </row>
    <row r="18" spans="1:5" x14ac:dyDescent="0.2">
      <c r="A18" t="s">
        <v>356</v>
      </c>
      <c r="B18" t="s">
        <v>391</v>
      </c>
      <c r="C18" t="s">
        <v>391</v>
      </c>
      <c r="D18" t="s">
        <v>466</v>
      </c>
      <c r="E18" t="s">
        <v>390</v>
      </c>
    </row>
    <row r="19" spans="1:5" x14ac:dyDescent="0.2">
      <c r="A19" t="s">
        <v>349</v>
      </c>
      <c r="B19" t="s">
        <v>394</v>
      </c>
      <c r="C19" t="s">
        <v>394</v>
      </c>
      <c r="D19" t="s">
        <v>470</v>
      </c>
      <c r="E19" t="s">
        <v>390</v>
      </c>
    </row>
    <row r="20" spans="1:5" x14ac:dyDescent="0.2">
      <c r="A20" t="s">
        <v>339</v>
      </c>
      <c r="B20" t="s">
        <v>397</v>
      </c>
      <c r="C20" t="s">
        <v>397</v>
      </c>
      <c r="D20" t="s">
        <v>470</v>
      </c>
      <c r="E20" t="s">
        <v>390</v>
      </c>
    </row>
    <row r="21" spans="1:5" x14ac:dyDescent="0.2">
      <c r="A21" t="s">
        <v>364</v>
      </c>
      <c r="B21" t="s">
        <v>422</v>
      </c>
      <c r="C21" t="s">
        <v>422</v>
      </c>
      <c r="D21" t="s">
        <v>470</v>
      </c>
      <c r="E21" t="s">
        <v>390</v>
      </c>
    </row>
    <row r="22" spans="1:5" x14ac:dyDescent="0.2">
      <c r="A22" t="s">
        <v>335</v>
      </c>
      <c r="B22" t="s">
        <v>60</v>
      </c>
      <c r="C22" t="s">
        <v>60</v>
      </c>
      <c r="D22" t="s">
        <v>466</v>
      </c>
      <c r="E22" t="s">
        <v>369</v>
      </c>
    </row>
    <row r="23" spans="1:5" x14ac:dyDescent="0.2">
      <c r="A23" t="s">
        <v>348</v>
      </c>
      <c r="B23" t="s">
        <v>382</v>
      </c>
      <c r="C23" t="s">
        <v>382</v>
      </c>
      <c r="D23" t="s">
        <v>309</v>
      </c>
      <c r="E23" t="s">
        <v>369</v>
      </c>
    </row>
    <row r="24" spans="1:5" x14ac:dyDescent="0.2">
      <c r="A24" t="s">
        <v>343</v>
      </c>
      <c r="B24" t="s">
        <v>384</v>
      </c>
      <c r="C24" t="s">
        <v>384</v>
      </c>
      <c r="D24" t="s">
        <v>467</v>
      </c>
      <c r="E24" t="s">
        <v>380</v>
      </c>
    </row>
    <row r="25" spans="1:5" x14ac:dyDescent="0.2">
      <c r="A25" t="s">
        <v>341</v>
      </c>
      <c r="B25" t="s">
        <v>420</v>
      </c>
      <c r="C25" t="s">
        <v>420</v>
      </c>
      <c r="D25" t="s">
        <v>470</v>
      </c>
      <c r="E25" t="s">
        <v>390</v>
      </c>
    </row>
    <row r="26" spans="1:5" x14ac:dyDescent="0.2">
      <c r="A26" t="s">
        <v>318</v>
      </c>
      <c r="B26" t="s">
        <v>405</v>
      </c>
      <c r="C26" t="s">
        <v>405</v>
      </c>
      <c r="D26" t="s">
        <v>469</v>
      </c>
      <c r="E26" t="s">
        <v>404</v>
      </c>
    </row>
    <row r="27" spans="1:5" x14ac:dyDescent="0.2">
      <c r="A27" t="s">
        <v>319</v>
      </c>
      <c r="B27" t="s">
        <v>421</v>
      </c>
      <c r="C27" t="s">
        <v>421</v>
      </c>
      <c r="D27" t="s">
        <v>469</v>
      </c>
      <c r="E27" t="s">
        <v>385</v>
      </c>
    </row>
    <row r="28" spans="1:5" x14ac:dyDescent="0.2">
      <c r="A28" t="s">
        <v>353</v>
      </c>
      <c r="B28" t="s">
        <v>373</v>
      </c>
      <c r="C28" t="s">
        <v>373</v>
      </c>
      <c r="D28" t="s">
        <v>466</v>
      </c>
      <c r="E28" t="s">
        <v>369</v>
      </c>
    </row>
    <row r="29" spans="1:5" x14ac:dyDescent="0.2">
      <c r="A29" t="s">
        <v>468</v>
      </c>
      <c r="B29" t="s">
        <v>454</v>
      </c>
      <c r="C29" t="s">
        <v>309</v>
      </c>
      <c r="D29" t="s">
        <v>454</v>
      </c>
      <c r="E29" t="s">
        <v>8</v>
      </c>
    </row>
    <row r="30" spans="1:5" x14ac:dyDescent="0.2">
      <c r="A30" t="s">
        <v>365</v>
      </c>
      <c r="B30" t="s">
        <v>417</v>
      </c>
      <c r="C30" t="s">
        <v>417</v>
      </c>
      <c r="D30" t="s">
        <v>466</v>
      </c>
      <c r="E30" t="s">
        <v>369</v>
      </c>
    </row>
    <row r="31" spans="1:5" x14ac:dyDescent="0.2">
      <c r="A31" t="s">
        <v>346</v>
      </c>
      <c r="B31" t="s">
        <v>414</v>
      </c>
      <c r="C31" t="s">
        <v>414</v>
      </c>
      <c r="D31" t="s">
        <v>309</v>
      </c>
      <c r="E31" t="s">
        <v>369</v>
      </c>
    </row>
    <row r="32" spans="1:5" x14ac:dyDescent="0.2">
      <c r="A32" t="s">
        <v>326</v>
      </c>
      <c r="B32" t="s">
        <v>395</v>
      </c>
      <c r="C32" t="s">
        <v>395</v>
      </c>
      <c r="D32" t="s">
        <v>466</v>
      </c>
      <c r="E32" t="s">
        <v>390</v>
      </c>
    </row>
    <row r="33" spans="1:5" x14ac:dyDescent="0.2">
      <c r="A33" t="s">
        <v>323</v>
      </c>
      <c r="B33" t="s">
        <v>419</v>
      </c>
      <c r="C33" t="s">
        <v>419</v>
      </c>
      <c r="D33" t="s">
        <v>470</v>
      </c>
      <c r="E33" t="s">
        <v>390</v>
      </c>
    </row>
    <row r="34" spans="1:5" x14ac:dyDescent="0.2">
      <c r="A34" t="s">
        <v>345</v>
      </c>
      <c r="B34" t="s">
        <v>426</v>
      </c>
      <c r="C34" t="s">
        <v>426</v>
      </c>
      <c r="D34" t="s">
        <v>469</v>
      </c>
      <c r="E34" t="s">
        <v>404</v>
      </c>
    </row>
    <row r="35" spans="1:5" x14ac:dyDescent="0.2">
      <c r="A35" t="s">
        <v>334</v>
      </c>
      <c r="B35" t="s">
        <v>408</v>
      </c>
      <c r="C35" t="s">
        <v>408</v>
      </c>
      <c r="D35" t="s">
        <v>469</v>
      </c>
      <c r="E35" t="s">
        <v>404</v>
      </c>
    </row>
    <row r="36" spans="1:5" x14ac:dyDescent="0.2">
      <c r="A36" t="s">
        <v>361</v>
      </c>
      <c r="B36" t="s">
        <v>428</v>
      </c>
      <c r="C36" t="s">
        <v>428</v>
      </c>
      <c r="D36" t="s">
        <v>469</v>
      </c>
      <c r="E36" t="s">
        <v>404</v>
      </c>
    </row>
    <row r="37" spans="1:5" x14ac:dyDescent="0.2">
      <c r="A37" t="s">
        <v>477</v>
      </c>
      <c r="B37" t="s">
        <v>424</v>
      </c>
      <c r="C37" t="s">
        <v>424</v>
      </c>
      <c r="D37" t="s">
        <v>469</v>
      </c>
      <c r="E37" t="s">
        <v>404</v>
      </c>
    </row>
    <row r="38" spans="1:5" x14ac:dyDescent="0.2">
      <c r="A38" t="s">
        <v>475</v>
      </c>
      <c r="B38" t="s">
        <v>476</v>
      </c>
      <c r="C38" t="s">
        <v>309</v>
      </c>
      <c r="D38" t="s">
        <v>454</v>
      </c>
      <c r="E38" t="s">
        <v>8</v>
      </c>
    </row>
    <row r="39" spans="1:5" x14ac:dyDescent="0.2">
      <c r="A39" t="s">
        <v>351</v>
      </c>
      <c r="B39" t="s">
        <v>409</v>
      </c>
      <c r="C39" t="s">
        <v>409</v>
      </c>
      <c r="D39" t="s">
        <v>469</v>
      </c>
      <c r="E39" t="s">
        <v>404</v>
      </c>
    </row>
    <row r="40" spans="1:5" x14ac:dyDescent="0.2">
      <c r="A40" t="s">
        <v>484</v>
      </c>
      <c r="B40" t="s">
        <v>485</v>
      </c>
      <c r="C40" t="s">
        <v>309</v>
      </c>
      <c r="D40" t="s">
        <v>454</v>
      </c>
      <c r="E40" t="s">
        <v>8</v>
      </c>
    </row>
    <row r="41" spans="1:5" x14ac:dyDescent="0.2">
      <c r="A41" t="s">
        <v>471</v>
      </c>
      <c r="B41" t="s">
        <v>472</v>
      </c>
      <c r="C41" t="s">
        <v>309</v>
      </c>
      <c r="D41" t="s">
        <v>454</v>
      </c>
      <c r="E41" t="s">
        <v>8</v>
      </c>
    </row>
    <row r="42" spans="1:5" x14ac:dyDescent="0.2">
      <c r="A42" t="s">
        <v>360</v>
      </c>
      <c r="B42" t="s">
        <v>372</v>
      </c>
      <c r="C42" t="s">
        <v>372</v>
      </c>
      <c r="D42" t="s">
        <v>466</v>
      </c>
      <c r="E42" t="s">
        <v>369</v>
      </c>
    </row>
    <row r="43" spans="1:5" x14ac:dyDescent="0.2">
      <c r="A43" t="s">
        <v>321</v>
      </c>
      <c r="B43" t="s">
        <v>378</v>
      </c>
      <c r="C43" t="s">
        <v>378</v>
      </c>
      <c r="D43" t="s">
        <v>467</v>
      </c>
      <c r="E43" t="s">
        <v>369</v>
      </c>
    </row>
    <row r="44" spans="1:5" x14ac:dyDescent="0.2">
      <c r="A44" t="s">
        <v>324</v>
      </c>
      <c r="B44" t="s">
        <v>423</v>
      </c>
      <c r="C44" t="s">
        <v>423</v>
      </c>
      <c r="D44" t="s">
        <v>466</v>
      </c>
      <c r="E44" t="s">
        <v>369</v>
      </c>
    </row>
    <row r="45" spans="1:5" x14ac:dyDescent="0.2">
      <c r="A45" t="s">
        <v>354</v>
      </c>
      <c r="B45" t="s">
        <v>388</v>
      </c>
      <c r="C45" t="s">
        <v>388</v>
      </c>
      <c r="D45" t="s">
        <v>467</v>
      </c>
      <c r="E45" t="s">
        <v>380</v>
      </c>
    </row>
    <row r="46" spans="1:5" x14ac:dyDescent="0.2">
      <c r="A46" t="s">
        <v>336</v>
      </c>
      <c r="B46" t="s">
        <v>393</v>
      </c>
      <c r="C46" t="s">
        <v>393</v>
      </c>
      <c r="D46" t="s">
        <v>467</v>
      </c>
      <c r="E46" t="s">
        <v>380</v>
      </c>
    </row>
    <row r="47" spans="1:5" x14ac:dyDescent="0.2">
      <c r="A47" t="s">
        <v>363</v>
      </c>
      <c r="B47" t="s">
        <v>399</v>
      </c>
      <c r="C47" t="s">
        <v>399</v>
      </c>
      <c r="D47" t="s">
        <v>470</v>
      </c>
      <c r="E47" t="s">
        <v>390</v>
      </c>
    </row>
    <row r="48" spans="1:5" x14ac:dyDescent="0.2">
      <c r="A48" t="s">
        <v>338</v>
      </c>
      <c r="B48" t="s">
        <v>412</v>
      </c>
      <c r="C48" t="s">
        <v>412</v>
      </c>
      <c r="D48" t="s">
        <v>470</v>
      </c>
      <c r="E48" t="s">
        <v>385</v>
      </c>
    </row>
    <row r="49" spans="1:5" x14ac:dyDescent="0.2">
      <c r="A49" t="s">
        <v>327</v>
      </c>
      <c r="B49" t="s">
        <v>410</v>
      </c>
      <c r="C49" t="s">
        <v>410</v>
      </c>
      <c r="D49" t="s">
        <v>470</v>
      </c>
      <c r="E49" t="s">
        <v>385</v>
      </c>
    </row>
    <row r="50" spans="1:5" x14ac:dyDescent="0.2">
      <c r="A50" t="s">
        <v>332</v>
      </c>
      <c r="B50" t="s">
        <v>407</v>
      </c>
      <c r="C50" t="s">
        <v>407</v>
      </c>
      <c r="D50" t="s">
        <v>469</v>
      </c>
      <c r="E50" t="s">
        <v>404</v>
      </c>
    </row>
    <row r="51" spans="1:5" x14ac:dyDescent="0.2">
      <c r="A51" t="s">
        <v>320</v>
      </c>
      <c r="B51" t="s">
        <v>387</v>
      </c>
      <c r="C51" t="s">
        <v>387</v>
      </c>
      <c r="D51" t="s">
        <v>470</v>
      </c>
      <c r="E51" t="s">
        <v>385</v>
      </c>
    </row>
    <row r="52" spans="1:5" x14ac:dyDescent="0.2">
      <c r="A52" t="s">
        <v>473</v>
      </c>
      <c r="B52" t="s">
        <v>474</v>
      </c>
      <c r="C52" t="s">
        <v>309</v>
      </c>
      <c r="D52" t="s">
        <v>454</v>
      </c>
      <c r="E52" t="s">
        <v>8</v>
      </c>
    </row>
    <row r="53" spans="1:5" x14ac:dyDescent="0.2">
      <c r="A53" t="s">
        <v>482</v>
      </c>
      <c r="B53" t="s">
        <v>483</v>
      </c>
      <c r="C53" t="s">
        <v>309</v>
      </c>
      <c r="D53" t="s">
        <v>454</v>
      </c>
      <c r="E53" t="s">
        <v>8</v>
      </c>
    </row>
    <row r="54" spans="1:5" x14ac:dyDescent="0.2">
      <c r="A54" t="s">
        <v>347</v>
      </c>
      <c r="B54" t="s">
        <v>375</v>
      </c>
      <c r="C54" t="s">
        <v>375</v>
      </c>
      <c r="D54" t="s">
        <v>466</v>
      </c>
      <c r="E54" t="s">
        <v>369</v>
      </c>
    </row>
    <row r="55" spans="1:5" x14ac:dyDescent="0.2">
      <c r="A55" t="s">
        <v>362</v>
      </c>
      <c r="B55" t="s">
        <v>381</v>
      </c>
      <c r="C55" t="s">
        <v>381</v>
      </c>
      <c r="D55" t="s">
        <v>467</v>
      </c>
      <c r="E55" t="s">
        <v>380</v>
      </c>
    </row>
    <row r="56" spans="1:5" x14ac:dyDescent="0.2">
      <c r="A56" t="s">
        <v>317</v>
      </c>
      <c r="B56" t="s">
        <v>425</v>
      </c>
      <c r="C56" t="s">
        <v>425</v>
      </c>
      <c r="D56" t="s">
        <v>467</v>
      </c>
      <c r="E56" t="s">
        <v>380</v>
      </c>
    </row>
    <row r="57" spans="1:5" x14ac:dyDescent="0.2">
      <c r="A57" t="s">
        <v>316</v>
      </c>
      <c r="B57" t="s">
        <v>396</v>
      </c>
      <c r="C57" t="s">
        <v>396</v>
      </c>
      <c r="D57" t="s">
        <v>470</v>
      </c>
      <c r="E57" t="s">
        <v>390</v>
      </c>
    </row>
    <row r="58" spans="1:5" x14ac:dyDescent="0.2">
      <c r="A58" t="s">
        <v>322</v>
      </c>
      <c r="B58" t="s">
        <v>400</v>
      </c>
      <c r="C58" t="s">
        <v>400</v>
      </c>
      <c r="D58" t="s">
        <v>470</v>
      </c>
      <c r="E58" t="s">
        <v>390</v>
      </c>
    </row>
    <row r="59" spans="1:5" x14ac:dyDescent="0.2">
      <c r="A59" t="s">
        <v>328</v>
      </c>
      <c r="B59" t="s">
        <v>413</v>
      </c>
      <c r="C59" t="s">
        <v>413</v>
      </c>
      <c r="D59" t="s">
        <v>469</v>
      </c>
      <c r="E59" t="s">
        <v>404</v>
      </c>
    </row>
    <row r="60" spans="1:5" x14ac:dyDescent="0.2">
      <c r="A60" t="s">
        <v>315</v>
      </c>
      <c r="B60" t="s">
        <v>411</v>
      </c>
      <c r="C60" t="s">
        <v>411</v>
      </c>
      <c r="D60" t="s">
        <v>470</v>
      </c>
      <c r="E60" t="s">
        <v>385</v>
      </c>
    </row>
    <row r="61" spans="1:5" x14ac:dyDescent="0.2">
      <c r="A61" t="s">
        <v>329</v>
      </c>
      <c r="B61" t="s">
        <v>80</v>
      </c>
      <c r="C61" t="s">
        <v>80</v>
      </c>
      <c r="D61" t="s">
        <v>469</v>
      </c>
      <c r="E61" t="s">
        <v>404</v>
      </c>
    </row>
  </sheetData>
  <sheetProtection autoFilter="0"/>
  <conditionalFormatting sqref="A2:A61">
    <cfRule type="duplicateValues" dxfId="13"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1034</v>
      </c>
      <c r="C2" t="s">
        <v>437</v>
      </c>
      <c r="D2" t="s">
        <v>438</v>
      </c>
      <c r="E2" t="s">
        <v>439</v>
      </c>
      <c r="F2" t="s">
        <v>440</v>
      </c>
      <c r="G2" t="s">
        <v>441</v>
      </c>
      <c r="H2" t="s">
        <v>442</v>
      </c>
      <c r="I2" t="s">
        <v>443</v>
      </c>
      <c r="J2" t="s">
        <v>444</v>
      </c>
      <c r="K2" t="s">
        <v>445</v>
      </c>
      <c r="L2" t="s">
        <v>446</v>
      </c>
      <c r="M2" t="s">
        <v>447</v>
      </c>
      <c r="N2" t="s">
        <v>448</v>
      </c>
      <c r="O2" t="s">
        <v>449</v>
      </c>
      <c r="P2" t="s">
        <v>450</v>
      </c>
      <c r="Q2" t="s">
        <v>452</v>
      </c>
    </row>
    <row r="3" spans="2:33" x14ac:dyDescent="0.2">
      <c r="B3" t="s">
        <v>385</v>
      </c>
      <c r="C3" t="s">
        <v>411</v>
      </c>
      <c r="D3" t="s">
        <v>403</v>
      </c>
      <c r="E3" t="s">
        <v>387</v>
      </c>
      <c r="F3" t="s">
        <v>389</v>
      </c>
      <c r="G3" t="s">
        <v>418</v>
      </c>
      <c r="H3" t="s">
        <v>412</v>
      </c>
      <c r="I3" t="s">
        <v>410</v>
      </c>
      <c r="J3" t="s">
        <v>406</v>
      </c>
      <c r="K3" t="s">
        <v>421</v>
      </c>
      <c r="L3" t="s">
        <v>451</v>
      </c>
      <c r="M3" t="s">
        <v>451</v>
      </c>
      <c r="N3" t="s">
        <v>451</v>
      </c>
      <c r="O3" t="s">
        <v>451</v>
      </c>
      <c r="P3" t="s">
        <v>451</v>
      </c>
      <c r="Q3" t="s">
        <v>451</v>
      </c>
      <c r="S3" s="14" t="s">
        <v>411</v>
      </c>
      <c r="T3" s="14" t="s">
        <v>403</v>
      </c>
      <c r="U3" s="14" t="s">
        <v>387</v>
      </c>
      <c r="V3" s="14" t="s">
        <v>389</v>
      </c>
      <c r="W3" s="14" t="s">
        <v>418</v>
      </c>
      <c r="X3" s="14" t="s">
        <v>412</v>
      </c>
      <c r="Y3" s="14" t="s">
        <v>410</v>
      </c>
      <c r="Z3" s="14" t="s">
        <v>406</v>
      </c>
      <c r="AA3" s="14" t="s">
        <v>421</v>
      </c>
      <c r="AB3" s="14"/>
      <c r="AC3" s="14"/>
      <c r="AD3" s="14"/>
      <c r="AE3" s="14"/>
      <c r="AF3" s="15"/>
      <c r="AG3" s="15"/>
    </row>
    <row r="4" spans="2:33" x14ac:dyDescent="0.2">
      <c r="B4" t="s">
        <v>390</v>
      </c>
      <c r="C4" t="s">
        <v>394</v>
      </c>
      <c r="D4" t="s">
        <v>392</v>
      </c>
      <c r="E4" t="s">
        <v>399</v>
      </c>
      <c r="F4" t="s">
        <v>422</v>
      </c>
      <c r="G4" t="s">
        <v>395</v>
      </c>
      <c r="H4" t="s">
        <v>401</v>
      </c>
      <c r="I4" t="s">
        <v>397</v>
      </c>
      <c r="J4" t="s">
        <v>400</v>
      </c>
      <c r="K4" t="s">
        <v>419</v>
      </c>
      <c r="L4" t="s">
        <v>391</v>
      </c>
      <c r="M4" t="s">
        <v>420</v>
      </c>
      <c r="N4" t="s">
        <v>396</v>
      </c>
      <c r="O4" t="s">
        <v>451</v>
      </c>
      <c r="P4" t="s">
        <v>451</v>
      </c>
      <c r="Q4" t="s">
        <v>451</v>
      </c>
      <c r="S4" s="14" t="s">
        <v>394</v>
      </c>
      <c r="T4" s="14" t="s">
        <v>392</v>
      </c>
      <c r="U4" s="14" t="s">
        <v>399</v>
      </c>
      <c r="V4" s="14" t="s">
        <v>422</v>
      </c>
      <c r="W4" s="14" t="s">
        <v>395</v>
      </c>
      <c r="X4" s="14" t="s">
        <v>401</v>
      </c>
      <c r="Y4" s="14" t="s">
        <v>397</v>
      </c>
      <c r="Z4" s="14" t="s">
        <v>400</v>
      </c>
      <c r="AA4" s="14" t="s">
        <v>419</v>
      </c>
      <c r="AB4" s="14" t="s">
        <v>391</v>
      </c>
      <c r="AC4" s="14" t="s">
        <v>420</v>
      </c>
      <c r="AD4" s="14" t="s">
        <v>396</v>
      </c>
      <c r="AE4" s="14"/>
      <c r="AF4" s="15"/>
      <c r="AG4" s="15"/>
    </row>
    <row r="5" spans="2:33" x14ac:dyDescent="0.2">
      <c r="B5" t="s">
        <v>369</v>
      </c>
      <c r="C5" t="s">
        <v>373</v>
      </c>
      <c r="D5" t="s">
        <v>423</v>
      </c>
      <c r="E5" t="s">
        <v>414</v>
      </c>
      <c r="F5" t="s">
        <v>416</v>
      </c>
      <c r="G5" t="s">
        <v>376</v>
      </c>
      <c r="H5" t="s">
        <v>371</v>
      </c>
      <c r="I5" t="s">
        <v>415</v>
      </c>
      <c r="J5" t="s">
        <v>374</v>
      </c>
      <c r="K5" t="s">
        <v>60</v>
      </c>
      <c r="L5" t="s">
        <v>382</v>
      </c>
      <c r="M5" t="s">
        <v>375</v>
      </c>
      <c r="N5" t="s">
        <v>372</v>
      </c>
      <c r="O5" t="s">
        <v>417</v>
      </c>
      <c r="P5" t="s">
        <v>378</v>
      </c>
      <c r="Q5" t="s">
        <v>379</v>
      </c>
      <c r="S5" s="14" t="s">
        <v>373</v>
      </c>
      <c r="T5" s="14" t="s">
        <v>423</v>
      </c>
      <c r="U5" s="14" t="s">
        <v>414</v>
      </c>
      <c r="V5" s="14" t="s">
        <v>416</v>
      </c>
      <c r="W5" s="14" t="s">
        <v>376</v>
      </c>
      <c r="X5" s="14" t="s">
        <v>371</v>
      </c>
      <c r="Y5" s="14" t="s">
        <v>415</v>
      </c>
      <c r="Z5" s="14" t="s">
        <v>374</v>
      </c>
      <c r="AA5" s="14" t="s">
        <v>60</v>
      </c>
      <c r="AB5" s="14" t="s">
        <v>382</v>
      </c>
      <c r="AC5" s="14" t="s">
        <v>375</v>
      </c>
      <c r="AD5" s="14" t="s">
        <v>372</v>
      </c>
      <c r="AE5" s="14" t="s">
        <v>417</v>
      </c>
      <c r="AF5" s="15" t="s">
        <v>378</v>
      </c>
      <c r="AG5" s="15" t="s">
        <v>379</v>
      </c>
    </row>
    <row r="6" spans="2:33" x14ac:dyDescent="0.2">
      <c r="B6" t="s">
        <v>404</v>
      </c>
      <c r="C6" t="s">
        <v>424</v>
      </c>
      <c r="D6" t="s">
        <v>426</v>
      </c>
      <c r="E6" t="s">
        <v>407</v>
      </c>
      <c r="F6" t="s">
        <v>428</v>
      </c>
      <c r="G6" t="s">
        <v>408</v>
      </c>
      <c r="H6" t="s">
        <v>413</v>
      </c>
      <c r="I6" t="s">
        <v>405</v>
      </c>
      <c r="J6" t="s">
        <v>409</v>
      </c>
      <c r="K6" t="s">
        <v>80</v>
      </c>
      <c r="L6" t="s">
        <v>451</v>
      </c>
      <c r="M6" t="s">
        <v>451</v>
      </c>
      <c r="N6" t="s">
        <v>451</v>
      </c>
      <c r="O6" t="s">
        <v>451</v>
      </c>
      <c r="P6" t="s">
        <v>451</v>
      </c>
      <c r="Q6" t="s">
        <v>451</v>
      </c>
      <c r="S6" s="14" t="s">
        <v>424</v>
      </c>
      <c r="T6" s="14" t="s">
        <v>426</v>
      </c>
      <c r="U6" s="14" t="s">
        <v>407</v>
      </c>
      <c r="V6" s="14" t="s">
        <v>428</v>
      </c>
      <c r="W6" s="14" t="s">
        <v>408</v>
      </c>
      <c r="X6" s="14" t="s">
        <v>413</v>
      </c>
      <c r="Y6" s="14" t="s">
        <v>405</v>
      </c>
      <c r="Z6" s="14" t="s">
        <v>409</v>
      </c>
      <c r="AA6" s="14" t="s">
        <v>80</v>
      </c>
      <c r="AB6" s="14"/>
      <c r="AC6" s="14"/>
      <c r="AD6" s="14"/>
      <c r="AE6" s="14"/>
      <c r="AF6" s="15"/>
      <c r="AG6" s="15"/>
    </row>
    <row r="7" spans="2:33" x14ac:dyDescent="0.2">
      <c r="B7" t="s">
        <v>380</v>
      </c>
      <c r="C7" t="s">
        <v>388</v>
      </c>
      <c r="D7" t="s">
        <v>425</v>
      </c>
      <c r="E7" t="s">
        <v>381</v>
      </c>
      <c r="F7" t="s">
        <v>393</v>
      </c>
      <c r="G7" t="s">
        <v>427</v>
      </c>
      <c r="H7" t="s">
        <v>383</v>
      </c>
      <c r="I7" t="s">
        <v>384</v>
      </c>
      <c r="J7" t="s">
        <v>451</v>
      </c>
      <c r="K7" t="s">
        <v>451</v>
      </c>
      <c r="L7" t="s">
        <v>451</v>
      </c>
      <c r="M7" t="s">
        <v>451</v>
      </c>
      <c r="N7" t="s">
        <v>451</v>
      </c>
      <c r="O7" t="s">
        <v>451</v>
      </c>
      <c r="P7" t="s">
        <v>451</v>
      </c>
      <c r="Q7" t="s">
        <v>451</v>
      </c>
      <c r="S7" s="14" t="s">
        <v>388</v>
      </c>
      <c r="T7" s="14" t="s">
        <v>425</v>
      </c>
      <c r="U7" s="14" t="s">
        <v>381</v>
      </c>
      <c r="V7" s="14" t="s">
        <v>393</v>
      </c>
      <c r="W7" s="14" t="s">
        <v>427</v>
      </c>
      <c r="X7" s="14" t="s">
        <v>383</v>
      </c>
      <c r="Y7" s="14" t="s">
        <v>384</v>
      </c>
      <c r="Z7" s="14"/>
      <c r="AA7" s="14"/>
      <c r="AB7" s="14"/>
      <c r="AC7" s="14"/>
      <c r="AD7" s="14"/>
      <c r="AE7" s="14"/>
      <c r="AF7" s="15"/>
      <c r="AG7" s="15"/>
    </row>
    <row r="8" spans="2:33" x14ac:dyDescent="0.2">
      <c r="B8" t="s">
        <v>8</v>
      </c>
      <c r="C8" t="s">
        <v>8</v>
      </c>
      <c r="D8" t="s">
        <v>451</v>
      </c>
      <c r="E8" t="s">
        <v>451</v>
      </c>
      <c r="F8" t="s">
        <v>451</v>
      </c>
      <c r="G8" t="s">
        <v>451</v>
      </c>
      <c r="H8" t="s">
        <v>451</v>
      </c>
      <c r="I8" t="s">
        <v>451</v>
      </c>
      <c r="J8" t="s">
        <v>451</v>
      </c>
      <c r="K8" t="s">
        <v>451</v>
      </c>
      <c r="L8" t="s">
        <v>451</v>
      </c>
      <c r="M8" t="s">
        <v>451</v>
      </c>
      <c r="N8" t="s">
        <v>451</v>
      </c>
      <c r="O8" t="s">
        <v>451</v>
      </c>
      <c r="P8" t="s">
        <v>451</v>
      </c>
      <c r="Q8" t="s">
        <v>451</v>
      </c>
      <c r="S8" s="16" t="s">
        <v>8</v>
      </c>
      <c r="T8" s="16"/>
      <c r="U8" s="16"/>
      <c r="V8" s="16"/>
      <c r="W8" s="16"/>
      <c r="X8" s="16"/>
      <c r="Y8" s="16"/>
      <c r="Z8" s="16"/>
      <c r="AA8" s="16"/>
      <c r="AB8" s="16"/>
      <c r="AC8" s="16"/>
      <c r="AD8" s="16"/>
      <c r="AE8" s="16"/>
      <c r="AF8" s="17"/>
      <c r="AG8" s="17"/>
    </row>
    <row r="10" spans="2:33" x14ac:dyDescent="0.2">
      <c r="B10" t="s">
        <v>436</v>
      </c>
      <c r="C10" t="s">
        <v>437</v>
      </c>
      <c r="D10" t="s">
        <v>438</v>
      </c>
      <c r="E10" t="s">
        <v>439</v>
      </c>
      <c r="F10" t="s">
        <v>440</v>
      </c>
      <c r="G10" t="s">
        <v>441</v>
      </c>
      <c r="H10" t="s">
        <v>442</v>
      </c>
      <c r="I10" t="s">
        <v>443</v>
      </c>
      <c r="J10" t="s">
        <v>444</v>
      </c>
      <c r="K10" t="s">
        <v>445</v>
      </c>
      <c r="L10" t="s">
        <v>446</v>
      </c>
      <c r="M10" t="s">
        <v>447</v>
      </c>
      <c r="N10" t="s">
        <v>448</v>
      </c>
      <c r="O10" t="s">
        <v>449</v>
      </c>
      <c r="P10" t="s">
        <v>450</v>
      </c>
      <c r="Q10" t="s">
        <v>452</v>
      </c>
      <c r="R10" t="s">
        <v>453</v>
      </c>
    </row>
    <row r="11" spans="2:33" x14ac:dyDescent="0.2">
      <c r="B11" t="s">
        <v>385</v>
      </c>
      <c r="C11" t="s">
        <v>637</v>
      </c>
      <c r="D11" t="s">
        <v>584</v>
      </c>
      <c r="E11" t="s">
        <v>631</v>
      </c>
      <c r="F11" t="s">
        <v>619</v>
      </c>
      <c r="G11" t="s">
        <v>555</v>
      </c>
      <c r="H11" t="s">
        <v>607</v>
      </c>
      <c r="I11" t="s">
        <v>609</v>
      </c>
      <c r="J11" t="s">
        <v>551</v>
      </c>
      <c r="K11" t="s">
        <v>588</v>
      </c>
      <c r="L11" t="s">
        <v>605</v>
      </c>
      <c r="M11" t="s">
        <v>451</v>
      </c>
      <c r="N11" t="s">
        <v>451</v>
      </c>
      <c r="O11" t="s">
        <v>451</v>
      </c>
      <c r="P11" t="s">
        <v>451</v>
      </c>
      <c r="Q11" t="s">
        <v>451</v>
      </c>
      <c r="R11" t="s">
        <v>451</v>
      </c>
    </row>
    <row r="12" spans="2:33" x14ac:dyDescent="0.2">
      <c r="B12" t="s">
        <v>390</v>
      </c>
      <c r="C12" t="s">
        <v>567</v>
      </c>
      <c r="D12" t="s">
        <v>559</v>
      </c>
      <c r="E12" t="s">
        <v>576</v>
      </c>
      <c r="F12" t="s">
        <v>569</v>
      </c>
      <c r="G12" t="s">
        <v>633</v>
      </c>
      <c r="H12" t="s">
        <v>561</v>
      </c>
      <c r="I12" t="s">
        <v>578</v>
      </c>
      <c r="J12" t="s">
        <v>571</v>
      </c>
      <c r="K12" t="s">
        <v>635</v>
      </c>
      <c r="L12" t="s">
        <v>574</v>
      </c>
      <c r="M12" t="s">
        <v>580</v>
      </c>
      <c r="N12" t="s">
        <v>639</v>
      </c>
      <c r="O12" t="s">
        <v>451</v>
      </c>
      <c r="P12" t="s">
        <v>451</v>
      </c>
      <c r="Q12" t="s">
        <v>451</v>
      </c>
      <c r="R12" t="s">
        <v>451</v>
      </c>
    </row>
    <row r="13" spans="2:33" x14ac:dyDescent="0.2">
      <c r="B13" t="s">
        <v>369</v>
      </c>
      <c r="C13" t="s">
        <v>533</v>
      </c>
      <c r="D13" t="s">
        <v>512</v>
      </c>
      <c r="E13" t="s">
        <v>520</v>
      </c>
      <c r="F13" t="s">
        <v>522</v>
      </c>
      <c r="G13" t="s">
        <v>537</v>
      </c>
      <c r="H13" t="s">
        <v>622</v>
      </c>
      <c r="I13" t="s">
        <v>518</v>
      </c>
      <c r="J13" t="s">
        <v>524</v>
      </c>
      <c r="K13" t="s">
        <v>526</v>
      </c>
      <c r="L13" t="s">
        <v>529</v>
      </c>
      <c r="M13" t="s">
        <v>514</v>
      </c>
      <c r="N13" t="s">
        <v>535</v>
      </c>
      <c r="O13" t="s">
        <v>627</v>
      </c>
      <c r="P13" t="s">
        <v>629</v>
      </c>
      <c r="Q13" t="s">
        <v>643</v>
      </c>
      <c r="R13" t="s">
        <v>543</v>
      </c>
    </row>
    <row r="14" spans="2:33" x14ac:dyDescent="0.2">
      <c r="B14" t="s">
        <v>404</v>
      </c>
      <c r="C14" t="s">
        <v>586</v>
      </c>
      <c r="D14" t="s">
        <v>645</v>
      </c>
      <c r="E14" t="s">
        <v>601</v>
      </c>
      <c r="F14" t="s">
        <v>641</v>
      </c>
      <c r="G14" t="s">
        <v>593</v>
      </c>
      <c r="H14" t="s">
        <v>615</v>
      </c>
      <c r="I14" t="s">
        <v>591</v>
      </c>
      <c r="J14" t="s">
        <v>595</v>
      </c>
      <c r="K14" t="s">
        <v>603</v>
      </c>
      <c r="L14" t="s">
        <v>611</v>
      </c>
      <c r="M14" t="s">
        <v>624</v>
      </c>
      <c r="N14" t="s">
        <v>597</v>
      </c>
      <c r="O14" t="s">
        <v>451</v>
      </c>
      <c r="P14" t="s">
        <v>451</v>
      </c>
      <c r="Q14" t="s">
        <v>451</v>
      </c>
      <c r="R14" t="s">
        <v>451</v>
      </c>
    </row>
    <row r="15" spans="2:33" x14ac:dyDescent="0.2">
      <c r="B15" t="s">
        <v>380</v>
      </c>
      <c r="C15" t="s">
        <v>539</v>
      </c>
      <c r="D15" t="s">
        <v>547</v>
      </c>
      <c r="E15" t="s">
        <v>563</v>
      </c>
      <c r="F15" t="s">
        <v>553</v>
      </c>
      <c r="G15" t="s">
        <v>549</v>
      </c>
      <c r="H15" t="s">
        <v>613</v>
      </c>
      <c r="I15" t="s">
        <v>541</v>
      </c>
      <c r="J15" t="s">
        <v>451</v>
      </c>
      <c r="K15" t="s">
        <v>451</v>
      </c>
      <c r="L15" t="s">
        <v>451</v>
      </c>
      <c r="M15" t="s">
        <v>451</v>
      </c>
      <c r="N15" t="s">
        <v>451</v>
      </c>
      <c r="O15" t="s">
        <v>451</v>
      </c>
      <c r="P15" t="s">
        <v>451</v>
      </c>
      <c r="Q15" t="s">
        <v>451</v>
      </c>
      <c r="R15" t="s">
        <v>451</v>
      </c>
    </row>
    <row r="16" spans="2:33" x14ac:dyDescent="0.2">
      <c r="B16" t="s">
        <v>8</v>
      </c>
      <c r="C16" t="s">
        <v>451</v>
      </c>
      <c r="D16" t="s">
        <v>451</v>
      </c>
      <c r="E16" t="s">
        <v>451</v>
      </c>
      <c r="F16" t="s">
        <v>451</v>
      </c>
      <c r="G16" t="s">
        <v>451</v>
      </c>
      <c r="H16" t="s">
        <v>451</v>
      </c>
      <c r="I16" t="s">
        <v>451</v>
      </c>
      <c r="J16" t="s">
        <v>451</v>
      </c>
      <c r="K16" t="s">
        <v>451</v>
      </c>
      <c r="L16" t="s">
        <v>451</v>
      </c>
      <c r="M16" t="s">
        <v>451</v>
      </c>
      <c r="N16" t="s">
        <v>451</v>
      </c>
      <c r="O16" t="s">
        <v>451</v>
      </c>
      <c r="P16" t="s">
        <v>451</v>
      </c>
      <c r="Q16" t="s">
        <v>451</v>
      </c>
      <c r="R16" t="s">
        <v>451</v>
      </c>
    </row>
    <row r="19" spans="2:4" x14ac:dyDescent="0.2">
      <c r="B19" t="s">
        <v>973</v>
      </c>
      <c r="C19" t="s">
        <v>974</v>
      </c>
      <c r="D19" t="s">
        <v>975</v>
      </c>
    </row>
    <row r="20" spans="2:4" x14ac:dyDescent="0.2">
      <c r="B20" s="151">
        <v>42525</v>
      </c>
      <c r="C20">
        <v>24262</v>
      </c>
      <c r="D20">
        <v>6</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0" zoomScaleNormal="80"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10" t="s">
        <v>978</v>
      </c>
      <c r="C2" s="311"/>
      <c r="D2" s="311"/>
      <c r="E2" s="311"/>
      <c r="F2" s="311"/>
      <c r="G2" s="312"/>
      <c r="H2" s="135" t="s">
        <v>5</v>
      </c>
      <c r="I2" s="136" t="s">
        <v>2</v>
      </c>
      <c r="J2" s="136" t="s">
        <v>228</v>
      </c>
      <c r="K2" s="134"/>
    </row>
    <row r="3" spans="1:11" ht="59.25" customHeight="1" x14ac:dyDescent="0.2">
      <c r="A3" s="130"/>
      <c r="B3" s="313"/>
      <c r="C3" s="314"/>
      <c r="D3" s="314"/>
      <c r="E3" s="314"/>
      <c r="F3" s="314"/>
      <c r="G3" s="314"/>
      <c r="H3" s="306">
        <f>SUM(H5,H10)</f>
        <v>360502</v>
      </c>
      <c r="I3" s="306">
        <f>SUM(I5,I10)</f>
        <v>76201</v>
      </c>
      <c r="J3" s="308">
        <f>ROUND(I3/H3,5)</f>
        <v>0.21137</v>
      </c>
      <c r="K3" s="134"/>
    </row>
    <row r="4" spans="1:11" ht="33" customHeight="1" thickBot="1" x14ac:dyDescent="0.25">
      <c r="A4" s="130"/>
      <c r="B4" s="317" t="str">
        <f>"As of: "&amp;TEXT(INDEX(MMWR_DATES[],1,1),"MMMM DD, YYYY")</f>
        <v>As of: June 04, 2016</v>
      </c>
      <c r="C4" s="318"/>
      <c r="D4" s="318"/>
      <c r="E4" s="318"/>
      <c r="F4" s="318"/>
      <c r="G4" s="319"/>
      <c r="H4" s="307"/>
      <c r="I4" s="307"/>
      <c r="J4" s="309"/>
      <c r="K4" s="137"/>
    </row>
    <row r="5" spans="1:11" ht="16.5" customHeight="1" thickBot="1" x14ac:dyDescent="0.25">
      <c r="A5" s="130"/>
      <c r="B5" s="315" t="s">
        <v>233</v>
      </c>
      <c r="C5" s="316"/>
      <c r="D5" s="316"/>
      <c r="E5" s="316"/>
      <c r="F5" s="316"/>
      <c r="G5" s="138" t="s">
        <v>244</v>
      </c>
      <c r="H5" s="158">
        <f>SUM(H6:H9)</f>
        <v>132644</v>
      </c>
      <c r="I5" s="158">
        <f>SUM(I6:I9)</f>
        <v>32244</v>
      </c>
      <c r="J5" s="159">
        <f t="shared" ref="J5:J15" si="0">IF(H5=0, 0,I5/H5)</f>
        <v>0.2430867585416604</v>
      </c>
      <c r="K5" s="134"/>
    </row>
    <row r="6" spans="1:11" ht="16.5" customHeight="1" x14ac:dyDescent="0.2">
      <c r="A6" s="130"/>
      <c r="B6" s="320" t="s">
        <v>16</v>
      </c>
      <c r="C6" s="321"/>
      <c r="D6" s="321"/>
      <c r="E6" s="321"/>
      <c r="F6" s="321"/>
      <c r="G6" s="139" t="s">
        <v>190</v>
      </c>
      <c r="H6" s="160">
        <f>IFERROR(VLOOKUP(MID($G6,4,3),MMWR_TRAD_AGG_NATIONAL[],2,0),0)</f>
        <v>35214</v>
      </c>
      <c r="I6" s="160">
        <f>IFERROR(VLOOKUP(MID($G6,4,3),MMWR_TRAD_AGG_NATIONAL[],3,0),0)</f>
        <v>10672</v>
      </c>
      <c r="J6" s="161">
        <f t="shared" si="0"/>
        <v>0.30306128244448233</v>
      </c>
      <c r="K6" s="134"/>
    </row>
    <row r="7" spans="1:11" ht="16.5" customHeight="1" x14ac:dyDescent="0.2">
      <c r="A7" s="130"/>
      <c r="B7" s="322" t="s">
        <v>0</v>
      </c>
      <c r="C7" s="323"/>
      <c r="D7" s="323"/>
      <c r="E7" s="323"/>
      <c r="F7" s="323"/>
      <c r="G7" s="140" t="s">
        <v>191</v>
      </c>
      <c r="H7" s="160">
        <f>IFERROR(VLOOKUP(MID($G7,4,3),MMWR_TRAD_AGG_NATIONAL[],2,0),0)</f>
        <v>79343</v>
      </c>
      <c r="I7" s="160">
        <f>IFERROR(VLOOKUP(MID($G7,4,3),MMWR_TRAD_AGG_NATIONAL[],3,0),0)</f>
        <v>19120</v>
      </c>
      <c r="J7" s="161">
        <f t="shared" si="0"/>
        <v>0.24097904036903067</v>
      </c>
      <c r="K7" s="134"/>
    </row>
    <row r="8" spans="1:11" ht="16.5" customHeight="1" x14ac:dyDescent="0.2">
      <c r="A8" s="130"/>
      <c r="B8" s="324" t="s">
        <v>234</v>
      </c>
      <c r="C8" s="325"/>
      <c r="D8" s="325"/>
      <c r="E8" s="325"/>
      <c r="F8" s="325"/>
      <c r="G8" s="141" t="s">
        <v>193</v>
      </c>
      <c r="H8" s="160">
        <f>IFERROR(VLOOKUP(MID($G8,4,3),MMWR_TRAD_AGG_NATIONAL[],2,0),0)</f>
        <v>7657</v>
      </c>
      <c r="I8" s="160">
        <f>IFERROR(VLOOKUP(MID($G8,4,3),MMWR_TRAD_AGG_NATIONAL[],3,0),0)</f>
        <v>607</v>
      </c>
      <c r="J8" s="161">
        <f t="shared" si="0"/>
        <v>7.927386704975839E-2</v>
      </c>
      <c r="K8" s="134"/>
    </row>
    <row r="9" spans="1:11" ht="16.5" customHeight="1" thickBot="1" x14ac:dyDescent="0.25">
      <c r="A9" s="130"/>
      <c r="B9" s="326" t="s">
        <v>17</v>
      </c>
      <c r="C9" s="327"/>
      <c r="D9" s="327"/>
      <c r="E9" s="327"/>
      <c r="F9" s="327"/>
      <c r="G9" s="140" t="s">
        <v>195</v>
      </c>
      <c r="H9" s="160">
        <f>IFERROR(VLOOKUP(MID($G9,4,3),MMWR_TRAD_AGG_NATIONAL[],2,0),0)</f>
        <v>10430</v>
      </c>
      <c r="I9" s="160">
        <f>IFERROR(VLOOKUP(MID($G9,4,3),MMWR_TRAD_AGG_NATIONAL[],3,0),0)</f>
        <v>1845</v>
      </c>
      <c r="J9" s="161">
        <f t="shared" si="0"/>
        <v>0.17689357622243529</v>
      </c>
      <c r="K9" s="134"/>
    </row>
    <row r="10" spans="1:11" ht="17.25" thickBot="1" x14ac:dyDescent="0.25">
      <c r="A10" s="130"/>
      <c r="B10" s="315" t="s">
        <v>1</v>
      </c>
      <c r="C10" s="316"/>
      <c r="D10" s="316"/>
      <c r="E10" s="316"/>
      <c r="F10" s="316"/>
      <c r="G10" s="138" t="s">
        <v>244</v>
      </c>
      <c r="H10" s="158">
        <f>SUM(H11:H18)</f>
        <v>227858</v>
      </c>
      <c r="I10" s="158">
        <f>SUM(I11:I18)</f>
        <v>43957</v>
      </c>
      <c r="J10" s="159">
        <f t="shared" si="0"/>
        <v>0.19291400784699242</v>
      </c>
      <c r="K10" s="134"/>
    </row>
    <row r="11" spans="1:11" ht="16.5" customHeight="1" x14ac:dyDescent="0.2">
      <c r="A11" s="130"/>
      <c r="B11" s="320" t="s">
        <v>199</v>
      </c>
      <c r="C11" s="321"/>
      <c r="D11" s="321"/>
      <c r="E11" s="321"/>
      <c r="F11" s="321"/>
      <c r="G11" s="142" t="s">
        <v>194</v>
      </c>
      <c r="H11" s="162">
        <f>IFERROR(VLOOKUP(MID($G11,4,3),MMWR_TRAD_AGG_NATIONAL[],2,0),0)</f>
        <v>8729</v>
      </c>
      <c r="I11" s="160">
        <f>IFERROR(VLOOKUP(MID($G11,4,3),MMWR_TRAD_AGG_NATIONAL[],3,0),0)</f>
        <v>536</v>
      </c>
      <c r="J11" s="161">
        <f t="shared" si="0"/>
        <v>6.1404513689998858E-2</v>
      </c>
      <c r="K11" s="134"/>
    </row>
    <row r="12" spans="1:11" ht="16.5" customHeight="1" x14ac:dyDescent="0.2">
      <c r="A12" s="130"/>
      <c r="B12" s="322" t="s">
        <v>18</v>
      </c>
      <c r="C12" s="323"/>
      <c r="D12" s="323"/>
      <c r="E12" s="323"/>
      <c r="F12" s="323"/>
      <c r="G12" s="143" t="s">
        <v>192</v>
      </c>
      <c r="H12" s="163">
        <f>IFERROR(VLOOKUP(MID($G12,4,3),MMWR_TRAD_AGG_NATIONAL[],2,0),0)</f>
        <v>203310</v>
      </c>
      <c r="I12" s="160">
        <f>IFERROR(VLOOKUP(MID($G12,4,3),MMWR_TRAD_AGG_NATIONAL[],3,0),0)</f>
        <v>39403</v>
      </c>
      <c r="J12" s="161">
        <f t="shared" si="0"/>
        <v>0.19380748610496287</v>
      </c>
      <c r="K12" s="134"/>
    </row>
    <row r="13" spans="1:11" ht="16.5" customHeight="1" x14ac:dyDescent="0.2">
      <c r="A13" s="130"/>
      <c r="B13" s="322" t="s">
        <v>14</v>
      </c>
      <c r="C13" s="323"/>
      <c r="D13" s="323"/>
      <c r="E13" s="323"/>
      <c r="F13" s="323"/>
      <c r="G13" s="143" t="s">
        <v>196</v>
      </c>
      <c r="H13" s="163">
        <f>IFERROR(VLOOKUP(MID($G13,4,3),MMWR_TRAD_AGG_NATIONAL[],2,0),0)</f>
        <v>15317</v>
      </c>
      <c r="I13" s="160">
        <f>IFERROR(VLOOKUP(MID($G13,4,3),MMWR_TRAD_AGG_NATIONAL[],3,0),0)</f>
        <v>3930</v>
      </c>
      <c r="J13" s="161">
        <f t="shared" si="0"/>
        <v>0.25657765881047201</v>
      </c>
      <c r="K13" s="134"/>
    </row>
    <row r="14" spans="1:11" ht="16.5" customHeight="1" x14ac:dyDescent="0.2">
      <c r="A14" s="130"/>
      <c r="B14" s="324" t="s">
        <v>19</v>
      </c>
      <c r="C14" s="325"/>
      <c r="D14" s="325"/>
      <c r="E14" s="325"/>
      <c r="F14" s="325"/>
      <c r="G14" s="142" t="s">
        <v>197</v>
      </c>
      <c r="H14" s="163">
        <f>IFERROR(VLOOKUP(MID($G14,4,3),MMWR_TRAD_AGG_NATIONAL[],2,0),0)</f>
        <v>352</v>
      </c>
      <c r="I14" s="160">
        <f>IFERROR(VLOOKUP(MID($G14,4,3),MMWR_TRAD_AGG_NATIONAL[],3,0),0)</f>
        <v>44</v>
      </c>
      <c r="J14" s="161">
        <f t="shared" si="0"/>
        <v>0.125</v>
      </c>
      <c r="K14" s="134"/>
    </row>
    <row r="15" spans="1:11" ht="16.5" customHeight="1" x14ac:dyDescent="0.2">
      <c r="A15" s="130"/>
      <c r="B15" s="324" t="s">
        <v>84</v>
      </c>
      <c r="C15" s="325"/>
      <c r="D15" s="325"/>
      <c r="E15" s="325"/>
      <c r="F15" s="325"/>
      <c r="G15" s="142" t="s">
        <v>200</v>
      </c>
      <c r="H15" s="163">
        <f>IFERROR(VLOOKUP(MID($G15,4,3),MMWR_TRAD_AGG_NATIONAL[],2,0),0)</f>
        <v>8</v>
      </c>
      <c r="I15" s="160">
        <f>IFERROR(VLOOKUP(MID($G15,4,3),MMWR_TRAD_AGG_NATIONAL[],3,0),0)</f>
        <v>3</v>
      </c>
      <c r="J15" s="161">
        <f t="shared" si="0"/>
        <v>0.375</v>
      </c>
      <c r="K15" s="134"/>
    </row>
    <row r="16" spans="1:11" ht="15" x14ac:dyDescent="0.2">
      <c r="A16" s="130"/>
      <c r="B16" s="324" t="s">
        <v>85</v>
      </c>
      <c r="C16" s="325"/>
      <c r="D16" s="325"/>
      <c r="E16" s="325"/>
      <c r="F16" s="325"/>
      <c r="G16" s="142" t="s">
        <v>201</v>
      </c>
      <c r="H16" s="163">
        <f>IFERROR(VLOOKUP(MID($G16,4,3),MMWR_TRAD_AGG_NATIONAL[],2,0),0)</f>
        <v>0</v>
      </c>
      <c r="I16" s="160">
        <f>IFERROR(VLOOKUP(MID($G16,4,3),MMWR_TRAD_AGG_NATIONAL[],3,0),0)</f>
        <v>0</v>
      </c>
      <c r="J16" s="161">
        <f>IF(H16=0, 0,I16/H16)</f>
        <v>0</v>
      </c>
      <c r="K16" s="134"/>
    </row>
    <row r="17" spans="1:11" ht="16.5" customHeight="1" x14ac:dyDescent="0.2">
      <c r="A17" s="130"/>
      <c r="B17" s="324" t="s">
        <v>87</v>
      </c>
      <c r="C17" s="325"/>
      <c r="D17" s="325"/>
      <c r="E17" s="325"/>
      <c r="F17" s="325"/>
      <c r="G17" s="142" t="s">
        <v>202</v>
      </c>
      <c r="H17" s="163">
        <f>IFERROR(VLOOKUP(MID($G17,4,3),MMWR_TRAD_AGG_NATIONAL[],2,0),0)</f>
        <v>11</v>
      </c>
      <c r="I17" s="160">
        <f>IFERROR(VLOOKUP(MID($G17,4,3),MMWR_TRAD_AGG_NATIONAL[],3,0),0)</f>
        <v>0</v>
      </c>
      <c r="J17" s="161">
        <f>IF(H17=0, 0,I17/H17)</f>
        <v>0</v>
      </c>
      <c r="K17" s="134"/>
    </row>
    <row r="18" spans="1:11" ht="16.5" customHeight="1" thickBot="1" x14ac:dyDescent="0.25">
      <c r="A18" s="130"/>
      <c r="B18" s="326" t="s">
        <v>86</v>
      </c>
      <c r="C18" s="327"/>
      <c r="D18" s="327"/>
      <c r="E18" s="327"/>
      <c r="F18" s="327"/>
      <c r="G18" s="142" t="s">
        <v>203</v>
      </c>
      <c r="H18" s="164">
        <f>IFERROR(VLOOKUP(MID($G18,4,3),MMWR_TRAD_AGG_NATIONAL[],2,0),0)</f>
        <v>131</v>
      </c>
      <c r="I18" s="160">
        <f>IFERROR(VLOOKUP(MID($G18,4,3),MMWR_TRAD_AGG_NATIONAL[],3,0),0)</f>
        <v>41</v>
      </c>
      <c r="J18" s="165">
        <f>IF(H18=0, 0,I18/H18)</f>
        <v>0.31297709923664124</v>
      </c>
      <c r="K18" s="134"/>
    </row>
    <row r="19" spans="1:11" ht="16.5" customHeight="1" x14ac:dyDescent="0.2">
      <c r="A19" s="130"/>
      <c r="B19" s="331" t="s">
        <v>969</v>
      </c>
      <c r="C19" s="332"/>
      <c r="D19" s="332"/>
      <c r="E19" s="332"/>
      <c r="F19" s="332"/>
      <c r="G19" s="332"/>
      <c r="H19" s="332"/>
      <c r="I19" s="332"/>
      <c r="J19" s="333"/>
      <c r="K19" s="134"/>
    </row>
    <row r="20" spans="1:11" ht="36" customHeight="1" thickBot="1" x14ac:dyDescent="0.25">
      <c r="A20" s="130"/>
      <c r="B20" s="334"/>
      <c r="C20" s="335"/>
      <c r="D20" s="335"/>
      <c r="E20" s="335"/>
      <c r="F20" s="335"/>
      <c r="G20" s="335"/>
      <c r="H20" s="335"/>
      <c r="I20" s="335"/>
      <c r="J20" s="336"/>
      <c r="K20" s="134"/>
    </row>
    <row r="21" spans="1:11" ht="36" customHeight="1" x14ac:dyDescent="0.2">
      <c r="A21" s="130"/>
      <c r="B21" s="283" t="s">
        <v>960</v>
      </c>
      <c r="C21" s="284"/>
      <c r="D21" s="285"/>
      <c r="E21" s="283" t="s">
        <v>961</v>
      </c>
      <c r="F21" s="284"/>
      <c r="G21" s="285"/>
      <c r="H21" s="283" t="s">
        <v>962</v>
      </c>
      <c r="I21" s="284"/>
      <c r="J21" s="285"/>
      <c r="K21" s="134"/>
    </row>
    <row r="22" spans="1:11" ht="29.25" customHeight="1" thickBot="1" x14ac:dyDescent="0.25">
      <c r="A22" s="130"/>
      <c r="B22" s="286"/>
      <c r="C22" s="287"/>
      <c r="D22" s="288"/>
      <c r="E22" s="286"/>
      <c r="F22" s="287"/>
      <c r="G22" s="288"/>
      <c r="H22" s="286"/>
      <c r="I22" s="287"/>
      <c r="J22" s="288"/>
      <c r="K22" s="134"/>
    </row>
    <row r="23" spans="1:11" ht="36" customHeight="1" x14ac:dyDescent="0.35">
      <c r="A23" s="130"/>
      <c r="B23" s="283" t="s">
        <v>954</v>
      </c>
      <c r="C23" s="284"/>
      <c r="D23" s="285"/>
      <c r="E23" s="283" t="s">
        <v>955</v>
      </c>
      <c r="F23" s="284"/>
      <c r="G23" s="285"/>
      <c r="H23" s="144"/>
      <c r="I23" s="144"/>
      <c r="J23" s="144"/>
      <c r="K23" s="134"/>
    </row>
    <row r="24" spans="1:11" ht="29.25" customHeight="1" thickBot="1" x14ac:dyDescent="0.4">
      <c r="A24" s="130"/>
      <c r="B24" s="286"/>
      <c r="C24" s="287"/>
      <c r="D24" s="288"/>
      <c r="E24" s="286"/>
      <c r="F24" s="287"/>
      <c r="G24" s="288"/>
      <c r="H24" s="144"/>
      <c r="I24" s="144"/>
      <c r="J24" s="144"/>
      <c r="K24" s="134"/>
    </row>
    <row r="25" spans="1:11" ht="29.25" customHeight="1" thickBot="1" x14ac:dyDescent="0.25">
      <c r="A25" s="130"/>
      <c r="B25" s="145"/>
      <c r="C25" s="146"/>
      <c r="D25" s="146"/>
      <c r="E25" s="146"/>
      <c r="F25" s="146"/>
      <c r="G25" s="146"/>
      <c r="H25" s="146"/>
      <c r="I25" s="146"/>
      <c r="J25" s="146"/>
      <c r="K25" s="147"/>
    </row>
    <row r="26" spans="1:11" ht="31.5" customHeight="1" x14ac:dyDescent="0.2">
      <c r="A26" s="130"/>
      <c r="B26" s="148" t="s">
        <v>23</v>
      </c>
      <c r="C26" s="304"/>
      <c r="D26" s="304"/>
      <c r="E26" s="304"/>
      <c r="F26" s="305"/>
      <c r="G26" s="263" t="s">
        <v>1062</v>
      </c>
      <c r="H26" s="263" t="s">
        <v>1063</v>
      </c>
      <c r="I26" s="263" t="s">
        <v>1060</v>
      </c>
      <c r="J26" s="264" t="s">
        <v>28</v>
      </c>
      <c r="K26" s="134"/>
    </row>
    <row r="27" spans="1:11" ht="16.5" customHeight="1" x14ac:dyDescent="0.2">
      <c r="A27" s="130"/>
      <c r="B27" s="301" t="s">
        <v>963</v>
      </c>
      <c r="C27" s="302"/>
      <c r="D27" s="302"/>
      <c r="E27" s="302"/>
      <c r="F27" s="303"/>
      <c r="G27" s="256">
        <v>6318</v>
      </c>
      <c r="H27" s="256">
        <v>7683</v>
      </c>
      <c r="I27" s="256">
        <v>-1365</v>
      </c>
      <c r="J27" s="260">
        <v>-0.17799999999999999</v>
      </c>
      <c r="K27" s="134"/>
    </row>
    <row r="28" spans="1:11" ht="15.75" customHeight="1" x14ac:dyDescent="0.2">
      <c r="A28" s="130"/>
      <c r="B28" s="289" t="s">
        <v>24</v>
      </c>
      <c r="C28" s="290"/>
      <c r="D28" s="290"/>
      <c r="E28" s="290"/>
      <c r="F28" s="291"/>
      <c r="G28" s="257">
        <v>1787</v>
      </c>
      <c r="H28" s="257">
        <v>1747</v>
      </c>
      <c r="I28" s="257">
        <v>40</v>
      </c>
      <c r="J28" s="253">
        <v>2.3E-2</v>
      </c>
      <c r="K28" s="134"/>
    </row>
    <row r="29" spans="1:11" ht="15.75" customHeight="1" x14ac:dyDescent="0.2">
      <c r="A29" s="130"/>
      <c r="B29" s="292" t="s">
        <v>25</v>
      </c>
      <c r="C29" s="293"/>
      <c r="D29" s="293"/>
      <c r="E29" s="293"/>
      <c r="F29" s="294"/>
      <c r="G29" s="258">
        <v>859</v>
      </c>
      <c r="H29" s="258">
        <v>822</v>
      </c>
      <c r="I29" s="258">
        <v>37</v>
      </c>
      <c r="J29" s="254">
        <v>4.4999999999999998E-2</v>
      </c>
      <c r="K29" s="134"/>
    </row>
    <row r="30" spans="1:11" ht="15" x14ac:dyDescent="0.2">
      <c r="A30" s="130"/>
      <c r="B30" s="295" t="s">
        <v>26</v>
      </c>
      <c r="C30" s="296"/>
      <c r="D30" s="296"/>
      <c r="E30" s="296"/>
      <c r="F30" s="297"/>
      <c r="G30" s="258">
        <v>1683</v>
      </c>
      <c r="H30" s="258">
        <v>1600</v>
      </c>
      <c r="I30" s="258">
        <v>83</v>
      </c>
      <c r="J30" s="254">
        <v>5.1999999999999998E-2</v>
      </c>
      <c r="K30" s="134"/>
    </row>
    <row r="31" spans="1:11" ht="15" x14ac:dyDescent="0.2">
      <c r="A31" s="130"/>
      <c r="B31" s="298" t="s">
        <v>27</v>
      </c>
      <c r="C31" s="299"/>
      <c r="D31" s="299"/>
      <c r="E31" s="299"/>
      <c r="F31" s="300"/>
      <c r="G31" s="259">
        <v>1989</v>
      </c>
      <c r="H31" s="259">
        <v>3514</v>
      </c>
      <c r="I31" s="259">
        <v>-1525</v>
      </c>
      <c r="J31" s="255">
        <v>-0.434</v>
      </c>
      <c r="K31" s="134"/>
    </row>
    <row r="32" spans="1:11" ht="16.5" customHeight="1" x14ac:dyDescent="0.2">
      <c r="A32" s="130"/>
      <c r="B32" s="301" t="s">
        <v>235</v>
      </c>
      <c r="C32" s="302"/>
      <c r="D32" s="302"/>
      <c r="E32" s="302"/>
      <c r="F32" s="303"/>
      <c r="G32" s="256">
        <v>57076</v>
      </c>
      <c r="H32" s="256">
        <v>51317</v>
      </c>
      <c r="I32" s="256">
        <v>5759</v>
      </c>
      <c r="J32" s="260">
        <v>0.112</v>
      </c>
      <c r="K32" s="134"/>
    </row>
    <row r="33" spans="1:11" ht="15" x14ac:dyDescent="0.2">
      <c r="A33" s="130"/>
      <c r="B33" s="289" t="s">
        <v>24</v>
      </c>
      <c r="C33" s="290"/>
      <c r="D33" s="290"/>
      <c r="E33" s="290"/>
      <c r="F33" s="291"/>
      <c r="G33" s="257">
        <v>12357</v>
      </c>
      <c r="H33" s="257">
        <v>12593</v>
      </c>
      <c r="I33" s="257">
        <v>-236</v>
      </c>
      <c r="J33" s="253">
        <v>-1.9E-2</v>
      </c>
      <c r="K33" s="134"/>
    </row>
    <row r="34" spans="1:11" ht="15" x14ac:dyDescent="0.2">
      <c r="A34" s="130"/>
      <c r="B34" s="292" t="s">
        <v>25</v>
      </c>
      <c r="C34" s="293"/>
      <c r="D34" s="293"/>
      <c r="E34" s="293"/>
      <c r="F34" s="294"/>
      <c r="G34" s="258">
        <v>5334</v>
      </c>
      <c r="H34" s="258">
        <v>5406</v>
      </c>
      <c r="I34" s="258">
        <v>-72</v>
      </c>
      <c r="J34" s="254">
        <v>-1.2999999999999999E-2</v>
      </c>
      <c r="K34" s="134"/>
    </row>
    <row r="35" spans="1:11" ht="15" x14ac:dyDescent="0.2">
      <c r="A35" s="130"/>
      <c r="B35" s="295" t="s">
        <v>26</v>
      </c>
      <c r="C35" s="296"/>
      <c r="D35" s="296"/>
      <c r="E35" s="296"/>
      <c r="F35" s="297"/>
      <c r="G35" s="258">
        <v>19076</v>
      </c>
      <c r="H35" s="258">
        <v>20020</v>
      </c>
      <c r="I35" s="258">
        <v>-944</v>
      </c>
      <c r="J35" s="254">
        <v>-4.7E-2</v>
      </c>
      <c r="K35" s="134"/>
    </row>
    <row r="36" spans="1:11" ht="15.75" thickBot="1" x14ac:dyDescent="0.25">
      <c r="A36" s="130"/>
      <c r="B36" s="337" t="s">
        <v>27</v>
      </c>
      <c r="C36" s="338"/>
      <c r="D36" s="338"/>
      <c r="E36" s="338"/>
      <c r="F36" s="339"/>
      <c r="G36" s="258">
        <v>20309</v>
      </c>
      <c r="H36" s="258">
        <v>13298</v>
      </c>
      <c r="I36" s="258">
        <v>7011</v>
      </c>
      <c r="J36" s="254">
        <v>0.52700000000000002</v>
      </c>
      <c r="K36" s="134"/>
    </row>
    <row r="37" spans="1:11" ht="15.75" customHeight="1" thickBot="1" x14ac:dyDescent="0.25">
      <c r="A37" s="130"/>
      <c r="B37" s="328" t="s">
        <v>968</v>
      </c>
      <c r="C37" s="329"/>
      <c r="D37" s="329"/>
      <c r="E37" s="329"/>
      <c r="F37" s="329"/>
      <c r="G37" s="329"/>
      <c r="H37" s="329"/>
      <c r="I37" s="329"/>
      <c r="J37" s="330"/>
      <c r="K37" s="134"/>
    </row>
    <row r="38" spans="1:11" ht="15" customHeight="1" x14ac:dyDescent="0.2">
      <c r="A38" s="149"/>
      <c r="B38" s="150"/>
      <c r="C38" s="150"/>
      <c r="D38" s="150"/>
      <c r="E38" s="150"/>
      <c r="F38" s="150"/>
      <c r="G38" s="150"/>
      <c r="H38" s="150"/>
      <c r="I38" s="150"/>
      <c r="J38" s="150"/>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3"/>
  <sheetViews>
    <sheetView zoomScale="80" zoomScaleNormal="8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5" t="s">
        <v>295</v>
      </c>
      <c r="D2" s="356"/>
      <c r="E2" s="356"/>
      <c r="F2" s="356"/>
      <c r="G2" s="356"/>
      <c r="H2" s="356"/>
      <c r="I2" s="356"/>
      <c r="J2" s="356"/>
      <c r="K2" s="357"/>
      <c r="L2" s="355" t="s">
        <v>300</v>
      </c>
      <c r="M2" s="356"/>
      <c r="N2" s="356"/>
      <c r="O2" s="357"/>
      <c r="P2" s="28"/>
    </row>
    <row r="3" spans="1:16" ht="24" customHeight="1" thickBot="1" x14ac:dyDescent="0.4">
      <c r="A3" s="25"/>
      <c r="B3" s="29"/>
      <c r="C3" s="358"/>
      <c r="D3" s="359"/>
      <c r="E3" s="359"/>
      <c r="F3" s="359"/>
      <c r="G3" s="359"/>
      <c r="H3" s="359"/>
      <c r="I3" s="359"/>
      <c r="J3" s="359"/>
      <c r="K3" s="360"/>
      <c r="L3" s="358" t="str">
        <f>Transformation!B4</f>
        <v>As of: June 04, 2016</v>
      </c>
      <c r="M3" s="359"/>
      <c r="N3" s="359"/>
      <c r="O3" s="360"/>
      <c r="P3" s="28"/>
    </row>
    <row r="4" spans="1:16" ht="51.75" customHeight="1" thickBot="1" x14ac:dyDescent="0.35">
      <c r="A4" s="30"/>
      <c r="B4" s="246" t="s">
        <v>455</v>
      </c>
      <c r="C4" s="361" t="s">
        <v>304</v>
      </c>
      <c r="D4" s="362"/>
      <c r="E4" s="362"/>
      <c r="F4" s="362"/>
      <c r="G4" s="362"/>
      <c r="H4" s="362"/>
      <c r="I4" s="362"/>
      <c r="J4" s="362"/>
      <c r="K4" s="362"/>
      <c r="L4" s="362"/>
      <c r="M4" s="362"/>
      <c r="N4" s="362"/>
      <c r="O4" s="363"/>
      <c r="P4" s="28"/>
    </row>
    <row r="5" spans="1:16" ht="27" customHeight="1" thickBot="1" x14ac:dyDescent="0.25">
      <c r="A5" s="30"/>
      <c r="B5" s="26"/>
      <c r="C5" s="364" t="s">
        <v>1041</v>
      </c>
      <c r="D5" s="365"/>
      <c r="E5" s="365"/>
      <c r="F5" s="365"/>
      <c r="G5" s="365"/>
      <c r="H5" s="365"/>
      <c r="I5" s="365"/>
      <c r="J5" s="365"/>
      <c r="K5" s="365"/>
      <c r="L5" s="365"/>
      <c r="M5" s="365"/>
      <c r="N5" s="365"/>
      <c r="O5" s="366"/>
      <c r="P5" s="28"/>
    </row>
    <row r="6" spans="1:16" ht="55.5" customHeight="1" x14ac:dyDescent="0.2">
      <c r="A6" s="30"/>
      <c r="B6" s="31"/>
      <c r="C6" s="32" t="s">
        <v>190</v>
      </c>
      <c r="D6" s="367" t="s">
        <v>16</v>
      </c>
      <c r="E6" s="368"/>
      <c r="F6" s="33" t="s">
        <v>193</v>
      </c>
      <c r="G6" s="367" t="s">
        <v>198</v>
      </c>
      <c r="H6" s="369"/>
      <c r="I6" s="33" t="s">
        <v>196</v>
      </c>
      <c r="J6" s="373" t="s">
        <v>14</v>
      </c>
      <c r="K6" s="374"/>
      <c r="L6" s="33" t="s">
        <v>201</v>
      </c>
      <c r="M6" s="370" t="s">
        <v>85</v>
      </c>
      <c r="N6" s="371"/>
      <c r="O6" s="372"/>
      <c r="P6" s="28"/>
    </row>
    <row r="7" spans="1:16" ht="51.75" customHeight="1" x14ac:dyDescent="0.2">
      <c r="A7" s="30"/>
      <c r="B7" s="34"/>
      <c r="C7" s="35" t="s">
        <v>191</v>
      </c>
      <c r="D7" s="343" t="s">
        <v>0</v>
      </c>
      <c r="E7" s="344"/>
      <c r="F7" s="36" t="s">
        <v>194</v>
      </c>
      <c r="G7" s="345" t="s">
        <v>199</v>
      </c>
      <c r="H7" s="345"/>
      <c r="I7" s="36" t="s">
        <v>197</v>
      </c>
      <c r="J7" s="375" t="s">
        <v>19</v>
      </c>
      <c r="K7" s="376"/>
      <c r="L7" s="36" t="s">
        <v>202</v>
      </c>
      <c r="M7" s="379" t="s">
        <v>87</v>
      </c>
      <c r="N7" s="380"/>
      <c r="O7" s="381"/>
      <c r="P7" s="28"/>
    </row>
    <row r="8" spans="1:16" ht="51.75" customHeight="1" thickBot="1" x14ac:dyDescent="0.25">
      <c r="A8" s="25"/>
      <c r="B8" s="28"/>
      <c r="C8" s="37" t="s">
        <v>192</v>
      </c>
      <c r="D8" s="346" t="s">
        <v>18</v>
      </c>
      <c r="E8" s="347"/>
      <c r="F8" s="38" t="s">
        <v>195</v>
      </c>
      <c r="G8" s="348" t="s">
        <v>17</v>
      </c>
      <c r="H8" s="348"/>
      <c r="I8" s="38" t="s">
        <v>200</v>
      </c>
      <c r="J8" s="377" t="s">
        <v>84</v>
      </c>
      <c r="K8" s="378"/>
      <c r="L8" s="38" t="s">
        <v>203</v>
      </c>
      <c r="M8" s="352" t="s">
        <v>86</v>
      </c>
      <c r="N8" s="353"/>
      <c r="O8" s="354"/>
      <c r="P8" s="28"/>
    </row>
    <row r="9" spans="1:16" x14ac:dyDescent="0.2">
      <c r="A9" s="28"/>
      <c r="B9" s="28"/>
      <c r="C9" s="39" t="s">
        <v>704</v>
      </c>
      <c r="D9" s="39" t="s">
        <v>706</v>
      </c>
      <c r="E9" s="39" t="s">
        <v>705</v>
      </c>
      <c r="F9" s="39" t="s">
        <v>708</v>
      </c>
      <c r="G9" s="39" t="s">
        <v>707</v>
      </c>
      <c r="H9" s="39" t="s">
        <v>710</v>
      </c>
      <c r="I9" s="39" t="s">
        <v>709</v>
      </c>
      <c r="J9" s="39" t="s">
        <v>920</v>
      </c>
      <c r="K9" s="39" t="s">
        <v>921</v>
      </c>
      <c r="L9" s="39" t="s">
        <v>923</v>
      </c>
      <c r="M9" s="39" t="s">
        <v>1042</v>
      </c>
      <c r="N9" s="39" t="s">
        <v>924</v>
      </c>
      <c r="O9" s="39" t="s">
        <v>925</v>
      </c>
      <c r="P9" s="28"/>
    </row>
    <row r="10" spans="1:16" ht="15.75" customHeight="1" x14ac:dyDescent="0.2">
      <c r="A10" s="25"/>
      <c r="B10" s="26"/>
      <c r="C10" s="349" t="s">
        <v>293</v>
      </c>
      <c r="D10" s="349"/>
      <c r="E10" s="349"/>
      <c r="F10" s="349"/>
      <c r="G10" s="349"/>
      <c r="H10" s="349"/>
      <c r="I10" s="349"/>
      <c r="J10" s="349"/>
      <c r="K10" s="349"/>
      <c r="L10" s="349"/>
      <c r="M10" s="349"/>
      <c r="N10" s="349"/>
      <c r="O10" s="349"/>
      <c r="P10" s="28"/>
    </row>
    <row r="11" spans="1:16" ht="32.25" customHeight="1" x14ac:dyDescent="0.2">
      <c r="A11" s="25"/>
      <c r="B11" s="26"/>
      <c r="C11" s="350" t="s">
        <v>226</v>
      </c>
      <c r="D11" s="350" t="s">
        <v>134</v>
      </c>
      <c r="E11" s="350" t="s">
        <v>227</v>
      </c>
      <c r="F11" s="350" t="s">
        <v>189</v>
      </c>
      <c r="G11" s="350" t="s">
        <v>204</v>
      </c>
      <c r="H11" s="350" t="s">
        <v>206</v>
      </c>
      <c r="I11" s="350" t="s">
        <v>207</v>
      </c>
      <c r="J11" s="384" t="s">
        <v>1053</v>
      </c>
      <c r="K11" s="384" t="s">
        <v>1054</v>
      </c>
      <c r="L11" s="382" t="s">
        <v>1051</v>
      </c>
      <c r="M11" s="383"/>
      <c r="N11" s="382" t="s">
        <v>1052</v>
      </c>
      <c r="O11" s="383"/>
      <c r="P11" s="28"/>
    </row>
    <row r="12" spans="1:16" ht="32.25" customHeight="1" x14ac:dyDescent="0.2">
      <c r="A12" s="25"/>
      <c r="B12" s="26"/>
      <c r="C12" s="351"/>
      <c r="D12" s="351"/>
      <c r="E12" s="351"/>
      <c r="F12" s="351"/>
      <c r="G12" s="351"/>
      <c r="H12" s="351"/>
      <c r="I12" s="351"/>
      <c r="J12" s="385"/>
      <c r="K12" s="385"/>
      <c r="L12" s="40" t="s">
        <v>926</v>
      </c>
      <c r="M12" s="40" t="s">
        <v>931</v>
      </c>
      <c r="N12" s="40" t="s">
        <v>926</v>
      </c>
      <c r="O12" s="40" t="s">
        <v>931</v>
      </c>
      <c r="P12" s="28"/>
    </row>
    <row r="13" spans="1:16" x14ac:dyDescent="0.2">
      <c r="A13" s="25"/>
      <c r="B13" s="41" t="s">
        <v>1049</v>
      </c>
      <c r="C13" s="154">
        <f>IF($B13=" ","",IFERROR(INDEX(MMWR_RATING_RO_ROLLUP[],MATCH($B13,MMWR_RATING_RO_ROLLUP[MMWR_RATING_RO_ROLLUP],0),MATCH(C$9,MMWR_RATING_RO_ROLLUP[#Headers],0)),"ERROR"))</f>
        <v>360502</v>
      </c>
      <c r="D13" s="155">
        <f>IF($B13=" ","",IFERROR(INDEX(MMWR_RATING_RO_ROLLUP[],MATCH($B13,MMWR_RATING_RO_ROLLUP[MMWR_RATING_RO_ROLLUP],0),MATCH(D$9,MMWR_RATING_RO_ROLLUP[#Headers],0)),"ERROR"))</f>
        <v>89.191482987599997</v>
      </c>
      <c r="E13" s="156">
        <f>IF($B13=" ","",IFERROR(INDEX(MMWR_RATING_RO_ROLLUP[],MATCH($B13,MMWR_RATING_RO_ROLLUP[MMWR_RATING_RO_ROLLUP],0),MATCH(E$9,MMWR_RATING_RO_ROLLUP[#Headers],0))/$C13,"ERROR"))</f>
        <v>0.21137469417645394</v>
      </c>
      <c r="F13" s="154">
        <f>IF($B13=" ","",IFERROR(INDEX(MMWR_RATING_RO_ROLLUP[],MATCH($B13,MMWR_RATING_RO_ROLLUP[MMWR_RATING_RO_ROLLUP],0),MATCH(F$9,MMWR_RATING_RO_ROLLUP[#Headers],0)),"ERROR"))</f>
        <v>13918</v>
      </c>
      <c r="G13" s="154">
        <f>IF($B13=" ","",IFERROR(INDEX(MMWR_RATING_RO_ROLLUP[],MATCH($B13,MMWR_RATING_RO_ROLLUP[MMWR_RATING_RO_ROLLUP],0),MATCH(G$9,MMWR_RATING_RO_ROLLUP[#Headers],0)),"ERROR"))</f>
        <v>855563</v>
      </c>
      <c r="H13" s="155">
        <f>IF($B13=" ","",IFERROR(INDEX(MMWR_RATING_RO_ROLLUP[],MATCH($B13,MMWR_RATING_RO_ROLLUP[MMWR_RATING_RO_ROLLUP],0),MATCH(H$9,MMWR_RATING_RO_ROLLUP[#Headers],0)),"ERROR"))</f>
        <v>121.8819514298</v>
      </c>
      <c r="I13" s="155">
        <f>IF($B13=" ","",IFERROR(INDEX(MMWR_RATING_RO_ROLLUP[],MATCH($B13,MMWR_RATING_RO_ROLLUP[MMWR_RATING_RO_ROLLUP],0),MATCH(I$9,MMWR_RATING_RO_ROLLUP[#Headers],0)),"ERROR"))</f>
        <v>123.4740399012</v>
      </c>
      <c r="J13" s="42"/>
      <c r="K13" s="42"/>
      <c r="L13" s="42"/>
      <c r="M13" s="42"/>
      <c r="N13" s="42"/>
      <c r="O13" s="42"/>
      <c r="P13" s="28"/>
    </row>
    <row r="14" spans="1:16" x14ac:dyDescent="0.2">
      <c r="A14" s="25"/>
      <c r="B14" s="341" t="s">
        <v>732</v>
      </c>
      <c r="C14" s="342"/>
      <c r="D14" s="342"/>
      <c r="E14" s="342"/>
      <c r="F14" s="342"/>
      <c r="G14" s="342"/>
      <c r="H14" s="342"/>
      <c r="I14" s="342"/>
      <c r="J14" s="342"/>
      <c r="K14" s="342"/>
      <c r="L14" s="342"/>
      <c r="M14" s="342"/>
      <c r="N14" s="342"/>
      <c r="O14" s="342"/>
      <c r="P14" s="28"/>
    </row>
    <row r="15" spans="1:16" x14ac:dyDescent="0.2">
      <c r="A15" s="25"/>
      <c r="B15" s="41" t="s">
        <v>728</v>
      </c>
      <c r="C15" s="154">
        <f>IF($B15=" ","",IFERROR(INDEX(MMWR_RATING_RO_ROLLUP[],MATCH($B15,MMWR_RATING_RO_ROLLUP[MMWR_RATING_RO_ROLLUP],0),MATCH(C$9,MMWR_RATING_RO_ROLLUP[#Headers],0)),"ERROR"))</f>
        <v>315763</v>
      </c>
      <c r="D15" s="155">
        <f>IF($B15=" ","",IFERROR(INDEX(MMWR_RATING_RO_ROLLUP[],MATCH($B15,MMWR_RATING_RO_ROLLUP[MMWR_RATING_RO_ROLLUP],0),MATCH(D$9,MMWR_RATING_RO_ROLLUP[#Headers],0)),"ERROR"))</f>
        <v>91.692361042900004</v>
      </c>
      <c r="E15" s="156">
        <f>IF($B15=" ","",IFERROR(INDEX(MMWR_RATING_RO_ROLLUP[],MATCH($B15,MMWR_RATING_RO_ROLLUP[MMWR_RATING_RO_ROLLUP],0),MATCH(E$9,MMWR_RATING_RO_ROLLUP[#Headers],0))/$C15,"ERROR"))</f>
        <v>0.2222046281546603</v>
      </c>
      <c r="F15" s="154">
        <f>IF($B15=" ","",IFERROR(INDEX(MMWR_RATING_RO_ROLLUP[],MATCH($B15,MMWR_RATING_RO_ROLLUP[MMWR_RATING_RO_ROLLUP],0),MATCH(F$9,MMWR_RATING_RO_ROLLUP[#Headers],0)),"ERROR"))</f>
        <v>11754</v>
      </c>
      <c r="G15" s="154">
        <f>IF($B15=" ","",IFERROR(INDEX(MMWR_RATING_RO_ROLLUP[],MATCH($B15,MMWR_RATING_RO_ROLLUP[MMWR_RATING_RO_ROLLUP],0),MATCH(G$9,MMWR_RATING_RO_ROLLUP[#Headers],0)),"ERROR"))</f>
        <v>719956</v>
      </c>
      <c r="H15" s="155">
        <f>IF($B15=" ","",IFERROR(INDEX(MMWR_RATING_RO_ROLLUP[],MATCH($B15,MMWR_RATING_RO_ROLLUP[MMWR_RATING_RO_ROLLUP],0),MATCH(H$9,MMWR_RATING_RO_ROLLUP[#Headers],0)),"ERROR"))</f>
        <v>126.634762634</v>
      </c>
      <c r="I15" s="155">
        <f>IF($B15=" ","",IFERROR(INDEX(MMWR_RATING_RO_ROLLUP[],MATCH($B15,MMWR_RATING_RO_ROLLUP[MMWR_RATING_RO_ROLLUP],0),MATCH(I$9,MMWR_RATING_RO_ROLLUP[#Headers],0)),"ERROR"))</f>
        <v>129.0541796999</v>
      </c>
      <c r="J15" s="157">
        <f>VLOOKUP($B$13,MMWR_ACCURACY_RO[],MATCH(J$9,MMWR_ACCURACY_RO[#Headers],0),0)</f>
        <v>0.9497728462013334</v>
      </c>
      <c r="K15" s="157">
        <f>VLOOKUP($B$13,MMWR_ACCURACY_RO[],MATCH(K$9,MMWR_ACCURACY_RO[#Headers],0),0)</f>
        <v>0.86239789785801046</v>
      </c>
      <c r="L15" s="157">
        <f>VLOOKUP($B$13,MMWR_ACCURACY_RO[],MATCH(L$9,MMWR_ACCURACY_RO[#Headers],0),0)</f>
        <v>0.88623449452111713</v>
      </c>
      <c r="M15" s="157">
        <f>VLOOKUP($B$13,MMWR_ACCURACY_RO[],MATCH(M$9,MMWR_ACCURACY_RO[#Headers],0),0)</f>
        <v>7.9674287246910332E-3</v>
      </c>
      <c r="N15" s="157">
        <f>VLOOKUP($B$13,MMWR_ACCURACY_RO[],MATCH(N$9,MMWR_ACCURACY_RO[#Headers],0),0)</f>
        <v>0.89614325721971511</v>
      </c>
      <c r="O15" s="157">
        <f>VLOOKUP($B$13,MMWR_ACCURACY_RO[],MATCH(O$9,MMWR_ACCURACY_RO[#Headers],0),0)</f>
        <v>1.1878939951144361E-2</v>
      </c>
      <c r="P15" s="28"/>
    </row>
    <row r="16" spans="1:16" x14ac:dyDescent="0.2">
      <c r="A16" s="25"/>
      <c r="B16" s="247" t="s">
        <v>369</v>
      </c>
      <c r="C16" s="154">
        <f>IF($B16=" ","",IFERROR(INDEX(MMWR_RATING_RO_ROLLUP[],MATCH($B16,MMWR_RATING_RO_ROLLUP[MMWR_RATING_RO_ROLLUP],0),MATCH(C$9,MMWR_RATING_RO_ROLLUP[#Headers],0)),"ERROR"))</f>
        <v>19481</v>
      </c>
      <c r="D16" s="155">
        <f>IF($B16=" ","",IFERROR(INDEX(MMWR_RATING_RO_ROLLUP[],MATCH($B16,MMWR_RATING_RO_ROLLUP[MMWR_RATING_RO_ROLLUP],0),MATCH(D$9,MMWR_RATING_RO_ROLLUP[#Headers],0)),"ERROR"))</f>
        <v>107.5494584467</v>
      </c>
      <c r="E16" s="156">
        <f>IF($B16=" ","",IFERROR(INDEX(MMWR_RATING_RO_ROLLUP[],MATCH($B16,MMWR_RATING_RO_ROLLUP[MMWR_RATING_RO_ROLLUP],0),MATCH(E$9,MMWR_RATING_RO_ROLLUP[#Headers],0))/$C16,"ERROR"))</f>
        <v>0.32693393562958778</v>
      </c>
      <c r="F16" s="154">
        <f>IF($B16=" ","",IFERROR(INDEX(MMWR_RATING_RO_ROLLUP[],MATCH($B16,MMWR_RATING_RO_ROLLUP[MMWR_RATING_RO_ROLLUP],0),MATCH(F$9,MMWR_RATING_RO_ROLLUP[#Headers],0)),"ERROR"))</f>
        <v>2557</v>
      </c>
      <c r="G16" s="154">
        <f>IF($B16=" ","",IFERROR(INDEX(MMWR_RATING_RO_ROLLUP[],MATCH($B16,MMWR_RATING_RO_ROLLUP[MMWR_RATING_RO_ROLLUP],0),MATCH(G$9,MMWR_RATING_RO_ROLLUP[#Headers],0)),"ERROR"))</f>
        <v>152210</v>
      </c>
      <c r="H16" s="155">
        <f>IF($B16=" ","",IFERROR(INDEX(MMWR_RATING_RO_ROLLUP[],MATCH($B16,MMWR_RATING_RO_ROLLUP[MMWR_RATING_RO_ROLLUP],0),MATCH(H$9,MMWR_RATING_RO_ROLLUP[#Headers],0)),"ERROR"))</f>
        <v>126.7371920219</v>
      </c>
      <c r="I16" s="155">
        <f>IF($B16=" ","",IFERROR(INDEX(MMWR_RATING_RO_ROLLUP[],MATCH($B16,MMWR_RATING_RO_ROLLUP[MMWR_RATING_RO_ROLLUP],0),MATCH(I$9,MMWR_RATING_RO_ROLLUP[#Headers],0)),"ERROR"))</f>
        <v>130.11968990209999</v>
      </c>
      <c r="J16" s="157">
        <f>IF($B16=" ","",IFERROR(VLOOKUP($B16,MMWR_ACCURACY_RO[],MATCH(J$9,MMWR_ACCURACY_RO[#Headers],0),0),"ERROR"))</f>
        <v>0.9542106859709939</v>
      </c>
      <c r="K16" s="157">
        <f>IF($B16=" ","",IFERROR(VLOOKUP($B16,MMWR_ACCURACY_RO[],MATCH(K$9,MMWR_ACCURACY_RO[#Headers],0),0),"ERROR"))</f>
        <v>0.85973352975078243</v>
      </c>
      <c r="L16" s="157">
        <f>IF($B16=" ","",IFERROR(VLOOKUP($B16,MMWR_ACCURACY_RO[],MATCH(L$9,MMWR_ACCURACY_RO[#Headers],0),0),"ERROR"))</f>
        <v>0.87393584011604464</v>
      </c>
      <c r="M16" s="157">
        <f>IF($B16=" ","",IFERROR(VLOOKUP($B16,MMWR_ACCURACY_RO[],MATCH(M$9,MMWR_ACCURACY_RO[#Headers],0),0),"ERROR"))</f>
        <v>1.5822924023502126E-2</v>
      </c>
      <c r="N16" s="157">
        <f>IF($B16=" ","",IFERROR(VLOOKUP($B16,MMWR_ACCURACY_RO[],MATCH(N$9,MMWR_ACCURACY_RO[#Headers],0),0),"ERROR"))</f>
        <v>0.86659099283404872</v>
      </c>
      <c r="O16" s="157">
        <f>IF($B16=" ","",IFERROR(VLOOKUP($B16,MMWR_ACCURACY_RO[],MATCH(O$9,MMWR_ACCURACY_RO[#Headers],0),0),"ERROR"))</f>
        <v>3.2949705321745598E-2</v>
      </c>
      <c r="P16" s="28"/>
    </row>
    <row r="17" spans="1:16" x14ac:dyDescent="0.2">
      <c r="A17" s="25"/>
      <c r="B17" s="8" t="str">
        <f>VLOOKUP($B$16,DISTRICT_RO[],2,0)</f>
        <v>Baltimore VSC</v>
      </c>
      <c r="C17" s="154">
        <f>IF($B17=" ","",IFERROR(INDEX(MMWR_RATING_RO_ROLLUP[],MATCH($B17,MMWR_RATING_RO_ROLLUP[MMWR_RATING_RO_ROLLUP],0),MATCH(C$9,MMWR_RATING_RO_ROLLUP[#Headers],0)),"ERROR"))</f>
        <v>850</v>
      </c>
      <c r="D17" s="155">
        <f>IF($B17=" ","",IFERROR(INDEX(MMWR_RATING_RO_ROLLUP[],MATCH($B17,MMWR_RATING_RO_ROLLUP[MMWR_RATING_RO_ROLLUP],0),MATCH(D$9,MMWR_RATING_RO_ROLLUP[#Headers],0)),"ERROR"))</f>
        <v>138.04705882350001</v>
      </c>
      <c r="E17" s="156">
        <f>IF($B17=" ","",IFERROR(INDEX(MMWR_RATING_RO_ROLLUP[],MATCH($B17,MMWR_RATING_RO_ROLLUP[MMWR_RATING_RO_ROLLUP],0),MATCH(E$9,MMWR_RATING_RO_ROLLUP[#Headers],0))/$C17,"ERROR"))</f>
        <v>0.48117647058823532</v>
      </c>
      <c r="F17" s="154">
        <f>IF($B17=" ","",IFERROR(INDEX(MMWR_RATING_RO_ROLLUP[],MATCH($B17,MMWR_RATING_RO_ROLLUP[MMWR_RATING_RO_ROLLUP],0),MATCH(F$9,MMWR_RATING_RO_ROLLUP[#Headers],0)),"ERROR"))</f>
        <v>58</v>
      </c>
      <c r="G17" s="154">
        <f>IF($B17=" ","",IFERROR(INDEX(MMWR_RATING_RO_ROLLUP[],MATCH($B17,MMWR_RATING_RO_ROLLUP[MMWR_RATING_RO_ROLLUP],0),MATCH(G$9,MMWR_RATING_RO_ROLLUP[#Headers],0)),"ERROR"))</f>
        <v>5664</v>
      </c>
      <c r="H17" s="155">
        <f>IF($B17=" ","",IFERROR(INDEX(MMWR_RATING_RO_ROLLUP[],MATCH($B17,MMWR_RATING_RO_ROLLUP[MMWR_RATING_RO_ROLLUP],0),MATCH(H$9,MMWR_RATING_RO_ROLLUP[#Headers],0)),"ERROR"))</f>
        <v>148.0172413793</v>
      </c>
      <c r="I17" s="155">
        <f>IF($B17=" ","",IFERROR(INDEX(MMWR_RATING_RO_ROLLUP[],MATCH($B17,MMWR_RATING_RO_ROLLUP[MMWR_RATING_RO_ROLLUP],0),MATCH(I$9,MMWR_RATING_RO_ROLLUP[#Headers],0)),"ERROR"))</f>
        <v>139.4171963277</v>
      </c>
      <c r="J17" s="157">
        <f>IF($B17=" ","",IFERROR(VLOOKUP($B17,MMWR_ACCURACY_RO[],MATCH(J$9,MMWR_ACCURACY_RO[#Headers],0),0),"ERROR"))</f>
        <v>0.92506679963054628</v>
      </c>
      <c r="K17" s="157">
        <f>IF($B17=" ","",IFERROR(VLOOKUP($B17,MMWR_ACCURACY_RO[],MATCH(K$9,MMWR_ACCURACY_RO[#Headers],0),0),"ERROR"))</f>
        <v>0.7383269860848336</v>
      </c>
      <c r="L17" s="157">
        <f>IF($B17=" ","",IFERROR(VLOOKUP($B17,MMWR_ACCURACY_RO[],MATCH(L$9,MMWR_ACCURACY_RO[#Headers],0),0),"ERROR"))</f>
        <v>0.82481768535097455</v>
      </c>
      <c r="M17" s="157">
        <f>IF($B17=" ","",IFERROR(VLOOKUP($B17,MMWR_ACCURACY_RO[],MATCH(M$9,MMWR_ACCURACY_RO[#Headers],0),0),"ERROR"))</f>
        <v>4.5452336260636841E-2</v>
      </c>
      <c r="N17" s="157">
        <f>IF($B17=" ","",IFERROR(VLOOKUP($B17,MMWR_ACCURACY_RO[],MATCH(N$9,MMWR_ACCURACY_RO[#Headers],0),0),"ERROR"))</f>
        <v>0.89301468756776048</v>
      </c>
      <c r="O17" s="157">
        <f>IF($B17=" ","",IFERROR(VLOOKUP($B17,MMWR_ACCURACY_RO[],MATCH(O$9,MMWR_ACCURACY_RO[#Headers],0),0),"ERROR"))</f>
        <v>4.6861723127848191E-2</v>
      </c>
      <c r="P17" s="28"/>
    </row>
    <row r="18" spans="1:16" x14ac:dyDescent="0.2">
      <c r="A18" s="25"/>
      <c r="B18" s="8" t="str">
        <f>VLOOKUP($B$16,DISTRICT_RO[],3,0)</f>
        <v>Boston VSC</v>
      </c>
      <c r="C18" s="154">
        <f>IF($B18=" ","",IFERROR(INDEX(MMWR_RATING_RO_ROLLUP[],MATCH($B18,MMWR_RATING_RO_ROLLUP[MMWR_RATING_RO_ROLLUP],0),MATCH(C$9,MMWR_RATING_RO_ROLLUP[#Headers],0)),"ERROR"))</f>
        <v>879</v>
      </c>
      <c r="D18" s="155">
        <f>IF($B18=" ","",IFERROR(INDEX(MMWR_RATING_RO_ROLLUP[],MATCH($B18,MMWR_RATING_RO_ROLLUP[MMWR_RATING_RO_ROLLUP],0),MATCH(D$9,MMWR_RATING_RO_ROLLUP[#Headers],0)),"ERROR"))</f>
        <v>117.5620022753</v>
      </c>
      <c r="E18" s="156">
        <f>IF($B18=" ","",IFERROR(INDEX(MMWR_RATING_RO_ROLLUP[],MATCH($B18,MMWR_RATING_RO_ROLLUP[MMWR_RATING_RO_ROLLUP],0),MATCH(E$9,MMWR_RATING_RO_ROLLUP[#Headers],0))/$C18,"ERROR"))</f>
        <v>0.36632536973833901</v>
      </c>
      <c r="F18" s="154">
        <f>IF($B18=" ","",IFERROR(INDEX(MMWR_RATING_RO_ROLLUP[],MATCH($B18,MMWR_RATING_RO_ROLLUP[MMWR_RATING_RO_ROLLUP],0),MATCH(F$9,MMWR_RATING_RO_ROLLUP[#Headers],0)),"ERROR"))</f>
        <v>81</v>
      </c>
      <c r="G18" s="154">
        <f>IF($B18=" ","",IFERROR(INDEX(MMWR_RATING_RO_ROLLUP[],MATCH($B18,MMWR_RATING_RO_ROLLUP[MMWR_RATING_RO_ROLLUP],0),MATCH(G$9,MMWR_RATING_RO_ROLLUP[#Headers],0)),"ERROR"))</f>
        <v>6450</v>
      </c>
      <c r="H18" s="155">
        <f>IF($B18=" ","",IFERROR(INDEX(MMWR_RATING_RO_ROLLUP[],MATCH($B18,MMWR_RATING_RO_ROLLUP[MMWR_RATING_RO_ROLLUP],0),MATCH(H$9,MMWR_RATING_RO_ROLLUP[#Headers],0)),"ERROR"))</f>
        <v>162.950617284</v>
      </c>
      <c r="I18" s="155">
        <f>IF($B18=" ","",IFERROR(INDEX(MMWR_RATING_RO_ROLLUP[],MATCH($B18,MMWR_RATING_RO_ROLLUP[MMWR_RATING_RO_ROLLUP],0),MATCH(I$9,MMWR_RATING_RO_ROLLUP[#Headers],0)),"ERROR"))</f>
        <v>131.1702325581</v>
      </c>
      <c r="J18" s="157">
        <f>IF($B18=" ","",IFERROR(VLOOKUP($B18,MMWR_ACCURACY_RO[],MATCH(J$9,MMWR_ACCURACY_RO[#Headers],0),0),"ERROR"))</f>
        <v>0.92655484185211123</v>
      </c>
      <c r="K18" s="157">
        <f>IF($B18=" ","",IFERROR(VLOOKUP($B18,MMWR_ACCURACY_RO[],MATCH(K$9,MMWR_ACCURACY_RO[#Headers],0),0),"ERROR"))</f>
        <v>0.76953563411896742</v>
      </c>
      <c r="L18" s="157">
        <f>IF($B18=" ","",IFERROR(VLOOKUP($B18,MMWR_ACCURACY_RO[],MATCH(L$9,MMWR_ACCURACY_RO[#Headers],0),0),"ERROR"))</f>
        <v>0.79675520317943016</v>
      </c>
      <c r="M18" s="157">
        <f>IF($B18=" ","",IFERROR(VLOOKUP($B18,MMWR_ACCURACY_RO[],MATCH(M$9,MMWR_ACCURACY_RO[#Headers],0),0),"ERROR"))</f>
        <v>6.1943447498479E-2</v>
      </c>
      <c r="N18" s="157">
        <f>IF($B18=" ","",IFERROR(VLOOKUP($B18,MMWR_ACCURACY_RO[],MATCH(N$9,MMWR_ACCURACY_RO[#Headers],0),0),"ERROR"))</f>
        <v>0.9389581939096503</v>
      </c>
      <c r="O18" s="157">
        <f>IF($B18=" ","",IFERROR(VLOOKUP($B18,MMWR_ACCURACY_RO[],MATCH(O$9,MMWR_ACCURACY_RO[#Headers],0),0),"ERROR"))</f>
        <v>2.8273980510646553E-2</v>
      </c>
      <c r="P18" s="28"/>
    </row>
    <row r="19" spans="1:16" x14ac:dyDescent="0.2">
      <c r="A19" s="25"/>
      <c r="B19" s="8" t="str">
        <f>VLOOKUP($B$16,DISTRICT_RO[],4,0)</f>
        <v>Buffalo VSC</v>
      </c>
      <c r="C19" s="154">
        <f>IF($B19=" ","",IFERROR(INDEX(MMWR_RATING_RO_ROLLUP[],MATCH($B19,MMWR_RATING_RO_ROLLUP[MMWR_RATING_RO_ROLLUP],0),MATCH(C$9,MMWR_RATING_RO_ROLLUP[#Headers],0)),"ERROR"))</f>
        <v>615</v>
      </c>
      <c r="D19" s="155">
        <f>IF($B19=" ","",IFERROR(INDEX(MMWR_RATING_RO_ROLLUP[],MATCH($B19,MMWR_RATING_RO_ROLLUP[MMWR_RATING_RO_ROLLUP],0),MATCH(D$9,MMWR_RATING_RO_ROLLUP[#Headers],0)),"ERROR"))</f>
        <v>114.9089430894</v>
      </c>
      <c r="E19" s="156">
        <f>IF($B19=" ","",IFERROR(INDEX(MMWR_RATING_RO_ROLLUP[],MATCH($B19,MMWR_RATING_RO_ROLLUP[MMWR_RATING_RO_ROLLUP],0),MATCH(E$9,MMWR_RATING_RO_ROLLUP[#Headers],0))/$C19,"ERROR"))</f>
        <v>0.37886178861788616</v>
      </c>
      <c r="F19" s="154">
        <f>IF($B19=" ","",IFERROR(INDEX(MMWR_RATING_RO_ROLLUP[],MATCH($B19,MMWR_RATING_RO_ROLLUP[MMWR_RATING_RO_ROLLUP],0),MATCH(F$9,MMWR_RATING_RO_ROLLUP[#Headers],0)),"ERROR"))</f>
        <v>117</v>
      </c>
      <c r="G19" s="154">
        <f>IF($B19=" ","",IFERROR(INDEX(MMWR_RATING_RO_ROLLUP[],MATCH($B19,MMWR_RATING_RO_ROLLUP[MMWR_RATING_RO_ROLLUP],0),MATCH(G$9,MMWR_RATING_RO_ROLLUP[#Headers],0)),"ERROR"))</f>
        <v>7067</v>
      </c>
      <c r="H19" s="155">
        <f>IF($B19=" ","",IFERROR(INDEX(MMWR_RATING_RO_ROLLUP[],MATCH($B19,MMWR_RATING_RO_ROLLUP[MMWR_RATING_RO_ROLLUP],0),MATCH(H$9,MMWR_RATING_RO_ROLLUP[#Headers],0)),"ERROR"))</f>
        <v>129.0427350427</v>
      </c>
      <c r="I19" s="155">
        <f>IF($B19=" ","",IFERROR(INDEX(MMWR_RATING_RO_ROLLUP[],MATCH($B19,MMWR_RATING_RO_ROLLUP[MMWR_RATING_RO_ROLLUP],0),MATCH(I$9,MMWR_RATING_RO_ROLLUP[#Headers],0)),"ERROR"))</f>
        <v>133.07273241830001</v>
      </c>
      <c r="J19" s="157">
        <f>IF($B19=" ","",IFERROR(VLOOKUP($B19,MMWR_ACCURACY_RO[],MATCH(J$9,MMWR_ACCURACY_RO[#Headers],0),0),"ERROR"))</f>
        <v>0.95749388910330635</v>
      </c>
      <c r="K19" s="157">
        <f>IF($B19=" ","",IFERROR(VLOOKUP($B19,MMWR_ACCURACY_RO[],MATCH(K$9,MMWR_ACCURACY_RO[#Headers],0),0),"ERROR"))</f>
        <v>0.93941632803841879</v>
      </c>
      <c r="L19" s="157">
        <f>IF($B19=" ","",IFERROR(VLOOKUP($B19,MMWR_ACCURACY_RO[],MATCH(L$9,MMWR_ACCURACY_RO[#Headers],0),0),"ERROR"))</f>
        <v>0.88088201375287833</v>
      </c>
      <c r="M19" s="157">
        <f>IF($B19=" ","",IFERROR(VLOOKUP($B19,MMWR_ACCURACY_RO[],MATCH(M$9,MMWR_ACCURACY_RO[#Headers],0),0),"ERROR"))</f>
        <v>5.1872764183063538E-2</v>
      </c>
      <c r="N19" s="157">
        <f>IF($B19=" ","",IFERROR(VLOOKUP($B19,MMWR_ACCURACY_RO[],MATCH(N$9,MMWR_ACCURACY_RO[#Headers],0),0),"ERROR"))</f>
        <v>0.84132287103251502</v>
      </c>
      <c r="O19" s="157">
        <f>IF($B19=" ","",IFERROR(VLOOKUP($B19,MMWR_ACCURACY_RO[],MATCH(O$9,MMWR_ACCURACY_RO[#Headers],0),0),"ERROR"))</f>
        <v>5.1855722371118705E-2</v>
      </c>
      <c r="P19" s="28"/>
    </row>
    <row r="20" spans="1:16" x14ac:dyDescent="0.2">
      <c r="A20" s="25"/>
      <c r="B20" s="8" t="str">
        <f>VLOOKUP($B$16,DISTRICT_RO[],5,0)</f>
        <v>Hartford VSC</v>
      </c>
      <c r="C20" s="154">
        <f>IF($B20=" ","",IFERROR(INDEX(MMWR_RATING_RO_ROLLUP[],MATCH($B20,MMWR_RATING_RO_ROLLUP[MMWR_RATING_RO_ROLLUP],0),MATCH(C$9,MMWR_RATING_RO_ROLLUP[#Headers],0)),"ERROR"))</f>
        <v>704</v>
      </c>
      <c r="D20" s="155">
        <f>IF($B20=" ","",IFERROR(INDEX(MMWR_RATING_RO_ROLLUP[],MATCH($B20,MMWR_RATING_RO_ROLLUP[MMWR_RATING_RO_ROLLUP],0),MATCH(D$9,MMWR_RATING_RO_ROLLUP[#Headers],0)),"ERROR"))</f>
        <v>101.2840909091</v>
      </c>
      <c r="E20" s="156">
        <f>IF($B20=" ","",IFERROR(INDEX(MMWR_RATING_RO_ROLLUP[],MATCH($B20,MMWR_RATING_RO_ROLLUP[MMWR_RATING_RO_ROLLUP],0),MATCH(E$9,MMWR_RATING_RO_ROLLUP[#Headers],0))/$C20,"ERROR"))</f>
        <v>0.28125</v>
      </c>
      <c r="F20" s="154">
        <f>IF($B20=" ","",IFERROR(INDEX(MMWR_RATING_RO_ROLLUP[],MATCH($B20,MMWR_RATING_RO_ROLLUP[MMWR_RATING_RO_ROLLUP],0),MATCH(F$9,MMWR_RATING_RO_ROLLUP[#Headers],0)),"ERROR"))</f>
        <v>99</v>
      </c>
      <c r="G20" s="154">
        <f>IF($B20=" ","",IFERROR(INDEX(MMWR_RATING_RO_ROLLUP[],MATCH($B20,MMWR_RATING_RO_ROLLUP[MMWR_RATING_RO_ROLLUP],0),MATCH(G$9,MMWR_RATING_RO_ROLLUP[#Headers],0)),"ERROR"))</f>
        <v>6369</v>
      </c>
      <c r="H20" s="155">
        <f>IF($B20=" ","",IFERROR(INDEX(MMWR_RATING_RO_ROLLUP[],MATCH($B20,MMWR_RATING_RO_ROLLUP[MMWR_RATING_RO_ROLLUP],0),MATCH(H$9,MMWR_RATING_RO_ROLLUP[#Headers],0)),"ERROR"))</f>
        <v>107.0101010101</v>
      </c>
      <c r="I20" s="155">
        <f>IF($B20=" ","",IFERROR(INDEX(MMWR_RATING_RO_ROLLUP[],MATCH($B20,MMWR_RATING_RO_ROLLUP[MMWR_RATING_RO_ROLLUP],0),MATCH(I$9,MMWR_RATING_RO_ROLLUP[#Headers],0)),"ERROR"))</f>
        <v>128.9860260637</v>
      </c>
      <c r="J20" s="157">
        <f>IF($B20=" ","",IFERROR(VLOOKUP($B20,MMWR_ACCURACY_RO[],MATCH(J$9,MMWR_ACCURACY_RO[#Headers],0),0),"ERROR"))</f>
        <v>0.98550431014763651</v>
      </c>
      <c r="K20" s="157">
        <f>IF($B20=" ","",IFERROR(VLOOKUP($B20,MMWR_ACCURACY_RO[],MATCH(K$9,MMWR_ACCURACY_RO[#Headers],0),0),"ERROR"))</f>
        <v>0.95907060885295936</v>
      </c>
      <c r="L20" s="157">
        <f>IF($B20=" ","",IFERROR(VLOOKUP($B20,MMWR_ACCURACY_RO[],MATCH(L$9,MMWR_ACCURACY_RO[#Headers],0),0),"ERROR"))</f>
        <v>0.91217461954313916</v>
      </c>
      <c r="M20" s="157">
        <f>IF($B20=" ","",IFERROR(VLOOKUP($B20,MMWR_ACCURACY_RO[],MATCH(M$9,MMWR_ACCURACY_RO[#Headers],0),0),"ERROR"))</f>
        <v>4.6362616252821807E-2</v>
      </c>
      <c r="N20" s="157">
        <f>IF($B20=" ","",IFERROR(VLOOKUP($B20,MMWR_ACCURACY_RO[],MATCH(N$9,MMWR_ACCURACY_RO[#Headers],0),0),"ERROR"))</f>
        <v>0.96768081420528351</v>
      </c>
      <c r="O20" s="157">
        <f>IF($B20=" ","",IFERROR(VLOOKUP($B20,MMWR_ACCURACY_RO[],MATCH(O$9,MMWR_ACCURACY_RO[#Headers],0),0),"ERROR"))</f>
        <v>2.9281158335094447E-2</v>
      </c>
      <c r="P20" s="28"/>
    </row>
    <row r="21" spans="1:16" x14ac:dyDescent="0.2">
      <c r="A21" s="25"/>
      <c r="B21" s="8" t="str">
        <f>VLOOKUP($B$16,DISTRICT_RO[],6,0)</f>
        <v>Huntington VSC</v>
      </c>
      <c r="C21" s="154">
        <f>IF($B21=" ","",IFERROR(INDEX(MMWR_RATING_RO_ROLLUP[],MATCH($B21,MMWR_RATING_RO_ROLLUP[MMWR_RATING_RO_ROLLUP],0),MATCH(C$9,MMWR_RATING_RO_ROLLUP[#Headers],0)),"ERROR"))</f>
        <v>1958</v>
      </c>
      <c r="D21" s="155">
        <f>IF($B21=" ","",IFERROR(INDEX(MMWR_RATING_RO_ROLLUP[],MATCH($B21,MMWR_RATING_RO_ROLLUP[MMWR_RATING_RO_ROLLUP],0),MATCH(D$9,MMWR_RATING_RO_ROLLUP[#Headers],0)),"ERROR"))</f>
        <v>92.656281920300003</v>
      </c>
      <c r="E21" s="156">
        <f>IF($B21=" ","",IFERROR(INDEX(MMWR_RATING_RO_ROLLUP[],MATCH($B21,MMWR_RATING_RO_ROLLUP[MMWR_RATING_RO_ROLLUP],0),MATCH(E$9,MMWR_RATING_RO_ROLLUP[#Headers],0))/$C21,"ERROR"))</f>
        <v>0.23850868232890704</v>
      </c>
      <c r="F21" s="154">
        <f>IF($B21=" ","",IFERROR(INDEX(MMWR_RATING_RO_ROLLUP[],MATCH($B21,MMWR_RATING_RO_ROLLUP[MMWR_RATING_RO_ROLLUP],0),MATCH(F$9,MMWR_RATING_RO_ROLLUP[#Headers],0)),"ERROR"))</f>
        <v>207</v>
      </c>
      <c r="G21" s="154">
        <f>IF($B21=" ","",IFERROR(INDEX(MMWR_RATING_RO_ROLLUP[],MATCH($B21,MMWR_RATING_RO_ROLLUP[MMWR_RATING_RO_ROLLUP],0),MATCH(G$9,MMWR_RATING_RO_ROLLUP[#Headers],0)),"ERROR"))</f>
        <v>11312</v>
      </c>
      <c r="H21" s="155">
        <f>IF($B21=" ","",IFERROR(INDEX(MMWR_RATING_RO_ROLLUP[],MATCH($B21,MMWR_RATING_RO_ROLLUP[MMWR_RATING_RO_ROLLUP],0),MATCH(H$9,MMWR_RATING_RO_ROLLUP[#Headers],0)),"ERROR"))</f>
        <v>106.0096618357</v>
      </c>
      <c r="I21" s="155">
        <f>IF($B21=" ","",IFERROR(INDEX(MMWR_RATING_RO_ROLLUP[],MATCH($B21,MMWR_RATING_RO_ROLLUP[MMWR_RATING_RO_ROLLUP],0),MATCH(I$9,MMWR_RATING_RO_ROLLUP[#Headers],0)),"ERROR"))</f>
        <v>130.8475954738</v>
      </c>
      <c r="J21" s="157">
        <f>IF($B21=" ","",IFERROR(VLOOKUP($B21,MMWR_ACCURACY_RO[],MATCH(J$9,MMWR_ACCURACY_RO[#Headers],0),0),"ERROR"))</f>
        <v>0.97178680378350379</v>
      </c>
      <c r="K21" s="157">
        <f>IF($B21=" ","",IFERROR(VLOOKUP($B21,MMWR_ACCURACY_RO[],MATCH(K$9,MMWR_ACCURACY_RO[#Headers],0),0),"ERROR"))</f>
        <v>0.85955357142857158</v>
      </c>
      <c r="L21" s="157">
        <f>IF($B21=" ","",IFERROR(VLOOKUP($B21,MMWR_ACCURACY_RO[],MATCH(L$9,MMWR_ACCURACY_RO[#Headers],0),0),"ERROR"))</f>
        <v>0.87490208126715829</v>
      </c>
      <c r="M21" s="157">
        <f>IF($B21=" ","",IFERROR(VLOOKUP($B21,MMWR_ACCURACY_RO[],MATCH(M$9,MMWR_ACCURACY_RO[#Headers],0),0),"ERROR"))</f>
        <v>4.8737043671129354E-2</v>
      </c>
      <c r="N21" s="157">
        <f>IF($B21=" ","",IFERROR(VLOOKUP($B21,MMWR_ACCURACY_RO[],MATCH(N$9,MMWR_ACCURACY_RO[#Headers],0),0),"ERROR"))</f>
        <v>0.89090327471487485</v>
      </c>
      <c r="O21" s="157">
        <f>IF($B21=" ","",IFERROR(VLOOKUP($B21,MMWR_ACCURACY_RO[],MATCH(O$9,MMWR_ACCURACY_RO[#Headers],0),0),"ERROR"))</f>
        <v>4.9018001873642449E-2</v>
      </c>
      <c r="P21" s="28"/>
    </row>
    <row r="22" spans="1:16" x14ac:dyDescent="0.2">
      <c r="A22" s="25"/>
      <c r="B22" s="8" t="str">
        <f>VLOOKUP($B$16,DISTRICT_RO[],7,0)</f>
        <v>Manchester VSC</v>
      </c>
      <c r="C22" s="154">
        <f>IF($B22=" ","",IFERROR(INDEX(MMWR_RATING_RO_ROLLUP[],MATCH($B22,MMWR_RATING_RO_ROLLUP[MMWR_RATING_RO_ROLLUP],0),MATCH(C$9,MMWR_RATING_RO_ROLLUP[#Headers],0)),"ERROR"))</f>
        <v>271</v>
      </c>
      <c r="D22" s="155">
        <f>IF($B22=" ","",IFERROR(INDEX(MMWR_RATING_RO_ROLLUP[],MATCH($B22,MMWR_RATING_RO_ROLLUP[MMWR_RATING_RO_ROLLUP],0),MATCH(D$9,MMWR_RATING_RO_ROLLUP[#Headers],0)),"ERROR"))</f>
        <v>100.3025830258</v>
      </c>
      <c r="E22" s="156">
        <f>IF($B22=" ","",IFERROR(INDEX(MMWR_RATING_RO_ROLLUP[],MATCH($B22,MMWR_RATING_RO_ROLLUP[MMWR_RATING_RO_ROLLUP],0),MATCH(E$9,MMWR_RATING_RO_ROLLUP[#Headers],0))/$C22,"ERROR"))</f>
        <v>0.30258302583025831</v>
      </c>
      <c r="F22" s="154">
        <f>IF($B22=" ","",IFERROR(INDEX(MMWR_RATING_RO_ROLLUP[],MATCH($B22,MMWR_RATING_RO_ROLLUP[MMWR_RATING_RO_ROLLUP],0),MATCH(F$9,MMWR_RATING_RO_ROLLUP[#Headers],0)),"ERROR"))</f>
        <v>56</v>
      </c>
      <c r="G22" s="154">
        <f>IF($B22=" ","",IFERROR(INDEX(MMWR_RATING_RO_ROLLUP[],MATCH($B22,MMWR_RATING_RO_ROLLUP[MMWR_RATING_RO_ROLLUP],0),MATCH(G$9,MMWR_RATING_RO_ROLLUP[#Headers],0)),"ERROR"))</f>
        <v>2824</v>
      </c>
      <c r="H22" s="155">
        <f>IF($B22=" ","",IFERROR(INDEX(MMWR_RATING_RO_ROLLUP[],MATCH($B22,MMWR_RATING_RO_ROLLUP[MMWR_RATING_RO_ROLLUP],0),MATCH(H$9,MMWR_RATING_RO_ROLLUP[#Headers],0)),"ERROR"))</f>
        <v>109.7678571429</v>
      </c>
      <c r="I22" s="155">
        <f>IF($B22=" ","",IFERROR(INDEX(MMWR_RATING_RO_ROLLUP[],MATCH($B22,MMWR_RATING_RO_ROLLUP[MMWR_RATING_RO_ROLLUP],0),MATCH(I$9,MMWR_RATING_RO_ROLLUP[#Headers],0)),"ERROR"))</f>
        <v>134.23229461759999</v>
      </c>
      <c r="J22" s="157">
        <f>IF($B22=" ","",IFERROR(VLOOKUP($B22,MMWR_ACCURACY_RO[],MATCH(J$9,MMWR_ACCURACY_RO[#Headers],0),0),"ERROR"))</f>
        <v>0.93928573521054159</v>
      </c>
      <c r="K22" s="157">
        <f>IF($B22=" ","",IFERROR(VLOOKUP($B22,MMWR_ACCURACY_RO[],MATCH(K$9,MMWR_ACCURACY_RO[#Headers],0),0),"ERROR"))</f>
        <v>0.82312127976190486</v>
      </c>
      <c r="L22" s="157">
        <f>IF($B22=" ","",IFERROR(VLOOKUP($B22,MMWR_ACCURACY_RO[],MATCH(L$9,MMWR_ACCURACY_RO[#Headers],0),0),"ERROR"))</f>
        <v>0.89422442955850068</v>
      </c>
      <c r="M22" s="157">
        <f>IF($B22=" ","",IFERROR(VLOOKUP($B22,MMWR_ACCURACY_RO[],MATCH(M$9,MMWR_ACCURACY_RO[#Headers],0),0),"ERROR"))</f>
        <v>4.4773744786629738E-2</v>
      </c>
      <c r="N22" s="157">
        <f>IF($B22=" ","",IFERROR(VLOOKUP($B22,MMWR_ACCURACY_RO[],MATCH(N$9,MMWR_ACCURACY_RO[#Headers],0),0),"ERROR"))</f>
        <v>0.88500695732838575</v>
      </c>
      <c r="O22" s="157">
        <f>IF($B22=" ","",IFERROR(VLOOKUP($B22,MMWR_ACCURACY_RO[],MATCH(O$9,MMWR_ACCURACY_RO[#Headers],0),0),"ERROR"))</f>
        <v>5.4306918013589112E-2</v>
      </c>
      <c r="P22" s="28"/>
    </row>
    <row r="23" spans="1:16" x14ac:dyDescent="0.2">
      <c r="A23" s="25"/>
      <c r="B23" s="8" t="str">
        <f>VLOOKUP($B$16,DISTRICT_RO[],8,0)</f>
        <v>New York VSC</v>
      </c>
      <c r="C23" s="154">
        <f>IF($B23=" ","",IFERROR(INDEX(MMWR_RATING_RO_ROLLUP[],MATCH($B23,MMWR_RATING_RO_ROLLUP[MMWR_RATING_RO_ROLLUP],0),MATCH(C$9,MMWR_RATING_RO_ROLLUP[#Headers],0)),"ERROR"))</f>
        <v>1132</v>
      </c>
      <c r="D23" s="155">
        <f>IF($B23=" ","",IFERROR(INDEX(MMWR_RATING_RO_ROLLUP[],MATCH($B23,MMWR_RATING_RO_ROLLUP[MMWR_RATING_RO_ROLLUP],0),MATCH(D$9,MMWR_RATING_RO_ROLLUP[#Headers],0)),"ERROR"))</f>
        <v>123.74204947</v>
      </c>
      <c r="E23" s="156">
        <f>IF($B23=" ","",IFERROR(INDEX(MMWR_RATING_RO_ROLLUP[],MATCH($B23,MMWR_RATING_RO_ROLLUP[MMWR_RATING_RO_ROLLUP],0),MATCH(E$9,MMWR_RATING_RO_ROLLUP[#Headers],0))/$C23,"ERROR"))</f>
        <v>0.3948763250883392</v>
      </c>
      <c r="F23" s="154">
        <f>IF($B23=" ","",IFERROR(INDEX(MMWR_RATING_RO_ROLLUP[],MATCH($B23,MMWR_RATING_RO_ROLLUP[MMWR_RATING_RO_ROLLUP],0),MATCH(F$9,MMWR_RATING_RO_ROLLUP[#Headers],0)),"ERROR"))</f>
        <v>74</v>
      </c>
      <c r="G23" s="154">
        <f>IF($B23=" ","",IFERROR(INDEX(MMWR_RATING_RO_ROLLUP[],MATCH($B23,MMWR_RATING_RO_ROLLUP[MMWR_RATING_RO_ROLLUP],0),MATCH(G$9,MMWR_RATING_RO_ROLLUP[#Headers],0)),"ERROR"))</f>
        <v>7918</v>
      </c>
      <c r="H23" s="155">
        <f>IF($B23=" ","",IFERROR(INDEX(MMWR_RATING_RO_ROLLUP[],MATCH($B23,MMWR_RATING_RO_ROLLUP[MMWR_RATING_RO_ROLLUP],0),MATCH(H$9,MMWR_RATING_RO_ROLLUP[#Headers],0)),"ERROR"))</f>
        <v>165.68918918919999</v>
      </c>
      <c r="I23" s="155">
        <f>IF($B23=" ","",IFERROR(INDEX(MMWR_RATING_RO_ROLLUP[],MATCH($B23,MMWR_RATING_RO_ROLLUP[MMWR_RATING_RO_ROLLUP],0),MATCH(I$9,MMWR_RATING_RO_ROLLUP[#Headers],0)),"ERROR"))</f>
        <v>129.6274311695</v>
      </c>
      <c r="J23" s="157">
        <f>IF($B23=" ","",IFERROR(VLOOKUP($B23,MMWR_ACCURACY_RO[],MATCH(J$9,MMWR_ACCURACY_RO[#Headers],0),0),"ERROR"))</f>
        <v>0.95114073900963747</v>
      </c>
      <c r="K23" s="157">
        <f>IF($B23=" ","",IFERROR(VLOOKUP($B23,MMWR_ACCURACY_RO[],MATCH(K$9,MMWR_ACCURACY_RO[#Headers],0),0),"ERROR"))</f>
        <v>0.89088807089913646</v>
      </c>
      <c r="L23" s="157">
        <f>IF($B23=" ","",IFERROR(VLOOKUP($B23,MMWR_ACCURACY_RO[],MATCH(L$9,MMWR_ACCURACY_RO[#Headers],0),0),"ERROR"))</f>
        <v>0.86821956081475105</v>
      </c>
      <c r="M23" s="157">
        <f>IF($B23=" ","",IFERROR(VLOOKUP($B23,MMWR_ACCURACY_RO[],MATCH(M$9,MMWR_ACCURACY_RO[#Headers],0),0),"ERROR"))</f>
        <v>5.3625544237120765E-2</v>
      </c>
      <c r="N23" s="157">
        <f>IF($B23=" ","",IFERROR(VLOOKUP($B23,MMWR_ACCURACY_RO[],MATCH(N$9,MMWR_ACCURACY_RO[#Headers],0),0),"ERROR"))</f>
        <v>0.91263332894945381</v>
      </c>
      <c r="O23" s="157">
        <f>IF($B23=" ","",IFERROR(VLOOKUP($B23,MMWR_ACCURACY_RO[],MATCH(O$9,MMWR_ACCURACY_RO[#Headers],0),0),"ERROR"))</f>
        <v>4.3729990137022057E-2</v>
      </c>
      <c r="P23" s="28"/>
    </row>
    <row r="24" spans="1:16" x14ac:dyDescent="0.2">
      <c r="A24" s="25"/>
      <c r="B24" s="8" t="str">
        <f>VLOOKUP($B$16,DISTRICT_RO[],9,0)</f>
        <v>Newark VSC</v>
      </c>
      <c r="C24" s="154">
        <f>IF($B24=" ","",IFERROR(INDEX(MMWR_RATING_RO_ROLLUP[],MATCH($B24,MMWR_RATING_RO_ROLLUP[MMWR_RATING_RO_ROLLUP],0),MATCH(C$9,MMWR_RATING_RO_ROLLUP[#Headers],0)),"ERROR"))</f>
        <v>711</v>
      </c>
      <c r="D24" s="155">
        <f>IF($B24=" ","",IFERROR(INDEX(MMWR_RATING_RO_ROLLUP[],MATCH($B24,MMWR_RATING_RO_ROLLUP[MMWR_RATING_RO_ROLLUP],0),MATCH(D$9,MMWR_RATING_RO_ROLLUP[#Headers],0)),"ERROR"))</f>
        <v>134.96061884669999</v>
      </c>
      <c r="E24" s="156">
        <f>IF($B24=" ","",IFERROR(INDEX(MMWR_RATING_RO_ROLLUP[],MATCH($B24,MMWR_RATING_RO_ROLLUP[MMWR_RATING_RO_ROLLUP],0),MATCH(E$9,MMWR_RATING_RO_ROLLUP[#Headers],0))/$C24,"ERROR"))</f>
        <v>0.48101265822784811</v>
      </c>
      <c r="F24" s="154">
        <f>IF($B24=" ","",IFERROR(INDEX(MMWR_RATING_RO_ROLLUP[],MATCH($B24,MMWR_RATING_RO_ROLLUP[MMWR_RATING_RO_ROLLUP],0),MATCH(F$9,MMWR_RATING_RO_ROLLUP[#Headers],0)),"ERROR"))</f>
        <v>78</v>
      </c>
      <c r="G24" s="154">
        <f>IF($B24=" ","",IFERROR(INDEX(MMWR_RATING_RO_ROLLUP[],MATCH($B24,MMWR_RATING_RO_ROLLUP[MMWR_RATING_RO_ROLLUP],0),MATCH(G$9,MMWR_RATING_RO_ROLLUP[#Headers],0)),"ERROR"))</f>
        <v>3761</v>
      </c>
      <c r="H24" s="155">
        <f>IF($B24=" ","",IFERROR(INDEX(MMWR_RATING_RO_ROLLUP[],MATCH($B24,MMWR_RATING_RO_ROLLUP[MMWR_RATING_RO_ROLLUP],0),MATCH(H$9,MMWR_RATING_RO_ROLLUP[#Headers],0)),"ERROR"))</f>
        <v>149.93589743589999</v>
      </c>
      <c r="I24" s="155">
        <f>IF($B24=" ","",IFERROR(INDEX(MMWR_RATING_RO_ROLLUP[],MATCH($B24,MMWR_RATING_RO_ROLLUP[MMWR_RATING_RO_ROLLUP],0),MATCH(I$9,MMWR_RATING_RO_ROLLUP[#Headers],0)),"ERROR"))</f>
        <v>139.62403616060001</v>
      </c>
      <c r="J24" s="157">
        <f>IF($B24=" ","",IFERROR(VLOOKUP($B24,MMWR_ACCURACY_RO[],MATCH(J$9,MMWR_ACCURACY_RO[#Headers],0),0),"ERROR"))</f>
        <v>0.95456246324905125</v>
      </c>
      <c r="K24" s="157">
        <f>IF($B24=" ","",IFERROR(VLOOKUP($B24,MMWR_ACCURACY_RO[],MATCH(K$9,MMWR_ACCURACY_RO[#Headers],0),0),"ERROR"))</f>
        <v>0.89852095316351699</v>
      </c>
      <c r="L24" s="157">
        <f>IF($B24=" ","",IFERROR(VLOOKUP($B24,MMWR_ACCURACY_RO[],MATCH(L$9,MMWR_ACCURACY_RO[#Headers],0),0),"ERROR"))</f>
        <v>0.91574398391386136</v>
      </c>
      <c r="M24" s="157">
        <f>IF($B24=" ","",IFERROR(VLOOKUP($B24,MMWR_ACCURACY_RO[],MATCH(M$9,MMWR_ACCURACY_RO[#Headers],0),0),"ERROR"))</f>
        <v>3.6417395667038263E-2</v>
      </c>
      <c r="N24" s="157">
        <f>IF($B24=" ","",IFERROR(VLOOKUP($B24,MMWR_ACCURACY_RO[],MATCH(N$9,MMWR_ACCURACY_RO[#Headers],0),0),"ERROR"))</f>
        <v>0.85260934649088982</v>
      </c>
      <c r="O24" s="157">
        <f>IF($B24=" ","",IFERROR(VLOOKUP($B24,MMWR_ACCURACY_RO[],MATCH(O$9,MMWR_ACCURACY_RO[#Headers],0),0),"ERROR"))</f>
        <v>5.209406360328387E-2</v>
      </c>
      <c r="P24" s="28"/>
    </row>
    <row r="25" spans="1:16" x14ac:dyDescent="0.2">
      <c r="A25" s="25"/>
      <c r="B25" s="8" t="str">
        <f>VLOOKUP($B$16,DISTRICT_RO[],10,0)</f>
        <v>Philadelphia VSC</v>
      </c>
      <c r="C25" s="154">
        <f>IF($B25=" ","",IFERROR(INDEX(MMWR_RATING_RO_ROLLUP[],MATCH($B25,MMWR_RATING_RO_ROLLUP[MMWR_RATING_RO_ROLLUP],0),MATCH(C$9,MMWR_RATING_RO_ROLLUP[#Headers],0)),"ERROR"))</f>
        <v>2248</v>
      </c>
      <c r="D25" s="155">
        <f>IF($B25=" ","",IFERROR(INDEX(MMWR_RATING_RO_ROLLUP[],MATCH($B25,MMWR_RATING_RO_ROLLUP[MMWR_RATING_RO_ROLLUP],0),MATCH(D$9,MMWR_RATING_RO_ROLLUP[#Headers],0)),"ERROR"))</f>
        <v>123.153024911</v>
      </c>
      <c r="E25" s="156">
        <f>IF($B25=" ","",IFERROR(INDEX(MMWR_RATING_RO_ROLLUP[],MATCH($B25,MMWR_RATING_RO_ROLLUP[MMWR_RATING_RO_ROLLUP],0),MATCH(E$9,MMWR_RATING_RO_ROLLUP[#Headers],0))/$C25,"ERROR"))</f>
        <v>0.37144128113879005</v>
      </c>
      <c r="F25" s="154">
        <f>IF($B25=" ","",IFERROR(INDEX(MMWR_RATING_RO_ROLLUP[],MATCH($B25,MMWR_RATING_RO_ROLLUP[MMWR_RATING_RO_ROLLUP],0),MATCH(F$9,MMWR_RATING_RO_ROLLUP[#Headers],0)),"ERROR"))</f>
        <v>247</v>
      </c>
      <c r="G25" s="154">
        <f>IF($B25=" ","",IFERROR(INDEX(MMWR_RATING_RO_ROLLUP[],MATCH($B25,MMWR_RATING_RO_ROLLUP[MMWR_RATING_RO_ROLLUP],0),MATCH(G$9,MMWR_RATING_RO_ROLLUP[#Headers],0)),"ERROR"))</f>
        <v>16360</v>
      </c>
      <c r="H25" s="155">
        <f>IF($B25=" ","",IFERROR(INDEX(MMWR_RATING_RO_ROLLUP[],MATCH($B25,MMWR_RATING_RO_ROLLUP[MMWR_RATING_RO_ROLLUP],0),MATCH(H$9,MMWR_RATING_RO_ROLLUP[#Headers],0)),"ERROR"))</f>
        <v>131.1862348178</v>
      </c>
      <c r="I25" s="155">
        <f>IF($B25=" ","",IFERROR(INDEX(MMWR_RATING_RO_ROLLUP[],MATCH($B25,MMWR_RATING_RO_ROLLUP[MMWR_RATING_RO_ROLLUP],0),MATCH(I$9,MMWR_RATING_RO_ROLLUP[#Headers],0)),"ERROR"))</f>
        <v>145.81992665039999</v>
      </c>
      <c r="J25" s="157">
        <f>IF($B25=" ","",IFERROR(VLOOKUP($B25,MMWR_ACCURACY_RO[],MATCH(J$9,MMWR_ACCURACY_RO[#Headers],0),0),"ERROR"))</f>
        <v>0.93564667966013171</v>
      </c>
      <c r="K25" s="157">
        <f>IF($B25=" ","",IFERROR(VLOOKUP($B25,MMWR_ACCURACY_RO[],MATCH(K$9,MMWR_ACCURACY_RO[#Headers],0),0),"ERROR"))</f>
        <v>0.87252439432558371</v>
      </c>
      <c r="L25" s="157">
        <f>IF($B25=" ","",IFERROR(VLOOKUP($B25,MMWR_ACCURACY_RO[],MATCH(L$9,MMWR_ACCURACY_RO[#Headers],0),0),"ERROR"))</f>
        <v>0.90114556170774107</v>
      </c>
      <c r="M25" s="157">
        <f>IF($B25=" ","",IFERROR(VLOOKUP($B25,MMWR_ACCURACY_RO[],MATCH(M$9,MMWR_ACCURACY_RO[#Headers],0),0),"ERROR"))</f>
        <v>4.26412133876687E-2</v>
      </c>
      <c r="N25" s="157">
        <f>IF($B25=" ","",IFERROR(VLOOKUP($B25,MMWR_ACCURACY_RO[],MATCH(N$9,MMWR_ACCURACY_RO[#Headers],0),0),"ERROR"))</f>
        <v>0.87175666609830182</v>
      </c>
      <c r="O25" s="157">
        <f>IF($B25=" ","",IFERROR(VLOOKUP($B25,MMWR_ACCURACY_RO[],MATCH(O$9,MMWR_ACCURACY_RO[#Headers],0),0),"ERROR"))</f>
        <v>5.7210641482935289E-2</v>
      </c>
      <c r="P25" s="28"/>
    </row>
    <row r="26" spans="1:16" x14ac:dyDescent="0.2">
      <c r="A26" s="25"/>
      <c r="B26" s="8" t="str">
        <f>VLOOKUP($B$16,DISTRICT_RO[],11,0)</f>
        <v>Pittsburgh VSC</v>
      </c>
      <c r="C26" s="154">
        <f>IF($B26=" ","",IFERROR(INDEX(MMWR_RATING_RO_ROLLUP[],MATCH($B26,MMWR_RATING_RO_ROLLUP[MMWR_RATING_RO_ROLLUP],0),MATCH(C$9,MMWR_RATING_RO_ROLLUP[#Headers],0)),"ERROR"))</f>
        <v>567</v>
      </c>
      <c r="D26" s="155">
        <f>IF($B26=" ","",IFERROR(INDEX(MMWR_RATING_RO_ROLLUP[],MATCH($B26,MMWR_RATING_RO_ROLLUP[MMWR_RATING_RO_ROLLUP],0),MATCH(D$9,MMWR_RATING_RO_ROLLUP[#Headers],0)),"ERROR"))</f>
        <v>154.72310405639999</v>
      </c>
      <c r="E26" s="156">
        <f>IF($B26=" ","",IFERROR(INDEX(MMWR_RATING_RO_ROLLUP[],MATCH($B26,MMWR_RATING_RO_ROLLUP[MMWR_RATING_RO_ROLLUP],0),MATCH(E$9,MMWR_RATING_RO_ROLLUP[#Headers],0))/$C26,"ERROR"))</f>
        <v>0.52380952380952384</v>
      </c>
      <c r="F26" s="154">
        <f>IF($B26=" ","",IFERROR(INDEX(MMWR_RATING_RO_ROLLUP[],MATCH($B26,MMWR_RATING_RO_ROLLUP[MMWR_RATING_RO_ROLLUP],0),MATCH(F$9,MMWR_RATING_RO_ROLLUP[#Headers],0)),"ERROR"))</f>
        <v>188</v>
      </c>
      <c r="G26" s="154">
        <f>IF($B26=" ","",IFERROR(INDEX(MMWR_RATING_RO_ROLLUP[],MATCH($B26,MMWR_RATING_RO_ROLLUP[MMWR_RATING_RO_ROLLUP],0),MATCH(G$9,MMWR_RATING_RO_ROLLUP[#Headers],0)),"ERROR"))</f>
        <v>7485</v>
      </c>
      <c r="H26" s="155">
        <f>IF($B26=" ","",IFERROR(INDEX(MMWR_RATING_RO_ROLLUP[],MATCH($B26,MMWR_RATING_RO_ROLLUP[MMWR_RATING_RO_ROLLUP],0),MATCH(H$9,MMWR_RATING_RO_ROLLUP[#Headers],0)),"ERROR"))</f>
        <v>154.7659574468</v>
      </c>
      <c r="I26" s="155">
        <f>IF($B26=" ","",IFERROR(INDEX(MMWR_RATING_RO_ROLLUP[],MATCH($B26,MMWR_RATING_RO_ROLLUP[MMWR_RATING_RO_ROLLUP],0),MATCH(I$9,MMWR_RATING_RO_ROLLUP[#Headers],0)),"ERROR"))</f>
        <v>169.99358717429999</v>
      </c>
      <c r="J26" s="157">
        <f>IF($B26=" ","",IFERROR(VLOOKUP($B26,MMWR_ACCURACY_RO[],MATCH(J$9,MMWR_ACCURACY_RO[#Headers],0),0),"ERROR"))</f>
        <v>0.93340851673194869</v>
      </c>
      <c r="K26" s="157">
        <f>IF($B26=" ","",IFERROR(VLOOKUP($B26,MMWR_ACCURACY_RO[],MATCH(K$9,MMWR_ACCURACY_RO[#Headers],0),0),"ERROR"))</f>
        <v>0.82150477128320565</v>
      </c>
      <c r="L26" s="157">
        <f>IF($B26=" ","",IFERROR(VLOOKUP($B26,MMWR_ACCURACY_RO[],MATCH(L$9,MMWR_ACCURACY_RO[#Headers],0),0),"ERROR"))</f>
        <v>0.87787324861114557</v>
      </c>
      <c r="M26" s="157">
        <f>IF($B26=" ","",IFERROR(VLOOKUP($B26,MMWR_ACCURACY_RO[],MATCH(M$9,MMWR_ACCURACY_RO[#Headers],0),0),"ERROR"))</f>
        <v>4.7785048468809703E-2</v>
      </c>
      <c r="N26" s="157">
        <f>IF($B26=" ","",IFERROR(VLOOKUP($B26,MMWR_ACCURACY_RO[],MATCH(N$9,MMWR_ACCURACY_RO[#Headers],0),0),"ERROR"))</f>
        <v>0.8884581868249174</v>
      </c>
      <c r="O26" s="157">
        <f>IF($B26=" ","",IFERROR(VLOOKUP($B26,MMWR_ACCURACY_RO[],MATCH(O$9,MMWR_ACCURACY_RO[#Headers],0),0),"ERROR"))</f>
        <v>5.6818741707293154E-2</v>
      </c>
      <c r="P26" s="28"/>
    </row>
    <row r="27" spans="1:16" x14ac:dyDescent="0.2">
      <c r="A27" s="25"/>
      <c r="B27" s="8" t="str">
        <f>VLOOKUP($B$16,DISTRICT_RO[],12,0)</f>
        <v>Providence VSC</v>
      </c>
      <c r="C27" s="154">
        <f>IF($B27=" ","",IFERROR(INDEX(MMWR_RATING_RO_ROLLUP[],MATCH($B27,MMWR_RATING_RO_ROLLUP[MMWR_RATING_RO_ROLLUP],0),MATCH(C$9,MMWR_RATING_RO_ROLLUP[#Headers],0)),"ERROR"))</f>
        <v>1779</v>
      </c>
      <c r="D27" s="155">
        <f>IF($B27=" ","",IFERROR(INDEX(MMWR_RATING_RO_ROLLUP[],MATCH($B27,MMWR_RATING_RO_ROLLUP[MMWR_RATING_RO_ROLLUP],0),MATCH(D$9,MMWR_RATING_RO_ROLLUP[#Headers],0)),"ERROR"))</f>
        <v>54.025295109600002</v>
      </c>
      <c r="E27" s="156">
        <f>IF($B27=" ","",IFERROR(INDEX(MMWR_RATING_RO_ROLLUP[],MATCH($B27,MMWR_RATING_RO_ROLLUP[MMWR_RATING_RO_ROLLUP],0),MATCH(E$9,MMWR_RATING_RO_ROLLUP[#Headers],0))/$C27,"ERROR"))</f>
        <v>0.11804384485666104</v>
      </c>
      <c r="F27" s="154">
        <f>IF($B27=" ","",IFERROR(INDEX(MMWR_RATING_RO_ROLLUP[],MATCH($B27,MMWR_RATING_RO_ROLLUP[MMWR_RATING_RO_ROLLUP],0),MATCH(F$9,MMWR_RATING_RO_ROLLUP[#Headers],0)),"ERROR"))</f>
        <v>318</v>
      </c>
      <c r="G27" s="154">
        <f>IF($B27=" ","",IFERROR(INDEX(MMWR_RATING_RO_ROLLUP[],MATCH($B27,MMWR_RATING_RO_ROLLUP[MMWR_RATING_RO_ROLLUP],0),MATCH(G$9,MMWR_RATING_RO_ROLLUP[#Headers],0)),"ERROR"))</f>
        <v>17403</v>
      </c>
      <c r="H27" s="155">
        <f>IF($B27=" ","",IFERROR(INDEX(MMWR_RATING_RO_ROLLUP[],MATCH($B27,MMWR_RATING_RO_ROLLUP[MMWR_RATING_RO_ROLLUP],0),MATCH(H$9,MMWR_RATING_RO_ROLLUP[#Headers],0)),"ERROR"))</f>
        <v>58.100628930799999</v>
      </c>
      <c r="I27" s="155">
        <f>IF($B27=" ","",IFERROR(INDEX(MMWR_RATING_RO_ROLLUP[],MATCH($B27,MMWR_RATING_RO_ROLLUP[MMWR_RATING_RO_ROLLUP],0),MATCH(I$9,MMWR_RATING_RO_ROLLUP[#Headers],0)),"ERROR"))</f>
        <v>74.852094466500006</v>
      </c>
      <c r="J27" s="157">
        <f>IF($B27=" ","",IFERROR(VLOOKUP($B27,MMWR_ACCURACY_RO[],MATCH(J$9,MMWR_ACCURACY_RO[#Headers],0),0),"ERROR"))</f>
        <v>0.92644461502359943</v>
      </c>
      <c r="K27" s="157">
        <f>IF($B27=" ","",IFERROR(VLOOKUP($B27,MMWR_ACCURACY_RO[],MATCH(K$9,MMWR_ACCURACY_RO[#Headers],0),0),"ERROR"))</f>
        <v>0.80909546534546517</v>
      </c>
      <c r="L27" s="157">
        <f>IF($B27=" ","",IFERROR(VLOOKUP($B27,MMWR_ACCURACY_RO[],MATCH(L$9,MMWR_ACCURACY_RO[#Headers],0),0),"ERROR"))</f>
        <v>0.86795165473074543</v>
      </c>
      <c r="M27" s="157">
        <f>IF($B27=" ","",IFERROR(VLOOKUP($B27,MMWR_ACCURACY_RO[],MATCH(M$9,MMWR_ACCURACY_RO[#Headers],0),0),"ERROR"))</f>
        <v>5.7247394299317945E-2</v>
      </c>
      <c r="N27" s="157">
        <f>IF($B27=" ","",IFERROR(VLOOKUP($B27,MMWR_ACCURACY_RO[],MATCH(N$9,MMWR_ACCURACY_RO[#Headers],0),0),"ERROR"))</f>
        <v>0.93143567855554144</v>
      </c>
      <c r="O27" s="157">
        <f>IF($B27=" ","",IFERROR(VLOOKUP($B27,MMWR_ACCURACY_RO[],MATCH(O$9,MMWR_ACCURACY_RO[#Headers],0),0),"ERROR"))</f>
        <v>4.1751687807561881E-2</v>
      </c>
      <c r="P27" s="28"/>
    </row>
    <row r="28" spans="1:16" x14ac:dyDescent="0.2">
      <c r="A28" s="25"/>
      <c r="B28" s="8" t="str">
        <f>VLOOKUP($B$16,DISTRICT_RO[],13,0)</f>
        <v>Roanoke VSC</v>
      </c>
      <c r="C28" s="154">
        <f>IF($B28=" ","",IFERROR(INDEX(MMWR_RATING_RO_ROLLUP[],MATCH($B28,MMWR_RATING_RO_ROLLUP[MMWR_RATING_RO_ROLLUP],0),MATCH(C$9,MMWR_RATING_RO_ROLLUP[#Headers],0)),"ERROR"))</f>
        <v>2175</v>
      </c>
      <c r="D28" s="155">
        <f>IF($B28=" ","",IFERROR(INDEX(MMWR_RATING_RO_ROLLUP[],MATCH($B28,MMWR_RATING_RO_ROLLUP[MMWR_RATING_RO_ROLLUP],0),MATCH(D$9,MMWR_RATING_RO_ROLLUP[#Headers],0)),"ERROR"))</f>
        <v>111.835862069</v>
      </c>
      <c r="E28" s="156">
        <f>IF($B28=" ","",IFERROR(INDEX(MMWR_RATING_RO_ROLLUP[],MATCH($B28,MMWR_RATING_RO_ROLLUP[MMWR_RATING_RO_ROLLUP],0),MATCH(E$9,MMWR_RATING_RO_ROLLUP[#Headers],0))/$C28,"ERROR"))</f>
        <v>0.34160919540229884</v>
      </c>
      <c r="F28" s="154">
        <f>IF($B28=" ","",IFERROR(INDEX(MMWR_RATING_RO_ROLLUP[],MATCH($B28,MMWR_RATING_RO_ROLLUP[MMWR_RATING_RO_ROLLUP],0),MATCH(F$9,MMWR_RATING_RO_ROLLUP[#Headers],0)),"ERROR"))</f>
        <v>440</v>
      </c>
      <c r="G28" s="154">
        <f>IF($B28=" ","",IFERROR(INDEX(MMWR_RATING_RO_ROLLUP[],MATCH($B28,MMWR_RATING_RO_ROLLUP[MMWR_RATING_RO_ROLLUP],0),MATCH(G$9,MMWR_RATING_RO_ROLLUP[#Headers],0)),"ERROR"))</f>
        <v>23308</v>
      </c>
      <c r="H28" s="155">
        <f>IF($B28=" ","",IFERROR(INDEX(MMWR_RATING_RO_ROLLUP[],MATCH($B28,MMWR_RATING_RO_ROLLUP[MMWR_RATING_RO_ROLLUP],0),MATCH(H$9,MMWR_RATING_RO_ROLLUP[#Headers],0)),"ERROR"))</f>
        <v>135.74318181819999</v>
      </c>
      <c r="I28" s="155">
        <f>IF($B28=" ","",IFERROR(INDEX(MMWR_RATING_RO_ROLLUP[],MATCH($B28,MMWR_RATING_RO_ROLLUP[MMWR_RATING_RO_ROLLUP],0),MATCH(I$9,MMWR_RATING_RO_ROLLUP[#Headers],0)),"ERROR"))</f>
        <v>132.7092414622</v>
      </c>
      <c r="J28" s="157">
        <f>IF($B28=" ","",IFERROR(VLOOKUP($B28,MMWR_ACCURACY_RO[],MATCH(J$9,MMWR_ACCURACY_RO[#Headers],0),0),"ERROR"))</f>
        <v>0.94901350667454265</v>
      </c>
      <c r="K28" s="157">
        <f>IF($B28=" ","",IFERROR(VLOOKUP($B28,MMWR_ACCURACY_RO[],MATCH(K$9,MMWR_ACCURACY_RO[#Headers],0),0),"ERROR"))</f>
        <v>0.81625003229723792</v>
      </c>
      <c r="L28" s="157">
        <f>IF($B28=" ","",IFERROR(VLOOKUP($B28,MMWR_ACCURACY_RO[],MATCH(L$9,MMWR_ACCURACY_RO[#Headers],0),0),"ERROR"))</f>
        <v>0.89054999290542369</v>
      </c>
      <c r="M28" s="157">
        <f>IF($B28=" ","",IFERROR(VLOOKUP($B28,MMWR_ACCURACY_RO[],MATCH(M$9,MMWR_ACCURACY_RO[#Headers],0),0),"ERROR"))</f>
        <v>4.8485879563683339E-2</v>
      </c>
      <c r="N28" s="157">
        <f>IF($B28=" ","",IFERROR(VLOOKUP($B28,MMWR_ACCURACY_RO[],MATCH(N$9,MMWR_ACCURACY_RO[#Headers],0),0),"ERROR"))</f>
        <v>0.89573928387618584</v>
      </c>
      <c r="O28" s="157">
        <f>IF($B28=" ","",IFERROR(VLOOKUP($B28,MMWR_ACCURACY_RO[],MATCH(O$9,MMWR_ACCURACY_RO[#Headers],0),0),"ERROR"))</f>
        <v>4.7773152407445493E-2</v>
      </c>
      <c r="P28" s="28"/>
    </row>
    <row r="29" spans="1:16" x14ac:dyDescent="0.2">
      <c r="A29" s="25"/>
      <c r="B29" s="8" t="str">
        <f>VLOOKUP($B$16,DISTRICT_RO[],14,0)</f>
        <v>Togus VSC</v>
      </c>
      <c r="C29" s="154">
        <f>IF($B29=" ","",IFERROR(INDEX(MMWR_RATING_RO_ROLLUP[],MATCH($B29,MMWR_RATING_RO_ROLLUP[MMWR_RATING_RO_ROLLUP],0),MATCH(C$9,MMWR_RATING_RO_ROLLUP[#Headers],0)),"ERROR"))</f>
        <v>1599</v>
      </c>
      <c r="D29" s="155">
        <f>IF($B29=" ","",IFERROR(INDEX(MMWR_RATING_RO_ROLLUP[],MATCH($B29,MMWR_RATING_RO_ROLLUP[MMWR_RATING_RO_ROLLUP],0),MATCH(D$9,MMWR_RATING_RO_ROLLUP[#Headers],0)),"ERROR"))</f>
        <v>79.876797998699999</v>
      </c>
      <c r="E29" s="156">
        <f>IF($B29=" ","",IFERROR(INDEX(MMWR_RATING_RO_ROLLUP[],MATCH($B29,MMWR_RATING_RO_ROLLUP[MMWR_RATING_RO_ROLLUP],0),MATCH(E$9,MMWR_RATING_RO_ROLLUP[#Headers],0))/$C29,"ERROR"))</f>
        <v>0.14571607254534083</v>
      </c>
      <c r="F29" s="154">
        <f>IF($B29=" ","",IFERROR(INDEX(MMWR_RATING_RO_ROLLUP[],MATCH($B29,MMWR_RATING_RO_ROLLUP[MMWR_RATING_RO_ROLLUP],0),MATCH(F$9,MMWR_RATING_RO_ROLLUP[#Headers],0)),"ERROR"))</f>
        <v>185</v>
      </c>
      <c r="G29" s="154">
        <f>IF($B29=" ","",IFERROR(INDEX(MMWR_RATING_RO_ROLLUP[],MATCH($B29,MMWR_RATING_RO_ROLLUP[MMWR_RATING_RO_ROLLUP],0),MATCH(G$9,MMWR_RATING_RO_ROLLUP[#Headers],0)),"ERROR"))</f>
        <v>11803</v>
      </c>
      <c r="H29" s="155">
        <f>IF($B29=" ","",IFERROR(INDEX(MMWR_RATING_RO_ROLLUP[],MATCH($B29,MMWR_RATING_RO_ROLLUP[MMWR_RATING_RO_ROLLUP],0),MATCH(H$9,MMWR_RATING_RO_ROLLUP[#Headers],0)),"ERROR"))</f>
        <v>83.708108108100006</v>
      </c>
      <c r="I29" s="155">
        <f>IF($B29=" ","",IFERROR(INDEX(MMWR_RATING_RO_ROLLUP[],MATCH($B29,MMWR_RATING_RO_ROLLUP[MMWR_RATING_RO_ROLLUP],0),MATCH(I$9,MMWR_RATING_RO_ROLLUP[#Headers],0)),"ERROR"))</f>
        <v>132.51071761419999</v>
      </c>
      <c r="J29" s="157">
        <f>IF($B29=" ","",IFERROR(VLOOKUP($B29,MMWR_ACCURACY_RO[],MATCH(J$9,MMWR_ACCURACY_RO[#Headers],0),0),"ERROR"))</f>
        <v>0.96692056177585284</v>
      </c>
      <c r="K29" s="157">
        <f>IF($B29=" ","",IFERROR(VLOOKUP($B29,MMWR_ACCURACY_RO[],MATCH(K$9,MMWR_ACCURACY_RO[#Headers],0),0),"ERROR"))</f>
        <v>0.91168188969942165</v>
      </c>
      <c r="L29" s="157">
        <f>IF($B29=" ","",IFERROR(VLOOKUP($B29,MMWR_ACCURACY_RO[],MATCH(L$9,MMWR_ACCURACY_RO[#Headers],0),0),"ERROR"))</f>
        <v>0.88462881371324054</v>
      </c>
      <c r="M29" s="157">
        <f>IF($B29=" ","",IFERROR(VLOOKUP($B29,MMWR_ACCURACY_RO[],MATCH(M$9,MMWR_ACCURACY_RO[#Headers],0),0),"ERROR"))</f>
        <v>5.2573741053440627E-2</v>
      </c>
      <c r="N29" s="157">
        <f>IF($B29=" ","",IFERROR(VLOOKUP($B29,MMWR_ACCURACY_RO[],MATCH(N$9,MMWR_ACCURACY_RO[#Headers],0),0),"ERROR"))</f>
        <v>0.93558359975321115</v>
      </c>
      <c r="O29" s="157">
        <f>IF($B29=" ","",IFERROR(VLOOKUP($B29,MMWR_ACCURACY_RO[],MATCH(O$9,MMWR_ACCURACY_RO[#Headers],0),0),"ERROR"))</f>
        <v>3.8759447709025847E-2</v>
      </c>
      <c r="P29" s="28"/>
    </row>
    <row r="30" spans="1:16" x14ac:dyDescent="0.2">
      <c r="A30" s="25"/>
      <c r="B30" s="8" t="str">
        <f>VLOOKUP($B$16,DISTRICT_RO[],15,0)</f>
        <v>White River Junction VSC</v>
      </c>
      <c r="C30" s="154">
        <f>IF($B30=" ","",IFERROR(INDEX(MMWR_RATING_RO_ROLLUP[],MATCH($B30,MMWR_RATING_RO_ROLLUP[MMWR_RATING_RO_ROLLUP],0),MATCH(C$9,MMWR_RATING_RO_ROLLUP[#Headers],0)),"ERROR"))</f>
        <v>196</v>
      </c>
      <c r="D30" s="155">
        <f>IF($B30=" ","",IFERROR(INDEX(MMWR_RATING_RO_ROLLUP[],MATCH($B30,MMWR_RATING_RO_ROLLUP[MMWR_RATING_RO_ROLLUP],0),MATCH(D$9,MMWR_RATING_RO_ROLLUP[#Headers],0)),"ERROR"))</f>
        <v>123.59693877550001</v>
      </c>
      <c r="E30" s="156">
        <f>IF($B30=" ","",IFERROR(INDEX(MMWR_RATING_RO_ROLLUP[],MATCH($B30,MMWR_RATING_RO_ROLLUP[MMWR_RATING_RO_ROLLUP],0),MATCH(E$9,MMWR_RATING_RO_ROLLUP[#Headers],0))/$C30,"ERROR"))</f>
        <v>0.44387755102040816</v>
      </c>
      <c r="F30" s="154">
        <f>IF($B30=" ","",IFERROR(INDEX(MMWR_RATING_RO_ROLLUP[],MATCH($B30,MMWR_RATING_RO_ROLLUP[MMWR_RATING_RO_ROLLUP],0),MATCH(F$9,MMWR_RATING_RO_ROLLUP[#Headers],0)),"ERROR"))</f>
        <v>22</v>
      </c>
      <c r="G30" s="154">
        <f>IF($B30=" ","",IFERROR(INDEX(MMWR_RATING_RO_ROLLUP[],MATCH($B30,MMWR_RATING_RO_ROLLUP[MMWR_RATING_RO_ROLLUP],0),MATCH(G$9,MMWR_RATING_RO_ROLLUP[#Headers],0)),"ERROR"))</f>
        <v>1473</v>
      </c>
      <c r="H30" s="155">
        <f>IF($B30=" ","",IFERROR(INDEX(MMWR_RATING_RO_ROLLUP[],MATCH($B30,MMWR_RATING_RO_ROLLUP[MMWR_RATING_RO_ROLLUP],0),MATCH(H$9,MMWR_RATING_RO_ROLLUP[#Headers],0)),"ERROR"))</f>
        <v>88.227272727300004</v>
      </c>
      <c r="I30" s="155">
        <f>IF($B30=" ","",IFERROR(INDEX(MMWR_RATING_RO_ROLLUP[],MATCH($B30,MMWR_RATING_RO_ROLLUP[MMWR_RATING_RO_ROLLUP],0),MATCH(I$9,MMWR_RATING_RO_ROLLUP[#Headers],0)),"ERROR"))</f>
        <v>144.94908350310001</v>
      </c>
      <c r="J30" s="157">
        <f>IF($B30=" ","",IFERROR(VLOOKUP($B30,MMWR_ACCURACY_RO[],MATCH(J$9,MMWR_ACCURACY_RO[#Headers],0),0),"ERROR"))</f>
        <v>0.9191072989348622</v>
      </c>
      <c r="K30" s="157">
        <f>IF($B30=" ","",IFERROR(VLOOKUP($B30,MMWR_ACCURACY_RO[],MATCH(K$9,MMWR_ACCURACY_RO[#Headers],0),0),"ERROR"))</f>
        <v>0.88923685010641551</v>
      </c>
      <c r="L30" s="157">
        <f>IF($B30=" ","",IFERROR(VLOOKUP($B30,MMWR_ACCURACY_RO[],MATCH(L$9,MMWR_ACCURACY_RO[#Headers],0),0),"ERROR"))</f>
        <v>0.85806531626797</v>
      </c>
      <c r="M30" s="157">
        <f>IF($B30=" ","",IFERROR(VLOOKUP($B30,MMWR_ACCURACY_RO[],MATCH(M$9,MMWR_ACCURACY_RO[#Headers],0),0),"ERROR"))</f>
        <v>4.6232573966075351E-2</v>
      </c>
      <c r="N30" s="157">
        <f>IF($B30=" ","",IFERROR(VLOOKUP($B30,MMWR_ACCURACY_RO[],MATCH(N$9,MMWR_ACCURACY_RO[#Headers],0),0),"ERROR"))</f>
        <v>0.88214563538367519</v>
      </c>
      <c r="O30" s="157">
        <f>IF($B30=" ","",IFERROR(VLOOKUP($B30,MMWR_ACCURACY_RO[],MATCH(O$9,MMWR_ACCURACY_RO[#Headers],0),0),"ERROR"))</f>
        <v>4.7400330142663948E-2</v>
      </c>
      <c r="P30" s="28"/>
    </row>
    <row r="31" spans="1:16" x14ac:dyDescent="0.2">
      <c r="A31" s="25"/>
      <c r="B31" s="8" t="str">
        <f>VLOOKUP($B$16,DISTRICT_RO[],16,0)</f>
        <v>Wilmington VSC</v>
      </c>
      <c r="C31" s="154">
        <f>IF($B31=" ","",IFERROR(INDEX(MMWR_RATING_RO_ROLLUP[],MATCH($B31,MMWR_RATING_RO_ROLLUP[MMWR_RATING_RO_ROLLUP],0),MATCH(C$9,MMWR_RATING_RO_ROLLUP[#Headers],0)),"ERROR"))</f>
        <v>194</v>
      </c>
      <c r="D31" s="155">
        <f>IF($B31=" ","",IFERROR(INDEX(MMWR_RATING_RO_ROLLUP[],MATCH($B31,MMWR_RATING_RO_ROLLUP[MMWR_RATING_RO_ROLLUP],0),MATCH(D$9,MMWR_RATING_RO_ROLLUP[#Headers],0)),"ERROR"))</f>
        <v>132.1391752577</v>
      </c>
      <c r="E31" s="156">
        <f>IF($B31=" ","",IFERROR(INDEX(MMWR_RATING_RO_ROLLUP[],MATCH($B31,MMWR_RATING_RO_ROLLUP[MMWR_RATING_RO_ROLLUP],0),MATCH(E$9,MMWR_RATING_RO_ROLLUP[#Headers],0))/$C31,"ERROR"))</f>
        <v>0.47422680412371132</v>
      </c>
      <c r="F31" s="154">
        <f>IF($B31=" ","",IFERROR(INDEX(MMWR_RATING_RO_ROLLUP[],MATCH($B31,MMWR_RATING_RO_ROLLUP[MMWR_RATING_RO_ROLLUP],0),MATCH(F$9,MMWR_RATING_RO_ROLLUP[#Headers],0)),"ERROR"))</f>
        <v>12</v>
      </c>
      <c r="G31" s="154">
        <f>IF($B31=" ","",IFERROR(INDEX(MMWR_RATING_RO_ROLLUP[],MATCH($B31,MMWR_RATING_RO_ROLLUP[MMWR_RATING_RO_ROLLUP],0),MATCH(G$9,MMWR_RATING_RO_ROLLUP[#Headers],0)),"ERROR"))</f>
        <v>1050</v>
      </c>
      <c r="H31" s="155">
        <f>IF($B31=" ","",IFERROR(INDEX(MMWR_RATING_RO_ROLLUP[],MATCH($B31,MMWR_RATING_RO_ROLLUP[MMWR_RATING_RO_ROLLUP],0),MATCH(H$9,MMWR_RATING_RO_ROLLUP[#Headers],0)),"ERROR"))</f>
        <v>145.3333333333</v>
      </c>
      <c r="I31" s="155">
        <f>IF($B31=" ","",IFERROR(INDEX(MMWR_RATING_RO_ROLLUP[],MATCH($B31,MMWR_RATING_RO_ROLLUP[MMWR_RATING_RO_ROLLUP],0),MATCH(I$9,MMWR_RATING_RO_ROLLUP[#Headers],0)),"ERROR"))</f>
        <v>125.3466666667</v>
      </c>
      <c r="J31" s="157">
        <f>IF($B31=" ","",IFERROR(VLOOKUP($B31,MMWR_ACCURACY_RO[],MATCH(J$9,MMWR_ACCURACY_RO[#Headers],0),0),"ERROR"))</f>
        <v>0.95149591370667741</v>
      </c>
      <c r="K31" s="157">
        <f>IF($B31=" ","",IFERROR(VLOOKUP($B31,MMWR_ACCURACY_RO[],MATCH(K$9,MMWR_ACCURACY_RO[#Headers],0),0),"ERROR"))</f>
        <v>0.91573556797020483</v>
      </c>
      <c r="L31" s="157">
        <f>IF($B31=" ","",IFERROR(VLOOKUP($B31,MMWR_ACCURACY_RO[],MATCH(L$9,MMWR_ACCURACY_RO[#Headers],0),0),"ERROR"))</f>
        <v>0.85804729914095657</v>
      </c>
      <c r="M31" s="157">
        <f>IF($B31=" ","",IFERROR(VLOOKUP($B31,MMWR_ACCURACY_RO[],MATCH(M$9,MMWR_ACCURACY_RO[#Headers],0),0),"ERROR"))</f>
        <v>4.8649074517755582E-2</v>
      </c>
      <c r="N31" s="157">
        <f>IF($B31=" ","",IFERROR(VLOOKUP($B31,MMWR_ACCURACY_RO[],MATCH(N$9,MMWR_ACCURACY_RO[#Headers],0),0),"ERROR"))</f>
        <v>0.90350992410974906</v>
      </c>
      <c r="O31" s="157">
        <f>IF($B31=" ","",IFERROR(VLOOKUP($B31,MMWR_ACCURACY_RO[],MATCH(O$9,MMWR_ACCURACY_RO[#Headers],0),0),"ERROR"))</f>
        <v>5.2074850776981735E-2</v>
      </c>
      <c r="P31" s="28"/>
    </row>
    <row r="32" spans="1:16" x14ac:dyDescent="0.2">
      <c r="A32" s="25"/>
      <c r="B32" s="8" t="str">
        <f>VLOOKUP($B$16,DISTRICT_RO[],17,0)</f>
        <v>Winston-Salem VSC</v>
      </c>
      <c r="C32" s="154">
        <f>IF($B32=" ","",IFERROR(INDEX(MMWR_RATING_RO_ROLLUP[],MATCH($B32,MMWR_RATING_RO_ROLLUP[MMWR_RATING_RO_ROLLUP],0),MATCH(C$9,MMWR_RATING_RO_ROLLUP[#Headers],0)),"ERROR"))</f>
        <v>3603</v>
      </c>
      <c r="D32" s="155">
        <f>IF($B32=" ","",IFERROR(INDEX(MMWR_RATING_RO_ROLLUP[],MATCH($B32,MMWR_RATING_RO_ROLLUP[MMWR_RATING_RO_ROLLUP],0),MATCH(D$9,MMWR_RATING_RO_ROLLUP[#Headers],0)),"ERROR"))</f>
        <v>112.78712184290001</v>
      </c>
      <c r="E32" s="156">
        <f>IF($B32=" ","",IFERROR(INDEX(MMWR_RATING_RO_ROLLUP[],MATCH($B32,MMWR_RATING_RO_ROLLUP[MMWR_RATING_RO_ROLLUP],0),MATCH(E$9,MMWR_RATING_RO_ROLLUP[#Headers],0))/$C32,"ERROR"))</f>
        <v>0.38079378295864558</v>
      </c>
      <c r="F32" s="154">
        <f>IF($B32=" ","",IFERROR(INDEX(MMWR_RATING_RO_ROLLUP[],MATCH($B32,MMWR_RATING_RO_ROLLUP[MMWR_RATING_RO_ROLLUP],0),MATCH(F$9,MMWR_RATING_RO_ROLLUP[#Headers],0)),"ERROR"))</f>
        <v>375</v>
      </c>
      <c r="G32" s="154">
        <f>IF($B32=" ","",IFERROR(INDEX(MMWR_RATING_RO_ROLLUP[],MATCH($B32,MMWR_RATING_RO_ROLLUP[MMWR_RATING_RO_ROLLUP],0),MATCH(G$9,MMWR_RATING_RO_ROLLUP[#Headers],0)),"ERROR"))</f>
        <v>21963</v>
      </c>
      <c r="H32" s="155">
        <f>IF($B32=" ","",IFERROR(INDEX(MMWR_RATING_RO_ROLLUP[],MATCH($B32,MMWR_RATING_RO_ROLLUP[MMWR_RATING_RO_ROLLUP],0),MATCH(H$9,MMWR_RATING_RO_ROLLUP[#Headers],0)),"ERROR"))</f>
        <v>175.12266666670001</v>
      </c>
      <c r="I32" s="155">
        <f>IF($B32=" ","",IFERROR(INDEX(MMWR_RATING_RO_ROLLUP[],MATCH($B32,MMWR_RATING_RO_ROLLUP[MMWR_RATING_RO_ROLLUP],0),MATCH(I$9,MMWR_RATING_RO_ROLLUP[#Headers],0)),"ERROR"))</f>
        <v>138.14761189270001</v>
      </c>
      <c r="J32" s="157">
        <f>IF($B32=" ","",IFERROR(VLOOKUP($B32,MMWR_ACCURACY_RO[],MATCH(J$9,MMWR_ACCURACY_RO[#Headers],0),0),"ERROR"))</f>
        <v>0.96872664880122283</v>
      </c>
      <c r="K32" s="157">
        <f>IF($B32=" ","",IFERROR(VLOOKUP($B32,MMWR_ACCURACY_RO[],MATCH(K$9,MMWR_ACCURACY_RO[#Headers],0),0),"ERROR"))</f>
        <v>0.87883681535855473</v>
      </c>
      <c r="L32" s="157">
        <f>IF($B32=" ","",IFERROR(VLOOKUP($B32,MMWR_ACCURACY_RO[],MATCH(L$9,MMWR_ACCURACY_RO[#Headers],0),0),"ERROR"))</f>
        <v>0.85656686002198301</v>
      </c>
      <c r="M32" s="157">
        <f>IF($B32=" ","",IFERROR(VLOOKUP($B32,MMWR_ACCURACY_RO[],MATCH(M$9,MMWR_ACCURACY_RO[#Headers],0),0),"ERROR"))</f>
        <v>4.9582427621842839E-2</v>
      </c>
      <c r="N32" s="157">
        <f>IF($B32=" ","",IFERROR(VLOOKUP($B32,MMWR_ACCURACY_RO[],MATCH(N$9,MMWR_ACCURACY_RO[#Headers],0),0),"ERROR"))</f>
        <v>0.93191652189407104</v>
      </c>
      <c r="O32" s="157">
        <f>IF($B32=" ","",IFERROR(VLOOKUP($B32,MMWR_ACCURACY_RO[],MATCH(O$9,MMWR_ACCURACY_RO[#Headers],0),0),"ERROR"))</f>
        <v>4.3663242563424375E-2</v>
      </c>
      <c r="P32" s="28"/>
    </row>
    <row r="33" spans="1:16" x14ac:dyDescent="0.2">
      <c r="A33" s="25"/>
      <c r="B33" s="341" t="s">
        <v>733</v>
      </c>
      <c r="C33" s="342"/>
      <c r="D33" s="342"/>
      <c r="E33" s="342"/>
      <c r="F33" s="342"/>
      <c r="G33" s="342"/>
      <c r="H33" s="342"/>
      <c r="I33" s="342"/>
      <c r="J33" s="342"/>
      <c r="K33" s="342"/>
      <c r="L33" s="342"/>
      <c r="M33" s="342"/>
      <c r="N33" s="342"/>
      <c r="O33" s="342"/>
      <c r="P33" s="28"/>
    </row>
    <row r="34" spans="1:16" x14ac:dyDescent="0.2">
      <c r="A34" s="25"/>
      <c r="B34" s="11" t="s">
        <v>696</v>
      </c>
      <c r="C34" s="154">
        <f>IF($B34=" ","",IFERROR(INDEX(MMWR_RATING_RO_ROLLUP[],MATCH($B34,MMWR_RATING_RO_ROLLUP[MMWR_RATING_RO_ROLLUP],0),MATCH(C$9,MMWR_RATING_RO_ROLLUP[#Headers],0)),"ERROR"))</f>
        <v>28921</v>
      </c>
      <c r="D34" s="155">
        <f>IF($B34=" ","",IFERROR(INDEX(MMWR_RATING_RO_ROLLUP[],MATCH($B34,MMWR_RATING_RO_ROLLUP[MMWR_RATING_RO_ROLLUP],0),MATCH(D$9,MMWR_RATING_RO_ROLLUP[#Headers],0)),"ERROR"))</f>
        <v>69.815843158999996</v>
      </c>
      <c r="E34" s="156">
        <f>IF($B34=" ","",IFERROR(INDEX(MMWR_RATING_RO_ROLLUP[],MATCH($B34,MMWR_RATING_RO_ROLLUP[MMWR_RATING_RO_ROLLUP],0),MATCH(E$9,MMWR_RATING_RO_ROLLUP[#Headers],0))/$C34,"ERROR"))</f>
        <v>0.11282459112755437</v>
      </c>
      <c r="F34" s="154">
        <f>IF($B34=" ","",IFERROR(INDEX(MMWR_RATING_RO_ROLLUP[],MATCH($B34,MMWR_RATING_RO_ROLLUP[MMWR_RATING_RO_ROLLUP],0),MATCH(F$9,MMWR_RATING_RO_ROLLUP[#Headers],0)),"ERROR"))</f>
        <v>1253</v>
      </c>
      <c r="G34" s="154">
        <f>IF($B34=" ","",IFERROR(INDEX(MMWR_RATING_RO_ROLLUP[],MATCH($B34,MMWR_RATING_RO_ROLLUP[MMWR_RATING_RO_ROLLUP],0),MATCH(G$9,MMWR_RATING_RO_ROLLUP[#Headers],0)),"ERROR"))</f>
        <v>98513</v>
      </c>
      <c r="H34" s="155">
        <f>IF($B34=" ","",IFERROR(INDEX(MMWR_RATING_RO_ROLLUP[],MATCH($B34,MMWR_RATING_RO_ROLLUP[MMWR_RATING_RO_ROLLUP],0),MATCH(H$9,MMWR_RATING_RO_ROLLUP[#Headers],0)),"ERROR"))</f>
        <v>80.530726256999998</v>
      </c>
      <c r="I34" s="155">
        <f>IF($B34=" ","",IFERROR(INDEX(MMWR_RATING_RO_ROLLUP[],MATCH($B34,MMWR_RATING_RO_ROLLUP[MMWR_RATING_RO_ROLLUP],0),MATCH(I$9,MMWR_RATING_RO_ROLLUP[#Headers],0)),"ERROR"))</f>
        <v>77.484047790600002</v>
      </c>
      <c r="J34" s="42"/>
      <c r="K34" s="262">
        <f>IF($B34=" ","",IFERROR(VLOOKUP($B34,MMWR_ACCURACY_RO[],MATCH(K$50,MMWR_ACCURACY_RO[#Headers],0),0),"ERROR"))</f>
        <v>0.97874557663908168</v>
      </c>
      <c r="L34" s="262">
        <f>IF($B34=" ","",IFERROR(VLOOKUP($B34,MMWR_ACCURACY_RO[],MATCH(L$50,MMWR_ACCURACY_RO[#Headers],0),0),"ERROR"))</f>
        <v>0.96022377020983829</v>
      </c>
      <c r="M34" s="262">
        <f>IF($B34=" ","",IFERROR(VLOOKUP($B34,MMWR_ACCURACY_RO[],MATCH(M$50,MMWR_ACCURACY_RO[#Headers],0),0),"ERROR"))</f>
        <v>1.9441924371058263E-2</v>
      </c>
      <c r="N34" s="262">
        <f>IF($B34=" ","",IFERROR(VLOOKUP($B34,MMWR_ACCURACY_RO[],MATCH(N$50,MMWR_ACCURACY_RO[#Headers],0),0),"ERROR"))</f>
        <v>0.96550388301797396</v>
      </c>
      <c r="O34" s="262">
        <f>IF($B34=" ","",IFERROR(VLOOKUP($B34,MMWR_ACCURACY_RO[],MATCH(O$50,MMWR_ACCURACY_RO[#Headers],0),0),"ERROR"))</f>
        <v>1.8743197481844335E-2</v>
      </c>
      <c r="P34" s="28"/>
    </row>
    <row r="35" spans="1:16" x14ac:dyDescent="0.2">
      <c r="A35" s="25"/>
      <c r="B35" s="12" t="s">
        <v>210</v>
      </c>
      <c r="C35" s="154">
        <f>IF($B35=" ","",IFERROR(INDEX(MMWR_RATING_RO_ROLLUP[],MATCH($B35,MMWR_RATING_RO_ROLLUP[MMWR_RATING_RO_ROLLUP],0),MATCH(C$9,MMWR_RATING_RO_ROLLUP[#Headers],0)),"ERROR"))</f>
        <v>14246</v>
      </c>
      <c r="D35" s="155">
        <f>IF($B35=" ","",IFERROR(INDEX(MMWR_RATING_RO_ROLLUP[],MATCH($B35,MMWR_RATING_RO_ROLLUP[MMWR_RATING_RO_ROLLUP],0),MATCH(D$9,MMWR_RATING_RO_ROLLUP[#Headers],0)),"ERROR"))</f>
        <v>70.046820159999996</v>
      </c>
      <c r="E35" s="156">
        <f>IF($B35=" ","",IFERROR(INDEX(MMWR_RATING_RO_ROLLUP[],MATCH($B35,MMWR_RATING_RO_ROLLUP[MMWR_RATING_RO_ROLLUP],0),MATCH(E$9,MMWR_RATING_RO_ROLLUP[#Headers],0))/$C35,"ERROR"))</f>
        <v>0.11076793485890776</v>
      </c>
      <c r="F35" s="154">
        <f>IF($B35=" ","",IFERROR(INDEX(MMWR_RATING_RO_ROLLUP[],MATCH($B35,MMWR_RATING_RO_ROLLUP[MMWR_RATING_RO_ROLLUP],0),MATCH(F$9,MMWR_RATING_RO_ROLLUP[#Headers],0)),"ERROR"))</f>
        <v>404</v>
      </c>
      <c r="G35" s="154">
        <f>IF($B35=" ","",IFERROR(INDEX(MMWR_RATING_RO_ROLLUP[],MATCH($B35,MMWR_RATING_RO_ROLLUP[MMWR_RATING_RO_ROLLUP],0),MATCH(G$9,MMWR_RATING_RO_ROLLUP[#Headers],0)),"ERROR"))</f>
        <v>31875</v>
      </c>
      <c r="H35" s="155">
        <f>IF($B35=" ","",IFERROR(INDEX(MMWR_RATING_RO_ROLLUP[],MATCH($B35,MMWR_RATING_RO_ROLLUP[MMWR_RATING_RO_ROLLUP],0),MATCH(H$9,MMWR_RATING_RO_ROLLUP[#Headers],0)),"ERROR"))</f>
        <v>101.6683168317</v>
      </c>
      <c r="I35" s="155">
        <f>IF($B35=" ","",IFERROR(INDEX(MMWR_RATING_RO_ROLLUP[],MATCH($B35,MMWR_RATING_RO_ROLLUP[MMWR_RATING_RO_ROLLUP],0),MATCH(I$9,MMWR_RATING_RO_ROLLUP[#Headers],0)),"ERROR"))</f>
        <v>97.188831372500005</v>
      </c>
      <c r="J35" s="42"/>
      <c r="K35" s="251">
        <f>IF($B35=" ","",IFERROR(VLOOKUP($B35,MMWR_ACCURACY_RO[],MATCH(K$50,MMWR_ACCURACY_RO[#Headers],0),0),"ERROR"))</f>
        <v>0.96905212879848479</v>
      </c>
      <c r="L35" s="251">
        <f>IF($B35=" ","",IFERROR(VLOOKUP($B35,MMWR_ACCURACY_RO[],MATCH(L$50,MMWR_ACCURACY_RO[#Headers],0),0),"ERROR"))</f>
        <v>0.93380770494496457</v>
      </c>
      <c r="M35" s="251">
        <f>IF($B35=" ","",IFERROR(VLOOKUP($B35,MMWR_ACCURACY_RO[],MATCH(M$50,MMWR_ACCURACY_RO[#Headers],0),0),"ERROR"))</f>
        <v>4.2732283279129174E-2</v>
      </c>
      <c r="N35" s="251">
        <f>IF($B35=" ","",IFERROR(VLOOKUP($B35,MMWR_ACCURACY_RO[],MATCH(N$50,MMWR_ACCURACY_RO[#Headers],0),0),"ERROR"))</f>
        <v>0.93635327007875535</v>
      </c>
      <c r="O35" s="251">
        <f>IF($B35=" ","",IFERROR(VLOOKUP($B35,MMWR_ACCURACY_RO[],MATCH(O$50,MMWR_ACCURACY_RO[#Headers],0),0),"ERROR"))</f>
        <v>4.2123807888963326E-2</v>
      </c>
      <c r="P35" s="28"/>
    </row>
    <row r="36" spans="1:16" x14ac:dyDescent="0.2">
      <c r="A36" s="43"/>
      <c r="B36" s="12" t="s">
        <v>209</v>
      </c>
      <c r="C36" s="154">
        <f>IF($B36=" ","",IFERROR(INDEX(MMWR_RATING_RO_ROLLUP[],MATCH($B36,MMWR_RATING_RO_ROLLUP[MMWR_RATING_RO_ROLLUP],0),MATCH(C$9,MMWR_RATING_RO_ROLLUP[#Headers],0)),"ERROR"))</f>
        <v>5871</v>
      </c>
      <c r="D36" s="155">
        <f>IF($B36=" ","",IFERROR(INDEX(MMWR_RATING_RO_ROLLUP[],MATCH($B36,MMWR_RATING_RO_ROLLUP[MMWR_RATING_RO_ROLLUP],0),MATCH(D$9,MMWR_RATING_RO_ROLLUP[#Headers],0)),"ERROR"))</f>
        <v>67.608073582000003</v>
      </c>
      <c r="E36" s="156">
        <f>IF($B36=" ","",IFERROR(INDEX(MMWR_RATING_RO_ROLLUP[],MATCH($B36,MMWR_RATING_RO_ROLLUP[MMWR_RATING_RO_ROLLUP],0),MATCH(E$9,MMWR_RATING_RO_ROLLUP[#Headers],0))/$C36,"ERROR"))</f>
        <v>0.11923011412025208</v>
      </c>
      <c r="F36" s="154">
        <f>IF($B36=" ","",IFERROR(INDEX(MMWR_RATING_RO_ROLLUP[],MATCH($B36,MMWR_RATING_RO_ROLLUP[MMWR_RATING_RO_ROLLUP],0),MATCH(F$9,MMWR_RATING_RO_ROLLUP[#Headers],0)),"ERROR"))</f>
        <v>373</v>
      </c>
      <c r="G36" s="154">
        <f>IF($B36=" ","",IFERROR(INDEX(MMWR_RATING_RO_ROLLUP[],MATCH($B36,MMWR_RATING_RO_ROLLUP[MMWR_RATING_RO_ROLLUP],0),MATCH(G$9,MMWR_RATING_RO_ROLLUP[#Headers],0)),"ERROR"))</f>
        <v>28131</v>
      </c>
      <c r="H36" s="155">
        <f>IF($B36=" ","",IFERROR(INDEX(MMWR_RATING_RO_ROLLUP[],MATCH($B36,MMWR_RATING_RO_ROLLUP[MMWR_RATING_RO_ROLLUP],0),MATCH(H$9,MMWR_RATING_RO_ROLLUP[#Headers],0)),"ERROR"))</f>
        <v>69.7506702413</v>
      </c>
      <c r="I36" s="155">
        <f>IF($B36=" ","",IFERROR(INDEX(MMWR_RATING_RO_ROLLUP[],MATCH($B36,MMWR_RATING_RO_ROLLUP[MMWR_RATING_RO_ROLLUP],0),MATCH(I$9,MMWR_RATING_RO_ROLLUP[#Headers],0)),"ERROR"))</f>
        <v>70.839429810499993</v>
      </c>
      <c r="J36" s="42"/>
      <c r="K36" s="251">
        <f>IF($B36=" ","",IFERROR(VLOOKUP($B36,MMWR_ACCURACY_RO[],MATCH(K$50,MMWR_ACCURACY_RO[#Headers],0),0),"ERROR"))</f>
        <v>0.96381824981301423</v>
      </c>
      <c r="L36" s="251">
        <f>IF($B36=" ","",IFERROR(VLOOKUP($B36,MMWR_ACCURACY_RO[],MATCH(L$50,MMWR_ACCURACY_RO[#Headers],0),0),"ERROR"))</f>
        <v>0.95042603228627476</v>
      </c>
      <c r="M36" s="251">
        <f>IF($B36=" ","",IFERROR(VLOOKUP($B36,MMWR_ACCURACY_RO[],MATCH(M$50,MMWR_ACCURACY_RO[#Headers],0),0),"ERROR"))</f>
        <v>4.0580938895507186E-2</v>
      </c>
      <c r="N36" s="251">
        <f>IF($B36=" ","",IFERROR(VLOOKUP($B36,MMWR_ACCURACY_RO[],MATCH(N$50,MMWR_ACCURACY_RO[#Headers],0),0),"ERROR"))</f>
        <v>0.98537633964097116</v>
      </c>
      <c r="O36" s="251">
        <f>IF($B36=" ","",IFERROR(VLOOKUP($B36,MMWR_ACCURACY_RO[],MATCH(O$50,MMWR_ACCURACY_RO[#Headers],0),0),"ERROR"))</f>
        <v>1.6492527707524546E-2</v>
      </c>
      <c r="P36" s="28"/>
    </row>
    <row r="37" spans="1:16" x14ac:dyDescent="0.2">
      <c r="A37" s="25"/>
      <c r="B37" s="12" t="s">
        <v>212</v>
      </c>
      <c r="C37" s="154">
        <f>IF($B37=" ","",IFERROR(INDEX(MMWR_RATING_RO_ROLLUP[],MATCH($B37,MMWR_RATING_RO_ROLLUP[MMWR_RATING_RO_ROLLUP],0),MATCH(C$9,MMWR_RATING_RO_ROLLUP[#Headers],0)),"ERROR"))</f>
        <v>7987</v>
      </c>
      <c r="D37" s="155">
        <f>IF($B37=" ","",IFERROR(INDEX(MMWR_RATING_RO_ROLLUP[],MATCH($B37,MMWR_RATING_RO_ROLLUP[MMWR_RATING_RO_ROLLUP],0),MATCH(D$9,MMWR_RATING_RO_ROLLUP[#Headers],0)),"ERROR"))</f>
        <v>58.4645048203</v>
      </c>
      <c r="E37" s="156">
        <f>IF($B37=" ","",IFERROR(INDEX(MMWR_RATING_RO_ROLLUP[],MATCH($B37,MMWR_RATING_RO_ROLLUP[MMWR_RATING_RO_ROLLUP],0),MATCH(E$9,MMWR_RATING_RO_ROLLUP[#Headers],0))/$C37,"ERROR"))</f>
        <v>6.8235883310379372E-2</v>
      </c>
      <c r="F37" s="154">
        <f>IF($B37=" ","",IFERROR(INDEX(MMWR_RATING_RO_ROLLUP[],MATCH($B37,MMWR_RATING_RO_ROLLUP[MMWR_RATING_RO_ROLLUP],0),MATCH(F$9,MMWR_RATING_RO_ROLLUP[#Headers],0)),"ERROR"))</f>
        <v>460</v>
      </c>
      <c r="G37" s="154">
        <f>IF($B37=" ","",IFERROR(INDEX(MMWR_RATING_RO_ROLLUP[],MATCH($B37,MMWR_RATING_RO_ROLLUP[MMWR_RATING_RO_ROLLUP],0),MATCH(G$9,MMWR_RATING_RO_ROLLUP[#Headers],0)),"ERROR"))</f>
        <v>35531</v>
      </c>
      <c r="H37" s="155">
        <f>IF($B37=" ","",IFERROR(INDEX(MMWR_RATING_RO_ROLLUP[],MATCH($B37,MMWR_RATING_RO_ROLLUP[MMWR_RATING_RO_ROLLUP],0),MATCH(H$9,MMWR_RATING_RO_ROLLUP[#Headers],0)),"ERROR"))</f>
        <v>69.978260869600007</v>
      </c>
      <c r="I37" s="155">
        <f>IF($B37=" ","",IFERROR(INDEX(MMWR_RATING_RO_ROLLUP[],MATCH($B37,MMWR_RATING_RO_ROLLUP[MMWR_RATING_RO_ROLLUP],0),MATCH(I$9,MMWR_RATING_RO_ROLLUP[#Headers],0)),"ERROR"))</f>
        <v>67.705918775200004</v>
      </c>
      <c r="J37" s="42"/>
      <c r="K37" s="251">
        <f>IF($B37=" ","",IFERROR(VLOOKUP($B37,MMWR_ACCURACY_RO[],MATCH(K$50,MMWR_ACCURACY_RO[#Headers],0),0),"ERROR"))</f>
        <v>1</v>
      </c>
      <c r="L37" s="251">
        <f>IF($B37=" ","",IFERROR(VLOOKUP($B37,MMWR_ACCURACY_RO[],MATCH(L$50,MMWR_ACCURACY_RO[#Headers],0),0),"ERROR"))</f>
        <v>0.99152175913147489</v>
      </c>
      <c r="M37" s="251">
        <f>IF($B37=" ","",IFERROR(VLOOKUP($B37,MMWR_ACCURACY_RO[],MATCH(M$50,MMWR_ACCURACY_RO[#Headers],0),0),"ERROR"))</f>
        <v>1.2653016899448205E-2</v>
      </c>
      <c r="N37" s="251">
        <f>IF($B37=" ","",IFERROR(VLOOKUP($B37,MMWR_ACCURACY_RO[],MATCH(N$50,MMWR_ACCURACY_RO[#Headers],0),0),"ERROR"))</f>
        <v>0.98107390978509668</v>
      </c>
      <c r="O37" s="251">
        <f>IF($B37=" ","",IFERROR(VLOOKUP($B37,MMWR_ACCURACY_RO[],MATCH(O$50,MMWR_ACCURACY_RO[#Headers],0),0),"ERROR"))</f>
        <v>2.2946254030552213E-2</v>
      </c>
      <c r="P37" s="28"/>
    </row>
    <row r="38" spans="1:16" x14ac:dyDescent="0.2">
      <c r="A38" s="25"/>
      <c r="B38" s="13" t="s">
        <v>224</v>
      </c>
      <c r="C38" s="154">
        <f>IF($B38=" ","",IFERROR(INDEX(MMWR_RATING_RO_ROLLUP[],MATCH($B38,MMWR_RATING_RO_ROLLUP[MMWR_RATING_RO_ROLLUP],0),MATCH(C$9,MMWR_RATING_RO_ROLLUP[#Headers],0)),"ERROR"))</f>
        <v>817</v>
      </c>
      <c r="D38" s="155">
        <f>IF($B38=" ","",IFERROR(INDEX(MMWR_RATING_RO_ROLLUP[],MATCH($B38,MMWR_RATING_RO_ROLLUP[MMWR_RATING_RO_ROLLUP],0),MATCH(D$9,MMWR_RATING_RO_ROLLUP[#Headers],0)),"ERROR"))</f>
        <v>192.62423500610001</v>
      </c>
      <c r="E38" s="156">
        <f>IF($B38=" ","",IFERROR(INDEX(MMWR_RATING_RO_ROLLUP[],MATCH($B38,MMWR_RATING_RO_ROLLUP[MMWR_RATING_RO_ROLLUP],0),MATCH(E$9,MMWR_RATING_RO_ROLLUP[#Headers],0))/$C38,"ERROR"))</f>
        <v>0.53855569155446759</v>
      </c>
      <c r="F38" s="154">
        <f>IF($B38=" ","",IFERROR(INDEX(MMWR_RATING_RO_ROLLUP[],MATCH($B38,MMWR_RATING_RO_ROLLUP[MMWR_RATING_RO_ROLLUP],0),MATCH(F$9,MMWR_RATING_RO_ROLLUP[#Headers],0)),"ERROR"))</f>
        <v>16</v>
      </c>
      <c r="G38" s="154">
        <f>IF($B38=" ","",IFERROR(INDEX(MMWR_RATING_RO_ROLLUP[],MATCH($B38,MMWR_RATING_RO_ROLLUP[MMWR_RATING_RO_ROLLUP],0),MATCH(G$9,MMWR_RATING_RO_ROLLUP[#Headers],0)),"ERROR"))</f>
        <v>2976</v>
      </c>
      <c r="H38" s="155">
        <f>IF($B38=" ","",IFERROR(INDEX(MMWR_RATING_RO_ROLLUP[],MATCH($B38,MMWR_RATING_RO_ROLLUP[MMWR_RATING_RO_ROLLUP],0),MATCH(H$9,MMWR_RATING_RO_ROLLUP[#Headers],0)),"ERROR"))</f>
        <v>101.5</v>
      </c>
      <c r="I38" s="155">
        <f>IF($B38=" ","",IFERROR(INDEX(MMWR_RATING_RO_ROLLUP[],MATCH($B38,MMWR_RATING_RO_ROLLUP[MMWR_RATING_RO_ROLLUP],0),MATCH(I$9,MMWR_RATING_RO_ROLLUP[#Headers],0)),"ERROR"))</f>
        <v>45.984206989199997</v>
      </c>
      <c r="J38" s="42"/>
      <c r="K38" s="42"/>
      <c r="L38" s="42"/>
      <c r="M38" s="42"/>
      <c r="N38" s="42"/>
      <c r="O38" s="42"/>
      <c r="P38" s="28"/>
    </row>
    <row r="39" spans="1:16" x14ac:dyDescent="0.2">
      <c r="A39" s="25"/>
      <c r="B39" s="341" t="s">
        <v>916</v>
      </c>
      <c r="C39" s="342"/>
      <c r="D39" s="342"/>
      <c r="E39" s="342"/>
      <c r="F39" s="342"/>
      <c r="G39" s="342"/>
      <c r="H39" s="342"/>
      <c r="I39" s="342"/>
      <c r="J39" s="342"/>
      <c r="K39" s="342"/>
      <c r="L39" s="342"/>
      <c r="M39" s="342"/>
      <c r="N39" s="342"/>
      <c r="O39" s="342"/>
      <c r="P39" s="28"/>
    </row>
    <row r="40" spans="1:16" x14ac:dyDescent="0.2">
      <c r="A40" s="25"/>
      <c r="B40" s="44" t="s">
        <v>697</v>
      </c>
      <c r="C40" s="154">
        <f>IF($B40=" ","",IFERROR(INDEX(MMWR_RATING_RO_ROLLUP[],MATCH($B40,MMWR_RATING_RO_ROLLUP[MMWR_RATING_RO_ROLLUP],0),MATCH(C$9,MMWR_RATING_RO_ROLLUP[#Headers],0)),"ERROR"))</f>
        <v>7785</v>
      </c>
      <c r="D40" s="155">
        <f>IF($B40=" ","",IFERROR(INDEX(MMWR_RATING_RO_ROLLUP[],MATCH($B40,MMWR_RATING_RO_ROLLUP[MMWR_RATING_RO_ROLLUP],0),MATCH(D$9,MMWR_RATING_RO_ROLLUP[#Headers],0)),"ERROR"))</f>
        <v>76.237251123999997</v>
      </c>
      <c r="E40" s="156">
        <f>IF($B40=" ","",IFERROR(INDEX(MMWR_RATING_RO_ROLLUP[],MATCH($B40,MMWR_RATING_RO_ROLLUP[MMWR_RATING_RO_ROLLUP],0),MATCH(E$9,MMWR_RATING_RO_ROLLUP[#Headers],0))/$C40,"ERROR"))</f>
        <v>0.18214515093127809</v>
      </c>
      <c r="F40" s="154">
        <f>IF($B40=" ","",IFERROR(INDEX(MMWR_RATING_RO_ROLLUP[],MATCH($B40,MMWR_RATING_RO_ROLLUP[MMWR_RATING_RO_ROLLUP],0),MATCH(F$9,MMWR_RATING_RO_ROLLUP[#Headers],0)),"ERROR"))</f>
        <v>393</v>
      </c>
      <c r="G40" s="154">
        <f>IF($B40=" ","",IFERROR(INDEX(MMWR_RATING_RO_ROLLUP[],MATCH($B40,MMWR_RATING_RO_ROLLUP[MMWR_RATING_RO_ROLLUP],0),MATCH(G$9,MMWR_RATING_RO_ROLLUP[#Headers],0)),"ERROR"))</f>
        <v>17192</v>
      </c>
      <c r="H40" s="155">
        <f>IF($B40=" ","",IFERROR(INDEX(MMWR_RATING_RO_ROLLUP[],MATCH($B40,MMWR_RATING_RO_ROLLUP[MMWR_RATING_RO_ROLLUP],0),MATCH(H$9,MMWR_RATING_RO_ROLLUP[#Headers],0)),"ERROR"))</f>
        <v>123.9134860051</v>
      </c>
      <c r="I40" s="155">
        <f>IF($B40=" ","",IFERROR(INDEX(MMWR_RATING_RO_ROLLUP[],MATCH($B40,MMWR_RATING_RO_ROLLUP[MMWR_RATING_RO_ROLLUP],0),MATCH(I$9,MMWR_RATING_RO_ROLLUP[#Headers],0)),"ERROR"))</f>
        <v>141.69288040949999</v>
      </c>
      <c r="J40" s="42"/>
      <c r="K40" s="42"/>
      <c r="L40" s="42"/>
      <c r="M40" s="42"/>
      <c r="N40" s="42"/>
      <c r="O40" s="42"/>
      <c r="P40" s="28"/>
    </row>
    <row r="41" spans="1:16" x14ac:dyDescent="0.2">
      <c r="A41" s="25"/>
      <c r="B41" s="45" t="s">
        <v>956</v>
      </c>
      <c r="C41" s="154">
        <f>IF($B41=" ","",IFERROR(INDEX(MMWR_RATING_RO_ROLLUP[],MATCH($B41,MMWR_RATING_RO_ROLLUP[MMWR_RATING_RO_ROLLUP],0),MATCH(C$9,MMWR_RATING_RO_ROLLUP[#Headers],0)),"ERROR"))</f>
        <v>976</v>
      </c>
      <c r="D41" s="155">
        <f>IF($B41=" ","",IFERROR(INDEX(MMWR_RATING_RO_ROLLUP[],MATCH($B41,MMWR_RATING_RO_ROLLUP[MMWR_RATING_RO_ROLLUP],0),MATCH(D$9,MMWR_RATING_RO_ROLLUP[#Headers],0)),"ERROR"))</f>
        <v>98.847336065600004</v>
      </c>
      <c r="E41" s="156">
        <f>IF($B41=" ","",IFERROR(INDEX(MMWR_RATING_RO_ROLLUP[],MATCH($B41,MMWR_RATING_RO_ROLLUP[MMWR_RATING_RO_ROLLUP],0),MATCH(E$9,MMWR_RATING_RO_ROLLUP[#Headers],0))/$C41,"ERROR"))</f>
        <v>0.26127049180327871</v>
      </c>
      <c r="F41" s="154">
        <f>IF($B41=" ","",IFERROR(INDEX(MMWR_RATING_RO_ROLLUP[],MATCH($B41,MMWR_RATING_RO_ROLLUP[MMWR_RATING_RO_ROLLUP],0),MATCH(F$9,MMWR_RATING_RO_ROLLUP[#Headers],0)),"ERROR"))</f>
        <v>174</v>
      </c>
      <c r="G41" s="154">
        <f>IF($B41=" ","",IFERROR(INDEX(MMWR_RATING_RO_ROLLUP[],MATCH($B41,MMWR_RATING_RO_ROLLUP[MMWR_RATING_RO_ROLLUP],0),MATCH(G$9,MMWR_RATING_RO_ROLLUP[#Headers],0)),"ERROR"))</f>
        <v>7483</v>
      </c>
      <c r="H41" s="155">
        <f>IF($B41=" ","",IFERROR(INDEX(MMWR_RATING_RO_ROLLUP[],MATCH($B41,MMWR_RATING_RO_ROLLUP[MMWR_RATING_RO_ROLLUP],0),MATCH(H$9,MMWR_RATING_RO_ROLLUP[#Headers],0)),"ERROR"))</f>
        <v>104.58045977010001</v>
      </c>
      <c r="I41" s="155">
        <f>IF($B41=" ","",IFERROR(INDEX(MMWR_RATING_RO_ROLLUP[],MATCH($B41,MMWR_RATING_RO_ROLLUP[MMWR_RATING_RO_ROLLUP],0),MATCH(I$9,MMWR_RATING_RO_ROLLUP[#Headers],0)),"ERROR"))</f>
        <v>128.36656421219999</v>
      </c>
      <c r="J41" s="42"/>
      <c r="K41" s="42"/>
      <c r="L41" s="42"/>
      <c r="M41" s="42"/>
      <c r="N41" s="42"/>
      <c r="O41" s="42"/>
      <c r="P41" s="28"/>
    </row>
    <row r="42" spans="1:16" x14ac:dyDescent="0.2">
      <c r="A42" s="25"/>
      <c r="B42" s="45" t="s">
        <v>957</v>
      </c>
      <c r="C42" s="154">
        <f>IF($B42=" ","",IFERROR(INDEX(MMWR_RATING_RO_ROLLUP[],MATCH($B42,MMWR_RATING_RO_ROLLUP[MMWR_RATING_RO_ROLLUP],0),MATCH(C$9,MMWR_RATING_RO_ROLLUP[#Headers],0)),"ERROR"))</f>
        <v>652</v>
      </c>
      <c r="D42" s="155">
        <f>IF($B42=" ","",IFERROR(INDEX(MMWR_RATING_RO_ROLLUP[],MATCH($B42,MMWR_RATING_RO_ROLLUP[MMWR_RATING_RO_ROLLUP],0),MATCH(D$9,MMWR_RATING_RO_ROLLUP[#Headers],0)),"ERROR"))</f>
        <v>130.76380368100001</v>
      </c>
      <c r="E42" s="156">
        <f>IF($B42=" ","",IFERROR(INDEX(MMWR_RATING_RO_ROLLUP[],MATCH($B42,MMWR_RATING_RO_ROLLUP[MMWR_RATING_RO_ROLLUP],0),MATCH(E$9,MMWR_RATING_RO_ROLLUP[#Headers],0))/$C42,"ERROR"))</f>
        <v>0.39110429447852763</v>
      </c>
      <c r="F42" s="154">
        <f>IF($B42=" ","",IFERROR(INDEX(MMWR_RATING_RO_ROLLUP[],MATCH($B42,MMWR_RATING_RO_ROLLUP[MMWR_RATING_RO_ROLLUP],0),MATCH(F$9,MMWR_RATING_RO_ROLLUP[#Headers],0)),"ERROR"))</f>
        <v>145</v>
      </c>
      <c r="G42" s="154">
        <f>IF($B42=" ","",IFERROR(INDEX(MMWR_RATING_RO_ROLLUP[],MATCH($B42,MMWR_RATING_RO_ROLLUP[MMWR_RATING_RO_ROLLUP],0),MATCH(G$9,MMWR_RATING_RO_ROLLUP[#Headers],0)),"ERROR"))</f>
        <v>6361</v>
      </c>
      <c r="H42" s="155">
        <f>IF($B42=" ","",IFERROR(INDEX(MMWR_RATING_RO_ROLLUP[],MATCH($B42,MMWR_RATING_RO_ROLLUP[MMWR_RATING_RO_ROLLUP],0),MATCH(H$9,MMWR_RATING_RO_ROLLUP[#Headers],0)),"ERROR"))</f>
        <v>146.85517241380001</v>
      </c>
      <c r="I42" s="155">
        <f>IF($B42=" ","",IFERROR(INDEX(MMWR_RATING_RO_ROLLUP[],MATCH($B42,MMWR_RATING_RO_ROLLUP[MMWR_RATING_RO_ROLLUP],0),MATCH(I$9,MMWR_RATING_RO_ROLLUP[#Headers],0)),"ERROR"))</f>
        <v>160.86480113190001</v>
      </c>
      <c r="J42" s="42"/>
      <c r="K42" s="42"/>
      <c r="L42" s="42"/>
      <c r="M42" s="42"/>
      <c r="N42" s="42"/>
      <c r="O42" s="42"/>
      <c r="P42" s="28"/>
    </row>
    <row r="43" spans="1:16" x14ac:dyDescent="0.2">
      <c r="A43" s="25"/>
      <c r="B43" s="46" t="s">
        <v>307</v>
      </c>
      <c r="C43" s="154">
        <f>IF($B43=" ","",IFERROR(INDEX(MMWR_RATING_RO_ROLLUP[],MATCH($B43,MMWR_RATING_RO_ROLLUP[MMWR_RATING_RO_ROLLUP],0),MATCH(C$9,MMWR_RATING_RO_ROLLUP[#Headers],0)),"ERROR"))</f>
        <v>6157</v>
      </c>
      <c r="D43" s="155">
        <f>IF($B43=" ","",IFERROR(INDEX(MMWR_RATING_RO_ROLLUP[],MATCH($B43,MMWR_RATING_RO_ROLLUP[MMWR_RATING_RO_ROLLUP],0),MATCH(D$9,MMWR_RATING_RO_ROLLUP[#Headers],0)),"ERROR"))</f>
        <v>66.878999512700005</v>
      </c>
      <c r="E43" s="156">
        <f>IF($B43=" ","",IFERROR(INDEX(MMWR_RATING_RO_ROLLUP[],MATCH($B43,MMWR_RATING_RO_ROLLUP[MMWR_RATING_RO_ROLLUP],0),MATCH(E$9,MMWR_RATING_RO_ROLLUP[#Headers],0))/$C43,"ERROR"))</f>
        <v>0.14747441936007796</v>
      </c>
      <c r="F43" s="154">
        <f>IF($B43=" ","",IFERROR(INDEX(MMWR_RATING_RO_ROLLUP[],MATCH($B43,MMWR_RATING_RO_ROLLUP[MMWR_RATING_RO_ROLLUP],0),MATCH(F$9,MMWR_RATING_RO_ROLLUP[#Headers],0)),"ERROR"))</f>
        <v>74</v>
      </c>
      <c r="G43" s="154">
        <f>IF($B43=" ","",IFERROR(INDEX(MMWR_RATING_RO_ROLLUP[],MATCH($B43,MMWR_RATING_RO_ROLLUP[MMWR_RATING_RO_ROLLUP],0),MATCH(G$9,MMWR_RATING_RO_ROLLUP[#Headers],0)),"ERROR"))</f>
        <v>3348</v>
      </c>
      <c r="H43" s="155">
        <f>IF($B43=" ","",IFERROR(INDEX(MMWR_RATING_RO_ROLLUP[],MATCH($B43,MMWR_RATING_RO_ROLLUP[MMWR_RATING_RO_ROLLUP],0),MATCH(H$9,MMWR_RATING_RO_ROLLUP[#Headers],0)),"ERROR"))</f>
        <v>124.4189189189</v>
      </c>
      <c r="I43" s="155">
        <f>IF($B43=" ","",IFERROR(INDEX(MMWR_RATING_RO_ROLLUP[],MATCH($B43,MMWR_RATING_RO_ROLLUP[MMWR_RATING_RO_ROLLUP],0),MATCH(I$9,MMWR_RATING_RO_ROLLUP[#Headers],0)),"ERROR"))</f>
        <v>135.0525686977</v>
      </c>
      <c r="J43" s="42"/>
      <c r="K43" s="42"/>
      <c r="L43" s="42"/>
      <c r="M43" s="42"/>
      <c r="N43" s="42"/>
      <c r="O43" s="42"/>
      <c r="P43" s="28"/>
    </row>
    <row r="44" spans="1:16" x14ac:dyDescent="0.2">
      <c r="A44" s="25"/>
      <c r="B44" s="341" t="s">
        <v>734</v>
      </c>
      <c r="C44" s="342"/>
      <c r="D44" s="342"/>
      <c r="E44" s="342"/>
      <c r="F44" s="342"/>
      <c r="G44" s="342"/>
      <c r="H44" s="342"/>
      <c r="I44" s="342"/>
      <c r="J44" s="342"/>
      <c r="K44" s="342"/>
      <c r="L44" s="342"/>
      <c r="M44" s="342"/>
      <c r="N44" s="342"/>
      <c r="O44" s="342"/>
      <c r="P44" s="28"/>
    </row>
    <row r="45" spans="1:16" x14ac:dyDescent="0.2">
      <c r="A45" s="25"/>
      <c r="B45" s="44" t="s">
        <v>695</v>
      </c>
      <c r="C45" s="154">
        <f>IF($B45=" ","",IFERROR(INDEX(MMWR_RATING_RO_ROLLUP[],MATCH($B45,MMWR_RATING_RO_ROLLUP[MMWR_RATING_RO_ROLLUP],0),MATCH(C$9,MMWR_RATING_RO_ROLLUP[#Headers],0)),"ERROR"))</f>
        <v>8033</v>
      </c>
      <c r="D45" s="155">
        <f>IF($B45=" ","",IFERROR(INDEX(MMWR_RATING_RO_ROLLUP[],MATCH($B45,MMWR_RATING_RO_ROLLUP[MMWR_RATING_RO_ROLLUP],0),MATCH(D$9,MMWR_RATING_RO_ROLLUP[#Headers],0)),"ERROR"))</f>
        <v>73.198306983699993</v>
      </c>
      <c r="E45" s="156">
        <f>IF($B45=" ","",IFERROR(INDEX(MMWR_RATING_RO_ROLLUP[],MATCH($B45,MMWR_RATING_RO_ROLLUP[MMWR_RATING_RO_ROLLUP],0),MATCH(E$9,MMWR_RATING_RO_ROLLUP[#Headers],0))/$C45,"ERROR"))</f>
        <v>0.16880368480019917</v>
      </c>
      <c r="F45" s="154">
        <f>IF($B45=" ","",IFERROR(INDEX(MMWR_RATING_RO_ROLLUP[],MATCH($B45,MMWR_RATING_RO_ROLLUP[MMWR_RATING_RO_ROLLUP],0),MATCH(F$9,MMWR_RATING_RO_ROLLUP[#Headers],0)),"ERROR"))</f>
        <v>518</v>
      </c>
      <c r="G45" s="154">
        <f>IF($B45=" ","",IFERROR(INDEX(MMWR_RATING_RO_ROLLUP[],MATCH($B45,MMWR_RATING_RO_ROLLUP[MMWR_RATING_RO_ROLLUP],0),MATCH(G$9,MMWR_RATING_RO_ROLLUP[#Headers],0)),"ERROR"))</f>
        <v>19902</v>
      </c>
      <c r="H45" s="155">
        <f>IF($B45=" ","",IFERROR(INDEX(MMWR_RATING_RO_ROLLUP[],MATCH($B45,MMWR_RATING_RO_ROLLUP[MMWR_RATING_RO_ROLLUP],0),MATCH(H$9,MMWR_RATING_RO_ROLLUP[#Headers],0)),"ERROR"))</f>
        <v>112.51930501930001</v>
      </c>
      <c r="I45" s="155">
        <f>IF($B45=" ","",IFERROR(INDEX(MMWR_RATING_RO_ROLLUP[],MATCH($B45,MMWR_RATING_RO_ROLLUP[MMWR_RATING_RO_ROLLUP],0),MATCH(I$9,MMWR_RATING_RO_ROLLUP[#Headers],0)),"ERROR"))</f>
        <v>133.520198975</v>
      </c>
      <c r="J45" s="42"/>
      <c r="K45" s="42"/>
      <c r="L45" s="42"/>
      <c r="M45" s="42"/>
      <c r="N45" s="42"/>
      <c r="O45" s="42"/>
      <c r="P45" s="28"/>
    </row>
    <row r="46" spans="1:16" x14ac:dyDescent="0.2">
      <c r="A46" s="25"/>
      <c r="B46" s="45" t="s">
        <v>211</v>
      </c>
      <c r="C46" s="154">
        <f>IF($B46=" ","",IFERROR(INDEX(MMWR_RATING_RO_ROLLUP[],MATCH($B46,MMWR_RATING_RO_ROLLUP[MMWR_RATING_RO_ROLLUP],0),MATCH(C$9,MMWR_RATING_RO_ROLLUP[#Headers],0)),"ERROR"))</f>
        <v>221</v>
      </c>
      <c r="D46" s="155">
        <f>IF($B46=" ","",IFERROR(INDEX(MMWR_RATING_RO_ROLLUP[],MATCH($B46,MMWR_RATING_RO_ROLLUP[MMWR_RATING_RO_ROLLUP],0),MATCH(D$9,MMWR_RATING_RO_ROLLUP[#Headers],0)),"ERROR"))</f>
        <v>110.1945701357</v>
      </c>
      <c r="E46" s="156">
        <f>IF($B46=" ","",IFERROR(INDEX(MMWR_RATING_RO_ROLLUP[],MATCH($B46,MMWR_RATING_RO_ROLLUP[MMWR_RATING_RO_ROLLUP],0),MATCH(E$9,MMWR_RATING_RO_ROLLUP[#Headers],0))/$C46,"ERROR"))</f>
        <v>0.30316742081447962</v>
      </c>
      <c r="F46" s="154">
        <f>IF($B46=" ","",IFERROR(INDEX(MMWR_RATING_RO_ROLLUP[],MATCH($B46,MMWR_RATING_RO_ROLLUP[MMWR_RATING_RO_ROLLUP],0),MATCH(F$9,MMWR_RATING_RO_ROLLUP[#Headers],0)),"ERROR"))</f>
        <v>127</v>
      </c>
      <c r="G46" s="154">
        <f>IF($B46=" ","",IFERROR(INDEX(MMWR_RATING_RO_ROLLUP[],MATCH($B46,MMWR_RATING_RO_ROLLUP[MMWR_RATING_RO_ROLLUP],0),MATCH(G$9,MMWR_RATING_RO_ROLLUP[#Headers],0)),"ERROR"))</f>
        <v>7905</v>
      </c>
      <c r="H46" s="155">
        <f>IF($B46=" ","",IFERROR(INDEX(MMWR_RATING_RO_ROLLUP[],MATCH($B46,MMWR_RATING_RO_ROLLUP[MMWR_RATING_RO_ROLLUP],0),MATCH(H$9,MMWR_RATING_RO_ROLLUP[#Headers],0)),"ERROR"))</f>
        <v>88.070866141699995</v>
      </c>
      <c r="I46" s="155">
        <f>IF($B46=" ","",IFERROR(INDEX(MMWR_RATING_RO_ROLLUP[],MATCH($B46,MMWR_RATING_RO_ROLLUP[MMWR_RATING_RO_ROLLUP],0),MATCH(I$9,MMWR_RATING_RO_ROLLUP[#Headers],0)),"ERROR"))</f>
        <v>119.231372549</v>
      </c>
      <c r="J46" s="42"/>
      <c r="K46" s="42"/>
      <c r="L46" s="42"/>
      <c r="M46" s="42"/>
      <c r="N46" s="42"/>
      <c r="O46" s="42"/>
      <c r="P46" s="28"/>
    </row>
    <row r="47" spans="1:16" x14ac:dyDescent="0.2">
      <c r="A47" s="25"/>
      <c r="B47" s="45" t="s">
        <v>213</v>
      </c>
      <c r="C47" s="154">
        <f>IF($B47=" ","",IFERROR(INDEX(MMWR_RATING_RO_ROLLUP[],MATCH($B47,MMWR_RATING_RO_ROLLUP[MMWR_RATING_RO_ROLLUP],0),MATCH(C$9,MMWR_RATING_RO_ROLLUP[#Headers],0)),"ERROR"))</f>
        <v>639</v>
      </c>
      <c r="D47" s="155">
        <f>IF($B47=" ","",IFERROR(INDEX(MMWR_RATING_RO_ROLLUP[],MATCH($B47,MMWR_RATING_RO_ROLLUP[MMWR_RATING_RO_ROLLUP],0),MATCH(D$9,MMWR_RATING_RO_ROLLUP[#Headers],0)),"ERROR"))</f>
        <v>120.6713615023</v>
      </c>
      <c r="E47" s="156">
        <f>IF($B47=" ","",IFERROR(INDEX(MMWR_RATING_RO_ROLLUP[],MATCH($B47,MMWR_RATING_RO_ROLLUP[MMWR_RATING_RO_ROLLUP],0),MATCH(E$9,MMWR_RATING_RO_ROLLUP[#Headers],0))/$C47,"ERROR"))</f>
        <v>0.29890453834115804</v>
      </c>
      <c r="F47" s="154">
        <f>IF($B47=" ","",IFERROR(INDEX(MMWR_RATING_RO_ROLLUP[],MATCH($B47,MMWR_RATING_RO_ROLLUP[MMWR_RATING_RO_ROLLUP],0),MATCH(F$9,MMWR_RATING_RO_ROLLUP[#Headers],0)),"ERROR"))</f>
        <v>107</v>
      </c>
      <c r="G47" s="154">
        <f>IF($B47=" ","",IFERROR(INDEX(MMWR_RATING_RO_ROLLUP[],MATCH($B47,MMWR_RATING_RO_ROLLUP[MMWR_RATING_RO_ROLLUP],0),MATCH(G$9,MMWR_RATING_RO_ROLLUP[#Headers],0)),"ERROR"))</f>
        <v>7221</v>
      </c>
      <c r="H47" s="155">
        <f>IF($B47=" ","",IFERROR(INDEX(MMWR_RATING_RO_ROLLUP[],MATCH($B47,MMWR_RATING_RO_ROLLUP[MMWR_RATING_RO_ROLLUP],0),MATCH(H$9,MMWR_RATING_RO_ROLLUP[#Headers],0)),"ERROR"))</f>
        <v>142.01869158880001</v>
      </c>
      <c r="I47" s="155">
        <f>IF($B47=" ","",IFERROR(INDEX(MMWR_RATING_RO_ROLLUP[],MATCH($B47,MMWR_RATING_RO_ROLLUP[MMWR_RATING_RO_ROLLUP],0),MATCH(I$9,MMWR_RATING_RO_ROLLUP[#Headers],0)),"ERROR"))</f>
        <v>152.52471956790001</v>
      </c>
      <c r="J47" s="42"/>
      <c r="K47" s="42"/>
      <c r="L47" s="42"/>
      <c r="M47" s="42"/>
      <c r="N47" s="42"/>
      <c r="O47" s="42"/>
      <c r="P47" s="28"/>
    </row>
    <row r="48" spans="1:16" x14ac:dyDescent="0.2">
      <c r="A48" s="25"/>
      <c r="B48" s="47" t="s">
        <v>308</v>
      </c>
      <c r="C48" s="154">
        <f>IF($B48=" ","",IFERROR(INDEX(MMWR_RATING_RO_ROLLUP[],MATCH($B48,MMWR_RATING_RO_ROLLUP[MMWR_RATING_RO_ROLLUP],0),MATCH(C$9,MMWR_RATING_RO_ROLLUP[#Headers],0)),"ERROR"))</f>
        <v>7173</v>
      </c>
      <c r="D48" s="155">
        <f>IF($B48=" ","",IFERROR(INDEX(MMWR_RATING_RO_ROLLUP[],MATCH($B48,MMWR_RATING_RO_ROLLUP[MMWR_RATING_RO_ROLLUP],0),MATCH(D$9,MMWR_RATING_RO_ROLLUP[#Headers],0)),"ERROR"))</f>
        <v>67.829360100399995</v>
      </c>
      <c r="E48" s="156">
        <f>IF($B48=" ","",IFERROR(INDEX(MMWR_RATING_RO_ROLLUP[],MATCH($B48,MMWR_RATING_RO_ROLLUP[MMWR_RATING_RO_ROLLUP],0),MATCH(E$9,MMWR_RATING_RO_ROLLUP[#Headers],0))/$C48,"ERROR"))</f>
        <v>0.15307402760351319</v>
      </c>
      <c r="F48" s="154">
        <f>IF($B48=" ","",IFERROR(INDEX(MMWR_RATING_RO_ROLLUP[],MATCH($B48,MMWR_RATING_RO_ROLLUP[MMWR_RATING_RO_ROLLUP],0),MATCH(F$9,MMWR_RATING_RO_ROLLUP[#Headers],0)),"ERROR"))</f>
        <v>284</v>
      </c>
      <c r="G48" s="154">
        <f>IF($B48=" ","",IFERROR(INDEX(MMWR_RATING_RO_ROLLUP[],MATCH($B48,MMWR_RATING_RO_ROLLUP[MMWR_RATING_RO_ROLLUP],0),MATCH(G$9,MMWR_RATING_RO_ROLLUP[#Headers],0)),"ERROR"))</f>
        <v>4776</v>
      </c>
      <c r="H48" s="155">
        <f>IF($B48=" ","",IFERROR(INDEX(MMWR_RATING_RO_ROLLUP[],MATCH($B48,MMWR_RATING_RO_ROLLUP[MMWR_RATING_RO_ROLLUP],0),MATCH(H$9,MMWR_RATING_RO_ROLLUP[#Headers],0)),"ERROR"))</f>
        <v>112.338028169</v>
      </c>
      <c r="I48" s="155">
        <f>IF($B48=" ","",IFERROR(INDEX(MMWR_RATING_RO_ROLLUP[],MATCH($B48,MMWR_RATING_RO_ROLLUP[MMWR_RATING_RO_ROLLUP],0),MATCH(I$9,MMWR_RATING_RO_ROLLUP[#Headers],0)),"ERROR"))</f>
        <v>128.43676716920001</v>
      </c>
      <c r="J48" s="42"/>
      <c r="K48" s="42"/>
      <c r="L48" s="42"/>
      <c r="M48" s="42"/>
      <c r="N48" s="42"/>
      <c r="O48" s="42"/>
      <c r="P48" s="28"/>
    </row>
    <row r="49" spans="1:16" ht="15.75" x14ac:dyDescent="0.25">
      <c r="A49" s="25"/>
      <c r="B49" s="340" t="s">
        <v>1050</v>
      </c>
      <c r="C49" s="340"/>
      <c r="D49" s="340"/>
      <c r="E49" s="340"/>
      <c r="F49" s="340"/>
      <c r="G49" s="340"/>
      <c r="H49" s="340"/>
      <c r="I49" s="340"/>
      <c r="J49" s="340"/>
      <c r="K49" s="340"/>
      <c r="L49" s="340"/>
      <c r="M49" s="340"/>
      <c r="N49" s="340"/>
      <c r="O49" s="261"/>
      <c r="P49" s="28"/>
    </row>
    <row r="50" spans="1:16" ht="12" customHeight="1" x14ac:dyDescent="0.2">
      <c r="A50" s="25"/>
      <c r="B50" s="26"/>
      <c r="C50" s="26"/>
      <c r="D50" s="26"/>
      <c r="E50" s="26"/>
      <c r="F50" s="26"/>
      <c r="G50" s="26"/>
      <c r="H50" s="26"/>
      <c r="I50" s="26"/>
      <c r="J50" s="26"/>
      <c r="K50" s="27" t="s">
        <v>922</v>
      </c>
      <c r="L50" s="27" t="s">
        <v>927</v>
      </c>
      <c r="M50" s="27" t="s">
        <v>928</v>
      </c>
      <c r="N50" s="27" t="s">
        <v>929</v>
      </c>
      <c r="O50" s="27" t="s">
        <v>930</v>
      </c>
      <c r="P50" s="28"/>
    </row>
    <row r="51" spans="1:16" hidden="1" x14ac:dyDescent="0.2"/>
    <row r="52" spans="1:16" hidden="1" x14ac:dyDescent="0.2"/>
    <row r="53" spans="1:16" hidden="1" x14ac:dyDescent="0.2"/>
  </sheetData>
  <sheetProtection password="BD20" sheet="1" autoFilter="0"/>
  <protectedRanges>
    <protectedRange sqref="C45:K49 C40:K43 C34:K38 C15:K32 C13:K13" name="SOJ"/>
  </protectedRanges>
  <mergeCells count="34">
    <mergeCell ref="I11:I12"/>
    <mergeCell ref="L11:M11"/>
    <mergeCell ref="N11:O11"/>
    <mergeCell ref="J11:J12"/>
    <mergeCell ref="K11:K12"/>
    <mergeCell ref="M8:O8"/>
    <mergeCell ref="L2:O2"/>
    <mergeCell ref="L3:O3"/>
    <mergeCell ref="C4:O4"/>
    <mergeCell ref="C5:O5"/>
    <mergeCell ref="D6:E6"/>
    <mergeCell ref="G6:H6"/>
    <mergeCell ref="C2:K3"/>
    <mergeCell ref="M6:O6"/>
    <mergeCell ref="J6:K6"/>
    <mergeCell ref="J7:K7"/>
    <mergeCell ref="J8:K8"/>
    <mergeCell ref="M7:O7"/>
    <mergeCell ref="B49:N49"/>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s>
  <conditionalFormatting sqref="A1:P3 P6:P8 L6:M8 A6:J8 A5:P5 A4 C4:P4 A50:P50 A49 O49:P49 A9:P48">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80" zoomScaleNormal="8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5" t="s">
        <v>294</v>
      </c>
      <c r="D2" s="356"/>
      <c r="E2" s="356"/>
      <c r="F2" s="356"/>
      <c r="G2" s="356"/>
      <c r="H2" s="356"/>
      <c r="I2" s="356"/>
      <c r="J2" s="355" t="s">
        <v>300</v>
      </c>
      <c r="K2" s="356"/>
      <c r="L2" s="356"/>
      <c r="M2" s="357"/>
      <c r="N2" s="28"/>
    </row>
    <row r="3" spans="1:16" ht="24" customHeight="1" thickBot="1" x14ac:dyDescent="0.4">
      <c r="A3" s="25"/>
      <c r="B3" s="29"/>
      <c r="C3" s="358"/>
      <c r="D3" s="359"/>
      <c r="E3" s="359"/>
      <c r="F3" s="359"/>
      <c r="G3" s="359"/>
      <c r="H3" s="359"/>
      <c r="I3" s="359"/>
      <c r="J3" s="358" t="str">
        <f>Transformation!B4</f>
        <v>As of: June 04, 2016</v>
      </c>
      <c r="K3" s="359"/>
      <c r="L3" s="359"/>
      <c r="M3" s="360"/>
      <c r="N3" s="28"/>
    </row>
    <row r="4" spans="1:16" ht="51" customHeight="1" thickBot="1" x14ac:dyDescent="0.35">
      <c r="A4" s="30"/>
      <c r="B4" s="246" t="s">
        <v>455</v>
      </c>
      <c r="C4" s="361" t="s">
        <v>970</v>
      </c>
      <c r="D4" s="362"/>
      <c r="E4" s="362"/>
      <c r="F4" s="362"/>
      <c r="G4" s="362"/>
      <c r="H4" s="362"/>
      <c r="I4" s="362"/>
      <c r="J4" s="362"/>
      <c r="K4" s="362"/>
      <c r="L4" s="362"/>
      <c r="M4" s="363"/>
      <c r="N4" s="28"/>
      <c r="O4" s="22"/>
      <c r="P4" s="23"/>
    </row>
    <row r="5" spans="1:16" ht="27" customHeight="1" thickBot="1" x14ac:dyDescent="0.25">
      <c r="A5" s="30"/>
      <c r="B5" s="48"/>
      <c r="C5" s="364" t="s">
        <v>1041</v>
      </c>
      <c r="D5" s="365"/>
      <c r="E5" s="365"/>
      <c r="F5" s="365"/>
      <c r="G5" s="365"/>
      <c r="H5" s="365"/>
      <c r="I5" s="365"/>
      <c r="J5" s="365"/>
      <c r="K5" s="365"/>
      <c r="L5" s="365"/>
      <c r="M5" s="365"/>
      <c r="N5" s="365"/>
      <c r="O5" s="366"/>
    </row>
    <row r="6" spans="1:16"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6"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6"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6" x14ac:dyDescent="0.2">
      <c r="A9" s="28"/>
      <c r="B9" s="28"/>
      <c r="C9" s="39" t="s">
        <v>699</v>
      </c>
      <c r="D9" s="39" t="s">
        <v>701</v>
      </c>
      <c r="E9" s="39" t="s">
        <v>700</v>
      </c>
      <c r="F9" s="39" t="s">
        <v>703</v>
      </c>
      <c r="G9" s="39" t="s">
        <v>702</v>
      </c>
      <c r="H9" s="39" t="s">
        <v>713</v>
      </c>
      <c r="I9" s="39" t="s">
        <v>712</v>
      </c>
      <c r="J9" s="39"/>
      <c r="K9" s="39"/>
      <c r="L9" s="39"/>
      <c r="M9" s="39"/>
      <c r="N9" s="28"/>
    </row>
    <row r="10" spans="1:16" ht="15.75" customHeight="1" x14ac:dyDescent="0.2">
      <c r="A10" s="25"/>
      <c r="B10" s="26"/>
      <c r="C10" s="349" t="s">
        <v>293</v>
      </c>
      <c r="D10" s="349"/>
      <c r="E10" s="349"/>
      <c r="F10" s="349"/>
      <c r="G10" s="349"/>
      <c r="H10" s="349"/>
      <c r="I10" s="349"/>
      <c r="J10" s="349"/>
      <c r="K10" s="349"/>
      <c r="L10" s="349"/>
      <c r="M10" s="391"/>
      <c r="N10" s="28"/>
    </row>
    <row r="11" spans="1:16" ht="64.5" customHeight="1" x14ac:dyDescent="0.2">
      <c r="A11" s="25"/>
      <c r="B11" s="26"/>
      <c r="C11" s="52" t="s">
        <v>226</v>
      </c>
      <c r="D11" s="52" t="s">
        <v>134</v>
      </c>
      <c r="E11" s="52" t="s">
        <v>227</v>
      </c>
      <c r="F11" s="52" t="s">
        <v>189</v>
      </c>
      <c r="G11" s="52" t="s">
        <v>204</v>
      </c>
      <c r="H11" s="52" t="s">
        <v>206</v>
      </c>
      <c r="I11" s="52" t="s">
        <v>207</v>
      </c>
      <c r="J11" s="393" t="s">
        <v>971</v>
      </c>
      <c r="K11" s="394"/>
      <c r="L11" s="394"/>
      <c r="M11" s="395"/>
      <c r="N11" s="28"/>
    </row>
    <row r="12" spans="1:16" x14ac:dyDescent="0.2">
      <c r="A12" s="25"/>
      <c r="B12" s="41" t="s">
        <v>729</v>
      </c>
      <c r="C12" s="154">
        <f>IF($B12=" ","",IFERROR(INDEX(MMWR_RATING_RO_ROLLUP[],MATCH($B12,MMWR_RATING_RO_ROLLUP[MMWR_RATING_RO_ROLLUP],0),MATCH(C$9,MMWR_RATING_RO_ROLLUP[#Headers],0)),"ERROR"))</f>
        <v>360502</v>
      </c>
      <c r="D12" s="155">
        <f>IF($B12=" ","",IFERROR(INDEX(MMWR_RATING_RO_ROLLUP[],MATCH($B12,MMWR_RATING_RO_ROLLUP[MMWR_RATING_RO_ROLLUP],0),MATCH(D$9,MMWR_RATING_RO_ROLLUP[#Headers],0)),"ERROR"))</f>
        <v>89.191482987599997</v>
      </c>
      <c r="E12" s="156">
        <f>IF($B12=" ","",IFERROR(INDEX(MMWR_RATING_RO_ROLLUP[],MATCH($B12,MMWR_RATING_RO_ROLLUP[MMWR_RATING_RO_ROLLUP],0),MATCH(E$9,MMWR_RATING_RO_ROLLUP[#Headers],0))/$C12,"ERROR"))</f>
        <v>0.21137469417645394</v>
      </c>
      <c r="F12" s="154">
        <f>IF($B12=" ","",IFERROR(INDEX(MMWR_RATING_RO_ROLLUP[],MATCH($B12,MMWR_RATING_RO_ROLLUP[MMWR_RATING_RO_ROLLUP],0),MATCH(F$9,MMWR_RATING_RO_ROLLUP[#Headers],0)),"ERROR"))</f>
        <v>13918</v>
      </c>
      <c r="G12" s="154">
        <f>IF($B12=" ","",IFERROR(INDEX(MMWR_RATING_RO_ROLLUP[],MATCH($B12,MMWR_RATING_RO_ROLLUP[MMWR_RATING_RO_ROLLUP],0),MATCH(G$9,MMWR_RATING_RO_ROLLUP[#Headers],0)),"ERROR"))</f>
        <v>855563</v>
      </c>
      <c r="H12" s="155">
        <f>IF($B12=" ","",IFERROR(INDEX(MMWR_RATING_RO_ROLLUP[],MATCH($B12,MMWR_RATING_RO_ROLLUP[MMWR_RATING_RO_ROLLUP],0),MATCH(H$9,MMWR_RATING_RO_ROLLUP[#Headers],0)),"ERROR"))</f>
        <v>121.8819514298</v>
      </c>
      <c r="I12" s="155">
        <f>IF($B12=" ","",IFERROR(INDEX(MMWR_RATING_RO_ROLLUP[],MATCH($B12,MMWR_RATING_RO_ROLLUP[MMWR_RATING_RO_ROLLUP],0),MATCH(I$9,MMWR_RATING_RO_ROLLUP[#Headers],0)),"ERROR"))</f>
        <v>123.4740399012</v>
      </c>
      <c r="J12" s="42"/>
      <c r="K12" s="42"/>
      <c r="L12" s="42"/>
      <c r="M12" s="42"/>
      <c r="N12" s="28"/>
    </row>
    <row r="13" spans="1:16" x14ac:dyDescent="0.2">
      <c r="A13" s="25"/>
      <c r="B13" s="341" t="s">
        <v>732</v>
      </c>
      <c r="C13" s="342"/>
      <c r="D13" s="342"/>
      <c r="E13" s="342"/>
      <c r="F13" s="342"/>
      <c r="G13" s="342"/>
      <c r="H13" s="342"/>
      <c r="I13" s="342"/>
      <c r="J13" s="342"/>
      <c r="K13" s="342"/>
      <c r="L13" s="342"/>
      <c r="M13" s="392"/>
      <c r="N13" s="28"/>
    </row>
    <row r="14" spans="1:16" x14ac:dyDescent="0.2">
      <c r="A14" s="25"/>
      <c r="B14" s="41" t="s">
        <v>728</v>
      </c>
      <c r="C14" s="154">
        <f>IF($B14=" ","",IFERROR(INDEX(MMWR_RATING_RO_ROLLUP[],MATCH($B14,MMWR_RATING_RO_ROLLUP[MMWR_RATING_RO_ROLLUP],0),MATCH(C$9,MMWR_RATING_RO_ROLLUP[#Headers],0)),"ERROR"))</f>
        <v>315762</v>
      </c>
      <c r="D14" s="155">
        <f>IF($B14=" ","",IFERROR(INDEX(MMWR_RATING_RO_ROLLUP[],MATCH($B14,MMWR_RATING_RO_ROLLUP[MMWR_RATING_RO_ROLLUP],0),MATCH(D$9,MMWR_RATING_RO_ROLLUP[#Headers],0)),"ERROR"))</f>
        <v>91.691153463700005</v>
      </c>
      <c r="E14" s="156">
        <f>IF($B14=" ","",IFERROR(INDEX(MMWR_RATING_RO_ROLLUP[],MATCH($B14,MMWR_RATING_RO_ROLLUP[MMWR_RATING_RO_ROLLUP],0),MATCH(E$9,MMWR_RATING_RO_ROLLUP[#Headers],0))/$C14,"ERROR"))</f>
        <v>0.22220216492168152</v>
      </c>
      <c r="F14" s="154">
        <f>IF($B14=" ","",IFERROR(INDEX(MMWR_RATING_RO_ROLLUP[],MATCH($B14,MMWR_RATING_RO_ROLLUP[MMWR_RATING_RO_ROLLUP],0),MATCH(F$9,MMWR_RATING_RO_ROLLUP[#Headers],0)),"ERROR"))</f>
        <v>11754</v>
      </c>
      <c r="G14" s="154">
        <f>IF($B14=" ","",IFERROR(INDEX(MMWR_RATING_RO_ROLLUP[],MATCH($B14,MMWR_RATING_RO_ROLLUP[MMWR_RATING_RO_ROLLUP],0),MATCH(G$9,MMWR_RATING_RO_ROLLUP[#Headers],0)),"ERROR"))</f>
        <v>719956</v>
      </c>
      <c r="H14" s="155">
        <f>IF($B14=" ","",IFERROR(INDEX(MMWR_RATING_RO_ROLLUP[],MATCH($B14,MMWR_RATING_RO_ROLLUP[MMWR_RATING_RO_ROLLUP],0),MATCH(H$9,MMWR_RATING_RO_ROLLUP[#Headers],0)),"ERROR"))</f>
        <v>126.634762634</v>
      </c>
      <c r="I14" s="155">
        <f>IF($B14=" ","",IFERROR(INDEX(MMWR_RATING_RO_ROLLUP[],MATCH($B14,MMWR_RATING_RO_ROLLUP[MMWR_RATING_RO_ROLLUP],0),MATCH(I$9,MMWR_RATING_RO_ROLLUP[#Headers],0)),"ERROR"))</f>
        <v>129.0541796999</v>
      </c>
      <c r="J14" s="42"/>
      <c r="K14" s="42"/>
      <c r="L14" s="42"/>
      <c r="M14" s="42"/>
      <c r="N14" s="28"/>
    </row>
    <row r="15" spans="1:16" x14ac:dyDescent="0.2">
      <c r="A15" s="25"/>
      <c r="B15" s="247" t="s">
        <v>369</v>
      </c>
      <c r="C15" s="154">
        <f>IF($B15=" ","",IFERROR(INDEX(MMWR_RATING_RO_ROLLUP[],MATCH($B15,MMWR_RATING_RO_ROLLUP[MMWR_RATING_RO_ROLLUP],0),MATCH(C$9,MMWR_RATING_RO_ROLLUP[#Headers],0)),"ERROR"))</f>
        <v>72516</v>
      </c>
      <c r="D15" s="155">
        <f>IF($B15=" ","",IFERROR(INDEX(MMWR_RATING_RO_ROLLUP[],MATCH($B15,MMWR_RATING_RO_ROLLUP[MMWR_RATING_RO_ROLLUP],0),MATCH(D$9,MMWR_RATING_RO_ROLLUP[#Headers],0)),"ERROR"))</f>
        <v>94.169990071200004</v>
      </c>
      <c r="E15" s="156">
        <f>IF($B15=" ","",IFERROR(INDEX(MMWR_RATING_RO_ROLLUP[],MATCH($B15,MMWR_RATING_RO_ROLLUP[MMWR_RATING_RO_ROLLUP],0),MATCH(E$9,MMWR_RATING_RO_ROLLUP[#Headers],0))/$C15,"ERROR"))</f>
        <v>0.23922996304263885</v>
      </c>
      <c r="F15" s="154">
        <f>IF($B15=" ","",IFERROR(INDEX(MMWR_RATING_RO_ROLLUP[],MATCH($B15,MMWR_RATING_RO_ROLLUP[MMWR_RATING_RO_ROLLUP],0),MATCH(F$9,MMWR_RATING_RO_ROLLUP[#Headers],0)),"ERROR"))</f>
        <v>2802</v>
      </c>
      <c r="G15" s="154">
        <f>IF($B15=" ","",IFERROR(INDEX(MMWR_RATING_RO_ROLLUP[],MATCH($B15,MMWR_RATING_RO_ROLLUP[MMWR_RATING_RO_ROLLUP],0),MATCH(G$9,MMWR_RATING_RO_ROLLUP[#Headers],0)),"ERROR"))</f>
        <v>157088</v>
      </c>
      <c r="H15" s="155">
        <f>IF($B15=" ","",IFERROR(INDEX(MMWR_RATING_RO_ROLLUP[],MATCH($B15,MMWR_RATING_RO_ROLLUP[MMWR_RATING_RO_ROLLUP],0),MATCH(H$9,MMWR_RATING_RO_ROLLUP[#Headers],0)),"ERROR"))</f>
        <v>125.8904354033</v>
      </c>
      <c r="I15" s="155">
        <f>IF($B15=" ","",IFERROR(INDEX(MMWR_RATING_RO_ROLLUP[],MATCH($B15,MMWR_RATING_RO_ROLLUP[MMWR_RATING_RO_ROLLUP],0),MATCH(I$9,MMWR_RATING_RO_ROLLUP[#Headers],0)),"ERROR"))</f>
        <v>131.21847626810001</v>
      </c>
      <c r="J15" s="42"/>
      <c r="K15" s="42"/>
      <c r="L15" s="42"/>
      <c r="M15" s="42"/>
      <c r="N15" s="28"/>
    </row>
    <row r="16" spans="1:16" x14ac:dyDescent="0.2">
      <c r="A16" s="25"/>
      <c r="B16" s="8" t="str">
        <f>VLOOKUP($B$15,DISTRICT_RO[],2,0)</f>
        <v>Baltimore VSC</v>
      </c>
      <c r="C16" s="154">
        <f>IF($B16=" ","",IFERROR(INDEX(MMWR_RATING_RO_ROLLUP[],MATCH($B16,MMWR_RATING_RO_ROLLUP[MMWR_RATING_RO_ROLLUP],0),MATCH(C$9,MMWR_RATING_RO_ROLLUP[#Headers],0)),"ERROR"))</f>
        <v>4979</v>
      </c>
      <c r="D16" s="155">
        <f>IF($B16=" ","",IFERROR(INDEX(MMWR_RATING_RO_ROLLUP[],MATCH($B16,MMWR_RATING_RO_ROLLUP[MMWR_RATING_RO_ROLLUP],0),MATCH(D$9,MMWR_RATING_RO_ROLLUP[#Headers],0)),"ERROR"))</f>
        <v>102.3554930709</v>
      </c>
      <c r="E16" s="156">
        <f>IF($B16=" ","",IFERROR(INDEX(MMWR_RATING_RO_ROLLUP[],MATCH($B16,MMWR_RATING_RO_ROLLUP[MMWR_RATING_RO_ROLLUP],0),MATCH(E$9,MMWR_RATING_RO_ROLLUP[#Headers],0))/$C16,"ERROR"))</f>
        <v>0.24844346254267927</v>
      </c>
      <c r="F16" s="154">
        <f>IF($B16=" ","",IFERROR(INDEX(MMWR_RATING_RO_ROLLUP[],MATCH($B16,MMWR_RATING_RO_ROLLUP[MMWR_RATING_RO_ROLLUP],0),MATCH(F$9,MMWR_RATING_RO_ROLLUP[#Headers],0)),"ERROR"))</f>
        <v>151</v>
      </c>
      <c r="G16" s="154">
        <f>IF($B16=" ","",IFERROR(INDEX(MMWR_RATING_RO_ROLLUP[],MATCH($B16,MMWR_RATING_RO_ROLLUP[MMWR_RATING_RO_ROLLUP],0),MATCH(G$9,MMWR_RATING_RO_ROLLUP[#Headers],0)),"ERROR"))</f>
        <v>10141</v>
      </c>
      <c r="H16" s="155">
        <f>IF($B16=" ","",IFERROR(INDEX(MMWR_RATING_RO_ROLLUP[],MATCH($B16,MMWR_RATING_RO_ROLLUP[MMWR_RATING_RO_ROLLUP],0),MATCH(H$9,MMWR_RATING_RO_ROLLUP[#Headers],0)),"ERROR"))</f>
        <v>128.07947019869999</v>
      </c>
      <c r="I16" s="155">
        <f>IF($B16=" ","",IFERROR(INDEX(MMWR_RATING_RO_ROLLUP[],MATCH($B16,MMWR_RATING_RO_ROLLUP[MMWR_RATING_RO_ROLLUP],0),MATCH(I$9,MMWR_RATING_RO_ROLLUP[#Headers],0)),"ERROR"))</f>
        <v>142.55458041610001</v>
      </c>
      <c r="J16" s="42"/>
      <c r="K16" s="42"/>
      <c r="L16" s="42"/>
      <c r="M16" s="42"/>
      <c r="N16" s="28"/>
    </row>
    <row r="17" spans="1:14" x14ac:dyDescent="0.2">
      <c r="A17" s="25"/>
      <c r="B17" s="8" t="str">
        <f>VLOOKUP($B$15,DISTRICT_RO[],3,0)</f>
        <v>Boston VSC</v>
      </c>
      <c r="C17" s="154">
        <f>IF($B17=" ","",IFERROR(INDEX(MMWR_RATING_RO_ROLLUP[],MATCH($B17,MMWR_RATING_RO_ROLLUP[MMWR_RATING_RO_ROLLUP],0),MATCH(C$9,MMWR_RATING_RO_ROLLUP[#Headers],0)),"ERROR"))</f>
        <v>3518</v>
      </c>
      <c r="D17" s="155">
        <f>IF($B17=" ","",IFERROR(INDEX(MMWR_RATING_RO_ROLLUP[],MATCH($B17,MMWR_RATING_RO_ROLLUP[MMWR_RATING_RO_ROLLUP],0),MATCH(D$9,MMWR_RATING_RO_ROLLUP[#Headers],0)),"ERROR"))</f>
        <v>86.772029562300006</v>
      </c>
      <c r="E17" s="156">
        <f>IF($B17=" ","",IFERROR(INDEX(MMWR_RATING_RO_ROLLUP[],MATCH($B17,MMWR_RATING_RO_ROLLUP[MMWR_RATING_RO_ROLLUP],0),MATCH(E$9,MMWR_RATING_RO_ROLLUP[#Headers],0))/$C17,"ERROR"))</f>
        <v>0.21063104036384309</v>
      </c>
      <c r="F17" s="154">
        <f>IF($B17=" ","",IFERROR(INDEX(MMWR_RATING_RO_ROLLUP[],MATCH($B17,MMWR_RATING_RO_ROLLUP[MMWR_RATING_RO_ROLLUP],0),MATCH(F$9,MMWR_RATING_RO_ROLLUP[#Headers],0)),"ERROR"))</f>
        <v>128</v>
      </c>
      <c r="G17" s="154">
        <f>IF($B17=" ","",IFERROR(INDEX(MMWR_RATING_RO_ROLLUP[],MATCH($B17,MMWR_RATING_RO_ROLLUP[MMWR_RATING_RO_ROLLUP],0),MATCH(G$9,MMWR_RATING_RO_ROLLUP[#Headers],0)),"ERROR"))</f>
        <v>7720</v>
      </c>
      <c r="H17" s="155">
        <f>IF($B17=" ","",IFERROR(INDEX(MMWR_RATING_RO_ROLLUP[],MATCH($B17,MMWR_RATING_RO_ROLLUP[MMWR_RATING_RO_ROLLUP],0),MATCH(H$9,MMWR_RATING_RO_ROLLUP[#Headers],0)),"ERROR"))</f>
        <v>109.375</v>
      </c>
      <c r="I17" s="155">
        <f>IF($B17=" ","",IFERROR(INDEX(MMWR_RATING_RO_ROLLUP[],MATCH($B17,MMWR_RATING_RO_ROLLUP[MMWR_RATING_RO_ROLLUP],0),MATCH(I$9,MMWR_RATING_RO_ROLLUP[#Headers],0)),"ERROR"))</f>
        <v>131.70673575129999</v>
      </c>
      <c r="J17" s="42"/>
      <c r="K17" s="42"/>
      <c r="L17" s="42"/>
      <c r="M17" s="42"/>
      <c r="N17" s="28"/>
    </row>
    <row r="18" spans="1:14" x14ac:dyDescent="0.2">
      <c r="A18" s="25"/>
      <c r="B18" s="8" t="str">
        <f>VLOOKUP($B$15,DISTRICT_RO[],4,0)</f>
        <v>Buffalo VSC</v>
      </c>
      <c r="C18" s="154">
        <f>IF($B18=" ","",IFERROR(INDEX(MMWR_RATING_RO_ROLLUP[],MATCH($B18,MMWR_RATING_RO_ROLLUP[MMWR_RATING_RO_ROLLUP],0),MATCH(C$9,MMWR_RATING_RO_ROLLUP[#Headers],0)),"ERROR"))</f>
        <v>3794</v>
      </c>
      <c r="D18" s="155">
        <f>IF($B18=" ","",IFERROR(INDEX(MMWR_RATING_RO_ROLLUP[],MATCH($B18,MMWR_RATING_RO_ROLLUP[MMWR_RATING_RO_ROLLUP],0),MATCH(D$9,MMWR_RATING_RO_ROLLUP[#Headers],0)),"ERROR"))</f>
        <v>85.207432788600002</v>
      </c>
      <c r="E18" s="156">
        <f>IF($B18=" ","",IFERROR(INDEX(MMWR_RATING_RO_ROLLUP[],MATCH($B18,MMWR_RATING_RO_ROLLUP[MMWR_RATING_RO_ROLLUP],0),MATCH(E$9,MMWR_RATING_RO_ROLLUP[#Headers],0))/$C18,"ERROR"))</f>
        <v>0.21033210332103322</v>
      </c>
      <c r="F18" s="154">
        <f>IF($B18=" ","",IFERROR(INDEX(MMWR_RATING_RO_ROLLUP[],MATCH($B18,MMWR_RATING_RO_ROLLUP[MMWR_RATING_RO_ROLLUP],0),MATCH(F$9,MMWR_RATING_RO_ROLLUP[#Headers],0)),"ERROR"))</f>
        <v>117</v>
      </c>
      <c r="G18" s="154">
        <f>IF($B18=" ","",IFERROR(INDEX(MMWR_RATING_RO_ROLLUP[],MATCH($B18,MMWR_RATING_RO_ROLLUP[MMWR_RATING_RO_ROLLUP],0),MATCH(G$9,MMWR_RATING_RO_ROLLUP[#Headers],0)),"ERROR"))</f>
        <v>8749</v>
      </c>
      <c r="H18" s="155">
        <f>IF($B18=" ","",IFERROR(INDEX(MMWR_RATING_RO_ROLLUP[],MATCH($B18,MMWR_RATING_RO_ROLLUP[MMWR_RATING_RO_ROLLUP],0),MATCH(H$9,MMWR_RATING_RO_ROLLUP[#Headers],0)),"ERROR"))</f>
        <v>126.641025641</v>
      </c>
      <c r="I18" s="155">
        <f>IF($B18=" ","",IFERROR(INDEX(MMWR_RATING_RO_ROLLUP[],MATCH($B18,MMWR_RATING_RO_ROLLUP[MMWR_RATING_RO_ROLLUP],0),MATCH(I$9,MMWR_RATING_RO_ROLLUP[#Headers],0)),"ERROR"))</f>
        <v>135.72705452049999</v>
      </c>
      <c r="J18" s="42"/>
      <c r="K18" s="42"/>
      <c r="L18" s="42"/>
      <c r="M18" s="42"/>
      <c r="N18" s="28"/>
    </row>
    <row r="19" spans="1:14" x14ac:dyDescent="0.2">
      <c r="A19" s="25"/>
      <c r="B19" s="8" t="str">
        <f>VLOOKUP($B$15,DISTRICT_RO[],5,0)</f>
        <v>Hartford VSC</v>
      </c>
      <c r="C19" s="154">
        <f>IF($B19=" ","",IFERROR(INDEX(MMWR_RATING_RO_ROLLUP[],MATCH($B19,MMWR_RATING_RO_ROLLUP[MMWR_RATING_RO_ROLLUP],0),MATCH(C$9,MMWR_RATING_RO_ROLLUP[#Headers],0)),"ERROR"))</f>
        <v>1719</v>
      </c>
      <c r="D19" s="155">
        <f>IF($B19=" ","",IFERROR(INDEX(MMWR_RATING_RO_ROLLUP[],MATCH($B19,MMWR_RATING_RO_ROLLUP[MMWR_RATING_RO_ROLLUP],0),MATCH(D$9,MMWR_RATING_RO_ROLLUP[#Headers],0)),"ERROR"))</f>
        <v>89.148342059300006</v>
      </c>
      <c r="E19" s="156">
        <f>IF($B19=" ","",IFERROR(INDEX(MMWR_RATING_RO_ROLLUP[],MATCH($B19,MMWR_RATING_RO_ROLLUP[MMWR_RATING_RO_ROLLUP],0),MATCH(E$9,MMWR_RATING_RO_ROLLUP[#Headers],0))/$C19,"ERROR"))</f>
        <v>0.19837114601512507</v>
      </c>
      <c r="F19" s="154">
        <f>IF($B19=" ","",IFERROR(INDEX(MMWR_RATING_RO_ROLLUP[],MATCH($B19,MMWR_RATING_RO_ROLLUP[MMWR_RATING_RO_ROLLUP],0),MATCH(F$9,MMWR_RATING_RO_ROLLUP[#Headers],0)),"ERROR"))</f>
        <v>61</v>
      </c>
      <c r="G19" s="154">
        <f>IF($B19=" ","",IFERROR(INDEX(MMWR_RATING_RO_ROLLUP[],MATCH($B19,MMWR_RATING_RO_ROLLUP[MMWR_RATING_RO_ROLLUP],0),MATCH(G$9,MMWR_RATING_RO_ROLLUP[#Headers],0)),"ERROR"))</f>
        <v>4412</v>
      </c>
      <c r="H19" s="155">
        <f>IF($B19=" ","",IFERROR(INDEX(MMWR_RATING_RO_ROLLUP[],MATCH($B19,MMWR_RATING_RO_ROLLUP[MMWR_RATING_RO_ROLLUP],0),MATCH(H$9,MMWR_RATING_RO_ROLLUP[#Headers],0)),"ERROR"))</f>
        <v>117.8852459016</v>
      </c>
      <c r="I19" s="155">
        <f>IF($B19=" ","",IFERROR(INDEX(MMWR_RATING_RO_ROLLUP[],MATCH($B19,MMWR_RATING_RO_ROLLUP[MMWR_RATING_RO_ROLLUP],0),MATCH(I$9,MMWR_RATING_RO_ROLLUP[#Headers],0)),"ERROR"))</f>
        <v>114.640299184</v>
      </c>
      <c r="J19" s="42"/>
      <c r="K19" s="42"/>
      <c r="L19" s="42"/>
      <c r="M19" s="42"/>
      <c r="N19" s="28"/>
    </row>
    <row r="20" spans="1:14" x14ac:dyDescent="0.2">
      <c r="A20" s="25"/>
      <c r="B20" s="8" t="str">
        <f>VLOOKUP($B$15,DISTRICT_RO[],6,0)</f>
        <v>Huntington VSC</v>
      </c>
      <c r="C20" s="154">
        <f>IF($B20=" ","",IFERROR(INDEX(MMWR_RATING_RO_ROLLUP[],MATCH($B20,MMWR_RATING_RO_ROLLUP[MMWR_RATING_RO_ROLLUP],0),MATCH(C$9,MMWR_RATING_RO_ROLLUP[#Headers],0)),"ERROR"))</f>
        <v>2572</v>
      </c>
      <c r="D20" s="155">
        <f>IF($B20=" ","",IFERROR(INDEX(MMWR_RATING_RO_ROLLUP[],MATCH($B20,MMWR_RATING_RO_ROLLUP[MMWR_RATING_RO_ROLLUP],0),MATCH(D$9,MMWR_RATING_RO_ROLLUP[#Headers],0)),"ERROR"))</f>
        <v>82.039269051299996</v>
      </c>
      <c r="E20" s="156">
        <f>IF($B20=" ","",IFERROR(INDEX(MMWR_RATING_RO_ROLLUP[],MATCH($B20,MMWR_RATING_RO_ROLLUP[MMWR_RATING_RO_ROLLUP],0),MATCH(E$9,MMWR_RATING_RO_ROLLUP[#Headers],0))/$C20,"ERROR"))</f>
        <v>0.18001555209953343</v>
      </c>
      <c r="F20" s="154">
        <f>IF($B20=" ","",IFERROR(INDEX(MMWR_RATING_RO_ROLLUP[],MATCH($B20,MMWR_RATING_RO_ROLLUP[MMWR_RATING_RO_ROLLUP],0),MATCH(F$9,MMWR_RATING_RO_ROLLUP[#Headers],0)),"ERROR"))</f>
        <v>154</v>
      </c>
      <c r="G20" s="154">
        <f>IF($B20=" ","",IFERROR(INDEX(MMWR_RATING_RO_ROLLUP[],MATCH($B20,MMWR_RATING_RO_ROLLUP[MMWR_RATING_RO_ROLLUP],0),MATCH(G$9,MMWR_RATING_RO_ROLLUP[#Headers],0)),"ERROR"))</f>
        <v>6080</v>
      </c>
      <c r="H20" s="155">
        <f>IF($B20=" ","",IFERROR(INDEX(MMWR_RATING_RO_ROLLUP[],MATCH($B20,MMWR_RATING_RO_ROLLUP[MMWR_RATING_RO_ROLLUP],0),MATCH(H$9,MMWR_RATING_RO_ROLLUP[#Headers],0)),"ERROR"))</f>
        <v>111.91558441559999</v>
      </c>
      <c r="I20" s="155">
        <f>IF($B20=" ","",IFERROR(INDEX(MMWR_RATING_RO_ROLLUP[],MATCH($B20,MMWR_RATING_RO_ROLLUP[MMWR_RATING_RO_ROLLUP],0),MATCH(I$9,MMWR_RATING_RO_ROLLUP[#Headers],0)),"ERROR"))</f>
        <v>117.090625</v>
      </c>
      <c r="J20" s="42"/>
      <c r="K20" s="42"/>
      <c r="L20" s="42"/>
      <c r="M20" s="42"/>
      <c r="N20" s="28"/>
    </row>
    <row r="21" spans="1:14" x14ac:dyDescent="0.2">
      <c r="A21" s="25"/>
      <c r="B21" s="8" t="str">
        <f>VLOOKUP($B$15,DISTRICT_RO[],7,0)</f>
        <v>Manchester VSC</v>
      </c>
      <c r="C21" s="154">
        <f>IF($B21=" ","",IFERROR(INDEX(MMWR_RATING_RO_ROLLUP[],MATCH($B21,MMWR_RATING_RO_ROLLUP[MMWR_RATING_RO_ROLLUP],0),MATCH(C$9,MMWR_RATING_RO_ROLLUP[#Headers],0)),"ERROR"))</f>
        <v>1184</v>
      </c>
      <c r="D21" s="155">
        <f>IF($B21=" ","",IFERROR(INDEX(MMWR_RATING_RO_ROLLUP[],MATCH($B21,MMWR_RATING_RO_ROLLUP[MMWR_RATING_RO_ROLLUP],0),MATCH(D$9,MMWR_RATING_RO_ROLLUP[#Headers],0)),"ERROR"))</f>
        <v>69.297297297300005</v>
      </c>
      <c r="E21" s="156">
        <f>IF($B21=" ","",IFERROR(INDEX(MMWR_RATING_RO_ROLLUP[],MATCH($B21,MMWR_RATING_RO_ROLLUP[MMWR_RATING_RO_ROLLUP],0),MATCH(E$9,MMWR_RATING_RO_ROLLUP[#Headers],0))/$C21,"ERROR"))</f>
        <v>0.1266891891891892</v>
      </c>
      <c r="F21" s="154">
        <f>IF($B21=" ","",IFERROR(INDEX(MMWR_RATING_RO_ROLLUP[],MATCH($B21,MMWR_RATING_RO_ROLLUP[MMWR_RATING_RO_ROLLUP],0),MATCH(F$9,MMWR_RATING_RO_ROLLUP[#Headers],0)),"ERROR"))</f>
        <v>59</v>
      </c>
      <c r="G21" s="154">
        <f>IF($B21=" ","",IFERROR(INDEX(MMWR_RATING_RO_ROLLUP[],MATCH($B21,MMWR_RATING_RO_ROLLUP[MMWR_RATING_RO_ROLLUP],0),MATCH(G$9,MMWR_RATING_RO_ROLLUP[#Headers],0)),"ERROR"))</f>
        <v>2717</v>
      </c>
      <c r="H21" s="155">
        <f>IF($B21=" ","",IFERROR(INDEX(MMWR_RATING_RO_ROLLUP[],MATCH($B21,MMWR_RATING_RO_ROLLUP[MMWR_RATING_RO_ROLLUP],0),MATCH(H$9,MMWR_RATING_RO_ROLLUP[#Headers],0)),"ERROR"))</f>
        <v>94.389830508499998</v>
      </c>
      <c r="I21" s="155">
        <f>IF($B21=" ","",IFERROR(INDEX(MMWR_RATING_RO_ROLLUP[],MATCH($B21,MMWR_RATING_RO_ROLLUP[MMWR_RATING_RO_ROLLUP],0),MATCH(I$9,MMWR_RATING_RO_ROLLUP[#Headers],0)),"ERROR"))</f>
        <v>129.4659550975</v>
      </c>
      <c r="J21" s="42"/>
      <c r="K21" s="42"/>
      <c r="L21" s="42"/>
      <c r="M21" s="42"/>
      <c r="N21" s="28"/>
    </row>
    <row r="22" spans="1:14" x14ac:dyDescent="0.2">
      <c r="A22" s="25"/>
      <c r="B22" s="8" t="str">
        <f>VLOOKUP($B$15,DISTRICT_RO[],8,0)</f>
        <v>New York VSC</v>
      </c>
      <c r="C22" s="154">
        <f>IF($B22=" ","",IFERROR(INDEX(MMWR_RATING_RO_ROLLUP[],MATCH($B22,MMWR_RATING_RO_ROLLUP[MMWR_RATING_RO_ROLLUP],0),MATCH(C$9,MMWR_RATING_RO_ROLLUP[#Headers],0)),"ERROR"))</f>
        <v>5092</v>
      </c>
      <c r="D22" s="155">
        <f>IF($B22=" ","",IFERROR(INDEX(MMWR_RATING_RO_ROLLUP[],MATCH($B22,MMWR_RATING_RO_ROLLUP[MMWR_RATING_RO_ROLLUP],0),MATCH(D$9,MMWR_RATING_RO_ROLLUP[#Headers],0)),"ERROR"))</f>
        <v>103.85663786329999</v>
      </c>
      <c r="E22" s="156">
        <f>IF($B22=" ","",IFERROR(INDEX(MMWR_RATING_RO_ROLLUP[],MATCH($B22,MMWR_RATING_RO_ROLLUP[MMWR_RATING_RO_ROLLUP],0),MATCH(E$9,MMWR_RATING_RO_ROLLUP[#Headers],0))/$C22,"ERROR"))</f>
        <v>0.27670856245090336</v>
      </c>
      <c r="F22" s="154">
        <f>IF($B22=" ","",IFERROR(INDEX(MMWR_RATING_RO_ROLLUP[],MATCH($B22,MMWR_RATING_RO_ROLLUP[MMWR_RATING_RO_ROLLUP],0),MATCH(F$9,MMWR_RATING_RO_ROLLUP[#Headers],0)),"ERROR"))</f>
        <v>122</v>
      </c>
      <c r="G22" s="154">
        <f>IF($B22=" ","",IFERROR(INDEX(MMWR_RATING_RO_ROLLUP[],MATCH($B22,MMWR_RATING_RO_ROLLUP[MMWR_RATING_RO_ROLLUP],0),MATCH(G$9,MMWR_RATING_RO_ROLLUP[#Headers],0)),"ERROR"))</f>
        <v>9552</v>
      </c>
      <c r="H22" s="155">
        <f>IF($B22=" ","",IFERROR(INDEX(MMWR_RATING_RO_ROLLUP[],MATCH($B22,MMWR_RATING_RO_ROLLUP[MMWR_RATING_RO_ROLLUP],0),MATCH(H$9,MMWR_RATING_RO_ROLLUP[#Headers],0)),"ERROR"))</f>
        <v>139.6147540984</v>
      </c>
      <c r="I22" s="155">
        <f>IF($B22=" ","",IFERROR(INDEX(MMWR_RATING_RO_ROLLUP[],MATCH($B22,MMWR_RATING_RO_ROLLUP[MMWR_RATING_RO_ROLLUP],0),MATCH(I$9,MMWR_RATING_RO_ROLLUP[#Headers],0)),"ERROR"))</f>
        <v>136.18655778889999</v>
      </c>
      <c r="J22" s="42"/>
      <c r="K22" s="42"/>
      <c r="L22" s="42"/>
      <c r="M22" s="42"/>
      <c r="N22" s="28"/>
    </row>
    <row r="23" spans="1:14" x14ac:dyDescent="0.2">
      <c r="A23" s="25"/>
      <c r="B23" s="8" t="str">
        <f>VLOOKUP($B$15,DISTRICT_RO[],9,0)</f>
        <v>Newark VSC</v>
      </c>
      <c r="C23" s="154">
        <f>IF($B23=" ","",IFERROR(INDEX(MMWR_RATING_RO_ROLLUP[],MATCH($B23,MMWR_RATING_RO_ROLLUP[MMWR_RATING_RO_ROLLUP],0),MATCH(C$9,MMWR_RATING_RO_ROLLUP[#Headers],0)),"ERROR"))</f>
        <v>2828</v>
      </c>
      <c r="D23" s="155">
        <f>IF($B23=" ","",IFERROR(INDEX(MMWR_RATING_RO_ROLLUP[],MATCH($B23,MMWR_RATING_RO_ROLLUP[MMWR_RATING_RO_ROLLUP],0),MATCH(D$9,MMWR_RATING_RO_ROLLUP[#Headers],0)),"ERROR"))</f>
        <v>96.957213578500003</v>
      </c>
      <c r="E23" s="156">
        <f>IF($B23=" ","",IFERROR(INDEX(MMWR_RATING_RO_ROLLUP[],MATCH($B23,MMWR_RATING_RO_ROLLUP[MMWR_RATING_RO_ROLLUP],0),MATCH(E$9,MMWR_RATING_RO_ROLLUP[#Headers],0))/$C23,"ERROR"))</f>
        <v>0.24222065063649223</v>
      </c>
      <c r="F23" s="154">
        <f>IF($B23=" ","",IFERROR(INDEX(MMWR_RATING_RO_ROLLUP[],MATCH($B23,MMWR_RATING_RO_ROLLUP[MMWR_RATING_RO_ROLLUP],0),MATCH(F$9,MMWR_RATING_RO_ROLLUP[#Headers],0)),"ERROR"))</f>
        <v>123</v>
      </c>
      <c r="G23" s="154">
        <f>IF($B23=" ","",IFERROR(INDEX(MMWR_RATING_RO_ROLLUP[],MATCH($B23,MMWR_RATING_RO_ROLLUP[MMWR_RATING_RO_ROLLUP],0),MATCH(G$9,MMWR_RATING_RO_ROLLUP[#Headers],0)),"ERROR"))</f>
        <v>5357</v>
      </c>
      <c r="H23" s="155">
        <f>IF($B23=" ","",IFERROR(INDEX(MMWR_RATING_RO_ROLLUP[],MATCH($B23,MMWR_RATING_RO_ROLLUP[MMWR_RATING_RO_ROLLUP],0),MATCH(H$9,MMWR_RATING_RO_ROLLUP[#Headers],0)),"ERROR"))</f>
        <v>125.72357723579999</v>
      </c>
      <c r="I23" s="155">
        <f>IF($B23=" ","",IFERROR(INDEX(MMWR_RATING_RO_ROLLUP[],MATCH($B23,MMWR_RATING_RO_ROLLUP[MMWR_RATING_RO_ROLLUP],0),MATCH(I$9,MMWR_RATING_RO_ROLLUP[#Headers],0)),"ERROR"))</f>
        <v>136.91749113309999</v>
      </c>
      <c r="J23" s="42"/>
      <c r="K23" s="42"/>
      <c r="L23" s="42"/>
      <c r="M23" s="42"/>
      <c r="N23" s="28"/>
    </row>
    <row r="24" spans="1:14" x14ac:dyDescent="0.2">
      <c r="A24" s="25"/>
      <c r="B24" s="8" t="str">
        <f>VLOOKUP($B$15,DISTRICT_RO[],10,0)</f>
        <v>Philadelphia VSC</v>
      </c>
      <c r="C24" s="154">
        <f>IF($B24=" ","",IFERROR(INDEX(MMWR_RATING_RO_ROLLUP[],MATCH($B24,MMWR_RATING_RO_ROLLUP[MMWR_RATING_RO_ROLLUP],0),MATCH(C$9,MMWR_RATING_RO_ROLLUP[#Headers],0)),"ERROR"))</f>
        <v>8375</v>
      </c>
      <c r="D24" s="155">
        <f>IF($B24=" ","",IFERROR(INDEX(MMWR_RATING_RO_ROLLUP[],MATCH($B24,MMWR_RATING_RO_ROLLUP[MMWR_RATING_RO_ROLLUP],0),MATCH(D$9,MMWR_RATING_RO_ROLLUP[#Headers],0)),"ERROR"))</f>
        <v>105.5030447761</v>
      </c>
      <c r="E24" s="156">
        <f>IF($B24=" ","",IFERROR(INDEX(MMWR_RATING_RO_ROLLUP[],MATCH($B24,MMWR_RATING_RO_ROLLUP[MMWR_RATING_RO_ROLLUP],0),MATCH(E$9,MMWR_RATING_RO_ROLLUP[#Headers],0))/$C24,"ERROR"))</f>
        <v>0.28119402985074626</v>
      </c>
      <c r="F24" s="154">
        <f>IF($B24=" ","",IFERROR(INDEX(MMWR_RATING_RO_ROLLUP[],MATCH($B24,MMWR_RATING_RO_ROLLUP[MMWR_RATING_RO_ROLLUP],0),MATCH(F$9,MMWR_RATING_RO_ROLLUP[#Headers],0)),"ERROR"))</f>
        <v>230</v>
      </c>
      <c r="G24" s="154">
        <f>IF($B24=" ","",IFERROR(INDEX(MMWR_RATING_RO_ROLLUP[],MATCH($B24,MMWR_RATING_RO_ROLLUP[MMWR_RATING_RO_ROLLUP],0),MATCH(G$9,MMWR_RATING_RO_ROLLUP[#Headers],0)),"ERROR"))</f>
        <v>15890</v>
      </c>
      <c r="H24" s="155">
        <f>IF($B24=" ","",IFERROR(INDEX(MMWR_RATING_RO_ROLLUP[],MATCH($B24,MMWR_RATING_RO_ROLLUP[MMWR_RATING_RO_ROLLUP],0),MATCH(H$9,MMWR_RATING_RO_ROLLUP[#Headers],0)),"ERROR"))</f>
        <v>140.20869565219999</v>
      </c>
      <c r="I24" s="155">
        <f>IF($B24=" ","",IFERROR(INDEX(MMWR_RATING_RO_ROLLUP[],MATCH($B24,MMWR_RATING_RO_ROLLUP[MMWR_RATING_RO_ROLLUP],0),MATCH(I$9,MMWR_RATING_RO_ROLLUP[#Headers],0)),"ERROR"))</f>
        <v>148.37331655130001</v>
      </c>
      <c r="J24" s="42"/>
      <c r="K24" s="42"/>
      <c r="L24" s="42"/>
      <c r="M24" s="42"/>
      <c r="N24" s="28"/>
    </row>
    <row r="25" spans="1:14" x14ac:dyDescent="0.2">
      <c r="A25" s="25"/>
      <c r="B25" s="8" t="str">
        <f>VLOOKUP($B$15,DISTRICT_RO[],11,0)</f>
        <v>Pittsburgh VSC</v>
      </c>
      <c r="C25" s="154">
        <f>IF($B25=" ","",IFERROR(INDEX(MMWR_RATING_RO_ROLLUP[],MATCH($B25,MMWR_RATING_RO_ROLLUP[MMWR_RATING_RO_ROLLUP],0),MATCH(C$9,MMWR_RATING_RO_ROLLUP[#Headers],0)),"ERROR"))</f>
        <v>4986</v>
      </c>
      <c r="D25" s="155">
        <f>IF($B25=" ","",IFERROR(INDEX(MMWR_RATING_RO_ROLLUP[],MATCH($B25,MMWR_RATING_RO_ROLLUP[MMWR_RATING_RO_ROLLUP],0),MATCH(D$9,MMWR_RATING_RO_ROLLUP[#Headers],0)),"ERROR"))</f>
        <v>112.6642599278</v>
      </c>
      <c r="E25" s="156">
        <f>IF($B25=" ","",IFERROR(INDEX(MMWR_RATING_RO_ROLLUP[],MATCH($B25,MMWR_RATING_RO_ROLLUP[MMWR_RATING_RO_ROLLUP],0),MATCH(E$9,MMWR_RATING_RO_ROLLUP[#Headers],0))/$C25,"ERROR"))</f>
        <v>0.32912154031287605</v>
      </c>
      <c r="F25" s="154">
        <f>IF($B25=" ","",IFERROR(INDEX(MMWR_RATING_RO_ROLLUP[],MATCH($B25,MMWR_RATING_RO_ROLLUP[MMWR_RATING_RO_ROLLUP],0),MATCH(F$9,MMWR_RATING_RO_ROLLUP[#Headers],0)),"ERROR"))</f>
        <v>171</v>
      </c>
      <c r="G25" s="154">
        <f>IF($B25=" ","",IFERROR(INDEX(MMWR_RATING_RO_ROLLUP[],MATCH($B25,MMWR_RATING_RO_ROLLUP[MMWR_RATING_RO_ROLLUP],0),MATCH(G$9,MMWR_RATING_RO_ROLLUP[#Headers],0)),"ERROR"))</f>
        <v>8755</v>
      </c>
      <c r="H25" s="155">
        <f>IF($B25=" ","",IFERROR(INDEX(MMWR_RATING_RO_ROLLUP[],MATCH($B25,MMWR_RATING_RO_ROLLUP[MMWR_RATING_RO_ROLLUP],0),MATCH(H$9,MMWR_RATING_RO_ROLLUP[#Headers],0)),"ERROR"))</f>
        <v>149.57309941520001</v>
      </c>
      <c r="I25" s="155">
        <f>IF($B25=" ","",IFERROR(INDEX(MMWR_RATING_RO_ROLLUP[],MATCH($B25,MMWR_RATING_RO_ROLLUP[MMWR_RATING_RO_ROLLUP],0),MATCH(I$9,MMWR_RATING_RO_ROLLUP[#Headers],0)),"ERROR"))</f>
        <v>157.2612221588</v>
      </c>
      <c r="J25" s="42"/>
      <c r="K25" s="42"/>
      <c r="L25" s="42"/>
      <c r="M25" s="42"/>
      <c r="N25" s="28"/>
    </row>
    <row r="26" spans="1:14" x14ac:dyDescent="0.2">
      <c r="A26" s="25"/>
      <c r="B26" s="8" t="str">
        <f>VLOOKUP($B$15,DISTRICT_RO[],12,0)</f>
        <v>Providence VSC</v>
      </c>
      <c r="C26" s="154">
        <f>IF($B26=" ","",IFERROR(INDEX(MMWR_RATING_RO_ROLLUP[],MATCH($B26,MMWR_RATING_RO_ROLLUP[MMWR_RATING_RO_ROLLUP],0),MATCH(C$9,MMWR_RATING_RO_ROLLUP[#Headers],0)),"ERROR"))</f>
        <v>2881</v>
      </c>
      <c r="D26" s="155">
        <f>IF($B26=" ","",IFERROR(INDEX(MMWR_RATING_RO_ROLLUP[],MATCH($B26,MMWR_RATING_RO_ROLLUP[MMWR_RATING_RO_ROLLUP],0),MATCH(D$9,MMWR_RATING_RO_ROLLUP[#Headers],0)),"ERROR"))</f>
        <v>61.743491843100003</v>
      </c>
      <c r="E26" s="156">
        <f>IF($B26=" ","",IFERROR(INDEX(MMWR_RATING_RO_ROLLUP[],MATCH($B26,MMWR_RATING_RO_ROLLUP[MMWR_RATING_RO_ROLLUP],0),MATCH(E$9,MMWR_RATING_RO_ROLLUP[#Headers],0))/$C26,"ERROR"))</f>
        <v>0.14127039222492191</v>
      </c>
      <c r="F26" s="154">
        <f>IF($B26=" ","",IFERROR(INDEX(MMWR_RATING_RO_ROLLUP[],MATCH($B26,MMWR_RATING_RO_ROLLUP[MMWR_RATING_RO_ROLLUP],0),MATCH(F$9,MMWR_RATING_RO_ROLLUP[#Headers],0)),"ERROR"))</f>
        <v>260</v>
      </c>
      <c r="G26" s="154">
        <f>IF($B26=" ","",IFERROR(INDEX(MMWR_RATING_RO_ROLLUP[],MATCH($B26,MMWR_RATING_RO_ROLLUP[MMWR_RATING_RO_ROLLUP],0),MATCH(G$9,MMWR_RATING_RO_ROLLUP[#Headers],0)),"ERROR"))</f>
        <v>14579</v>
      </c>
      <c r="H26" s="155">
        <f>IF($B26=" ","",IFERROR(INDEX(MMWR_RATING_RO_ROLLUP[],MATCH($B26,MMWR_RATING_RO_ROLLUP[MMWR_RATING_RO_ROLLUP],0),MATCH(H$9,MMWR_RATING_RO_ROLLUP[#Headers],0)),"ERROR"))</f>
        <v>50.35</v>
      </c>
      <c r="I26" s="155">
        <f>IF($B26=" ","",IFERROR(INDEX(MMWR_RATING_RO_ROLLUP[],MATCH($B26,MMWR_RATING_RO_ROLLUP[MMWR_RATING_RO_ROLLUP],0),MATCH(I$9,MMWR_RATING_RO_ROLLUP[#Headers],0)),"ERROR"))</f>
        <v>56.9069895055</v>
      </c>
      <c r="J26" s="42"/>
      <c r="K26" s="42"/>
      <c r="L26" s="42"/>
      <c r="M26" s="42"/>
      <c r="N26" s="28"/>
    </row>
    <row r="27" spans="1:14" x14ac:dyDescent="0.2">
      <c r="A27" s="25"/>
      <c r="B27" s="8" t="str">
        <f>VLOOKUP($B$15,DISTRICT_RO[],13,0)</f>
        <v>Roanoke VSC</v>
      </c>
      <c r="C27" s="154">
        <f>IF($B27=" ","",IFERROR(INDEX(MMWR_RATING_RO_ROLLUP[],MATCH($B27,MMWR_RATING_RO_ROLLUP[MMWR_RATING_RO_ROLLUP],0),MATCH(C$9,MMWR_RATING_RO_ROLLUP[#Headers],0)),"ERROR"))</f>
        <v>11073</v>
      </c>
      <c r="D27" s="155">
        <f>IF($B27=" ","",IFERROR(INDEX(MMWR_RATING_RO_ROLLUP[],MATCH($B27,MMWR_RATING_RO_ROLLUP[MMWR_RATING_RO_ROLLUP],0),MATCH(D$9,MMWR_RATING_RO_ROLLUP[#Headers],0)),"ERROR"))</f>
        <v>87.448387970699997</v>
      </c>
      <c r="E27" s="156">
        <f>IF($B27=" ","",IFERROR(INDEX(MMWR_RATING_RO_ROLLUP[],MATCH($B27,MMWR_RATING_RO_ROLLUP[MMWR_RATING_RO_ROLLUP],0),MATCH(E$9,MMWR_RATING_RO_ROLLUP[#Headers],0))/$C27,"ERROR"))</f>
        <v>0.20807369276618803</v>
      </c>
      <c r="F27" s="154">
        <f>IF($B27=" ","",IFERROR(INDEX(MMWR_RATING_RO_ROLLUP[],MATCH($B27,MMWR_RATING_RO_ROLLUP[MMWR_RATING_RO_ROLLUP],0),MATCH(F$9,MMWR_RATING_RO_ROLLUP[#Headers],0)),"ERROR"))</f>
        <v>446</v>
      </c>
      <c r="G27" s="154">
        <f>IF($B27=" ","",IFERROR(INDEX(MMWR_RATING_RO_ROLLUP[],MATCH($B27,MMWR_RATING_RO_ROLLUP[MMWR_RATING_RO_ROLLUP],0),MATCH(G$9,MMWR_RATING_RO_ROLLUP[#Headers],0)),"ERROR"))</f>
        <v>23317</v>
      </c>
      <c r="H27" s="155">
        <f>IF($B27=" ","",IFERROR(INDEX(MMWR_RATING_RO_ROLLUP[],MATCH($B27,MMWR_RATING_RO_ROLLUP[MMWR_RATING_RO_ROLLUP],0),MATCH(H$9,MMWR_RATING_RO_ROLLUP[#Headers],0)),"ERROR"))</f>
        <v>138.5448430493</v>
      </c>
      <c r="I27" s="155">
        <f>IF($B27=" ","",IFERROR(INDEX(MMWR_RATING_RO_ROLLUP[],MATCH($B27,MMWR_RATING_RO_ROLLUP[MMWR_RATING_RO_ROLLUP],0),MATCH(I$9,MMWR_RATING_RO_ROLLUP[#Headers],0)),"ERROR"))</f>
        <v>136.37320410000001</v>
      </c>
      <c r="J27" s="42"/>
      <c r="K27" s="42"/>
      <c r="L27" s="42"/>
      <c r="M27" s="42"/>
      <c r="N27" s="28"/>
    </row>
    <row r="28" spans="1:14" x14ac:dyDescent="0.2">
      <c r="A28" s="25"/>
      <c r="B28" s="8" t="str">
        <f>VLOOKUP($B$15,DISTRICT_RO[],14,0)</f>
        <v>Togus VSC</v>
      </c>
      <c r="C28" s="154">
        <f>IF($B28=" ","",IFERROR(INDEX(MMWR_RATING_RO_ROLLUP[],MATCH($B28,MMWR_RATING_RO_ROLLUP[MMWR_RATING_RO_ROLLUP],0),MATCH(C$9,MMWR_RATING_RO_ROLLUP[#Headers],0)),"ERROR"))</f>
        <v>1159</v>
      </c>
      <c r="D28" s="155">
        <f>IF($B28=" ","",IFERROR(INDEX(MMWR_RATING_RO_ROLLUP[],MATCH($B28,MMWR_RATING_RO_ROLLUP[MMWR_RATING_RO_ROLLUP],0),MATCH(D$9,MMWR_RATING_RO_ROLLUP[#Headers],0)),"ERROR"))</f>
        <v>75.644521138900004</v>
      </c>
      <c r="E28" s="156">
        <f>IF($B28=" ","",IFERROR(INDEX(MMWR_RATING_RO_ROLLUP[],MATCH($B28,MMWR_RATING_RO_ROLLUP[MMWR_RATING_RO_ROLLUP],0),MATCH(E$9,MMWR_RATING_RO_ROLLUP[#Headers],0))/$C28,"ERROR"))</f>
        <v>0.14754098360655737</v>
      </c>
      <c r="F28" s="154">
        <f>IF($B28=" ","",IFERROR(INDEX(MMWR_RATING_RO_ROLLUP[],MATCH($B28,MMWR_RATING_RO_ROLLUP[MMWR_RATING_RO_ROLLUP],0),MATCH(F$9,MMWR_RATING_RO_ROLLUP[#Headers],0)),"ERROR"))</f>
        <v>54</v>
      </c>
      <c r="G28" s="154">
        <f>IF($B28=" ","",IFERROR(INDEX(MMWR_RATING_RO_ROLLUP[],MATCH($B28,MMWR_RATING_RO_ROLLUP[MMWR_RATING_RO_ROLLUP],0),MATCH(G$9,MMWR_RATING_RO_ROLLUP[#Headers],0)),"ERROR"))</f>
        <v>3461</v>
      </c>
      <c r="H28" s="155">
        <f>IF($B28=" ","",IFERROR(INDEX(MMWR_RATING_RO_ROLLUP[],MATCH($B28,MMWR_RATING_RO_ROLLUP[MMWR_RATING_RO_ROLLUP],0),MATCH(H$9,MMWR_RATING_RO_ROLLUP[#Headers],0)),"ERROR"))</f>
        <v>79.7962962963</v>
      </c>
      <c r="I28" s="155">
        <f>IF($B28=" ","",IFERROR(INDEX(MMWR_RATING_RO_ROLLUP[],MATCH($B28,MMWR_RATING_RO_ROLLUP[MMWR_RATING_RO_ROLLUP],0),MATCH(I$9,MMWR_RATING_RO_ROLLUP[#Headers],0)),"ERROR"))</f>
        <v>105.6989309448</v>
      </c>
      <c r="J28" s="42"/>
      <c r="K28" s="42"/>
      <c r="L28" s="42"/>
      <c r="M28" s="42"/>
      <c r="N28" s="28"/>
    </row>
    <row r="29" spans="1:14" x14ac:dyDescent="0.2">
      <c r="A29" s="25"/>
      <c r="B29" s="8" t="str">
        <f>VLOOKUP($B$15,DISTRICT_RO[],15,0)</f>
        <v>White River Junction VSC</v>
      </c>
      <c r="C29" s="154">
        <f>IF($B29=" ","",IFERROR(INDEX(MMWR_RATING_RO_ROLLUP[],MATCH($B29,MMWR_RATING_RO_ROLLUP[MMWR_RATING_RO_ROLLUP],0),MATCH(C$9,MMWR_RATING_RO_ROLLUP[#Headers],0)),"ERROR"))</f>
        <v>554</v>
      </c>
      <c r="D29" s="155">
        <f>IF($B29=" ","",IFERROR(INDEX(MMWR_RATING_RO_ROLLUP[],MATCH($B29,MMWR_RATING_RO_ROLLUP[MMWR_RATING_RO_ROLLUP],0),MATCH(D$9,MMWR_RATING_RO_ROLLUP[#Headers],0)),"ERROR"))</f>
        <v>97.218411552299997</v>
      </c>
      <c r="E29" s="156">
        <f>IF($B29=" ","",IFERROR(INDEX(MMWR_RATING_RO_ROLLUP[],MATCH($B29,MMWR_RATING_RO_ROLLUP[MMWR_RATING_RO_ROLLUP],0),MATCH(E$9,MMWR_RATING_RO_ROLLUP[#Headers],0))/$C29,"ERROR"))</f>
        <v>0.27256317689530685</v>
      </c>
      <c r="F29" s="154">
        <f>IF($B29=" ","",IFERROR(INDEX(MMWR_RATING_RO_ROLLUP[],MATCH($B29,MMWR_RATING_RO_ROLLUP[MMWR_RATING_RO_ROLLUP],0),MATCH(F$9,MMWR_RATING_RO_ROLLUP[#Headers],0)),"ERROR"))</f>
        <v>11</v>
      </c>
      <c r="G29" s="154">
        <f>IF($B29=" ","",IFERROR(INDEX(MMWR_RATING_RO_ROLLUP[],MATCH($B29,MMWR_RATING_RO_ROLLUP[MMWR_RATING_RO_ROLLUP],0),MATCH(G$9,MMWR_RATING_RO_ROLLUP[#Headers],0)),"ERROR"))</f>
        <v>990</v>
      </c>
      <c r="H29" s="155">
        <f>IF($B29=" ","",IFERROR(INDEX(MMWR_RATING_RO_ROLLUP[],MATCH($B29,MMWR_RATING_RO_ROLLUP[MMWR_RATING_RO_ROLLUP],0),MATCH(H$9,MMWR_RATING_RO_ROLLUP[#Headers],0)),"ERROR"))</f>
        <v>143.45454545449999</v>
      </c>
      <c r="I29" s="155">
        <f>IF($B29=" ","",IFERROR(INDEX(MMWR_RATING_RO_ROLLUP[],MATCH($B29,MMWR_RATING_RO_ROLLUP[MMWR_RATING_RO_ROLLUP],0),MATCH(I$9,MMWR_RATING_RO_ROLLUP[#Headers],0)),"ERROR"))</f>
        <v>135.21212121209999</v>
      </c>
      <c r="J29" s="42"/>
      <c r="K29" s="42"/>
      <c r="L29" s="42"/>
      <c r="M29" s="42"/>
      <c r="N29" s="28"/>
    </row>
    <row r="30" spans="1:14" x14ac:dyDescent="0.2">
      <c r="A30" s="25"/>
      <c r="B30" s="8" t="str">
        <f>VLOOKUP($B$15,DISTRICT_RO[],16,0)</f>
        <v>Wilmington VSC</v>
      </c>
      <c r="C30" s="154">
        <f>IF($B30=" ","",IFERROR(INDEX(MMWR_RATING_RO_ROLLUP[],MATCH($B30,MMWR_RATING_RO_ROLLUP[MMWR_RATING_RO_ROLLUP],0),MATCH(C$9,MMWR_RATING_RO_ROLLUP[#Headers],0)),"ERROR"))</f>
        <v>732</v>
      </c>
      <c r="D30" s="155">
        <f>IF($B30=" ","",IFERROR(INDEX(MMWR_RATING_RO_ROLLUP[],MATCH($B30,MMWR_RATING_RO_ROLLUP[MMWR_RATING_RO_ROLLUP],0),MATCH(D$9,MMWR_RATING_RO_ROLLUP[#Headers],0)),"ERROR"))</f>
        <v>88.788251366099999</v>
      </c>
      <c r="E30" s="156">
        <f>IF($B30=" ","",IFERROR(INDEX(MMWR_RATING_RO_ROLLUP[],MATCH($B30,MMWR_RATING_RO_ROLLUP[MMWR_RATING_RO_ROLLUP],0),MATCH(E$9,MMWR_RATING_RO_ROLLUP[#Headers],0))/$C30,"ERROR"))</f>
        <v>0.20628415300546449</v>
      </c>
      <c r="F30" s="154">
        <f>IF($B30=" ","",IFERROR(INDEX(MMWR_RATING_RO_ROLLUP[],MATCH($B30,MMWR_RATING_RO_ROLLUP[MMWR_RATING_RO_ROLLUP],0),MATCH(F$9,MMWR_RATING_RO_ROLLUP[#Headers],0)),"ERROR"))</f>
        <v>21</v>
      </c>
      <c r="G30" s="154">
        <f>IF($B30=" ","",IFERROR(INDEX(MMWR_RATING_RO_ROLLUP[],MATCH($B30,MMWR_RATING_RO_ROLLUP[MMWR_RATING_RO_ROLLUP],0),MATCH(G$9,MMWR_RATING_RO_ROLLUP[#Headers],0)),"ERROR"))</f>
        <v>1713</v>
      </c>
      <c r="H30" s="155">
        <f>IF($B30=" ","",IFERROR(INDEX(MMWR_RATING_RO_ROLLUP[],MATCH($B30,MMWR_RATING_RO_ROLLUP[MMWR_RATING_RO_ROLLUP],0),MATCH(H$9,MMWR_RATING_RO_ROLLUP[#Headers],0)),"ERROR"))</f>
        <v>145.42857142860001</v>
      </c>
      <c r="I30" s="155">
        <f>IF($B30=" ","",IFERROR(INDEX(MMWR_RATING_RO_ROLLUP[],MATCH($B30,MMWR_RATING_RO_ROLLUP[MMWR_RATING_RO_ROLLUP],0),MATCH(I$9,MMWR_RATING_RO_ROLLUP[#Headers],0)),"ERROR"))</f>
        <v>141.0636310566</v>
      </c>
      <c r="J30" s="42"/>
      <c r="K30" s="42"/>
      <c r="L30" s="42"/>
      <c r="M30" s="42"/>
      <c r="N30" s="28"/>
    </row>
    <row r="31" spans="1:14" x14ac:dyDescent="0.2">
      <c r="A31" s="25"/>
      <c r="B31" s="8" t="str">
        <f>VLOOKUP($B$15,DISTRICT_RO[],17,0)</f>
        <v>Winston-Salem VSC</v>
      </c>
      <c r="C31" s="154">
        <f>IF($B31=" ","",IFERROR(INDEX(MMWR_RATING_RO_ROLLUP[],MATCH($B31,MMWR_RATING_RO_ROLLUP[MMWR_RATING_RO_ROLLUP],0),MATCH(C$9,MMWR_RATING_RO_ROLLUP[#Headers],0)),"ERROR"))</f>
        <v>17070</v>
      </c>
      <c r="D31" s="155">
        <f>IF($B31=" ","",IFERROR(INDEX(MMWR_RATING_RO_ROLLUP[],MATCH($B31,MMWR_RATING_RO_ROLLUP[MMWR_RATING_RO_ROLLUP],0),MATCH(D$9,MMWR_RATING_RO_ROLLUP[#Headers],0)),"ERROR"))</f>
        <v>96.266842413600003</v>
      </c>
      <c r="E31" s="156">
        <f>IF($B31=" ","",IFERROR(INDEX(MMWR_RATING_RO_ROLLUP[],MATCH($B31,MMWR_RATING_RO_ROLLUP[MMWR_RATING_RO_ROLLUP],0),MATCH(E$9,MMWR_RATING_RO_ROLLUP[#Headers],0))/$C31,"ERROR"))</f>
        <v>0.25448154657293498</v>
      </c>
      <c r="F31" s="154">
        <f>IF($B31=" ","",IFERROR(INDEX(MMWR_RATING_RO_ROLLUP[],MATCH($B31,MMWR_RATING_RO_ROLLUP[MMWR_RATING_RO_ROLLUP],0),MATCH(F$9,MMWR_RATING_RO_ROLLUP[#Headers],0)),"ERROR"))</f>
        <v>694</v>
      </c>
      <c r="G31" s="154">
        <f>IF($B31=" ","",IFERROR(INDEX(MMWR_RATING_RO_ROLLUP[],MATCH($B31,MMWR_RATING_RO_ROLLUP[MMWR_RATING_RO_ROLLUP],0),MATCH(G$9,MMWR_RATING_RO_ROLLUP[#Headers],0)),"ERROR"))</f>
        <v>33655</v>
      </c>
      <c r="H31" s="155">
        <f>IF($B31=" ","",IFERROR(INDEX(MMWR_RATING_RO_ROLLUP[],MATCH($B31,MMWR_RATING_RO_ROLLUP[MMWR_RATING_RO_ROLLUP],0),MATCH(H$9,MMWR_RATING_RO_ROLLUP[#Headers],0)),"ERROR"))</f>
        <v>144.73775216140001</v>
      </c>
      <c r="I31" s="155">
        <f>IF($B31=" ","",IFERROR(INDEX(MMWR_RATING_RO_ROLLUP[],MATCH($B31,MMWR_RATING_RO_ROLLUP[MMWR_RATING_RO_ROLLUP],0),MATCH(I$9,MMWR_RATING_RO_ROLLUP[#Headers],0)),"ERROR"))</f>
        <v>144.8196404695</v>
      </c>
      <c r="J31" s="42"/>
      <c r="K31" s="42"/>
      <c r="L31" s="42"/>
      <c r="M31" s="42"/>
      <c r="N31" s="28"/>
    </row>
    <row r="32" spans="1:14" x14ac:dyDescent="0.2">
      <c r="A32" s="25"/>
      <c r="B32" s="341" t="s">
        <v>733</v>
      </c>
      <c r="C32" s="342"/>
      <c r="D32" s="342"/>
      <c r="E32" s="342"/>
      <c r="F32" s="342"/>
      <c r="G32" s="342"/>
      <c r="H32" s="342"/>
      <c r="I32" s="342"/>
      <c r="J32" s="342"/>
      <c r="K32" s="342"/>
      <c r="L32" s="342"/>
      <c r="M32" s="392"/>
      <c r="N32" s="28"/>
    </row>
    <row r="33" spans="1:14" x14ac:dyDescent="0.2">
      <c r="A33" s="25"/>
      <c r="B33" s="11" t="s">
        <v>696</v>
      </c>
      <c r="C33" s="154">
        <f>IF($B33=" ","",IFERROR(INDEX(MMWR_RATING_RO_ROLLUP[],MATCH($B33,MMWR_RATING_RO_ROLLUP[MMWR_RATING_RO_ROLLUP],0),MATCH(C$9,MMWR_RATING_RO_ROLLUP[#Headers],0)),"ERROR"))</f>
        <v>28922</v>
      </c>
      <c r="D33" s="155">
        <f>IF($B33=" ","",IFERROR(INDEX(MMWR_RATING_RO_ROLLUP[],MATCH($B33,MMWR_RATING_RO_ROLLUP[MMWR_RATING_RO_ROLLUP],0),MATCH(D$9,MMWR_RATING_RO_ROLLUP[#Headers],0)),"ERROR"))</f>
        <v>69.829783555800006</v>
      </c>
      <c r="E33" s="156">
        <f>IF($B33=" ","",IFERROR(INDEX(MMWR_RATING_RO_ROLLUP[],MATCH($B33,MMWR_RATING_RO_ROLLUP[MMWR_RATING_RO_ROLLUP],0),MATCH(E$9,MMWR_RATING_RO_ROLLUP[#Headers],0))/$C33,"ERROR"))</f>
        <v>0.11285526588755965</v>
      </c>
      <c r="F33" s="154">
        <f>IF($B33=" ","",IFERROR(INDEX(MMWR_RATING_RO_ROLLUP[],MATCH($B33,MMWR_RATING_RO_ROLLUP[MMWR_RATING_RO_ROLLUP],0),MATCH(F$9,MMWR_RATING_RO_ROLLUP[#Headers],0)),"ERROR"))</f>
        <v>1253</v>
      </c>
      <c r="G33" s="154">
        <f>IF($B33=" ","",IFERROR(INDEX(MMWR_RATING_RO_ROLLUP[],MATCH($B33,MMWR_RATING_RO_ROLLUP[MMWR_RATING_RO_ROLLUP],0),MATCH(G$9,MMWR_RATING_RO_ROLLUP[#Headers],0)),"ERROR"))</f>
        <v>98513</v>
      </c>
      <c r="H33" s="155">
        <f>IF($B33=" ","",IFERROR(INDEX(MMWR_RATING_RO_ROLLUP[],MATCH($B33,MMWR_RATING_RO_ROLLUP[MMWR_RATING_RO_ROLLUP],0),MATCH(H$9,MMWR_RATING_RO_ROLLUP[#Headers],0)),"ERROR"))</f>
        <v>80.530726256999998</v>
      </c>
      <c r="I33" s="155">
        <f>IF($B33=" ","",IFERROR(INDEX(MMWR_RATING_RO_ROLLUP[],MATCH($B33,MMWR_RATING_RO_ROLLUP[MMWR_RATING_RO_ROLLUP],0),MATCH(I$9,MMWR_RATING_RO_ROLLUP[#Headers],0)),"ERROR"))</f>
        <v>77.484047790600002</v>
      </c>
      <c r="J33" s="42"/>
      <c r="K33" s="42"/>
      <c r="L33" s="42"/>
      <c r="M33" s="42"/>
      <c r="N33" s="28"/>
    </row>
    <row r="34" spans="1:14" x14ac:dyDescent="0.2">
      <c r="A34" s="25"/>
      <c r="B34" s="12" t="s">
        <v>210</v>
      </c>
      <c r="C34" s="154">
        <f>IF($B34=" ","",IFERROR(INDEX(MMWR_RATING_RO_ROLLUP[],MATCH($B34,MMWR_RATING_RO_ROLLUP[MMWR_RATING_RO_ROLLUP],0),MATCH(C$9,MMWR_RATING_RO_ROLLUP[#Headers],0)),"ERROR"))</f>
        <v>14163</v>
      </c>
      <c r="D34" s="155">
        <f>IF($B34=" ","",IFERROR(INDEX(MMWR_RATING_RO_ROLLUP[],MATCH($B34,MMWR_RATING_RO_ROLLUP[MMWR_RATING_RO_ROLLUP],0),MATCH(D$9,MMWR_RATING_RO_ROLLUP[#Headers],0)),"ERROR"))</f>
        <v>70.020405281400002</v>
      </c>
      <c r="E34" s="156">
        <f>IF($B34=" ","",IFERROR(INDEX(MMWR_RATING_RO_ROLLUP[],MATCH($B34,MMWR_RATING_RO_ROLLUP[MMWR_RATING_RO_ROLLUP],0),MATCH(E$9,MMWR_RATING_RO_ROLLUP[#Headers],0))/$C34,"ERROR"))</f>
        <v>0.11099343359457742</v>
      </c>
      <c r="F34" s="154">
        <f>IF($B34=" ","",IFERROR(INDEX(MMWR_RATING_RO_ROLLUP[],MATCH($B34,MMWR_RATING_RO_ROLLUP[MMWR_RATING_RO_ROLLUP],0),MATCH(F$9,MMWR_RATING_RO_ROLLUP[#Headers],0)),"ERROR"))</f>
        <v>400</v>
      </c>
      <c r="G34" s="154">
        <f>IF($B34=" ","",IFERROR(INDEX(MMWR_RATING_RO_ROLLUP[],MATCH($B34,MMWR_RATING_RO_ROLLUP[MMWR_RATING_RO_ROLLUP],0),MATCH(G$9,MMWR_RATING_RO_ROLLUP[#Headers],0)),"ERROR"))</f>
        <v>31679</v>
      </c>
      <c r="H34" s="155">
        <f>IF($B34=" ","",IFERROR(INDEX(MMWR_RATING_RO_ROLLUP[],MATCH($B34,MMWR_RATING_RO_ROLLUP[MMWR_RATING_RO_ROLLUP],0),MATCH(H$9,MMWR_RATING_RO_ROLLUP[#Headers],0)),"ERROR"))</f>
        <v>100.91249999999999</v>
      </c>
      <c r="I34" s="155">
        <f>IF($B34=" ","",IFERROR(INDEX(MMWR_RATING_RO_ROLLUP[],MATCH($B34,MMWR_RATING_RO_ROLLUP[MMWR_RATING_RO_ROLLUP],0),MATCH(I$9,MMWR_RATING_RO_ROLLUP[#Headers],0)),"ERROR"))</f>
        <v>96.7834843272</v>
      </c>
      <c r="J34" s="42"/>
      <c r="K34" s="42"/>
      <c r="L34" s="42"/>
      <c r="M34" s="42"/>
      <c r="N34" s="28"/>
    </row>
    <row r="35" spans="1:14" x14ac:dyDescent="0.2">
      <c r="A35" s="43"/>
      <c r="B35" s="12" t="s">
        <v>209</v>
      </c>
      <c r="C35" s="154">
        <f>IF($B35=" ","",IFERROR(INDEX(MMWR_RATING_RO_ROLLUP[],MATCH($B35,MMWR_RATING_RO_ROLLUP[MMWR_RATING_RO_ROLLUP],0),MATCH(C$9,MMWR_RATING_RO_ROLLUP[#Headers],0)),"ERROR"))</f>
        <v>5891</v>
      </c>
      <c r="D35" s="155">
        <f>IF($B35=" ","",IFERROR(INDEX(MMWR_RATING_RO_ROLLUP[],MATCH($B35,MMWR_RATING_RO_ROLLUP[MMWR_RATING_RO_ROLLUP],0),MATCH(D$9,MMWR_RATING_RO_ROLLUP[#Headers],0)),"ERROR"))</f>
        <v>68.461551519300002</v>
      </c>
      <c r="E35" s="156">
        <f>IF($B35=" ","",IFERROR(INDEX(MMWR_RATING_RO_ROLLUP[],MATCH($B35,MMWR_RATING_RO_ROLLUP[MMWR_RATING_RO_ROLLUP],0),MATCH(E$9,MMWR_RATING_RO_ROLLUP[#Headers],0))/$C35,"ERROR"))</f>
        <v>0.12171108470548295</v>
      </c>
      <c r="F35" s="154">
        <f>IF($B35=" ","",IFERROR(INDEX(MMWR_RATING_RO_ROLLUP[],MATCH($B35,MMWR_RATING_RO_ROLLUP[MMWR_RATING_RO_ROLLUP],0),MATCH(F$9,MMWR_RATING_RO_ROLLUP[#Headers],0)),"ERROR"))</f>
        <v>371</v>
      </c>
      <c r="G35" s="154">
        <f>IF($B35=" ","",IFERROR(INDEX(MMWR_RATING_RO_ROLLUP[],MATCH($B35,MMWR_RATING_RO_ROLLUP[MMWR_RATING_RO_ROLLUP],0),MATCH(G$9,MMWR_RATING_RO_ROLLUP[#Headers],0)),"ERROR"))</f>
        <v>27969</v>
      </c>
      <c r="H35" s="155">
        <f>IF($B35=" ","",IFERROR(INDEX(MMWR_RATING_RO_ROLLUP[],MATCH($B35,MMWR_RATING_RO_ROLLUP[MMWR_RATING_RO_ROLLUP],0),MATCH(H$9,MMWR_RATING_RO_ROLLUP[#Headers],0)),"ERROR"))</f>
        <v>69.754716981100003</v>
      </c>
      <c r="I35" s="155">
        <f>IF($B35=" ","",IFERROR(INDEX(MMWR_RATING_RO_ROLLUP[],MATCH($B35,MMWR_RATING_RO_ROLLUP[MMWR_RATING_RO_ROLLUP],0),MATCH(I$9,MMWR_RATING_RO_ROLLUP[#Headers],0)),"ERROR"))</f>
        <v>70.652722657200002</v>
      </c>
      <c r="J35" s="42"/>
      <c r="K35" s="42"/>
      <c r="L35" s="42"/>
      <c r="M35" s="42"/>
      <c r="N35" s="28"/>
    </row>
    <row r="36" spans="1:14" x14ac:dyDescent="0.2">
      <c r="A36" s="25"/>
      <c r="B36" s="12" t="s">
        <v>212</v>
      </c>
      <c r="C36" s="154">
        <f>IF($B36=" ","",IFERROR(INDEX(MMWR_RATING_RO_ROLLUP[],MATCH($B36,MMWR_RATING_RO_ROLLUP[MMWR_RATING_RO_ROLLUP],0),MATCH(C$9,MMWR_RATING_RO_ROLLUP[#Headers],0)),"ERROR"))</f>
        <v>7989</v>
      </c>
      <c r="D36" s="155">
        <f>IF($B36=" ","",IFERROR(INDEX(MMWR_RATING_RO_ROLLUP[],MATCH($B36,MMWR_RATING_RO_ROLLUP[MMWR_RATING_RO_ROLLUP],0),MATCH(D$9,MMWR_RATING_RO_ROLLUP[#Headers],0)),"ERROR"))</f>
        <v>58.953310802399997</v>
      </c>
      <c r="E36" s="156">
        <f>IF($B36=" ","",IFERROR(INDEX(MMWR_RATING_RO_ROLLUP[],MATCH($B36,MMWR_RATING_RO_ROLLUP[MMWR_RATING_RO_ROLLUP],0),MATCH(E$9,MMWR_RATING_RO_ROLLUP[#Headers],0))/$C36,"ERROR"))</f>
        <v>6.9846038302666169E-2</v>
      </c>
      <c r="F36" s="154">
        <f>IF($B36=" ","",IFERROR(INDEX(MMWR_RATING_RO_ROLLUP[],MATCH($B36,MMWR_RATING_RO_ROLLUP[MMWR_RATING_RO_ROLLUP],0),MATCH(F$9,MMWR_RATING_RO_ROLLUP[#Headers],0)),"ERROR"))</f>
        <v>455</v>
      </c>
      <c r="G36" s="154">
        <f>IF($B36=" ","",IFERROR(INDEX(MMWR_RATING_RO_ROLLUP[],MATCH($B36,MMWR_RATING_RO_ROLLUP[MMWR_RATING_RO_ROLLUP],0),MATCH(G$9,MMWR_RATING_RO_ROLLUP[#Headers],0)),"ERROR"))</f>
        <v>35254</v>
      </c>
      <c r="H36" s="155">
        <f>IF($B36=" ","",IFERROR(INDEX(MMWR_RATING_RO_ROLLUP[],MATCH($B36,MMWR_RATING_RO_ROLLUP[MMWR_RATING_RO_ROLLUP],0),MATCH(H$9,MMWR_RATING_RO_ROLLUP[#Headers],0)),"ERROR"))</f>
        <v>70.1956043956</v>
      </c>
      <c r="I36" s="155">
        <f>IF($B36=" ","",IFERROR(INDEX(MMWR_RATING_RO_ROLLUP[],MATCH($B36,MMWR_RATING_RO_ROLLUP[MMWR_RATING_RO_ROLLUP],0),MATCH(I$9,MMWR_RATING_RO_ROLLUP[#Headers],0)),"ERROR"))</f>
        <v>67.454388154499995</v>
      </c>
      <c r="J36" s="42"/>
      <c r="K36" s="42"/>
      <c r="L36" s="42"/>
      <c r="M36" s="42"/>
      <c r="N36" s="28"/>
    </row>
    <row r="37" spans="1:14" x14ac:dyDescent="0.2">
      <c r="A37" s="25"/>
      <c r="B37" s="13" t="s">
        <v>224</v>
      </c>
      <c r="C37" s="154">
        <f>IF($B37=" ","",IFERROR(INDEX(MMWR_RATING_RO_ROLLUP[],MATCH($B37,MMWR_RATING_RO_ROLLUP[MMWR_RATING_RO_ROLLUP],0),MATCH(C$9,MMWR_RATING_RO_ROLLUP[#Headers],0)),"ERROR"))</f>
        <v>879</v>
      </c>
      <c r="D37" s="155">
        <f>IF($B37=" ","",IFERROR(INDEX(MMWR_RATING_RO_ROLLUP[],MATCH($B37,MMWR_RATING_RO_ROLLUP[MMWR_RATING_RO_ROLLUP],0),MATCH(D$9,MMWR_RATING_RO_ROLLUP[#Headers],0)),"ERROR"))</f>
        <v>174.78156996589999</v>
      </c>
      <c r="E37" s="156">
        <f>IF($B37=" ","",IFERROR(INDEX(MMWR_RATING_RO_ROLLUP[],MATCH($B37,MMWR_RATING_RO_ROLLUP[MMWR_RATING_RO_ROLLUP],0),MATCH(E$9,MMWR_RATING_RO_ROLLUP[#Headers],0))/$C37,"ERROR"))</f>
        <v>0.47440273037542663</v>
      </c>
      <c r="F37" s="154">
        <f>IF($B37=" ","",IFERROR(INDEX(MMWR_RATING_RO_ROLLUP[],MATCH($B37,MMWR_RATING_RO_ROLLUP[MMWR_RATING_RO_ROLLUP],0),MATCH(F$9,MMWR_RATING_RO_ROLLUP[#Headers],0)),"ERROR"))</f>
        <v>27</v>
      </c>
      <c r="G37" s="154">
        <f>IF($B37=" ","",IFERROR(INDEX(MMWR_RATING_RO_ROLLUP[],MATCH($B37,MMWR_RATING_RO_ROLLUP[MMWR_RATING_RO_ROLLUP],0),MATCH(G$9,MMWR_RATING_RO_ROLLUP[#Headers],0)),"ERROR"))</f>
        <v>3611</v>
      </c>
      <c r="H37" s="155">
        <f>IF($B37=" ","",IFERROR(INDEX(MMWR_RATING_RO_ROLLUP[],MATCH($B37,MMWR_RATING_RO_ROLLUP[MMWR_RATING_RO_ROLLUP],0),MATCH(H$9,MMWR_RATING_RO_ROLLUP[#Headers],0)),"ERROR"))</f>
        <v>100.8148148148</v>
      </c>
      <c r="I37" s="155">
        <f>IF($B37=" ","",IFERROR(INDEX(MMWR_RATING_RO_ROLLUP[],MATCH($B37,MMWR_RATING_RO_ROLLUP[MMWR_RATING_RO_ROLLUP],0),MATCH(I$9,MMWR_RATING_RO_ROLLUP[#Headers],0)),"ERROR"))</f>
        <v>59.002769315999998</v>
      </c>
      <c r="J37" s="42"/>
      <c r="K37" s="42"/>
      <c r="L37" s="42"/>
      <c r="M37" s="42"/>
      <c r="N37" s="28"/>
    </row>
    <row r="38" spans="1:14" x14ac:dyDescent="0.2">
      <c r="A38" s="25"/>
      <c r="B38" s="341" t="s">
        <v>916</v>
      </c>
      <c r="C38" s="342"/>
      <c r="D38" s="342"/>
      <c r="E38" s="342"/>
      <c r="F38" s="342"/>
      <c r="G38" s="342"/>
      <c r="H38" s="342"/>
      <c r="I38" s="342"/>
      <c r="J38" s="342"/>
      <c r="K38" s="342"/>
      <c r="L38" s="342"/>
      <c r="M38" s="392"/>
      <c r="N38" s="28"/>
    </row>
    <row r="39" spans="1:14" x14ac:dyDescent="0.2">
      <c r="A39" s="25"/>
      <c r="B39" s="44" t="s">
        <v>697</v>
      </c>
      <c r="C39" s="154">
        <f>IF($B39=" ","",IFERROR(INDEX(MMWR_RATING_RO_ROLLUP[],MATCH($B39,MMWR_RATING_RO_ROLLUP[MMWR_RATING_RO_ROLLUP],0),MATCH(C$9,MMWR_RATING_RO_ROLLUP[#Headers],0)),"ERROR"))</f>
        <v>7785</v>
      </c>
      <c r="D39" s="155">
        <f>IF($B39=" ","",IFERROR(INDEX(MMWR_RATING_RO_ROLLUP[],MATCH($B39,MMWR_RATING_RO_ROLLUP[MMWR_RATING_RO_ROLLUP],0),MATCH(D$9,MMWR_RATING_RO_ROLLUP[#Headers],0)),"ERROR"))</f>
        <v>76.237251123999997</v>
      </c>
      <c r="E39" s="156">
        <f>IF($B39=" ","",IFERROR(INDEX(MMWR_RATING_RO_ROLLUP[],MATCH($B39,MMWR_RATING_RO_ROLLUP[MMWR_RATING_RO_ROLLUP],0),MATCH(E$9,MMWR_RATING_RO_ROLLUP[#Headers],0))/$C39,"ERROR"))</f>
        <v>0.18214515093127809</v>
      </c>
      <c r="F39" s="154">
        <f>IF($B39=" ","",IFERROR(INDEX(MMWR_RATING_RO_ROLLUP[],MATCH($B39,MMWR_RATING_RO_ROLLUP[MMWR_RATING_RO_ROLLUP],0),MATCH(F$9,MMWR_RATING_RO_ROLLUP[#Headers],0)),"ERROR"))</f>
        <v>393</v>
      </c>
      <c r="G39" s="154">
        <f>IF($B39=" ","",IFERROR(INDEX(MMWR_RATING_RO_ROLLUP[],MATCH($B39,MMWR_RATING_RO_ROLLUP[MMWR_RATING_RO_ROLLUP],0),MATCH(G$9,MMWR_RATING_RO_ROLLUP[#Headers],0)),"ERROR"))</f>
        <v>17192</v>
      </c>
      <c r="H39" s="155">
        <f>IF($B39=" ","",IFERROR(INDEX(MMWR_RATING_RO_ROLLUP[],MATCH($B39,MMWR_RATING_RO_ROLLUP[MMWR_RATING_RO_ROLLUP],0),MATCH(H$9,MMWR_RATING_RO_ROLLUP[#Headers],0)),"ERROR"))</f>
        <v>123.9134860051</v>
      </c>
      <c r="I39" s="155">
        <f>IF($B39=" ","",IFERROR(INDEX(MMWR_RATING_RO_ROLLUP[],MATCH($B39,MMWR_RATING_RO_ROLLUP[MMWR_RATING_RO_ROLLUP],0),MATCH(I$9,MMWR_RATING_RO_ROLLUP[#Headers],0)),"ERROR"))</f>
        <v>141.69288040949999</v>
      </c>
      <c r="J39" s="42"/>
      <c r="K39" s="42"/>
      <c r="L39" s="42"/>
      <c r="M39" s="42"/>
      <c r="N39" s="28"/>
    </row>
    <row r="40" spans="1:14" x14ac:dyDescent="0.2">
      <c r="A40" s="25"/>
      <c r="B40" s="53" t="s">
        <v>956</v>
      </c>
      <c r="C40" s="154">
        <f>IF($B40=" ","",IFERROR(INDEX(MMWR_RATING_RO_ROLLUP[],MATCH($B40,MMWR_RATING_RO_ROLLUP[MMWR_RATING_RO_ROLLUP],0),MATCH(C$9,MMWR_RATING_RO_ROLLUP[#Headers],0)),"ERROR"))</f>
        <v>1124</v>
      </c>
      <c r="D40" s="155">
        <f>IF($B40=" ","",IFERROR(INDEX(MMWR_RATING_RO_ROLLUP[],MATCH($B40,MMWR_RATING_RO_ROLLUP[MMWR_RATING_RO_ROLLUP],0),MATCH(D$9,MMWR_RATING_RO_ROLLUP[#Headers],0)),"ERROR"))</f>
        <v>67.154804270499994</v>
      </c>
      <c r="E40" s="156">
        <f>IF($B40=" ","",IFERROR(INDEX(MMWR_RATING_RO_ROLLUP[],MATCH($B40,MMWR_RATING_RO_ROLLUP[MMWR_RATING_RO_ROLLUP],0),MATCH(E$9,MMWR_RATING_RO_ROLLUP[#Headers],0))/$C40,"ERROR"))</f>
        <v>0.13701067615658363</v>
      </c>
      <c r="F40" s="154">
        <f>IF($B40=" ","",IFERROR(INDEX(MMWR_RATING_RO_ROLLUP[],MATCH($B40,MMWR_RATING_RO_ROLLUP[MMWR_RATING_RO_ROLLUP],0),MATCH(F$9,MMWR_RATING_RO_ROLLUP[#Headers],0)),"ERROR"))</f>
        <v>41</v>
      </c>
      <c r="G40" s="154">
        <f>IF($B40=" ","",IFERROR(INDEX(MMWR_RATING_RO_ROLLUP[],MATCH($B40,MMWR_RATING_RO_ROLLUP[MMWR_RATING_RO_ROLLUP],0),MATCH(G$9,MMWR_RATING_RO_ROLLUP[#Headers],0)),"ERROR"))</f>
        <v>3339</v>
      </c>
      <c r="H40" s="155">
        <f>IF($B40=" ","",IFERROR(INDEX(MMWR_RATING_RO_ROLLUP[],MATCH($B40,MMWR_RATING_RO_ROLLUP[MMWR_RATING_RO_ROLLUP],0),MATCH(H$9,MMWR_RATING_RO_ROLLUP[#Headers],0)),"ERROR"))</f>
        <v>115.3170731707</v>
      </c>
      <c r="I40" s="155">
        <f>IF($B40=" ","",IFERROR(INDEX(MMWR_RATING_RO_ROLLUP[],MATCH($B40,MMWR_RATING_RO_ROLLUP[MMWR_RATING_RO_ROLLUP],0),MATCH(I$9,MMWR_RATING_RO_ROLLUP[#Headers],0)),"ERROR"))</f>
        <v>126.42767295599999</v>
      </c>
      <c r="J40" s="42"/>
      <c r="K40" s="42"/>
      <c r="L40" s="42"/>
      <c r="M40" s="42"/>
      <c r="N40" s="28"/>
    </row>
    <row r="41" spans="1:14" x14ac:dyDescent="0.2">
      <c r="A41" s="25"/>
      <c r="B41" s="53" t="s">
        <v>957</v>
      </c>
      <c r="C41" s="154">
        <f>IF($B41=" ","",IFERROR(INDEX(MMWR_RATING_RO_ROLLUP[],MATCH($B41,MMWR_RATING_RO_ROLLUP[MMWR_RATING_RO_ROLLUP],0),MATCH(C$9,MMWR_RATING_RO_ROLLUP[#Headers],0)),"ERROR"))</f>
        <v>1104</v>
      </c>
      <c r="D41" s="155">
        <f>IF($B41=" ","",IFERROR(INDEX(MMWR_RATING_RO_ROLLUP[],MATCH($B41,MMWR_RATING_RO_ROLLUP[MMWR_RATING_RO_ROLLUP],0),MATCH(D$9,MMWR_RATING_RO_ROLLUP[#Headers],0)),"ERROR"))</f>
        <v>77.018115941999994</v>
      </c>
      <c r="E41" s="156">
        <f>IF($B41=" ","",IFERROR(INDEX(MMWR_RATING_RO_ROLLUP[],MATCH($B41,MMWR_RATING_RO_ROLLUP[MMWR_RATING_RO_ROLLUP],0),MATCH(E$9,MMWR_RATING_RO_ROLLUP[#Headers],0))/$C41,"ERROR"))</f>
        <v>0.21014492753623187</v>
      </c>
      <c r="F41" s="154">
        <f>IF($B41=" ","",IFERROR(INDEX(MMWR_RATING_RO_ROLLUP[],MATCH($B41,MMWR_RATING_RO_ROLLUP[MMWR_RATING_RO_ROLLUP],0),MATCH(F$9,MMWR_RATING_RO_ROLLUP[#Headers],0)),"ERROR"))</f>
        <v>55</v>
      </c>
      <c r="G41" s="154">
        <f>IF($B41=" ","",IFERROR(INDEX(MMWR_RATING_RO_ROLLUP[],MATCH($B41,MMWR_RATING_RO_ROLLUP[MMWR_RATING_RO_ROLLUP],0),MATCH(G$9,MMWR_RATING_RO_ROLLUP[#Headers],0)),"ERROR"))</f>
        <v>2786</v>
      </c>
      <c r="H41" s="155">
        <f>IF($B41=" ","",IFERROR(INDEX(MMWR_RATING_RO_ROLLUP[],MATCH($B41,MMWR_RATING_RO_ROLLUP[MMWR_RATING_RO_ROLLUP],0),MATCH(H$9,MMWR_RATING_RO_ROLLUP[#Headers],0)),"ERROR"))</f>
        <v>125.4727272727</v>
      </c>
      <c r="I41" s="155">
        <f>IF($B41=" ","",IFERROR(INDEX(MMWR_RATING_RO_ROLLUP[],MATCH($B41,MMWR_RATING_RO_ROLLUP[MMWR_RATING_RO_ROLLUP],0),MATCH(I$9,MMWR_RATING_RO_ROLLUP[#Headers],0)),"ERROR"))</f>
        <v>153.916367552</v>
      </c>
      <c r="J41" s="42"/>
      <c r="K41" s="42"/>
      <c r="L41" s="42"/>
      <c r="M41" s="42"/>
      <c r="N41" s="28"/>
    </row>
    <row r="42" spans="1:14" x14ac:dyDescent="0.2">
      <c r="A42" s="25"/>
      <c r="B42" s="46" t="s">
        <v>307</v>
      </c>
      <c r="C42" s="154">
        <f>IF($B42=" ","",IFERROR(INDEX(MMWR_RATING_RO_ROLLUP[],MATCH($B42,MMWR_RATING_RO_ROLLUP[MMWR_RATING_RO_ROLLUP],0),MATCH(C$9,MMWR_RATING_RO_ROLLUP[#Headers],0)),"ERROR"))</f>
        <v>5557</v>
      </c>
      <c r="D42" s="155">
        <f>IF($B42=" ","",IFERROR(INDEX(MMWR_RATING_RO_ROLLUP[],MATCH($B42,MMWR_RATING_RO_ROLLUP[MMWR_RATING_RO_ROLLUP],0),MATCH(D$9,MMWR_RATING_RO_ROLLUP[#Headers],0)),"ERROR"))</f>
        <v>77.919201007699996</v>
      </c>
      <c r="E42" s="156">
        <f>IF($B42=" ","",IFERROR(INDEX(MMWR_RATING_RO_ROLLUP[],MATCH($B42,MMWR_RATING_RO_ROLLUP[MMWR_RATING_RO_ROLLUP],0),MATCH(E$9,MMWR_RATING_RO_ROLLUP[#Headers],0))/$C42,"ERROR"))</f>
        <v>0.18571171495411193</v>
      </c>
      <c r="F42" s="154">
        <f>IF($B42=" ","",IFERROR(INDEX(MMWR_RATING_RO_ROLLUP[],MATCH($B42,MMWR_RATING_RO_ROLLUP[MMWR_RATING_RO_ROLLUP],0),MATCH(F$9,MMWR_RATING_RO_ROLLUP[#Headers],0)),"ERROR"))</f>
        <v>297</v>
      </c>
      <c r="G42" s="154">
        <f>IF($B42=" ","",IFERROR(INDEX(MMWR_RATING_RO_ROLLUP[],MATCH($B42,MMWR_RATING_RO_ROLLUP[MMWR_RATING_RO_ROLLUP],0),MATCH(G$9,MMWR_RATING_RO_ROLLUP[#Headers],0)),"ERROR"))</f>
        <v>11067</v>
      </c>
      <c r="H42" s="155">
        <f>IF($B42=" ","",IFERROR(INDEX(MMWR_RATING_RO_ROLLUP[],MATCH($B42,MMWR_RATING_RO_ROLLUP[MMWR_RATING_RO_ROLLUP],0),MATCH(H$9,MMWR_RATING_RO_ROLLUP[#Headers],0)),"ERROR"))</f>
        <v>124.8114478114</v>
      </c>
      <c r="I42" s="155">
        <f>IF($B42=" ","",IFERROR(INDEX(MMWR_RATING_RO_ROLLUP[],MATCH($B42,MMWR_RATING_RO_ROLLUP[MMWR_RATING_RO_ROLLUP],0),MATCH(I$9,MMWR_RATING_RO_ROLLUP[#Headers],0)),"ERROR"))</f>
        <v>143.2213788741</v>
      </c>
      <c r="J42" s="42"/>
      <c r="K42" s="42"/>
      <c r="L42" s="42"/>
      <c r="M42" s="42"/>
      <c r="N42" s="28"/>
    </row>
    <row r="43" spans="1:14" x14ac:dyDescent="0.2">
      <c r="A43" s="25"/>
      <c r="B43" s="341" t="s">
        <v>734</v>
      </c>
      <c r="C43" s="342"/>
      <c r="D43" s="342"/>
      <c r="E43" s="342"/>
      <c r="F43" s="342"/>
      <c r="G43" s="342"/>
      <c r="H43" s="342"/>
      <c r="I43" s="342"/>
      <c r="J43" s="342"/>
      <c r="K43" s="342"/>
      <c r="L43" s="342"/>
      <c r="M43" s="392"/>
      <c r="N43" s="28"/>
    </row>
    <row r="44" spans="1:14" x14ac:dyDescent="0.2">
      <c r="A44" s="25"/>
      <c r="B44" s="44" t="s">
        <v>695</v>
      </c>
      <c r="C44" s="154">
        <f>IF($B44=" ","",IFERROR(INDEX(MMWR_RATING_RO_ROLLUP[],MATCH($B44,MMWR_RATING_RO_ROLLUP[MMWR_RATING_RO_ROLLUP],0),MATCH(C$9,MMWR_RATING_RO_ROLLUP[#Headers],0)),"ERROR"))</f>
        <v>8033</v>
      </c>
      <c r="D44" s="155">
        <f>IF($B44=" ","",IFERROR(INDEX(MMWR_RATING_RO_ROLLUP[],MATCH($B44,MMWR_RATING_RO_ROLLUP[MMWR_RATING_RO_ROLLUP],0),MATCH(D$9,MMWR_RATING_RO_ROLLUP[#Headers],0)),"ERROR"))</f>
        <v>73.198306983699993</v>
      </c>
      <c r="E44" s="156">
        <f>IF($B44=" ","",IFERROR(INDEX(MMWR_RATING_RO_ROLLUP[],MATCH($B44,MMWR_RATING_RO_ROLLUP[MMWR_RATING_RO_ROLLUP],0),MATCH(E$9,MMWR_RATING_RO_ROLLUP[#Headers],0))/$C44,"ERROR"))</f>
        <v>0.16880368480019917</v>
      </c>
      <c r="F44" s="154">
        <f>IF($B44=" ","",IFERROR(INDEX(MMWR_RATING_RO_ROLLUP[],MATCH($B44,MMWR_RATING_RO_ROLLUP[MMWR_RATING_RO_ROLLUP],0),MATCH(F$9,MMWR_RATING_RO_ROLLUP[#Headers],0)),"ERROR"))</f>
        <v>518</v>
      </c>
      <c r="G44" s="154">
        <f>IF($B44=" ","",IFERROR(INDEX(MMWR_RATING_RO_ROLLUP[],MATCH($B44,MMWR_RATING_RO_ROLLUP[MMWR_RATING_RO_ROLLUP],0),MATCH(G$9,MMWR_RATING_RO_ROLLUP[#Headers],0)),"ERROR"))</f>
        <v>19902</v>
      </c>
      <c r="H44" s="155">
        <f>IF($B44=" ","",IFERROR(INDEX(MMWR_RATING_RO_ROLLUP[],MATCH($B44,MMWR_RATING_RO_ROLLUP[MMWR_RATING_RO_ROLLUP],0),MATCH(H$9,MMWR_RATING_RO_ROLLUP[#Headers],0)),"ERROR"))</f>
        <v>112.51930501930001</v>
      </c>
      <c r="I44" s="155">
        <f>IF($B44=" ","",IFERROR(INDEX(MMWR_RATING_RO_ROLLUP[],MATCH($B44,MMWR_RATING_RO_ROLLUP[MMWR_RATING_RO_ROLLUP],0),MATCH(I$9,MMWR_RATING_RO_ROLLUP[#Headers],0)),"ERROR"))</f>
        <v>133.520198975</v>
      </c>
      <c r="J44" s="42"/>
      <c r="K44" s="42"/>
      <c r="L44" s="42"/>
      <c r="M44" s="42"/>
      <c r="N44" s="28"/>
    </row>
    <row r="45" spans="1:14" x14ac:dyDescent="0.2">
      <c r="A45" s="25"/>
      <c r="B45" s="45" t="s">
        <v>211</v>
      </c>
      <c r="C45" s="154">
        <f>IF($B45=" ","",IFERROR(INDEX(MMWR_RATING_RO_ROLLUP[],MATCH($B45,MMWR_RATING_RO_ROLLUP[MMWR_RATING_RO_ROLLUP],0),MATCH(C$9,MMWR_RATING_RO_ROLLUP[#Headers],0)),"ERROR"))</f>
        <v>53</v>
      </c>
      <c r="D45" s="155">
        <f>IF($B45=" ","",IFERROR(INDEX(MMWR_RATING_RO_ROLLUP[],MATCH($B45,MMWR_RATING_RO_ROLLUP[MMWR_RATING_RO_ROLLUP],0),MATCH(D$9,MMWR_RATING_RO_ROLLUP[#Headers],0)),"ERROR"))</f>
        <v>93.792452830200006</v>
      </c>
      <c r="E45" s="156">
        <f>IF($B45=" ","",IFERROR(INDEX(MMWR_RATING_RO_ROLLUP[],MATCH($B45,MMWR_RATING_RO_ROLLUP[MMWR_RATING_RO_ROLLUP],0),MATCH(E$9,MMWR_RATING_RO_ROLLUP[#Headers],0))/$C45,"ERROR"))</f>
        <v>0.22641509433962265</v>
      </c>
      <c r="F45" s="154">
        <f>IF($B45=" ","",IFERROR(INDEX(MMWR_RATING_RO_ROLLUP[],MATCH($B45,MMWR_RATING_RO_ROLLUP[MMWR_RATING_RO_ROLLUP],0),MATCH(F$9,MMWR_RATING_RO_ROLLUP[#Headers],0)),"ERROR"))</f>
        <v>6</v>
      </c>
      <c r="G45" s="154">
        <f>IF($B45=" ","",IFERROR(INDEX(MMWR_RATING_RO_ROLLUP[],MATCH($B45,MMWR_RATING_RO_ROLLUP[MMWR_RATING_RO_ROLLUP],0),MATCH(G$9,MMWR_RATING_RO_ROLLUP[#Headers],0)),"ERROR"))</f>
        <v>152</v>
      </c>
      <c r="H45" s="155">
        <f>IF($B45=" ","",IFERROR(INDEX(MMWR_RATING_RO_ROLLUP[],MATCH($B45,MMWR_RATING_RO_ROLLUP[MMWR_RATING_RO_ROLLUP],0),MATCH(H$9,MMWR_RATING_RO_ROLLUP[#Headers],0)),"ERROR"))</f>
        <v>82.833333333300004</v>
      </c>
      <c r="I45" s="155">
        <f>IF($B45=" ","",IFERROR(INDEX(MMWR_RATING_RO_ROLLUP[],MATCH($B45,MMWR_RATING_RO_ROLLUP[MMWR_RATING_RO_ROLLUP],0),MATCH(I$9,MMWR_RATING_RO_ROLLUP[#Headers],0)),"ERROR"))</f>
        <v>124.0921052632</v>
      </c>
      <c r="J45" s="42"/>
      <c r="K45" s="42"/>
      <c r="L45" s="42"/>
      <c r="M45" s="42"/>
      <c r="N45" s="28"/>
    </row>
    <row r="46" spans="1:14" x14ac:dyDescent="0.2">
      <c r="A46" s="25"/>
      <c r="B46" s="45" t="s">
        <v>213</v>
      </c>
      <c r="C46" s="154">
        <f>IF($B46=" ","",IFERROR(INDEX(MMWR_RATING_RO_ROLLUP[],MATCH($B46,MMWR_RATING_RO_ROLLUP[MMWR_RATING_RO_ROLLUP],0),MATCH(C$9,MMWR_RATING_RO_ROLLUP[#Headers],0)),"ERROR"))</f>
        <v>1060</v>
      </c>
      <c r="D46" s="155">
        <f>IF($B46=" ","",IFERROR(INDEX(MMWR_RATING_RO_ROLLUP[],MATCH($B46,MMWR_RATING_RO_ROLLUP[MMWR_RATING_RO_ROLLUP],0),MATCH(D$9,MMWR_RATING_RO_ROLLUP[#Headers],0)),"ERROR"))</f>
        <v>79.793396226400006</v>
      </c>
      <c r="E46" s="156">
        <f>IF($B46=" ","",IFERROR(INDEX(MMWR_RATING_RO_ROLLUP[],MATCH($B46,MMWR_RATING_RO_ROLLUP[MMWR_RATING_RO_ROLLUP],0),MATCH(E$9,MMWR_RATING_RO_ROLLUP[#Headers],0))/$C46,"ERROR"))</f>
        <v>0.21415094339622642</v>
      </c>
      <c r="F46" s="154">
        <f>IF($B46=" ","",IFERROR(INDEX(MMWR_RATING_RO_ROLLUP[],MATCH($B46,MMWR_RATING_RO_ROLLUP[MMWR_RATING_RO_ROLLUP],0),MATCH(F$9,MMWR_RATING_RO_ROLLUP[#Headers],0)),"ERROR"))</f>
        <v>71</v>
      </c>
      <c r="G46" s="154">
        <f>IF($B46=" ","",IFERROR(INDEX(MMWR_RATING_RO_ROLLUP[],MATCH($B46,MMWR_RATING_RO_ROLLUP[MMWR_RATING_RO_ROLLUP],0),MATCH(G$9,MMWR_RATING_RO_ROLLUP[#Headers],0)),"ERROR"))</f>
        <v>3205</v>
      </c>
      <c r="H46" s="155">
        <f>IF($B46=" ","",IFERROR(INDEX(MMWR_RATING_RO_ROLLUP[],MATCH($B46,MMWR_RATING_RO_ROLLUP[MMWR_RATING_RO_ROLLUP],0),MATCH(H$9,MMWR_RATING_RO_ROLLUP[#Headers],0)),"ERROR"))</f>
        <v>130.60563380280001</v>
      </c>
      <c r="I46" s="155">
        <f>IF($B46=" ","",IFERROR(INDEX(MMWR_RATING_RO_ROLLUP[],MATCH($B46,MMWR_RATING_RO_ROLLUP[MMWR_RATING_RO_ROLLUP],0),MATCH(I$9,MMWR_RATING_RO_ROLLUP[#Headers],0)),"ERROR"))</f>
        <v>146.08923556939999</v>
      </c>
      <c r="J46" s="42"/>
      <c r="K46" s="42"/>
      <c r="L46" s="42"/>
      <c r="M46" s="42"/>
      <c r="N46" s="28"/>
    </row>
    <row r="47" spans="1:14" x14ac:dyDescent="0.2">
      <c r="A47" s="25"/>
      <c r="B47" s="47" t="s">
        <v>308</v>
      </c>
      <c r="C47" s="154">
        <f>IF($B47=" ","",IFERROR(INDEX(MMWR_RATING_RO_ROLLUP[],MATCH($B47,MMWR_RATING_RO_ROLLUP[MMWR_RATING_RO_ROLLUP],0),MATCH(C$9,MMWR_RATING_RO_ROLLUP[#Headers],0)),"ERROR"))</f>
        <v>6920</v>
      </c>
      <c r="D47" s="155">
        <f>IF($B47=" ","",IFERROR(INDEX(MMWR_RATING_RO_ROLLUP[],MATCH($B47,MMWR_RATING_RO_ROLLUP[MMWR_RATING_RO_ROLLUP],0),MATCH(D$9,MMWR_RATING_RO_ROLLUP[#Headers],0)),"ERROR"))</f>
        <v>72.030346820800006</v>
      </c>
      <c r="E47" s="156">
        <f>IF($B47=" ","",IFERROR(INDEX(MMWR_RATING_RO_ROLLUP[],MATCH($B47,MMWR_RATING_RO_ROLLUP[MMWR_RATING_RO_ROLLUP],0),MATCH(E$9,MMWR_RATING_RO_ROLLUP[#Headers],0))/$C47,"ERROR"))</f>
        <v>0.16141618497109828</v>
      </c>
      <c r="F47" s="154">
        <f>IF($B47=" ","",IFERROR(INDEX(MMWR_RATING_RO_ROLLUP[],MATCH($B47,MMWR_RATING_RO_ROLLUP[MMWR_RATING_RO_ROLLUP],0),MATCH(F$9,MMWR_RATING_RO_ROLLUP[#Headers],0)),"ERROR"))</f>
        <v>441</v>
      </c>
      <c r="G47" s="154">
        <f>IF($B47=" ","",IFERROR(INDEX(MMWR_RATING_RO_ROLLUP[],MATCH($B47,MMWR_RATING_RO_ROLLUP[MMWR_RATING_RO_ROLLUP],0),MATCH(G$9,MMWR_RATING_RO_ROLLUP[#Headers],0)),"ERROR"))</f>
        <v>16545</v>
      </c>
      <c r="H47" s="155">
        <f>IF($B47=" ","",IFERROR(INDEX(MMWR_RATING_RO_ROLLUP[],MATCH($B47,MMWR_RATING_RO_ROLLUP[MMWR_RATING_RO_ROLLUP],0),MATCH(H$9,MMWR_RATING_RO_ROLLUP[#Headers],0)),"ERROR"))</f>
        <v>110.01133786849999</v>
      </c>
      <c r="I47" s="155">
        <f>IF($B47=" ","",IFERROR(INDEX(MMWR_RATING_RO_ROLLUP[],MATCH($B47,MMWR_RATING_RO_ROLLUP[MMWR_RATING_RO_ROLLUP],0),MATCH(I$9,MMWR_RATING_RO_ROLLUP[#Headers],0)),"ERROR"))</f>
        <v>131.1720157147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5" t="s">
        <v>977</v>
      </c>
      <c r="D2" s="356"/>
      <c r="E2" s="356"/>
      <c r="F2" s="356"/>
      <c r="G2" s="356"/>
      <c r="H2" s="356"/>
      <c r="I2" s="356"/>
      <c r="J2" s="355" t="s">
        <v>300</v>
      </c>
      <c r="K2" s="356"/>
      <c r="L2" s="356"/>
      <c r="M2" s="357"/>
      <c r="N2" s="28"/>
    </row>
    <row r="3" spans="1:15" ht="24" customHeight="1" thickBot="1" x14ac:dyDescent="0.4">
      <c r="A3" s="25"/>
      <c r="B3" s="29"/>
      <c r="C3" s="358"/>
      <c r="D3" s="359"/>
      <c r="E3" s="359"/>
      <c r="F3" s="359"/>
      <c r="G3" s="359"/>
      <c r="H3" s="359"/>
      <c r="I3" s="359"/>
      <c r="J3" s="358" t="str">
        <f>Transformation!B4</f>
        <v>As of: June 04, 2016</v>
      </c>
      <c r="K3" s="359"/>
      <c r="L3" s="359"/>
      <c r="M3" s="360"/>
      <c r="N3" s="28"/>
    </row>
    <row r="4" spans="1:15" ht="51.75" customHeight="1" thickBot="1" x14ac:dyDescent="0.35">
      <c r="A4" s="30"/>
      <c r="B4" s="246" t="s">
        <v>455</v>
      </c>
      <c r="C4" s="361" t="s">
        <v>431</v>
      </c>
      <c r="D4" s="362"/>
      <c r="E4" s="362"/>
      <c r="F4" s="362"/>
      <c r="G4" s="362"/>
      <c r="H4" s="362"/>
      <c r="I4" s="362"/>
      <c r="J4" s="362"/>
      <c r="K4" s="362"/>
      <c r="L4" s="362"/>
      <c r="M4" s="363"/>
      <c r="N4" s="28"/>
    </row>
    <row r="5" spans="1:15" ht="27" customHeight="1" thickBot="1" x14ac:dyDescent="0.25">
      <c r="A5" s="30"/>
      <c r="B5" s="245" t="s">
        <v>369</v>
      </c>
      <c r="C5" s="364" t="s">
        <v>1041</v>
      </c>
      <c r="D5" s="365"/>
      <c r="E5" s="365"/>
      <c r="F5" s="365"/>
      <c r="G5" s="365"/>
      <c r="H5" s="365"/>
      <c r="I5" s="365"/>
      <c r="J5" s="365"/>
      <c r="K5" s="365"/>
      <c r="L5" s="365"/>
      <c r="M5" s="365"/>
      <c r="N5" s="365"/>
      <c r="O5" s="366"/>
    </row>
    <row r="6" spans="1:15" ht="55.5" customHeight="1" x14ac:dyDescent="0.2">
      <c r="A6" s="30"/>
      <c r="B6" s="31"/>
      <c r="C6" s="32" t="s">
        <v>190</v>
      </c>
      <c r="D6" s="367" t="s">
        <v>16</v>
      </c>
      <c r="E6" s="368"/>
      <c r="F6" s="33" t="s">
        <v>193</v>
      </c>
      <c r="G6" s="367" t="s">
        <v>198</v>
      </c>
      <c r="H6" s="369"/>
      <c r="I6" s="33" t="s">
        <v>196</v>
      </c>
      <c r="J6" s="49" t="s">
        <v>14</v>
      </c>
      <c r="K6" s="33" t="s">
        <v>201</v>
      </c>
      <c r="L6" s="373" t="s">
        <v>85</v>
      </c>
      <c r="M6" s="386"/>
      <c r="N6" s="28"/>
    </row>
    <row r="7" spans="1:15" ht="51.75" customHeight="1" x14ac:dyDescent="0.2">
      <c r="A7" s="30"/>
      <c r="B7" s="34"/>
      <c r="C7" s="35" t="s">
        <v>191</v>
      </c>
      <c r="D7" s="343" t="s">
        <v>0</v>
      </c>
      <c r="E7" s="344"/>
      <c r="F7" s="36" t="s">
        <v>194</v>
      </c>
      <c r="G7" s="345" t="s">
        <v>199</v>
      </c>
      <c r="H7" s="345"/>
      <c r="I7" s="36" t="s">
        <v>197</v>
      </c>
      <c r="J7" s="50" t="s">
        <v>19</v>
      </c>
      <c r="K7" s="36" t="s">
        <v>202</v>
      </c>
      <c r="L7" s="387" t="s">
        <v>87</v>
      </c>
      <c r="M7" s="388"/>
      <c r="N7" s="28"/>
    </row>
    <row r="8" spans="1:15" ht="51.75" customHeight="1" thickBot="1" x14ac:dyDescent="0.25">
      <c r="A8" s="25"/>
      <c r="B8" s="28"/>
      <c r="C8" s="37" t="s">
        <v>192</v>
      </c>
      <c r="D8" s="346" t="s">
        <v>18</v>
      </c>
      <c r="E8" s="347"/>
      <c r="F8" s="38" t="s">
        <v>195</v>
      </c>
      <c r="G8" s="348" t="s">
        <v>17</v>
      </c>
      <c r="H8" s="348"/>
      <c r="I8" s="38" t="s">
        <v>200</v>
      </c>
      <c r="J8" s="51" t="s">
        <v>84</v>
      </c>
      <c r="K8" s="38" t="s">
        <v>203</v>
      </c>
      <c r="L8" s="389" t="s">
        <v>86</v>
      </c>
      <c r="M8" s="390"/>
      <c r="N8" s="28"/>
    </row>
    <row r="9" spans="1:15" x14ac:dyDescent="0.2">
      <c r="A9" s="28"/>
      <c r="B9" s="39"/>
      <c r="C9" s="39" t="s">
        <v>714</v>
      </c>
      <c r="D9" s="39" t="s">
        <v>716</v>
      </c>
      <c r="E9" s="39" t="s">
        <v>715</v>
      </c>
      <c r="F9" s="39" t="s">
        <v>718</v>
      </c>
      <c r="G9" s="39" t="s">
        <v>717</v>
      </c>
      <c r="H9" s="39" t="s">
        <v>720</v>
      </c>
      <c r="I9" s="39" t="s">
        <v>719</v>
      </c>
      <c r="J9" s="39"/>
      <c r="K9" s="39"/>
      <c r="L9" s="39"/>
      <c r="M9" s="39"/>
      <c r="N9" s="39"/>
    </row>
    <row r="10" spans="1:15" ht="15.75" customHeight="1" x14ac:dyDescent="0.2">
      <c r="A10" s="25"/>
      <c r="B10" s="26"/>
      <c r="C10" s="349" t="s">
        <v>293</v>
      </c>
      <c r="D10" s="349"/>
      <c r="E10" s="349"/>
      <c r="F10" s="349"/>
      <c r="G10" s="349"/>
      <c r="H10" s="349"/>
      <c r="I10" s="349"/>
      <c r="J10" s="349"/>
      <c r="K10" s="349"/>
      <c r="L10" s="349"/>
      <c r="M10" s="391"/>
      <c r="N10" s="28"/>
    </row>
    <row r="11" spans="1:15" ht="63.75" customHeight="1" x14ac:dyDescent="0.2">
      <c r="A11" s="25"/>
      <c r="B11" s="26"/>
      <c r="C11" s="52" t="s">
        <v>226</v>
      </c>
      <c r="D11" s="52" t="s">
        <v>134</v>
      </c>
      <c r="E11" s="52" t="s">
        <v>227</v>
      </c>
      <c r="F11" s="52" t="s">
        <v>189</v>
      </c>
      <c r="G11" s="52" t="s">
        <v>204</v>
      </c>
      <c r="H11" s="52" t="s">
        <v>206</v>
      </c>
      <c r="I11" s="52" t="s">
        <v>207</v>
      </c>
      <c r="J11" s="393" t="s">
        <v>972</v>
      </c>
      <c r="K11" s="394"/>
      <c r="L11" s="394"/>
      <c r="M11" s="395"/>
      <c r="N11" s="28"/>
    </row>
    <row r="12" spans="1:15" x14ac:dyDescent="0.2">
      <c r="A12" s="25"/>
      <c r="B12" s="41" t="s">
        <v>729</v>
      </c>
      <c r="C12" s="154">
        <f>IF($B12=" ","",IFERROR(INDEX(MMWR_RATING_STATE_ROLLUP_VSC[],MATCH($B12,MMWR_RATING_STATE_ROLLUP_VSC[MMWR_RATING_STATE_ROLLUP_VSC],0),MATCH(C$9,MMWR_RATING_STATE_ROLLUP_VSC[#Headers],0)),"ERROR"))</f>
        <v>360502</v>
      </c>
      <c r="D12" s="155">
        <f>IF($B12=" ","",IFERROR(INDEX(MMWR_RATING_STATE_ROLLUP_VSC[],MATCH($B12,MMWR_RATING_STATE_ROLLUP_VSC[MMWR_RATING_STATE_ROLLUP_VSC],0),MATCH(D$9,MMWR_RATING_STATE_ROLLUP_VSC[#Headers],0)),"ERROR"))</f>
        <v>89.191482987599997</v>
      </c>
      <c r="E12" s="157">
        <f>IF($B12=" ","",IFERROR(INDEX(MMWR_RATING_STATE_ROLLUP_VSC[],MATCH($B12,MMWR_RATING_STATE_ROLLUP_VSC[MMWR_RATING_STATE_ROLLUP_VSC],0),MATCH(E$9,MMWR_RATING_STATE_ROLLUP_VSC[#Headers],0))/$C12,"ERROR"))</f>
        <v>0.21137469417645394</v>
      </c>
      <c r="F12" s="154">
        <f>IF($B12=" ","",IFERROR(INDEX(MMWR_RATING_STATE_ROLLUP_VSC[],MATCH($B12,MMWR_RATING_STATE_ROLLUP_VSC[MMWR_RATING_STATE_ROLLUP_VSC],0),MATCH(F$9,MMWR_RATING_STATE_ROLLUP_VSC[#Headers],0)),"ERROR"))</f>
        <v>13918</v>
      </c>
      <c r="G12" s="154">
        <f>IF($B12=" ","",IFERROR(INDEX(MMWR_RATING_STATE_ROLLUP_VSC[],MATCH($B12,MMWR_RATING_STATE_ROLLUP_VSC[MMWR_RATING_STATE_ROLLUP_VSC],0),MATCH(G$9,MMWR_RATING_STATE_ROLLUP_VSC[#Headers],0)),"ERROR"))</f>
        <v>855563</v>
      </c>
      <c r="H12" s="155">
        <f>IF($B12=" ","",IFERROR(INDEX(MMWR_RATING_STATE_ROLLUP_VSC[],MATCH($B12,MMWR_RATING_STATE_ROLLUP_VSC[MMWR_RATING_STATE_ROLLUP_VSC],0),MATCH(H$9,MMWR_RATING_STATE_ROLLUP_VSC[#Headers],0)),"ERROR"))</f>
        <v>121.8819514298</v>
      </c>
      <c r="I12" s="155">
        <f>IF($B12=" ","",IFERROR(INDEX(MMWR_RATING_STATE_ROLLUP_VSC[],MATCH($B12,MMWR_RATING_STATE_ROLLUP_VSC[MMWR_RATING_STATE_ROLLUP_VSC],0),MATCH(I$9,MMWR_RATING_STATE_ROLLUP_VSC[#Headers],0)),"ERROR"))</f>
        <v>123.4740399012</v>
      </c>
      <c r="J12" s="42"/>
      <c r="K12" s="42"/>
      <c r="L12" s="42"/>
      <c r="M12" s="42"/>
      <c r="N12" s="28"/>
    </row>
    <row r="13" spans="1:15" x14ac:dyDescent="0.2">
      <c r="A13" s="25"/>
      <c r="B13" s="341" t="s">
        <v>958</v>
      </c>
      <c r="C13" s="342"/>
      <c r="D13" s="342"/>
      <c r="E13" s="342"/>
      <c r="F13" s="342"/>
      <c r="G13" s="342"/>
      <c r="H13" s="342"/>
      <c r="I13" s="342"/>
      <c r="J13" s="342"/>
      <c r="K13" s="342"/>
      <c r="L13" s="342"/>
      <c r="M13" s="392"/>
      <c r="N13" s="28"/>
    </row>
    <row r="14" spans="1:15" x14ac:dyDescent="0.2">
      <c r="A14" s="25"/>
      <c r="B14" s="41" t="s">
        <v>1035</v>
      </c>
      <c r="C14" s="154">
        <f>IF($B14=" ","",IFERROR(INDEX(MMWR_RATING_STATE_ROLLUP_VSC[],MATCH($B14,MMWR_RATING_STATE_ROLLUP_VSC[MMWR_RATING_STATE_ROLLUP_VSC],0),MATCH(C$9,MMWR_RATING_STATE_ROLLUP_VSC[#Headers],0)),"ERROR"))</f>
        <v>315763</v>
      </c>
      <c r="D14" s="155">
        <f>IF($B14=" ","",IFERROR(INDEX(MMWR_RATING_STATE_ROLLUP_VSC[],MATCH($B14,MMWR_RATING_STATE_ROLLUP_VSC[MMWR_RATING_STATE_ROLLUP_VSC],0),MATCH(D$9,MMWR_RATING_STATE_ROLLUP_VSC[#Headers],0)),"ERROR"))</f>
        <v>91.692361042900004</v>
      </c>
      <c r="E14" s="156">
        <f>IF($B14=" ","",IFERROR(INDEX(MMWR_RATING_STATE_ROLLUP_VSC[],MATCH($B14,MMWR_RATING_STATE_ROLLUP_VSC[MMWR_RATING_STATE_ROLLUP_VSC],0),MATCH(E$9,MMWR_RATING_STATE_ROLLUP_VSC[#Headers],0))/$C14,"ERROR"))</f>
        <v>0.2222046281546603</v>
      </c>
      <c r="F14" s="154">
        <f>IF($B14=" ","",IFERROR(INDEX(MMWR_RATING_STATE_ROLLUP_VSC[],MATCH($B14,MMWR_RATING_STATE_ROLLUP_VSC[MMWR_RATING_STATE_ROLLUP_VSC],0),MATCH(F$9,MMWR_RATING_STATE_ROLLUP_VSC[#Headers],0)),"ERROR"))</f>
        <v>11754</v>
      </c>
      <c r="G14" s="154">
        <f>IF($B14=" ","",IFERROR(INDEX(MMWR_RATING_STATE_ROLLUP_VSC[],MATCH($B14,MMWR_RATING_STATE_ROLLUP_VSC[MMWR_RATING_STATE_ROLLUP_VSC],0),MATCH(G$9,MMWR_RATING_STATE_ROLLUP_VSC[#Headers],0)),"ERROR"))</f>
        <v>719956</v>
      </c>
      <c r="H14" s="155">
        <f>IF($B14=" ","",IFERROR(INDEX(MMWR_RATING_STATE_ROLLUP_VSC[],MATCH($B14,MMWR_RATING_STATE_ROLLUP_VSC[MMWR_RATING_STATE_ROLLUP_VSC],0),MATCH(H$9,MMWR_RATING_STATE_ROLLUP_VSC[#Headers],0)),"ERROR"))</f>
        <v>126.634762634</v>
      </c>
      <c r="I14" s="155">
        <f>IF($B14=" ","",IFERROR(INDEX(MMWR_RATING_STATE_ROLLUP_VSC[],MATCH($B14,MMWR_RATING_STATE_ROLLUP_VSC[MMWR_RATING_STATE_ROLLUP_VSC],0),MATCH(I$9,MMWR_RATING_STATE_ROLLUP_VSC[#Headers],0)),"ERROR"))</f>
        <v>129.0541796999</v>
      </c>
      <c r="J14" s="42"/>
      <c r="K14" s="42"/>
      <c r="L14" s="42"/>
      <c r="M14" s="42"/>
      <c r="N14" s="28"/>
    </row>
    <row r="15" spans="1:15" x14ac:dyDescent="0.2">
      <c r="A15" s="25"/>
      <c r="B15" s="248" t="str">
        <f>INDEX(DISTRICT_STATES[],MATCH($B$5,DISTRICT_RO[District],0),1)</f>
        <v>North Atlantic</v>
      </c>
      <c r="C15" s="154">
        <f>IF($B15=" ","",IFERROR(INDEX(MMWR_RATING_STATE_ROLLUP_VSC[],MATCH($B15,MMWR_RATING_STATE_ROLLUP_VSC[MMWR_RATING_STATE_ROLLUP_VSC],0),MATCH(C$9,MMWR_RATING_STATE_ROLLUP_VSC[#Headers],0)),"ERROR"))</f>
        <v>69332</v>
      </c>
      <c r="D15" s="155">
        <f>IF($B15=" ","",IFERROR(INDEX(MMWR_RATING_STATE_ROLLUP_VSC[],MATCH($B15,MMWR_RATING_STATE_ROLLUP_VSC[MMWR_RATING_STATE_ROLLUP_VSC],0),MATCH(D$9,MMWR_RATING_STATE_ROLLUP_VSC[#Headers],0)),"ERROR"))</f>
        <v>93.763557953000003</v>
      </c>
      <c r="E15" s="156">
        <f>IF($B15=" ","",IFERROR(INDEX(MMWR_RATING_STATE_ROLLUP_VSC[],MATCH($B15,MMWR_RATING_STATE_ROLLUP_VSC[MMWR_RATING_STATE_ROLLUP_VSC],0),MATCH(E$9,MMWR_RATING_STATE_ROLLUP_VSC[#Headers],0))/$C15,"ERROR"))</f>
        <v>0.23384584318929211</v>
      </c>
      <c r="F15" s="154">
        <f>IF($B15=" ","",IFERROR(INDEX(MMWR_RATING_STATE_ROLLUP_VSC[],MATCH($B15,MMWR_RATING_STATE_ROLLUP_VSC[MMWR_RATING_STATE_ROLLUP_VSC],0),MATCH(F$9,MMWR_RATING_STATE_ROLLUP_VSC[#Headers],0)),"ERROR"))</f>
        <v>2619</v>
      </c>
      <c r="G15" s="154">
        <f>IF($B15=" ","",IFERROR(INDEX(MMWR_RATING_STATE_ROLLUP_VSC[],MATCH($B15,MMWR_RATING_STATE_ROLLUP_VSC[MMWR_RATING_STATE_ROLLUP_VSC],0),MATCH(G$9,MMWR_RATING_STATE_ROLLUP_VSC[#Headers],0)),"ERROR"))</f>
        <v>150065</v>
      </c>
      <c r="H15" s="155">
        <f>IF($B15=" ","",IFERROR(INDEX(MMWR_RATING_STATE_ROLLUP_VSC[],MATCH($B15,MMWR_RATING_STATE_ROLLUP_VSC[MMWR_RATING_STATE_ROLLUP_VSC],0),MATCH(H$9,MMWR_RATING_STATE_ROLLUP_VSC[#Headers],0)),"ERROR"))</f>
        <v>128.25964108439999</v>
      </c>
      <c r="I15" s="155">
        <f>IF($B15=" ","",IFERROR(INDEX(MMWR_RATING_STATE_ROLLUP_VSC[],MATCH($B15,MMWR_RATING_STATE_ROLLUP_VSC[MMWR_RATING_STATE_ROLLUP_VSC],0),MATCH(I$9,MMWR_RATING_STATE_ROLLUP_VSC[#Headers],0)),"ERROR"))</f>
        <v>132.18186785730001</v>
      </c>
      <c r="J15" s="42"/>
      <c r="K15" s="42"/>
      <c r="L15" s="42"/>
      <c r="M15" s="42"/>
      <c r="N15" s="28"/>
    </row>
    <row r="16" spans="1:15" x14ac:dyDescent="0.2">
      <c r="A16" s="25"/>
      <c r="B16" s="8" t="str">
        <f>VLOOKUP($B$15,DISTRICT_STATES[],2,0)</f>
        <v>Connecticut</v>
      </c>
      <c r="C16" s="154">
        <f>IF($B16=" ","",IFERROR(INDEX(MMWR_RATING_STATE_ROLLUP_VSC[],MATCH($B16,MMWR_RATING_STATE_ROLLUP_VSC[MMWR_RATING_STATE_ROLLUP_VSC],0),MATCH(C$9,MMWR_RATING_STATE_ROLLUP_VSC[#Headers],0)),"ERROR"))</f>
        <v>1655</v>
      </c>
      <c r="D16" s="155">
        <f>IF($B16=" ","",IFERROR(INDEX(MMWR_RATING_STATE_ROLLUP_VSC[],MATCH($B16,MMWR_RATING_STATE_ROLLUP_VSC[MMWR_RATING_STATE_ROLLUP_VSC],0),MATCH(D$9,MMWR_RATING_STATE_ROLLUP_VSC[#Headers],0)),"ERROR"))</f>
        <v>87.848942598199997</v>
      </c>
      <c r="E16" s="156">
        <f>IF($B16=" ","",IFERROR(INDEX(MMWR_RATING_STATE_ROLLUP_VSC[],MATCH($B16,MMWR_RATING_STATE_ROLLUP_VSC[MMWR_RATING_STATE_ROLLUP_VSC],0),MATCH(E$9,MMWR_RATING_STATE_ROLLUP_VSC[#Headers],0))/$C16,"ERROR"))</f>
        <v>0.20302114803625379</v>
      </c>
      <c r="F16" s="154">
        <f>IF($B16=" ","",IFERROR(INDEX(MMWR_RATING_STATE_ROLLUP_VSC[],MATCH($B16,MMWR_RATING_STATE_ROLLUP_VSC[MMWR_RATING_STATE_ROLLUP_VSC],0),MATCH(F$9,MMWR_RATING_STATE_ROLLUP_VSC[#Headers],0)),"ERROR"))</f>
        <v>61</v>
      </c>
      <c r="G16" s="154">
        <f>IF($B16=" ","",IFERROR(INDEX(MMWR_RATING_STATE_ROLLUP_VSC[],MATCH($B16,MMWR_RATING_STATE_ROLLUP_VSC[MMWR_RATING_STATE_ROLLUP_VSC],0),MATCH(G$9,MMWR_RATING_STATE_ROLLUP_VSC[#Headers],0)),"ERROR"))</f>
        <v>4547</v>
      </c>
      <c r="H16" s="155">
        <f>IF($B16=" ","",IFERROR(INDEX(MMWR_RATING_STATE_ROLLUP_VSC[],MATCH($B16,MMWR_RATING_STATE_ROLLUP_VSC[MMWR_RATING_STATE_ROLLUP_VSC],0),MATCH(H$9,MMWR_RATING_STATE_ROLLUP_VSC[#Headers],0)),"ERROR"))</f>
        <v>105.5245901639</v>
      </c>
      <c r="I16" s="155">
        <f>IF($B16=" ","",IFERROR(INDEX(MMWR_RATING_STATE_ROLLUP_VSC[],MATCH($B16,MMWR_RATING_STATE_ROLLUP_VSC[MMWR_RATING_STATE_ROLLUP_VSC],0),MATCH(I$9,MMWR_RATING_STATE_ROLLUP_VSC[#Headers],0)),"ERROR"))</f>
        <v>113.71211787990001</v>
      </c>
      <c r="J16" s="42"/>
      <c r="K16" s="42"/>
      <c r="L16" s="42"/>
      <c r="M16" s="42"/>
      <c r="N16" s="28"/>
    </row>
    <row r="17" spans="1:14" x14ac:dyDescent="0.2">
      <c r="A17" s="25"/>
      <c r="B17" s="8" t="str">
        <f>VLOOKUP($B$15,DISTRICT_STATES[],3,0)</f>
        <v>Delaware</v>
      </c>
      <c r="C17" s="154">
        <f>IF($B17=" ","",IFERROR(INDEX(MMWR_RATING_STATE_ROLLUP_VSC[],MATCH($B17,MMWR_RATING_STATE_ROLLUP_VSC[MMWR_RATING_STATE_ROLLUP_VSC],0),MATCH(C$9,MMWR_RATING_STATE_ROLLUP_VSC[#Headers],0)),"ERROR"))</f>
        <v>878</v>
      </c>
      <c r="D17" s="155">
        <f>IF($B17=" ","",IFERROR(INDEX(MMWR_RATING_STATE_ROLLUP_VSC[],MATCH($B17,MMWR_RATING_STATE_ROLLUP_VSC[MMWR_RATING_STATE_ROLLUP_VSC],0),MATCH(D$9,MMWR_RATING_STATE_ROLLUP_VSC[#Headers],0)),"ERROR"))</f>
        <v>89.986332574000002</v>
      </c>
      <c r="E17" s="156">
        <f>IF($B17=" ","",IFERROR(INDEX(MMWR_RATING_STATE_ROLLUP_VSC[],MATCH($B17,MMWR_RATING_STATE_ROLLUP_VSC[MMWR_RATING_STATE_ROLLUP_VSC],0),MATCH(E$9,MMWR_RATING_STATE_ROLLUP_VSC[#Headers],0))/$C17,"ERROR"))</f>
        <v>0.22209567198177677</v>
      </c>
      <c r="F17" s="154">
        <f>IF($B17=" ","",IFERROR(INDEX(MMWR_RATING_STATE_ROLLUP_VSC[],MATCH($B17,MMWR_RATING_STATE_ROLLUP_VSC[MMWR_RATING_STATE_ROLLUP_VSC],0),MATCH(F$9,MMWR_RATING_STATE_ROLLUP_VSC[#Headers],0)),"ERROR"))</f>
        <v>27</v>
      </c>
      <c r="G17" s="154">
        <f>IF($B17=" ","",IFERROR(INDEX(MMWR_RATING_STATE_ROLLUP_VSC[],MATCH($B17,MMWR_RATING_STATE_ROLLUP_VSC[MMWR_RATING_STATE_ROLLUP_VSC],0),MATCH(G$9,MMWR_RATING_STATE_ROLLUP_VSC[#Headers],0)),"ERROR"))</f>
        <v>2035</v>
      </c>
      <c r="H17" s="155">
        <f>IF($B17=" ","",IFERROR(INDEX(MMWR_RATING_STATE_ROLLUP_VSC[],MATCH($B17,MMWR_RATING_STATE_ROLLUP_VSC[MMWR_RATING_STATE_ROLLUP_VSC],0),MATCH(H$9,MMWR_RATING_STATE_ROLLUP_VSC[#Headers],0)),"ERROR"))</f>
        <v>132.6666666667</v>
      </c>
      <c r="I17" s="155">
        <f>IF($B17=" ","",IFERROR(INDEX(MMWR_RATING_STATE_ROLLUP_VSC[],MATCH($B17,MMWR_RATING_STATE_ROLLUP_VSC[MMWR_RATING_STATE_ROLLUP_VSC],0),MATCH(I$9,MMWR_RATING_STATE_ROLLUP_VSC[#Headers],0)),"ERROR"))</f>
        <v>137.2864864865</v>
      </c>
      <c r="J17" s="42"/>
      <c r="K17" s="42"/>
      <c r="L17" s="42"/>
      <c r="M17" s="42"/>
      <c r="N17" s="28"/>
    </row>
    <row r="18" spans="1:14" x14ac:dyDescent="0.2">
      <c r="A18" s="25"/>
      <c r="B18" s="8" t="str">
        <f>VLOOKUP($B$15,DISTRICT_STATES[],4,0)</f>
        <v>District of Columbia</v>
      </c>
      <c r="C18" s="154">
        <f>IF($B18=" ","",IFERROR(INDEX(MMWR_RATING_STATE_ROLLUP_VSC[],MATCH($B18,MMWR_RATING_STATE_ROLLUP_VSC[MMWR_RATING_STATE_ROLLUP_VSC],0),MATCH(C$9,MMWR_RATING_STATE_ROLLUP_VSC[#Headers],0)),"ERROR"))</f>
        <v>416</v>
      </c>
      <c r="D18" s="155">
        <f>IF($B18=" ","",IFERROR(INDEX(MMWR_RATING_STATE_ROLLUP_VSC[],MATCH($B18,MMWR_RATING_STATE_ROLLUP_VSC[MMWR_RATING_STATE_ROLLUP_VSC],0),MATCH(D$9,MMWR_RATING_STATE_ROLLUP_VSC[#Headers],0)),"ERROR"))</f>
        <v>82.961538461499998</v>
      </c>
      <c r="E18" s="156">
        <f>IF($B18=" ","",IFERROR(INDEX(MMWR_RATING_STATE_ROLLUP_VSC[],MATCH($B18,MMWR_RATING_STATE_ROLLUP_VSC[MMWR_RATING_STATE_ROLLUP_VSC],0),MATCH(E$9,MMWR_RATING_STATE_ROLLUP_VSC[#Headers],0))/$C18,"ERROR"))</f>
        <v>0.16826923076923078</v>
      </c>
      <c r="F18" s="154">
        <f>IF($B18=" ","",IFERROR(INDEX(MMWR_RATING_STATE_ROLLUP_VSC[],MATCH($B18,MMWR_RATING_STATE_ROLLUP_VSC[MMWR_RATING_STATE_ROLLUP_VSC],0),MATCH(F$9,MMWR_RATING_STATE_ROLLUP_VSC[#Headers],0)),"ERROR"))</f>
        <v>14</v>
      </c>
      <c r="G18" s="154">
        <f>IF($B18=" ","",IFERROR(INDEX(MMWR_RATING_STATE_ROLLUP_VSC[],MATCH($B18,MMWR_RATING_STATE_ROLLUP_VSC[MMWR_RATING_STATE_ROLLUP_VSC],0),MATCH(G$9,MMWR_RATING_STATE_ROLLUP_VSC[#Headers],0)),"ERROR"))</f>
        <v>931</v>
      </c>
      <c r="H18" s="155">
        <f>IF($B18=" ","",IFERROR(INDEX(MMWR_RATING_STATE_ROLLUP_VSC[],MATCH($B18,MMWR_RATING_STATE_ROLLUP_VSC[MMWR_RATING_STATE_ROLLUP_VSC],0),MATCH(H$9,MMWR_RATING_STATE_ROLLUP_VSC[#Headers],0)),"ERROR"))</f>
        <v>136.21428571429999</v>
      </c>
      <c r="I18" s="155">
        <f>IF($B18=" ","",IFERROR(INDEX(MMWR_RATING_STATE_ROLLUP_VSC[],MATCH($B18,MMWR_RATING_STATE_ROLLUP_VSC[MMWR_RATING_STATE_ROLLUP_VSC],0),MATCH(I$9,MMWR_RATING_STATE_ROLLUP_VSC[#Headers],0)),"ERROR"))</f>
        <v>140.7175080559</v>
      </c>
      <c r="J18" s="42"/>
      <c r="K18" s="42"/>
      <c r="L18" s="42"/>
      <c r="M18" s="42"/>
      <c r="N18" s="28"/>
    </row>
    <row r="19" spans="1:14" x14ac:dyDescent="0.2">
      <c r="A19" s="25"/>
      <c r="B19" s="8" t="str">
        <f>VLOOKUP($B$15,DISTRICT_STATES[],5,0)</f>
        <v>Maine</v>
      </c>
      <c r="C19" s="154">
        <f>IF($B19=" ","",IFERROR(INDEX(MMWR_RATING_STATE_ROLLUP_VSC[],MATCH($B19,MMWR_RATING_STATE_ROLLUP_VSC[MMWR_RATING_STATE_ROLLUP_VSC],0),MATCH(C$9,MMWR_RATING_STATE_ROLLUP_VSC[#Headers],0)),"ERROR"))</f>
        <v>1176</v>
      </c>
      <c r="D19" s="155">
        <f>IF($B19=" ","",IFERROR(INDEX(MMWR_RATING_STATE_ROLLUP_VSC[],MATCH($B19,MMWR_RATING_STATE_ROLLUP_VSC[MMWR_RATING_STATE_ROLLUP_VSC],0),MATCH(D$9,MMWR_RATING_STATE_ROLLUP_VSC[#Headers],0)),"ERROR"))</f>
        <v>76.405612244899999</v>
      </c>
      <c r="E19" s="156">
        <f>IF($B19=" ","",IFERROR(INDEX(MMWR_RATING_STATE_ROLLUP_VSC[],MATCH($B19,MMWR_RATING_STATE_ROLLUP_VSC[MMWR_RATING_STATE_ROLLUP_VSC],0),MATCH(E$9,MMWR_RATING_STATE_ROLLUP_VSC[#Headers],0))/$C19,"ERROR"))</f>
        <v>0.1522108843537415</v>
      </c>
      <c r="F19" s="154">
        <f>IF($B19=" ","",IFERROR(INDEX(MMWR_RATING_STATE_ROLLUP_VSC[],MATCH($B19,MMWR_RATING_STATE_ROLLUP_VSC[MMWR_RATING_STATE_ROLLUP_VSC],0),MATCH(F$9,MMWR_RATING_STATE_ROLLUP_VSC[#Headers],0)),"ERROR"))</f>
        <v>50</v>
      </c>
      <c r="G19" s="154">
        <f>IF($B19=" ","",IFERROR(INDEX(MMWR_RATING_STATE_ROLLUP_VSC[],MATCH($B19,MMWR_RATING_STATE_ROLLUP_VSC[MMWR_RATING_STATE_ROLLUP_VSC],0),MATCH(G$9,MMWR_RATING_STATE_ROLLUP_VSC[#Headers],0)),"ERROR"))</f>
        <v>3540</v>
      </c>
      <c r="H19" s="155">
        <f>IF($B19=" ","",IFERROR(INDEX(MMWR_RATING_STATE_ROLLUP_VSC[],MATCH($B19,MMWR_RATING_STATE_ROLLUP_VSC[MMWR_RATING_STATE_ROLLUP_VSC],0),MATCH(H$9,MMWR_RATING_STATE_ROLLUP_VSC[#Headers],0)),"ERROR"))</f>
        <v>78.28</v>
      </c>
      <c r="I19" s="155">
        <f>IF($B19=" ","",IFERROR(INDEX(MMWR_RATING_STATE_ROLLUP_VSC[],MATCH($B19,MMWR_RATING_STATE_ROLLUP_VSC[MMWR_RATING_STATE_ROLLUP_VSC],0),MATCH(I$9,MMWR_RATING_STATE_ROLLUP_VSC[#Headers],0)),"ERROR"))</f>
        <v>105.65367231640001</v>
      </c>
      <c r="J19" s="42"/>
      <c r="K19" s="42"/>
      <c r="L19" s="42"/>
      <c r="M19" s="42"/>
      <c r="N19" s="28"/>
    </row>
    <row r="20" spans="1:14" x14ac:dyDescent="0.2">
      <c r="A20" s="25"/>
      <c r="B20" s="8" t="str">
        <f>VLOOKUP($B$15,DISTRICT_STATES[],6,0)</f>
        <v>Maryland</v>
      </c>
      <c r="C20" s="154">
        <f>IF($B20=" ","",IFERROR(INDEX(MMWR_RATING_STATE_ROLLUP_VSC[],MATCH($B20,MMWR_RATING_STATE_ROLLUP_VSC[MMWR_RATING_STATE_ROLLUP_VSC],0),MATCH(C$9,MMWR_RATING_STATE_ROLLUP_VSC[#Headers],0)),"ERROR"))</f>
        <v>5583</v>
      </c>
      <c r="D20" s="155">
        <f>IF($B20=" ","",IFERROR(INDEX(MMWR_RATING_STATE_ROLLUP_VSC[],MATCH($B20,MMWR_RATING_STATE_ROLLUP_VSC[MMWR_RATING_STATE_ROLLUP_VSC],0),MATCH(D$9,MMWR_RATING_STATE_ROLLUP_VSC[#Headers],0)),"ERROR"))</f>
        <v>101.0727207594</v>
      </c>
      <c r="E20" s="156">
        <f>IF($B20=" ","",IFERROR(INDEX(MMWR_RATING_STATE_ROLLUP_VSC[],MATCH($B20,MMWR_RATING_STATE_ROLLUP_VSC[MMWR_RATING_STATE_ROLLUP_VSC],0),MATCH(E$9,MMWR_RATING_STATE_ROLLUP_VSC[#Headers],0))/$C20,"ERROR"))</f>
        <v>0.24879097259537883</v>
      </c>
      <c r="F20" s="154">
        <f>IF($B20=" ","",IFERROR(INDEX(MMWR_RATING_STATE_ROLLUP_VSC[],MATCH($B20,MMWR_RATING_STATE_ROLLUP_VSC[MMWR_RATING_STATE_ROLLUP_VSC],0),MATCH(F$9,MMWR_RATING_STATE_ROLLUP_VSC[#Headers],0)),"ERROR"))</f>
        <v>168</v>
      </c>
      <c r="G20" s="154">
        <f>IF($B20=" ","",IFERROR(INDEX(MMWR_RATING_STATE_ROLLUP_VSC[],MATCH($B20,MMWR_RATING_STATE_ROLLUP_VSC[MMWR_RATING_STATE_ROLLUP_VSC],0),MATCH(G$9,MMWR_RATING_STATE_ROLLUP_VSC[#Headers],0)),"ERROR"))</f>
        <v>11820</v>
      </c>
      <c r="H20" s="155">
        <f>IF($B20=" ","",IFERROR(INDEX(MMWR_RATING_STATE_ROLLUP_VSC[],MATCH($B20,MMWR_RATING_STATE_ROLLUP_VSC[MMWR_RATING_STATE_ROLLUP_VSC],0),MATCH(H$9,MMWR_RATING_STATE_ROLLUP_VSC[#Headers],0)),"ERROR"))</f>
        <v>124.3452380952</v>
      </c>
      <c r="I20" s="155">
        <f>IF($B20=" ","",IFERROR(INDEX(MMWR_RATING_STATE_ROLLUP_VSC[],MATCH($B20,MMWR_RATING_STATE_ROLLUP_VSC[MMWR_RATING_STATE_ROLLUP_VSC],0),MATCH(I$9,MMWR_RATING_STATE_ROLLUP_VSC[#Headers],0)),"ERROR"))</f>
        <v>136.12123519459999</v>
      </c>
      <c r="J20" s="42"/>
      <c r="K20" s="42"/>
      <c r="L20" s="42"/>
      <c r="M20" s="42"/>
      <c r="N20" s="28"/>
    </row>
    <row r="21" spans="1:14" x14ac:dyDescent="0.2">
      <c r="A21" s="25"/>
      <c r="B21" s="8" t="str">
        <f>VLOOKUP($B$15,DISTRICT_STATES[],7,0)</f>
        <v>Massachusetts</v>
      </c>
      <c r="C21" s="154">
        <f>IF($B21=" ","",IFERROR(INDEX(MMWR_RATING_STATE_ROLLUP_VSC[],MATCH($B21,MMWR_RATING_STATE_ROLLUP_VSC[MMWR_RATING_STATE_ROLLUP_VSC],0),MATCH(C$9,MMWR_RATING_STATE_ROLLUP_VSC[#Headers],0)),"ERROR"))</f>
        <v>4339</v>
      </c>
      <c r="D21" s="155">
        <f>IF($B21=" ","",IFERROR(INDEX(MMWR_RATING_STATE_ROLLUP_VSC[],MATCH($B21,MMWR_RATING_STATE_ROLLUP_VSC[MMWR_RATING_STATE_ROLLUP_VSC],0),MATCH(D$9,MMWR_RATING_STATE_ROLLUP_VSC[#Headers],0)),"ERROR"))</f>
        <v>88.216639778800001</v>
      </c>
      <c r="E21" s="156">
        <f>IF($B21=" ","",IFERROR(INDEX(MMWR_RATING_STATE_ROLLUP_VSC[],MATCH($B21,MMWR_RATING_STATE_ROLLUP_VSC[MMWR_RATING_STATE_ROLLUP_VSC],0),MATCH(E$9,MMWR_RATING_STATE_ROLLUP_VSC[#Headers],0))/$C21,"ERROR"))</f>
        <v>0.21525697165245447</v>
      </c>
      <c r="F21" s="154">
        <f>IF($B21=" ","",IFERROR(INDEX(MMWR_RATING_STATE_ROLLUP_VSC[],MATCH($B21,MMWR_RATING_STATE_ROLLUP_VSC[MMWR_RATING_STATE_ROLLUP_VSC],0),MATCH(F$9,MMWR_RATING_STATE_ROLLUP_VSC[#Headers],0)),"ERROR"))</f>
        <v>171</v>
      </c>
      <c r="G21" s="154">
        <f>IF($B21=" ","",IFERROR(INDEX(MMWR_RATING_STATE_ROLLUP_VSC[],MATCH($B21,MMWR_RATING_STATE_ROLLUP_VSC[MMWR_RATING_STATE_ROLLUP_VSC],0),MATCH(G$9,MMWR_RATING_STATE_ROLLUP_VSC[#Headers],0)),"ERROR"))</f>
        <v>9569</v>
      </c>
      <c r="H21" s="155">
        <f>IF($B21=" ","",IFERROR(INDEX(MMWR_RATING_STATE_ROLLUP_VSC[],MATCH($B21,MMWR_RATING_STATE_ROLLUP_VSC[MMWR_RATING_STATE_ROLLUP_VSC],0),MATCH(H$9,MMWR_RATING_STATE_ROLLUP_VSC[#Headers],0)),"ERROR"))</f>
        <v>123.8011695906</v>
      </c>
      <c r="I21" s="155">
        <f>IF($B21=" ","",IFERROR(INDEX(MMWR_RATING_STATE_ROLLUP_VSC[],MATCH($B21,MMWR_RATING_STATE_ROLLUP_VSC[MMWR_RATING_STATE_ROLLUP_VSC],0),MATCH(I$9,MMWR_RATING_STATE_ROLLUP_VSC[#Headers],0)),"ERROR"))</f>
        <v>127.8026962065</v>
      </c>
      <c r="J21" s="42"/>
      <c r="K21" s="42"/>
      <c r="L21" s="42"/>
      <c r="M21" s="42"/>
      <c r="N21" s="28"/>
    </row>
    <row r="22" spans="1:14" x14ac:dyDescent="0.2">
      <c r="A22" s="25"/>
      <c r="B22" s="8" t="str">
        <f>VLOOKUP($B$15,DISTRICT_STATES[],8,0)</f>
        <v>New Hampshire</v>
      </c>
      <c r="C22" s="154">
        <f>IF($B22=" ","",IFERROR(INDEX(MMWR_RATING_STATE_ROLLUP_VSC[],MATCH($B22,MMWR_RATING_STATE_ROLLUP_VSC[MMWR_RATING_STATE_ROLLUP_VSC],0),MATCH(C$9,MMWR_RATING_STATE_ROLLUP_VSC[#Headers],0)),"ERROR"))</f>
        <v>1247</v>
      </c>
      <c r="D22" s="155">
        <f>IF($B22=" ","",IFERROR(INDEX(MMWR_RATING_STATE_ROLLUP_VSC[],MATCH($B22,MMWR_RATING_STATE_ROLLUP_VSC[MMWR_RATING_STATE_ROLLUP_VSC],0),MATCH(D$9,MMWR_RATING_STATE_ROLLUP_VSC[#Headers],0)),"ERROR"))</f>
        <v>73.107457898999996</v>
      </c>
      <c r="E22" s="156">
        <f>IF($B22=" ","",IFERROR(INDEX(MMWR_RATING_STATE_ROLLUP_VSC[],MATCH($B22,MMWR_RATING_STATE_ROLLUP_VSC[MMWR_RATING_STATE_ROLLUP_VSC],0),MATCH(E$9,MMWR_RATING_STATE_ROLLUP_VSC[#Headers],0))/$C22,"ERROR"))</f>
        <v>0.1467522052927025</v>
      </c>
      <c r="F22" s="154">
        <f>IF($B22=" ","",IFERROR(INDEX(MMWR_RATING_STATE_ROLLUP_VSC[],MATCH($B22,MMWR_RATING_STATE_ROLLUP_VSC[MMWR_RATING_STATE_ROLLUP_VSC],0),MATCH(F$9,MMWR_RATING_STATE_ROLLUP_VSC[#Headers],0)),"ERROR"))</f>
        <v>61</v>
      </c>
      <c r="G22" s="154">
        <f>IF($B22=" ","",IFERROR(INDEX(MMWR_RATING_STATE_ROLLUP_VSC[],MATCH($B22,MMWR_RATING_STATE_ROLLUP_VSC[MMWR_RATING_STATE_ROLLUP_VSC],0),MATCH(G$9,MMWR_RATING_STATE_ROLLUP_VSC[#Headers],0)),"ERROR"))</f>
        <v>2891</v>
      </c>
      <c r="H22" s="155">
        <f>IF($B22=" ","",IFERROR(INDEX(MMWR_RATING_STATE_ROLLUP_VSC[],MATCH($B22,MMWR_RATING_STATE_ROLLUP_VSC[MMWR_RATING_STATE_ROLLUP_VSC],0),MATCH(H$9,MMWR_RATING_STATE_ROLLUP_VSC[#Headers],0)),"ERROR"))</f>
        <v>104.1475409836</v>
      </c>
      <c r="I22" s="155">
        <f>IF($B22=" ","",IFERROR(INDEX(MMWR_RATING_STATE_ROLLUP_VSC[],MATCH($B22,MMWR_RATING_STATE_ROLLUP_VSC[MMWR_RATING_STATE_ROLLUP_VSC],0),MATCH(I$9,MMWR_RATING_STATE_ROLLUP_VSC[#Headers],0)),"ERROR"))</f>
        <v>128.3472846766</v>
      </c>
      <c r="J22" s="42"/>
      <c r="K22" s="42"/>
      <c r="L22" s="42"/>
      <c r="M22" s="42"/>
      <c r="N22" s="28"/>
    </row>
    <row r="23" spans="1:14" x14ac:dyDescent="0.2">
      <c r="A23" s="25"/>
      <c r="B23" s="8" t="str">
        <f>VLOOKUP($B$15,DISTRICT_STATES[],9,0)</f>
        <v>New Jersey</v>
      </c>
      <c r="C23" s="154">
        <f>IF($B23=" ","",IFERROR(INDEX(MMWR_RATING_STATE_ROLLUP_VSC[],MATCH($B23,MMWR_RATING_STATE_ROLLUP_VSC[MMWR_RATING_STATE_ROLLUP_VSC],0),MATCH(C$9,MMWR_RATING_STATE_ROLLUP_VSC[#Headers],0)),"ERROR"))</f>
        <v>4221</v>
      </c>
      <c r="D23" s="155">
        <f>IF($B23=" ","",IFERROR(INDEX(MMWR_RATING_STATE_ROLLUP_VSC[],MATCH($B23,MMWR_RATING_STATE_ROLLUP_VSC[MMWR_RATING_STATE_ROLLUP_VSC],0),MATCH(D$9,MMWR_RATING_STATE_ROLLUP_VSC[#Headers],0)),"ERROR"))</f>
        <v>100.86827765930001</v>
      </c>
      <c r="E23" s="156">
        <f>IF($B23=" ","",IFERROR(INDEX(MMWR_RATING_STATE_ROLLUP_VSC[],MATCH($B23,MMWR_RATING_STATE_ROLLUP_VSC[MMWR_RATING_STATE_ROLLUP_VSC],0),MATCH(E$9,MMWR_RATING_STATE_ROLLUP_VSC[#Headers],0))/$C23,"ERROR"))</f>
        <v>0.25420516465292586</v>
      </c>
      <c r="F23" s="154">
        <f>IF($B23=" ","",IFERROR(INDEX(MMWR_RATING_STATE_ROLLUP_VSC[],MATCH($B23,MMWR_RATING_STATE_ROLLUP_VSC[MMWR_RATING_STATE_ROLLUP_VSC],0),MATCH(F$9,MMWR_RATING_STATE_ROLLUP_VSC[#Headers],0)),"ERROR"))</f>
        <v>158</v>
      </c>
      <c r="G23" s="154">
        <f>IF($B23=" ","",IFERROR(INDEX(MMWR_RATING_STATE_ROLLUP_VSC[],MATCH($B23,MMWR_RATING_STATE_ROLLUP_VSC[MMWR_RATING_STATE_ROLLUP_VSC],0),MATCH(G$9,MMWR_RATING_STATE_ROLLUP_VSC[#Headers],0)),"ERROR"))</f>
        <v>8356</v>
      </c>
      <c r="H23" s="155">
        <f>IF($B23=" ","",IFERROR(INDEX(MMWR_RATING_STATE_ROLLUP_VSC[],MATCH($B23,MMWR_RATING_STATE_ROLLUP_VSC[MMWR_RATING_STATE_ROLLUP_VSC],0),MATCH(H$9,MMWR_RATING_STATE_ROLLUP_VSC[#Headers],0)),"ERROR"))</f>
        <v>128.50632911389999</v>
      </c>
      <c r="I23" s="155">
        <f>IF($B23=" ","",IFERROR(INDEX(MMWR_RATING_STATE_ROLLUP_VSC[],MATCH($B23,MMWR_RATING_STATE_ROLLUP_VSC[MMWR_RATING_STATE_ROLLUP_VSC],0),MATCH(I$9,MMWR_RATING_STATE_ROLLUP_VSC[#Headers],0)),"ERROR"))</f>
        <v>137.65557683099999</v>
      </c>
      <c r="J23" s="42"/>
      <c r="K23" s="42"/>
      <c r="L23" s="42"/>
      <c r="M23" s="42"/>
      <c r="N23" s="28"/>
    </row>
    <row r="24" spans="1:14" x14ac:dyDescent="0.2">
      <c r="A24" s="25"/>
      <c r="B24" s="8" t="str">
        <f>VLOOKUP($B$15,DISTRICT_STATES[],10,0)</f>
        <v>New York</v>
      </c>
      <c r="C24" s="154">
        <f>IF($B24=" ","",IFERROR(INDEX(MMWR_RATING_STATE_ROLLUP_VSC[],MATCH($B24,MMWR_RATING_STATE_ROLLUP_VSC[MMWR_RATING_STATE_ROLLUP_VSC],0),MATCH(C$9,MMWR_RATING_STATE_ROLLUP_VSC[#Headers],0)),"ERROR"))</f>
        <v>8777</v>
      </c>
      <c r="D24" s="155">
        <f>IF($B24=" ","",IFERROR(INDEX(MMWR_RATING_STATE_ROLLUP_VSC[],MATCH($B24,MMWR_RATING_STATE_ROLLUP_VSC[MMWR_RATING_STATE_ROLLUP_VSC],0),MATCH(D$9,MMWR_RATING_STATE_ROLLUP_VSC[#Headers],0)),"ERROR"))</f>
        <v>94.981770536599996</v>
      </c>
      <c r="E24" s="156">
        <f>IF($B24=" ","",IFERROR(INDEX(MMWR_RATING_STATE_ROLLUP_VSC[],MATCH($B24,MMWR_RATING_STATE_ROLLUP_VSC[MMWR_RATING_STATE_ROLLUP_VSC],0),MATCH(E$9,MMWR_RATING_STATE_ROLLUP_VSC[#Headers],0))/$C24,"ERROR"))</f>
        <v>0.24780676768827617</v>
      </c>
      <c r="F24" s="154">
        <f>IF($B24=" ","",IFERROR(INDEX(MMWR_RATING_STATE_ROLLUP_VSC[],MATCH($B24,MMWR_RATING_STATE_ROLLUP_VSC[MMWR_RATING_STATE_ROLLUP_VSC],0),MATCH(F$9,MMWR_RATING_STATE_ROLLUP_VSC[#Headers],0)),"ERROR"))</f>
        <v>258</v>
      </c>
      <c r="G24" s="154">
        <f>IF($B24=" ","",IFERROR(INDEX(MMWR_RATING_STATE_ROLLUP_VSC[],MATCH($B24,MMWR_RATING_STATE_ROLLUP_VSC[MMWR_RATING_STATE_ROLLUP_VSC],0),MATCH(G$9,MMWR_RATING_STATE_ROLLUP_VSC[#Headers],0)),"ERROR"))</f>
        <v>19062</v>
      </c>
      <c r="H24" s="155">
        <f>IF($B24=" ","",IFERROR(INDEX(MMWR_RATING_STATE_ROLLUP_VSC[],MATCH($B24,MMWR_RATING_STATE_ROLLUP_VSC[MMWR_RATING_STATE_ROLLUP_VSC],0),MATCH(H$9,MMWR_RATING_STATE_ROLLUP_VSC[#Headers],0)),"ERROR"))</f>
        <v>133.07364341089999</v>
      </c>
      <c r="I24" s="155">
        <f>IF($B24=" ","",IFERROR(INDEX(MMWR_RATING_STATE_ROLLUP_VSC[],MATCH($B24,MMWR_RATING_STATE_ROLLUP_VSC[MMWR_RATING_STATE_ROLLUP_VSC],0),MATCH(I$9,MMWR_RATING_STATE_ROLLUP_VSC[#Headers],0)),"ERROR"))</f>
        <v>130.26586926869999</v>
      </c>
      <c r="J24" s="42"/>
      <c r="K24" s="42"/>
      <c r="L24" s="42"/>
      <c r="M24" s="42"/>
      <c r="N24" s="28"/>
    </row>
    <row r="25" spans="1:14" x14ac:dyDescent="0.2">
      <c r="A25" s="25"/>
      <c r="B25" s="8" t="str">
        <f>VLOOKUP($B$15,DISTRICT_STATES[],11,0)</f>
        <v>North Carolina</v>
      </c>
      <c r="C25" s="154">
        <f>IF($B25=" ","",IFERROR(INDEX(MMWR_RATING_STATE_ROLLUP_VSC[],MATCH($B25,MMWR_RATING_STATE_ROLLUP_VSC[MMWR_RATING_STATE_ROLLUP_VSC],0),MATCH(C$9,MMWR_RATING_STATE_ROLLUP_VSC[#Headers],0)),"ERROR"))</f>
        <v>16509</v>
      </c>
      <c r="D25" s="155">
        <f>IF($B25=" ","",IFERROR(INDEX(MMWR_RATING_STATE_ROLLUP_VSC[],MATCH($B25,MMWR_RATING_STATE_ROLLUP_VSC[MMWR_RATING_STATE_ROLLUP_VSC],0),MATCH(D$9,MMWR_RATING_STATE_ROLLUP_VSC[#Headers],0)),"ERROR"))</f>
        <v>96.5502453207</v>
      </c>
      <c r="E25" s="156">
        <f>IF($B25=" ","",IFERROR(INDEX(MMWR_RATING_STATE_ROLLUP_VSC[],MATCH($B25,MMWR_RATING_STATE_ROLLUP_VSC[MMWR_RATING_STATE_ROLLUP_VSC],0),MATCH(E$9,MMWR_RATING_STATE_ROLLUP_VSC[#Headers],0))/$C25,"ERROR"))</f>
        <v>0.25501241746925918</v>
      </c>
      <c r="F25" s="154">
        <f>IF($B25=" ","",IFERROR(INDEX(MMWR_RATING_STATE_ROLLUP_VSC[],MATCH($B25,MMWR_RATING_STATE_ROLLUP_VSC[MMWR_RATING_STATE_ROLLUP_VSC],0),MATCH(F$9,MMWR_RATING_STATE_ROLLUP_VSC[#Headers],0)),"ERROR"))</f>
        <v>679</v>
      </c>
      <c r="G25" s="154">
        <f>IF($B25=" ","",IFERROR(INDEX(MMWR_RATING_STATE_ROLLUP_VSC[],MATCH($B25,MMWR_RATING_STATE_ROLLUP_VSC[MMWR_RATING_STATE_ROLLUP_VSC],0),MATCH(G$9,MMWR_RATING_STATE_ROLLUP_VSC[#Headers],0)),"ERROR"))</f>
        <v>34115</v>
      </c>
      <c r="H25" s="155">
        <f>IF($B25=" ","",IFERROR(INDEX(MMWR_RATING_STATE_ROLLUP_VSC[],MATCH($B25,MMWR_RATING_STATE_ROLLUP_VSC[MMWR_RATING_STATE_ROLLUP_VSC],0),MATCH(H$9,MMWR_RATING_STATE_ROLLUP_VSC[#Headers],0)),"ERROR"))</f>
        <v>137.8100147275</v>
      </c>
      <c r="I25" s="155">
        <f>IF($B25=" ","",IFERROR(INDEX(MMWR_RATING_STATE_ROLLUP_VSC[],MATCH($B25,MMWR_RATING_STATE_ROLLUP_VSC[MMWR_RATING_STATE_ROLLUP_VSC],0),MATCH(I$9,MMWR_RATING_STATE_ROLLUP_VSC[#Headers],0)),"ERROR"))</f>
        <v>137.26425326099999</v>
      </c>
      <c r="J25" s="42"/>
      <c r="K25" s="42"/>
      <c r="L25" s="42"/>
      <c r="M25" s="42"/>
      <c r="N25" s="28"/>
    </row>
    <row r="26" spans="1:14" x14ac:dyDescent="0.2">
      <c r="A26" s="25"/>
      <c r="B26" s="8" t="str">
        <f>VLOOKUP($B$15,DISTRICT_STATES[],12,0)</f>
        <v>Pennsylvania</v>
      </c>
      <c r="C26" s="154">
        <f>IF($B26=" ","",IFERROR(INDEX(MMWR_RATING_STATE_ROLLUP_VSC[],MATCH($B26,MMWR_RATING_STATE_ROLLUP_VSC[MMWR_RATING_STATE_ROLLUP_VSC],0),MATCH(C$9,MMWR_RATING_STATE_ROLLUP_VSC[#Headers],0)),"ERROR"))</f>
        <v>9584</v>
      </c>
      <c r="D26" s="155">
        <f>IF($B26=" ","",IFERROR(INDEX(MMWR_RATING_STATE_ROLLUP_VSC[],MATCH($B26,MMWR_RATING_STATE_ROLLUP_VSC[MMWR_RATING_STATE_ROLLUP_VSC],0),MATCH(D$9,MMWR_RATING_STATE_ROLLUP_VSC[#Headers],0)),"ERROR"))</f>
        <v>103.1439899833</v>
      </c>
      <c r="E26" s="156">
        <f>IF($B26=" ","",IFERROR(INDEX(MMWR_RATING_STATE_ROLLUP_VSC[],MATCH($B26,MMWR_RATING_STATE_ROLLUP_VSC[MMWR_RATING_STATE_ROLLUP_VSC],0),MATCH(E$9,MMWR_RATING_STATE_ROLLUP_VSC[#Headers],0))/$C26,"ERROR"))</f>
        <v>0.26784223706176963</v>
      </c>
      <c r="F26" s="154">
        <f>IF($B26=" ","",IFERROR(INDEX(MMWR_RATING_STATE_ROLLUP_VSC[],MATCH($B26,MMWR_RATING_STATE_ROLLUP_VSC[MMWR_RATING_STATE_ROLLUP_VSC],0),MATCH(F$9,MMWR_RATING_STATE_ROLLUP_VSC[#Headers],0)),"ERROR"))</f>
        <v>301</v>
      </c>
      <c r="G26" s="154">
        <f>IF($B26=" ","",IFERROR(INDEX(MMWR_RATING_STATE_ROLLUP_VSC[],MATCH($B26,MMWR_RATING_STATE_ROLLUP_VSC[MMWR_RATING_STATE_ROLLUP_VSC],0),MATCH(G$9,MMWR_RATING_STATE_ROLLUP_VSC[#Headers],0)),"ERROR"))</f>
        <v>19464</v>
      </c>
      <c r="H26" s="155">
        <f>IF($B26=" ","",IFERROR(INDEX(MMWR_RATING_STATE_ROLLUP_VSC[],MATCH($B26,MMWR_RATING_STATE_ROLLUP_VSC[MMWR_RATING_STATE_ROLLUP_VSC],0),MATCH(H$9,MMWR_RATING_STATE_ROLLUP_VSC[#Headers],0)),"ERROR"))</f>
        <v>134.03654485050001</v>
      </c>
      <c r="I26" s="155">
        <f>IF($B26=" ","",IFERROR(INDEX(MMWR_RATING_STATE_ROLLUP_VSC[],MATCH($B26,MMWR_RATING_STATE_ROLLUP_VSC[MMWR_RATING_STATE_ROLLUP_VSC],0),MATCH(I$9,MMWR_RATING_STATE_ROLLUP_VSC[#Headers],0)),"ERROR"))</f>
        <v>139.97153719689999</v>
      </c>
      <c r="J26" s="42"/>
      <c r="K26" s="42"/>
      <c r="L26" s="42"/>
      <c r="M26" s="42"/>
      <c r="N26" s="28"/>
    </row>
    <row r="27" spans="1:14" x14ac:dyDescent="0.2">
      <c r="A27" s="25"/>
      <c r="B27" s="8" t="str">
        <f>VLOOKUP($B$15,DISTRICT_STATES[],13,0)</f>
        <v>Rhode Island</v>
      </c>
      <c r="C27" s="154">
        <f>IF($B27=" ","",IFERROR(INDEX(MMWR_RATING_STATE_ROLLUP_VSC[],MATCH($B27,MMWR_RATING_STATE_ROLLUP_VSC[MMWR_RATING_STATE_ROLLUP_VSC],0),MATCH(C$9,MMWR_RATING_STATE_ROLLUP_VSC[#Headers],0)),"ERROR"))</f>
        <v>911</v>
      </c>
      <c r="D27" s="155">
        <f>IF($B27=" ","",IFERROR(INDEX(MMWR_RATING_STATE_ROLLUP_VSC[],MATCH($B27,MMWR_RATING_STATE_ROLLUP_VSC[MMWR_RATING_STATE_ROLLUP_VSC],0),MATCH(D$9,MMWR_RATING_STATE_ROLLUP_VSC[#Headers],0)),"ERROR"))</f>
        <v>78.939626783799994</v>
      </c>
      <c r="E27" s="156">
        <f>IF($B27=" ","",IFERROR(INDEX(MMWR_RATING_STATE_ROLLUP_VSC[],MATCH($B27,MMWR_RATING_STATE_ROLLUP_VSC[MMWR_RATING_STATE_ROLLUP_VSC],0),MATCH(E$9,MMWR_RATING_STATE_ROLLUP_VSC[#Headers],0))/$C27,"ERROR"))</f>
        <v>0.18770581778265641</v>
      </c>
      <c r="F27" s="154">
        <f>IF($B27=" ","",IFERROR(INDEX(MMWR_RATING_STATE_ROLLUP_VSC[],MATCH($B27,MMWR_RATING_STATE_ROLLUP_VSC[MMWR_RATING_STATE_ROLLUP_VSC],0),MATCH(F$9,MMWR_RATING_STATE_ROLLUP_VSC[#Headers],0)),"ERROR"))</f>
        <v>36</v>
      </c>
      <c r="G27" s="154">
        <f>IF($B27=" ","",IFERROR(INDEX(MMWR_RATING_STATE_ROLLUP_VSC[],MATCH($B27,MMWR_RATING_STATE_ROLLUP_VSC[MMWR_RATING_STATE_ROLLUP_VSC],0),MATCH(G$9,MMWR_RATING_STATE_ROLLUP_VSC[#Headers],0)),"ERROR"))</f>
        <v>2294</v>
      </c>
      <c r="H27" s="155">
        <f>IF($B27=" ","",IFERROR(INDEX(MMWR_RATING_STATE_ROLLUP_VSC[],MATCH($B27,MMWR_RATING_STATE_ROLLUP_VSC[MMWR_RATING_STATE_ROLLUP_VSC],0),MATCH(H$9,MMWR_RATING_STATE_ROLLUP_VSC[#Headers],0)),"ERROR"))</f>
        <v>98.388888888899999</v>
      </c>
      <c r="I27" s="155">
        <f>IF($B27=" ","",IFERROR(INDEX(MMWR_RATING_STATE_ROLLUP_VSC[],MATCH($B27,MMWR_RATING_STATE_ROLLUP_VSC[MMWR_RATING_STATE_ROLLUP_VSC],0),MATCH(I$9,MMWR_RATING_STATE_ROLLUP_VSC[#Headers],0)),"ERROR"))</f>
        <v>107.9742807323</v>
      </c>
      <c r="J27" s="42"/>
      <c r="K27" s="42"/>
      <c r="L27" s="42"/>
      <c r="M27" s="42"/>
      <c r="N27" s="28"/>
    </row>
    <row r="28" spans="1:14" x14ac:dyDescent="0.2">
      <c r="A28" s="25"/>
      <c r="B28" s="8" t="str">
        <f>VLOOKUP($B$15,DISTRICT_STATES[],14,0)</f>
        <v>Vermont</v>
      </c>
      <c r="C28" s="154">
        <f>IF($B28=" ","",IFERROR(INDEX(MMWR_RATING_STATE_ROLLUP_VSC[],MATCH($B28,MMWR_RATING_STATE_ROLLUP_VSC[MMWR_RATING_STATE_ROLLUP_VSC],0),MATCH(C$9,MMWR_RATING_STATE_ROLLUP_VSC[#Headers],0)),"ERROR"))</f>
        <v>538</v>
      </c>
      <c r="D28" s="155">
        <f>IF($B28=" ","",IFERROR(INDEX(MMWR_RATING_STATE_ROLLUP_VSC[],MATCH($B28,MMWR_RATING_STATE_ROLLUP_VSC[MMWR_RATING_STATE_ROLLUP_VSC],0),MATCH(D$9,MMWR_RATING_STATE_ROLLUP_VSC[#Headers],0)),"ERROR"))</f>
        <v>97.252788104100006</v>
      </c>
      <c r="E28" s="156">
        <f>IF($B28=" ","",IFERROR(INDEX(MMWR_RATING_STATE_ROLLUP_VSC[],MATCH($B28,MMWR_RATING_STATE_ROLLUP_VSC[MMWR_RATING_STATE_ROLLUP_VSC],0),MATCH(E$9,MMWR_RATING_STATE_ROLLUP_VSC[#Headers],0))/$C28,"ERROR"))</f>
        <v>0.26394052044609667</v>
      </c>
      <c r="F28" s="154">
        <f>IF($B28=" ","",IFERROR(INDEX(MMWR_RATING_STATE_ROLLUP_VSC[],MATCH($B28,MMWR_RATING_STATE_ROLLUP_VSC[MMWR_RATING_STATE_ROLLUP_VSC],0),MATCH(F$9,MMWR_RATING_STATE_ROLLUP_VSC[#Headers],0)),"ERROR"))</f>
        <v>10</v>
      </c>
      <c r="G28" s="154">
        <f>IF($B28=" ","",IFERROR(INDEX(MMWR_RATING_STATE_ROLLUP_VSC[],MATCH($B28,MMWR_RATING_STATE_ROLLUP_VSC[MMWR_RATING_STATE_ROLLUP_VSC],0),MATCH(G$9,MMWR_RATING_STATE_ROLLUP_VSC[#Headers],0)),"ERROR"))</f>
        <v>971</v>
      </c>
      <c r="H28" s="155">
        <f>IF($B28=" ","",IFERROR(INDEX(MMWR_RATING_STATE_ROLLUP_VSC[],MATCH($B28,MMWR_RATING_STATE_ROLLUP_VSC[MMWR_RATING_STATE_ROLLUP_VSC],0),MATCH(H$9,MMWR_RATING_STATE_ROLLUP_VSC[#Headers],0)),"ERROR"))</f>
        <v>110.5</v>
      </c>
      <c r="I28" s="155">
        <f>IF($B28=" ","",IFERROR(INDEX(MMWR_RATING_STATE_ROLLUP_VSC[],MATCH($B28,MMWR_RATING_STATE_ROLLUP_VSC[MMWR_RATING_STATE_ROLLUP_VSC],0),MATCH(I$9,MMWR_RATING_STATE_ROLLUP_VSC[#Headers],0)),"ERROR"))</f>
        <v>130.2996910402</v>
      </c>
      <c r="J28" s="42"/>
      <c r="K28" s="42"/>
      <c r="L28" s="42"/>
      <c r="M28" s="42"/>
      <c r="N28" s="28"/>
    </row>
    <row r="29" spans="1:14" x14ac:dyDescent="0.2">
      <c r="A29" s="25"/>
      <c r="B29" s="8" t="str">
        <f>VLOOKUP($B$15,DISTRICT_STATES[],15,0)</f>
        <v>Virginia</v>
      </c>
      <c r="C29" s="154">
        <f>IF($B29=" ","",IFERROR(INDEX(MMWR_RATING_STATE_ROLLUP_VSC[],MATCH($B29,MMWR_RATING_STATE_ROLLUP_VSC[MMWR_RATING_STATE_ROLLUP_VSC],0),MATCH(C$9,MMWR_RATING_STATE_ROLLUP_VSC[#Headers],0)),"ERROR"))</f>
        <v>10839</v>
      </c>
      <c r="D29" s="155">
        <f>IF($B29=" ","",IFERROR(INDEX(MMWR_RATING_STATE_ROLLUP_VSC[],MATCH($B29,MMWR_RATING_STATE_ROLLUP_VSC[MMWR_RATING_STATE_ROLLUP_VSC],0),MATCH(D$9,MMWR_RATING_STATE_ROLLUP_VSC[#Headers],0)),"ERROR"))</f>
        <v>85.447273733700001</v>
      </c>
      <c r="E29" s="156">
        <f>IF($B29=" ","",IFERROR(INDEX(MMWR_RATING_STATE_ROLLUP_VSC[],MATCH($B29,MMWR_RATING_STATE_ROLLUP_VSC[MMWR_RATING_STATE_ROLLUP_VSC],0),MATCH(E$9,MMWR_RATING_STATE_ROLLUP_VSC[#Headers],0))/$C29,"ERROR"))</f>
        <v>0.19558999907740565</v>
      </c>
      <c r="F29" s="154">
        <f>IF($B29=" ","",IFERROR(INDEX(MMWR_RATING_STATE_ROLLUP_VSC[],MATCH($B29,MMWR_RATING_STATE_ROLLUP_VSC[MMWR_RATING_STATE_ROLLUP_VSC],0),MATCH(F$9,MMWR_RATING_STATE_ROLLUP_VSC[#Headers],0)),"ERROR"))</f>
        <v>464</v>
      </c>
      <c r="G29" s="154">
        <f>IF($B29=" ","",IFERROR(INDEX(MMWR_RATING_STATE_ROLLUP_VSC[],MATCH($B29,MMWR_RATING_STATE_ROLLUP_VSC[MMWR_RATING_STATE_ROLLUP_VSC],0),MATCH(G$9,MMWR_RATING_STATE_ROLLUP_VSC[#Headers],0)),"ERROR"))</f>
        <v>24250</v>
      </c>
      <c r="H29" s="155">
        <f>IF($B29=" ","",IFERROR(INDEX(MMWR_RATING_STATE_ROLLUP_VSC[],MATCH($B29,MMWR_RATING_STATE_ROLLUP_VSC[MMWR_RATING_STATE_ROLLUP_VSC],0),MATCH(H$9,MMWR_RATING_STATE_ROLLUP_VSC[#Headers],0)),"ERROR"))</f>
        <v>131.4806034483</v>
      </c>
      <c r="I29" s="155">
        <f>IF($B29=" ","",IFERROR(INDEX(MMWR_RATING_STATE_ROLLUP_VSC[],MATCH($B29,MMWR_RATING_STATE_ROLLUP_VSC[MMWR_RATING_STATE_ROLLUP_VSC],0),MATCH(I$9,MMWR_RATING_STATE_ROLLUP_VSC[#Headers],0)),"ERROR"))</f>
        <v>131.17121649480001</v>
      </c>
      <c r="J29" s="42"/>
      <c r="K29" s="42"/>
      <c r="L29" s="42"/>
      <c r="M29" s="42"/>
      <c r="N29" s="28"/>
    </row>
    <row r="30" spans="1:14" x14ac:dyDescent="0.2">
      <c r="A30" s="25"/>
      <c r="B30" s="8" t="str">
        <f>VLOOKUP($B$15,DISTRICT_STATES[],16,0)</f>
        <v>West Virginia</v>
      </c>
      <c r="C30" s="154">
        <f>IF($B30=" ","",IFERROR(INDEX(MMWR_RATING_STATE_ROLLUP_VSC[],MATCH($B30,MMWR_RATING_STATE_ROLLUP_VSC[MMWR_RATING_STATE_ROLLUP_VSC],0),MATCH(C$9,MMWR_RATING_STATE_ROLLUP_VSC[#Headers],0)),"ERROR"))</f>
        <v>2659</v>
      </c>
      <c r="D30" s="155">
        <f>IF($B30=" ","",IFERROR(INDEX(MMWR_RATING_STATE_ROLLUP_VSC[],MATCH($B30,MMWR_RATING_STATE_ROLLUP_VSC[MMWR_RATING_STATE_ROLLUP_VSC],0),MATCH(D$9,MMWR_RATING_STATE_ROLLUP_VSC[#Headers],0)),"ERROR"))</f>
        <v>83.312147423799999</v>
      </c>
      <c r="E30" s="156">
        <f>IF($B30=" ","",IFERROR(INDEX(MMWR_RATING_STATE_ROLLUP_VSC[],MATCH($B30,MMWR_RATING_STATE_ROLLUP_VSC[MMWR_RATING_STATE_ROLLUP_VSC],0),MATCH(E$9,MMWR_RATING_STATE_ROLLUP_VSC[#Headers],0))/$C30,"ERROR"))</f>
        <v>0.17638209853328318</v>
      </c>
      <c r="F30" s="154">
        <f>IF($B30=" ","",IFERROR(INDEX(MMWR_RATING_STATE_ROLLUP_VSC[],MATCH($B30,MMWR_RATING_STATE_ROLLUP_VSC[MMWR_RATING_STATE_ROLLUP_VSC],0),MATCH(F$9,MMWR_RATING_STATE_ROLLUP_VSC[#Headers],0)),"ERROR"))</f>
        <v>161</v>
      </c>
      <c r="G30" s="154">
        <f>IF($B30=" ","",IFERROR(INDEX(MMWR_RATING_STATE_ROLLUP_VSC[],MATCH($B30,MMWR_RATING_STATE_ROLLUP_VSC[MMWR_RATING_STATE_ROLLUP_VSC],0),MATCH(G$9,MMWR_RATING_STATE_ROLLUP_VSC[#Headers],0)),"ERROR"))</f>
        <v>6220</v>
      </c>
      <c r="H30" s="155">
        <f>IF($B30=" ","",IFERROR(INDEX(MMWR_RATING_STATE_ROLLUP_VSC[],MATCH($B30,MMWR_RATING_STATE_ROLLUP_VSC[MMWR_RATING_STATE_ROLLUP_VSC],0),MATCH(H$9,MMWR_RATING_STATE_ROLLUP_VSC[#Headers],0)),"ERROR"))</f>
        <v>108.38509316770001</v>
      </c>
      <c r="I30" s="155">
        <f>IF($B30=" ","",IFERROR(INDEX(MMWR_RATING_STATE_ROLLUP_VSC[],MATCH($B30,MMWR_RATING_STATE_ROLLUP_VSC[MMWR_RATING_STATE_ROLLUP_VSC],0),MATCH(I$9,MMWR_RATING_STATE_ROLLUP_VSC[#Headers],0)),"ERROR"))</f>
        <v>118.29646302250001</v>
      </c>
      <c r="J30" s="42"/>
      <c r="K30" s="42"/>
      <c r="L30" s="42"/>
      <c r="M30" s="42"/>
      <c r="N30" s="28"/>
    </row>
    <row r="31" spans="1:14" x14ac:dyDescent="0.2">
      <c r="A31" s="25"/>
      <c r="B31" s="341" t="s">
        <v>959</v>
      </c>
      <c r="C31" s="342"/>
      <c r="D31" s="342"/>
      <c r="E31" s="342"/>
      <c r="F31" s="342"/>
      <c r="G31" s="342"/>
      <c r="H31" s="342"/>
      <c r="I31" s="342"/>
      <c r="J31" s="342"/>
      <c r="K31" s="342"/>
      <c r="L31" s="342"/>
      <c r="M31" s="392"/>
      <c r="N31" s="28"/>
    </row>
    <row r="32" spans="1:14" x14ac:dyDescent="0.2">
      <c r="A32" s="25"/>
      <c r="B32" s="41" t="s">
        <v>1037</v>
      </c>
      <c r="C32" s="154">
        <f>IF($B32=" ","",IFERROR(INDEX(MMWR_RATING_STATE_ROLLUP_PMC[],MATCH($B32,MMWR_RATING_STATE_ROLLUP_PMC[MMWR_RATING_STATE_ROLLUP_PMC],0),MATCH(C$9,MMWR_RATING_STATE_ROLLUP_PMC[#Headers],0)),"ERROR"))</f>
        <v>28921</v>
      </c>
      <c r="D32" s="155">
        <f>IF($B32=" ","",IFERROR(INDEX(MMWR_RATING_STATE_ROLLUP_PMC[],MATCH($B32,MMWR_RATING_STATE_ROLLUP_PMC[MMWR_RATING_STATE_ROLLUP_PMC],0),MATCH(D$9,MMWR_RATING_STATE_ROLLUP_PMC[#Headers],0)),"ERROR"))</f>
        <v>69.815843158999996</v>
      </c>
      <c r="E32" s="156">
        <f>IF($B32=" ","",IFERROR(INDEX(MMWR_RATING_STATE_ROLLUP_PMC[],MATCH($B32,MMWR_RATING_STATE_ROLLUP_PMC[MMWR_RATING_STATE_ROLLUP_PMC],0),MATCH(E$9,MMWR_RATING_STATE_ROLLUP_PMC[#Headers],0))/$C32,"ERROR"))</f>
        <v>0.11282459112755437</v>
      </c>
      <c r="F32" s="154">
        <f>IF($B32=" ","",IFERROR(INDEX(MMWR_RATING_STATE_ROLLUP_PMC[],MATCH($B32,MMWR_RATING_STATE_ROLLUP_PMC[MMWR_RATING_STATE_ROLLUP_PMC],0),MATCH(F$9,MMWR_RATING_STATE_ROLLUP_PMC[#Headers],0)),"ERROR"))</f>
        <v>1253</v>
      </c>
      <c r="G32" s="154">
        <f>IF($B32=" ","",IFERROR(INDEX(MMWR_RATING_STATE_ROLLUP_PMC[],MATCH($B32,MMWR_RATING_STATE_ROLLUP_PMC[MMWR_RATING_STATE_ROLLUP_PMC],0),MATCH(G$9,MMWR_RATING_STATE_ROLLUP_PMC[#Headers],0)),"ERROR"))</f>
        <v>98513</v>
      </c>
      <c r="H32" s="155">
        <f>IF($B32=" ","",IFERROR(INDEX(MMWR_RATING_STATE_ROLLUP_PMC[],MATCH($B32,MMWR_RATING_STATE_ROLLUP_PMC[MMWR_RATING_STATE_ROLLUP_PMC],0),MATCH(H$9,MMWR_RATING_STATE_ROLLUP_PMC[#Headers],0)),"ERROR"))</f>
        <v>80.530726256999998</v>
      </c>
      <c r="I32" s="155">
        <f>IF($B32=" ","",IFERROR(INDEX(MMWR_RATING_STATE_ROLLUP_PMC[],MATCH($B32,MMWR_RATING_STATE_ROLLUP_PMC[MMWR_RATING_STATE_ROLLUP_PMC],0),MATCH(I$9,MMWR_RATING_STATE_ROLLUP_PMC[#Headers],0)),"ERROR"))</f>
        <v>77.484047790600002</v>
      </c>
      <c r="J32" s="42"/>
      <c r="K32" s="42"/>
      <c r="L32" s="42"/>
      <c r="M32" s="42"/>
      <c r="N32" s="28"/>
    </row>
    <row r="33" spans="1:14" x14ac:dyDescent="0.2">
      <c r="A33" s="25"/>
      <c r="B33" s="248" t="str">
        <f>INDEX(DISTRICT_STATES[],MATCH($B$5,DISTRICT_RO[District],0),1)</f>
        <v>North Atlantic</v>
      </c>
      <c r="C33" s="154">
        <f>IF($B33=" ","",IFERROR(INDEX(MMWR_RATING_STATE_ROLLUP_PMC[],MATCH($B33,MMWR_RATING_STATE_ROLLUP_PMC[MMWR_RATING_STATE_ROLLUP_PMC],0),MATCH(C$9,MMWR_RATING_STATE_ROLLUP_PMC[#Headers],0)),"ERROR"))</f>
        <v>8403</v>
      </c>
      <c r="D33" s="155">
        <f>IF($B33=" ","",IFERROR(INDEX(MMWR_RATING_STATE_ROLLUP_PMC[],MATCH($B33,MMWR_RATING_STATE_ROLLUP_PMC[MMWR_RATING_STATE_ROLLUP_PMC],0),MATCH(D$9,MMWR_RATING_STATE_ROLLUP_PMC[#Headers],0)),"ERROR"))</f>
        <v>73.588480304699999</v>
      </c>
      <c r="E33" s="156">
        <f>IF($B33=" ","",IFERROR(INDEX(MMWR_RATING_STATE_ROLLUP_PMC[],MATCH($B33,MMWR_RATING_STATE_ROLLUP_PMC[MMWR_RATING_STATE_ROLLUP_PMC],0),MATCH(E$9,MMWR_RATING_STATE_ROLLUP_PMC[#Headers],0))/$C33,"ERROR"))</f>
        <v>0.1247173628466024</v>
      </c>
      <c r="F33" s="154">
        <f>IF($B33=" ","",IFERROR(INDEX(MMWR_RATING_STATE_ROLLUP_PMC[],MATCH($B33,MMWR_RATING_STATE_ROLLUP_PMC[MMWR_RATING_STATE_ROLLUP_PMC],0),MATCH(F$9,MMWR_RATING_STATE_ROLLUP_PMC[#Headers],0)),"ERROR"))</f>
        <v>235</v>
      </c>
      <c r="G33" s="154">
        <f>IF($B33=" ","",IFERROR(INDEX(MMWR_RATING_STATE_ROLLUP_PMC[],MATCH($B33,MMWR_RATING_STATE_ROLLUP_PMC[MMWR_RATING_STATE_ROLLUP_PMC],0),MATCH(G$9,MMWR_RATING_STATE_ROLLUP_PMC[#Headers],0)),"ERROR"))</f>
        <v>19466</v>
      </c>
      <c r="H33" s="155">
        <f>IF($B33=" ","",IFERROR(INDEX(MMWR_RATING_STATE_ROLLUP_PMC[],MATCH($B33,MMWR_RATING_STATE_ROLLUP_PMC[MMWR_RATING_STATE_ROLLUP_PMC],0),MATCH(H$9,MMWR_RATING_STATE_ROLLUP_PMC[#Headers],0)),"ERROR"))</f>
        <v>97.221276595700004</v>
      </c>
      <c r="I33" s="155">
        <f>IF($B33=" ","",IFERROR(INDEX(MMWR_RATING_STATE_ROLLUP_PMC[],MATCH($B33,MMWR_RATING_STATE_ROLLUP_PMC[MMWR_RATING_STATE_ROLLUP_PMC],0),MATCH(I$9,MMWR_RATING_STATE_ROLLUP_PMC[#Headers],0)),"ERROR"))</f>
        <v>95.794667625599999</v>
      </c>
      <c r="J33" s="42"/>
      <c r="K33" s="42"/>
      <c r="L33" s="42"/>
      <c r="M33" s="42"/>
      <c r="N33" s="28"/>
    </row>
    <row r="34" spans="1:14" x14ac:dyDescent="0.2">
      <c r="A34" s="25"/>
      <c r="B34" s="8" t="str">
        <f>VLOOKUP($B$15,DISTRICT_STATES[],2,0)</f>
        <v>Connecticut</v>
      </c>
      <c r="C34" s="154">
        <f>IF($B34=" ","",IFERROR(INDEX(MMWR_RATING_STATE_ROLLUP_PMC[],MATCH($B34,MMWR_RATING_STATE_ROLLUP_PMC[MMWR_RATING_STATE_ROLLUP_PMC],0),MATCH(C$9,MMWR_RATING_STATE_ROLLUP_PMC[#Headers],0)),"ERROR"))</f>
        <v>274</v>
      </c>
      <c r="D34" s="155">
        <f>IF($B34=" ","",IFERROR(INDEX(MMWR_RATING_STATE_ROLLUP_PMC[],MATCH($B34,MMWR_RATING_STATE_ROLLUP_PMC[MMWR_RATING_STATE_ROLLUP_PMC],0),MATCH(D$9,MMWR_RATING_STATE_ROLLUP_PMC[#Headers],0)),"ERROR"))</f>
        <v>65.448905109500004</v>
      </c>
      <c r="E34" s="156">
        <f>IF($B34=" ","",IFERROR(INDEX(MMWR_RATING_STATE_ROLLUP_PMC[],MATCH($B34,MMWR_RATING_STATE_ROLLUP_PMC[MMWR_RATING_STATE_ROLLUP_PMC],0),MATCH(E$9,MMWR_RATING_STATE_ROLLUP_PMC[#Headers],0))/$C34,"ERROR"))</f>
        <v>9.1240875912408759E-2</v>
      </c>
      <c r="F34" s="154">
        <f>IF($B34=" ","",IFERROR(INDEX(MMWR_RATING_STATE_ROLLUP_PMC[],MATCH($B34,MMWR_RATING_STATE_ROLLUP_PMC[MMWR_RATING_STATE_ROLLUP_PMC],0),MATCH(F$9,MMWR_RATING_STATE_ROLLUP_PMC[#Headers],0)),"ERROR"))</f>
        <v>10</v>
      </c>
      <c r="G34" s="154">
        <f>IF($B34=" ","",IFERROR(INDEX(MMWR_RATING_STATE_ROLLUP_PMC[],MATCH($B34,MMWR_RATING_STATE_ROLLUP_PMC[MMWR_RATING_STATE_ROLLUP_PMC],0),MATCH(G$9,MMWR_RATING_STATE_ROLLUP_PMC[#Headers],0)),"ERROR"))</f>
        <v>570</v>
      </c>
      <c r="H34" s="155">
        <f>IF($B34=" ","",IFERROR(INDEX(MMWR_RATING_STATE_ROLLUP_PMC[],MATCH($B34,MMWR_RATING_STATE_ROLLUP_PMC[MMWR_RATING_STATE_ROLLUP_PMC],0),MATCH(H$9,MMWR_RATING_STATE_ROLLUP_PMC[#Headers],0)),"ERROR"))</f>
        <v>104.4</v>
      </c>
      <c r="I34" s="155">
        <f>IF($B34=" ","",IFERROR(INDEX(MMWR_RATING_STATE_ROLLUP_PMC[],MATCH($B34,MMWR_RATING_STATE_ROLLUP_PMC[MMWR_RATING_STATE_ROLLUP_PMC],0),MATCH(I$9,MMWR_RATING_STATE_ROLLUP_PMC[#Headers],0)),"ERROR"))</f>
        <v>97.178947368400003</v>
      </c>
      <c r="J34" s="42"/>
      <c r="K34" s="42"/>
      <c r="L34" s="42"/>
      <c r="M34" s="42"/>
      <c r="N34" s="28"/>
    </row>
    <row r="35" spans="1:14" x14ac:dyDescent="0.2">
      <c r="A35" s="25"/>
      <c r="B35" s="8" t="str">
        <f>VLOOKUP($B$15,DISTRICT_STATES[],3,0)</f>
        <v>Delaware</v>
      </c>
      <c r="C35" s="154">
        <f>IF($B35=" ","",IFERROR(INDEX(MMWR_RATING_STATE_ROLLUP_PMC[],MATCH($B35,MMWR_RATING_STATE_ROLLUP_PMC[MMWR_RATING_STATE_ROLLUP_PMC],0),MATCH(C$9,MMWR_RATING_STATE_ROLLUP_PMC[#Headers],0)),"ERROR"))</f>
        <v>79</v>
      </c>
      <c r="D35" s="155">
        <f>IF($B35=" ","",IFERROR(INDEX(MMWR_RATING_STATE_ROLLUP_PMC[],MATCH($B35,MMWR_RATING_STATE_ROLLUP_PMC[MMWR_RATING_STATE_ROLLUP_PMC],0),MATCH(D$9,MMWR_RATING_STATE_ROLLUP_PMC[#Headers],0)),"ERROR"))</f>
        <v>80.341772151900003</v>
      </c>
      <c r="E35" s="156">
        <f>IF($B35=" ","",IFERROR(INDEX(MMWR_RATING_STATE_ROLLUP_PMC[],MATCH($B35,MMWR_RATING_STATE_ROLLUP_PMC[MMWR_RATING_STATE_ROLLUP_PMC],0),MATCH(E$9,MMWR_RATING_STATE_ROLLUP_PMC[#Headers],0))/$C35,"ERROR"))</f>
        <v>0.13924050632911392</v>
      </c>
      <c r="F35" s="154">
        <f>IF($B35=" ","",IFERROR(INDEX(MMWR_RATING_STATE_ROLLUP_PMC[],MATCH($B35,MMWR_RATING_STATE_ROLLUP_PMC[MMWR_RATING_STATE_ROLLUP_PMC],0),MATCH(F$9,MMWR_RATING_STATE_ROLLUP_PMC[#Headers],0)),"ERROR"))</f>
        <v>2</v>
      </c>
      <c r="G35" s="154">
        <f>IF($B35=" ","",IFERROR(INDEX(MMWR_RATING_STATE_ROLLUP_PMC[],MATCH($B35,MMWR_RATING_STATE_ROLLUP_PMC[MMWR_RATING_STATE_ROLLUP_PMC],0),MATCH(G$9,MMWR_RATING_STATE_ROLLUP_PMC[#Headers],0)),"ERROR"))</f>
        <v>201</v>
      </c>
      <c r="H35" s="155">
        <f>IF($B35=" ","",IFERROR(INDEX(MMWR_RATING_STATE_ROLLUP_PMC[],MATCH($B35,MMWR_RATING_STATE_ROLLUP_PMC[MMWR_RATING_STATE_ROLLUP_PMC],0),MATCH(H$9,MMWR_RATING_STATE_ROLLUP_PMC[#Headers],0)),"ERROR"))</f>
        <v>97</v>
      </c>
      <c r="I35" s="155">
        <f>IF($B35=" ","",IFERROR(INDEX(MMWR_RATING_STATE_ROLLUP_PMC[],MATCH($B35,MMWR_RATING_STATE_ROLLUP_PMC[MMWR_RATING_STATE_ROLLUP_PMC],0),MATCH(I$9,MMWR_RATING_STATE_ROLLUP_PMC[#Headers],0)),"ERROR"))</f>
        <v>95.318407960200005</v>
      </c>
      <c r="J35" s="42"/>
      <c r="K35" s="42"/>
      <c r="L35" s="42"/>
      <c r="M35" s="42"/>
      <c r="N35" s="28"/>
    </row>
    <row r="36" spans="1:14" x14ac:dyDescent="0.2">
      <c r="A36" s="25"/>
      <c r="B36" s="8" t="str">
        <f>VLOOKUP($B$15,DISTRICT_STATES[],4,0)</f>
        <v>District of Columbia</v>
      </c>
      <c r="C36" s="154">
        <f>IF($B36=" ","",IFERROR(INDEX(MMWR_RATING_STATE_ROLLUP_PMC[],MATCH($B36,MMWR_RATING_STATE_ROLLUP_PMC[MMWR_RATING_STATE_ROLLUP_PMC],0),MATCH(C$9,MMWR_RATING_STATE_ROLLUP_PMC[#Headers],0)),"ERROR"))</f>
        <v>62</v>
      </c>
      <c r="D36" s="155">
        <f>IF($B36=" ","",IFERROR(INDEX(MMWR_RATING_STATE_ROLLUP_PMC[],MATCH($B36,MMWR_RATING_STATE_ROLLUP_PMC[MMWR_RATING_STATE_ROLLUP_PMC],0),MATCH(D$9,MMWR_RATING_STATE_ROLLUP_PMC[#Headers],0)),"ERROR"))</f>
        <v>84.306451612900005</v>
      </c>
      <c r="E36" s="156">
        <f>IF($B36=" ","",IFERROR(INDEX(MMWR_RATING_STATE_ROLLUP_PMC[],MATCH($B36,MMWR_RATING_STATE_ROLLUP_PMC[MMWR_RATING_STATE_ROLLUP_PMC],0),MATCH(E$9,MMWR_RATING_STATE_ROLLUP_PMC[#Headers],0))/$C36,"ERROR"))</f>
        <v>0.17741935483870969</v>
      </c>
      <c r="F36" s="154">
        <f>IF($B36=" ","",IFERROR(INDEX(MMWR_RATING_STATE_ROLLUP_PMC[],MATCH($B36,MMWR_RATING_STATE_ROLLUP_PMC[MMWR_RATING_STATE_ROLLUP_PMC],0),MATCH(F$9,MMWR_RATING_STATE_ROLLUP_PMC[#Headers],0)),"ERROR"))</f>
        <v>0</v>
      </c>
      <c r="G36" s="154">
        <f>IF($B36=" ","",IFERROR(INDEX(MMWR_RATING_STATE_ROLLUP_PMC[],MATCH($B36,MMWR_RATING_STATE_ROLLUP_PMC[MMWR_RATING_STATE_ROLLUP_PMC],0),MATCH(G$9,MMWR_RATING_STATE_ROLLUP_PMC[#Headers],0)),"ERROR"))</f>
        <v>178</v>
      </c>
      <c r="H36" s="155">
        <f>IF($B36=" ","",IFERROR(INDEX(MMWR_RATING_STATE_ROLLUP_PMC[],MATCH($B36,MMWR_RATING_STATE_ROLLUP_PMC[MMWR_RATING_STATE_ROLLUP_PMC],0),MATCH(H$9,MMWR_RATING_STATE_ROLLUP_PMC[#Headers],0)),"ERROR"))</f>
        <v>0</v>
      </c>
      <c r="I36" s="155">
        <f>IF($B36=" ","",IFERROR(INDEX(MMWR_RATING_STATE_ROLLUP_PMC[],MATCH($B36,MMWR_RATING_STATE_ROLLUP_PMC[MMWR_RATING_STATE_ROLLUP_PMC],0),MATCH(I$9,MMWR_RATING_STATE_ROLLUP_PMC[#Headers],0)),"ERROR"))</f>
        <v>104.8539325843</v>
      </c>
      <c r="J36" s="42"/>
      <c r="K36" s="42"/>
      <c r="L36" s="42"/>
      <c r="M36" s="42"/>
      <c r="N36" s="28"/>
    </row>
    <row r="37" spans="1:14" x14ac:dyDescent="0.2">
      <c r="A37" s="25"/>
      <c r="B37" s="8" t="str">
        <f>VLOOKUP($B$15,DISTRICT_STATES[],5,0)</f>
        <v>Maine</v>
      </c>
      <c r="C37" s="154">
        <f>IF($B37=" ","",IFERROR(INDEX(MMWR_RATING_STATE_ROLLUP_PMC[],MATCH($B37,MMWR_RATING_STATE_ROLLUP_PMC[MMWR_RATING_STATE_ROLLUP_PMC],0),MATCH(C$9,MMWR_RATING_STATE_ROLLUP_PMC[#Headers],0)),"ERROR"))</f>
        <v>138</v>
      </c>
      <c r="D37" s="155">
        <f>IF($B37=" ","",IFERROR(INDEX(MMWR_RATING_STATE_ROLLUP_PMC[],MATCH($B37,MMWR_RATING_STATE_ROLLUP_PMC[MMWR_RATING_STATE_ROLLUP_PMC],0),MATCH(D$9,MMWR_RATING_STATE_ROLLUP_PMC[#Headers],0)),"ERROR"))</f>
        <v>71.188405797100003</v>
      </c>
      <c r="E37" s="156">
        <f>IF($B37=" ","",IFERROR(INDEX(MMWR_RATING_STATE_ROLLUP_PMC[],MATCH($B37,MMWR_RATING_STATE_ROLLUP_PMC[MMWR_RATING_STATE_ROLLUP_PMC],0),MATCH(E$9,MMWR_RATING_STATE_ROLLUP_PMC[#Headers],0))/$C37,"ERROR"))</f>
        <v>0.13043478260869565</v>
      </c>
      <c r="F37" s="154">
        <f>IF($B37=" ","",IFERROR(INDEX(MMWR_RATING_STATE_ROLLUP_PMC[],MATCH($B37,MMWR_RATING_STATE_ROLLUP_PMC[MMWR_RATING_STATE_ROLLUP_PMC],0),MATCH(F$9,MMWR_RATING_STATE_ROLLUP_PMC[#Headers],0)),"ERROR"))</f>
        <v>6</v>
      </c>
      <c r="G37" s="154">
        <f>IF($B37=" ","",IFERROR(INDEX(MMWR_RATING_STATE_ROLLUP_PMC[],MATCH($B37,MMWR_RATING_STATE_ROLLUP_PMC[MMWR_RATING_STATE_ROLLUP_PMC],0),MATCH(G$9,MMWR_RATING_STATE_ROLLUP_PMC[#Headers],0)),"ERROR"))</f>
        <v>374</v>
      </c>
      <c r="H37" s="155">
        <f>IF($B37=" ","",IFERROR(INDEX(MMWR_RATING_STATE_ROLLUP_PMC[],MATCH($B37,MMWR_RATING_STATE_ROLLUP_PMC[MMWR_RATING_STATE_ROLLUP_PMC],0),MATCH(H$9,MMWR_RATING_STATE_ROLLUP_PMC[#Headers],0)),"ERROR"))</f>
        <v>120.6666666667</v>
      </c>
      <c r="I37" s="155">
        <f>IF($B37=" ","",IFERROR(INDEX(MMWR_RATING_STATE_ROLLUP_PMC[],MATCH($B37,MMWR_RATING_STATE_ROLLUP_PMC[MMWR_RATING_STATE_ROLLUP_PMC],0),MATCH(I$9,MMWR_RATING_STATE_ROLLUP_PMC[#Headers],0)),"ERROR"))</f>
        <v>85.144385026699993</v>
      </c>
      <c r="J37" s="42"/>
      <c r="K37" s="42"/>
      <c r="L37" s="42"/>
      <c r="M37" s="42"/>
      <c r="N37" s="28"/>
    </row>
    <row r="38" spans="1:14" x14ac:dyDescent="0.2">
      <c r="A38" s="25"/>
      <c r="B38" s="8" t="str">
        <f>VLOOKUP($B$15,DISTRICT_STATES[],6,0)</f>
        <v>Maryland</v>
      </c>
      <c r="C38" s="154">
        <f>IF($B38=" ","",IFERROR(INDEX(MMWR_RATING_STATE_ROLLUP_PMC[],MATCH($B38,MMWR_RATING_STATE_ROLLUP_PMC[MMWR_RATING_STATE_ROLLUP_PMC],0),MATCH(C$9,MMWR_RATING_STATE_ROLLUP_PMC[#Headers],0)),"ERROR"))</f>
        <v>532</v>
      </c>
      <c r="D38" s="155">
        <f>IF($B38=" ","",IFERROR(INDEX(MMWR_RATING_STATE_ROLLUP_PMC[],MATCH($B38,MMWR_RATING_STATE_ROLLUP_PMC[MMWR_RATING_STATE_ROLLUP_PMC],0),MATCH(D$9,MMWR_RATING_STATE_ROLLUP_PMC[#Headers],0)),"ERROR"))</f>
        <v>81.291353383499995</v>
      </c>
      <c r="E38" s="156">
        <f>IF($B38=" ","",IFERROR(INDEX(MMWR_RATING_STATE_ROLLUP_PMC[],MATCH($B38,MMWR_RATING_STATE_ROLLUP_PMC[MMWR_RATING_STATE_ROLLUP_PMC],0),MATCH(E$9,MMWR_RATING_STATE_ROLLUP_PMC[#Headers],0))/$C38,"ERROR"))</f>
        <v>0.13909774436090225</v>
      </c>
      <c r="F38" s="154">
        <f>IF($B38=" ","",IFERROR(INDEX(MMWR_RATING_STATE_ROLLUP_PMC[],MATCH($B38,MMWR_RATING_STATE_ROLLUP_PMC[MMWR_RATING_STATE_ROLLUP_PMC],0),MATCH(F$9,MMWR_RATING_STATE_ROLLUP_PMC[#Headers],0)),"ERROR"))</f>
        <v>7</v>
      </c>
      <c r="G38" s="154">
        <f>IF($B38=" ","",IFERROR(INDEX(MMWR_RATING_STATE_ROLLUP_PMC[],MATCH($B38,MMWR_RATING_STATE_ROLLUP_PMC[MMWR_RATING_STATE_ROLLUP_PMC],0),MATCH(G$9,MMWR_RATING_STATE_ROLLUP_PMC[#Headers],0)),"ERROR"))</f>
        <v>1253</v>
      </c>
      <c r="H38" s="155">
        <f>IF($B38=" ","",IFERROR(INDEX(MMWR_RATING_STATE_ROLLUP_PMC[],MATCH($B38,MMWR_RATING_STATE_ROLLUP_PMC[MMWR_RATING_STATE_ROLLUP_PMC],0),MATCH(H$9,MMWR_RATING_STATE_ROLLUP_PMC[#Headers],0)),"ERROR"))</f>
        <v>82.142857142899999</v>
      </c>
      <c r="I38" s="155">
        <f>IF($B38=" ","",IFERROR(INDEX(MMWR_RATING_STATE_ROLLUP_PMC[],MATCH($B38,MMWR_RATING_STATE_ROLLUP_PMC[MMWR_RATING_STATE_ROLLUP_PMC],0),MATCH(I$9,MMWR_RATING_STATE_ROLLUP_PMC[#Headers],0)),"ERROR"))</f>
        <v>98.100558659200004</v>
      </c>
      <c r="J38" s="42"/>
      <c r="K38" s="42"/>
      <c r="L38" s="42"/>
      <c r="M38" s="42"/>
      <c r="N38" s="28"/>
    </row>
    <row r="39" spans="1:14" x14ac:dyDescent="0.2">
      <c r="A39" s="25"/>
      <c r="B39" s="8" t="str">
        <f>VLOOKUP($B$15,DISTRICT_STATES[],7,0)</f>
        <v>Massachusetts</v>
      </c>
      <c r="C39" s="154">
        <f>IF($B39=" ","",IFERROR(INDEX(MMWR_RATING_STATE_ROLLUP_PMC[],MATCH($B39,MMWR_RATING_STATE_ROLLUP_PMC[MMWR_RATING_STATE_ROLLUP_PMC],0),MATCH(C$9,MMWR_RATING_STATE_ROLLUP_PMC[#Headers],0)),"ERROR"))</f>
        <v>464</v>
      </c>
      <c r="D39" s="155">
        <f>IF($B39=" ","",IFERROR(INDEX(MMWR_RATING_STATE_ROLLUP_PMC[],MATCH($B39,MMWR_RATING_STATE_ROLLUP_PMC[MMWR_RATING_STATE_ROLLUP_PMC],0),MATCH(D$9,MMWR_RATING_STATE_ROLLUP_PMC[#Headers],0)),"ERROR"))</f>
        <v>72.512931034499999</v>
      </c>
      <c r="E39" s="156">
        <f>IF($B39=" ","",IFERROR(INDEX(MMWR_RATING_STATE_ROLLUP_PMC[],MATCH($B39,MMWR_RATING_STATE_ROLLUP_PMC[MMWR_RATING_STATE_ROLLUP_PMC],0),MATCH(E$9,MMWR_RATING_STATE_ROLLUP_PMC[#Headers],0))/$C39,"ERROR"))</f>
        <v>0.14655172413793102</v>
      </c>
      <c r="F39" s="154">
        <f>IF($B39=" ","",IFERROR(INDEX(MMWR_RATING_STATE_ROLLUP_PMC[],MATCH($B39,MMWR_RATING_STATE_ROLLUP_PMC[MMWR_RATING_STATE_ROLLUP_PMC],0),MATCH(F$9,MMWR_RATING_STATE_ROLLUP_PMC[#Headers],0)),"ERROR"))</f>
        <v>10</v>
      </c>
      <c r="G39" s="154">
        <f>IF($B39=" ","",IFERROR(INDEX(MMWR_RATING_STATE_ROLLUP_PMC[],MATCH($B39,MMWR_RATING_STATE_ROLLUP_PMC[MMWR_RATING_STATE_ROLLUP_PMC],0),MATCH(G$9,MMWR_RATING_STATE_ROLLUP_PMC[#Headers],0)),"ERROR"))</f>
        <v>1243</v>
      </c>
      <c r="H39" s="155">
        <f>IF($B39=" ","",IFERROR(INDEX(MMWR_RATING_STATE_ROLLUP_PMC[],MATCH($B39,MMWR_RATING_STATE_ROLLUP_PMC[MMWR_RATING_STATE_ROLLUP_PMC],0),MATCH(H$9,MMWR_RATING_STATE_ROLLUP_PMC[#Headers],0)),"ERROR"))</f>
        <v>52.2</v>
      </c>
      <c r="I39" s="155">
        <f>IF($B39=" ","",IFERROR(INDEX(MMWR_RATING_STATE_ROLLUP_PMC[],MATCH($B39,MMWR_RATING_STATE_ROLLUP_PMC[MMWR_RATING_STATE_ROLLUP_PMC],0),MATCH(I$9,MMWR_RATING_STATE_ROLLUP_PMC[#Headers],0)),"ERROR"))</f>
        <v>91.131938857600005</v>
      </c>
      <c r="J39" s="42"/>
      <c r="K39" s="42"/>
      <c r="L39" s="42"/>
      <c r="M39" s="42"/>
      <c r="N39" s="28"/>
    </row>
    <row r="40" spans="1:14" x14ac:dyDescent="0.2">
      <c r="A40" s="25"/>
      <c r="B40" s="8" t="str">
        <f>VLOOKUP($B$15,DISTRICT_STATES[],8,0)</f>
        <v>New Hampshire</v>
      </c>
      <c r="C40" s="154">
        <f>IF($B40=" ","",IFERROR(INDEX(MMWR_RATING_STATE_ROLLUP_PMC[],MATCH($B40,MMWR_RATING_STATE_ROLLUP_PMC[MMWR_RATING_STATE_ROLLUP_PMC],0),MATCH(C$9,MMWR_RATING_STATE_ROLLUP_PMC[#Headers],0)),"ERROR"))</f>
        <v>128</v>
      </c>
      <c r="D40" s="155">
        <f>IF($B40=" ","",IFERROR(INDEX(MMWR_RATING_STATE_ROLLUP_PMC[],MATCH($B40,MMWR_RATING_STATE_ROLLUP_PMC[MMWR_RATING_STATE_ROLLUP_PMC],0),MATCH(D$9,MMWR_RATING_STATE_ROLLUP_PMC[#Headers],0)),"ERROR"))</f>
        <v>66.3828125</v>
      </c>
      <c r="E40" s="156">
        <f>IF($B40=" ","",IFERROR(INDEX(MMWR_RATING_STATE_ROLLUP_PMC[],MATCH($B40,MMWR_RATING_STATE_ROLLUP_PMC[MMWR_RATING_STATE_ROLLUP_PMC],0),MATCH(E$9,MMWR_RATING_STATE_ROLLUP_PMC[#Headers],0))/$C40,"ERROR"))</f>
        <v>7.03125E-2</v>
      </c>
      <c r="F40" s="154">
        <f>IF($B40=" ","",IFERROR(INDEX(MMWR_RATING_STATE_ROLLUP_PMC[],MATCH($B40,MMWR_RATING_STATE_ROLLUP_PMC[MMWR_RATING_STATE_ROLLUP_PMC],0),MATCH(F$9,MMWR_RATING_STATE_ROLLUP_PMC[#Headers],0)),"ERROR"))</f>
        <v>2</v>
      </c>
      <c r="G40" s="154">
        <f>IF($B40=" ","",IFERROR(INDEX(MMWR_RATING_STATE_ROLLUP_PMC[],MATCH($B40,MMWR_RATING_STATE_ROLLUP_PMC[MMWR_RATING_STATE_ROLLUP_PMC],0),MATCH(G$9,MMWR_RATING_STATE_ROLLUP_PMC[#Headers],0)),"ERROR"))</f>
        <v>296</v>
      </c>
      <c r="H40" s="155">
        <f>IF($B40=" ","",IFERROR(INDEX(MMWR_RATING_STATE_ROLLUP_PMC[],MATCH($B40,MMWR_RATING_STATE_ROLLUP_PMC[MMWR_RATING_STATE_ROLLUP_PMC],0),MATCH(H$9,MMWR_RATING_STATE_ROLLUP_PMC[#Headers],0)),"ERROR"))</f>
        <v>63</v>
      </c>
      <c r="I40" s="155">
        <f>IF($B40=" ","",IFERROR(INDEX(MMWR_RATING_STATE_ROLLUP_PMC[],MATCH($B40,MMWR_RATING_STATE_ROLLUP_PMC[MMWR_RATING_STATE_ROLLUP_PMC],0),MATCH(I$9,MMWR_RATING_STATE_ROLLUP_PMC[#Headers],0)),"ERROR"))</f>
        <v>94.891891891900002</v>
      </c>
      <c r="J40" s="42"/>
      <c r="K40" s="42"/>
      <c r="L40" s="42"/>
      <c r="M40" s="42"/>
      <c r="N40" s="28"/>
    </row>
    <row r="41" spans="1:14" x14ac:dyDescent="0.2">
      <c r="A41" s="25"/>
      <c r="B41" s="8" t="str">
        <f>VLOOKUP($B$15,DISTRICT_STATES[],9,0)</f>
        <v>New Jersey</v>
      </c>
      <c r="C41" s="154">
        <f>IF($B41=" ","",IFERROR(INDEX(MMWR_RATING_STATE_ROLLUP_PMC[],MATCH($B41,MMWR_RATING_STATE_ROLLUP_PMC[MMWR_RATING_STATE_ROLLUP_PMC],0),MATCH(C$9,MMWR_RATING_STATE_ROLLUP_PMC[#Headers],0)),"ERROR"))</f>
        <v>586</v>
      </c>
      <c r="D41" s="155">
        <f>IF($B41=" ","",IFERROR(INDEX(MMWR_RATING_STATE_ROLLUP_PMC[],MATCH($B41,MMWR_RATING_STATE_ROLLUP_PMC[MMWR_RATING_STATE_ROLLUP_PMC],0),MATCH(D$9,MMWR_RATING_STATE_ROLLUP_PMC[#Headers],0)),"ERROR"))</f>
        <v>75.006825938600002</v>
      </c>
      <c r="E41" s="156">
        <f>IF($B41=" ","",IFERROR(INDEX(MMWR_RATING_STATE_ROLLUP_PMC[],MATCH($B41,MMWR_RATING_STATE_ROLLUP_PMC[MMWR_RATING_STATE_ROLLUP_PMC],0),MATCH(E$9,MMWR_RATING_STATE_ROLLUP_PMC[#Headers],0))/$C41,"ERROR"))</f>
        <v>0.12969283276450511</v>
      </c>
      <c r="F41" s="154">
        <f>IF($B41=" ","",IFERROR(INDEX(MMWR_RATING_STATE_ROLLUP_PMC[],MATCH($B41,MMWR_RATING_STATE_ROLLUP_PMC[MMWR_RATING_STATE_ROLLUP_PMC],0),MATCH(F$9,MMWR_RATING_STATE_ROLLUP_PMC[#Headers],0)),"ERROR"))</f>
        <v>13</v>
      </c>
      <c r="G41" s="154">
        <f>IF($B41=" ","",IFERROR(INDEX(MMWR_RATING_STATE_ROLLUP_PMC[],MATCH($B41,MMWR_RATING_STATE_ROLLUP_PMC[MMWR_RATING_STATE_ROLLUP_PMC],0),MATCH(G$9,MMWR_RATING_STATE_ROLLUP_PMC[#Headers],0)),"ERROR"))</f>
        <v>1315</v>
      </c>
      <c r="H41" s="155">
        <f>IF($B41=" ","",IFERROR(INDEX(MMWR_RATING_STATE_ROLLUP_PMC[],MATCH($B41,MMWR_RATING_STATE_ROLLUP_PMC[MMWR_RATING_STATE_ROLLUP_PMC],0),MATCH(H$9,MMWR_RATING_STATE_ROLLUP_PMC[#Headers],0)),"ERROR"))</f>
        <v>96.615384615400004</v>
      </c>
      <c r="I41" s="155">
        <f>IF($B41=" ","",IFERROR(INDEX(MMWR_RATING_STATE_ROLLUP_PMC[],MATCH($B41,MMWR_RATING_STATE_ROLLUP_PMC[MMWR_RATING_STATE_ROLLUP_PMC],0),MATCH(I$9,MMWR_RATING_STATE_ROLLUP_PMC[#Headers],0)),"ERROR"))</f>
        <v>94.226615969600005</v>
      </c>
      <c r="J41" s="42"/>
      <c r="K41" s="42"/>
      <c r="L41" s="42"/>
      <c r="M41" s="42"/>
      <c r="N41" s="28"/>
    </row>
    <row r="42" spans="1:14" x14ac:dyDescent="0.2">
      <c r="A42" s="25"/>
      <c r="B42" s="8" t="str">
        <f>VLOOKUP($B$15,DISTRICT_STATES[],10,0)</f>
        <v>New York</v>
      </c>
      <c r="C42" s="154">
        <f>IF($B42=" ","",IFERROR(INDEX(MMWR_RATING_STATE_ROLLUP_PMC[],MATCH($B42,MMWR_RATING_STATE_ROLLUP_PMC[MMWR_RATING_STATE_ROLLUP_PMC],0),MATCH(C$9,MMWR_RATING_STATE_ROLLUP_PMC[#Headers],0)),"ERROR"))</f>
        <v>1462</v>
      </c>
      <c r="D42" s="155">
        <f>IF($B42=" ","",IFERROR(INDEX(MMWR_RATING_STATE_ROLLUP_PMC[],MATCH($B42,MMWR_RATING_STATE_ROLLUP_PMC[MMWR_RATING_STATE_ROLLUP_PMC],0),MATCH(D$9,MMWR_RATING_STATE_ROLLUP_PMC[#Headers],0)),"ERROR"))</f>
        <v>73.117647058800003</v>
      </c>
      <c r="E42" s="156">
        <f>IF($B42=" ","",IFERROR(INDEX(MMWR_RATING_STATE_ROLLUP_PMC[],MATCH($B42,MMWR_RATING_STATE_ROLLUP_PMC[MMWR_RATING_STATE_ROLLUP_PMC],0),MATCH(E$9,MMWR_RATING_STATE_ROLLUP_PMC[#Headers],0))/$C42,"ERROR"))</f>
        <v>0.11764705882352941</v>
      </c>
      <c r="F42" s="154">
        <f>IF($B42=" ","",IFERROR(INDEX(MMWR_RATING_STATE_ROLLUP_PMC[],MATCH($B42,MMWR_RATING_STATE_ROLLUP_PMC[MMWR_RATING_STATE_ROLLUP_PMC],0),MATCH(F$9,MMWR_RATING_STATE_ROLLUP_PMC[#Headers],0)),"ERROR"))</f>
        <v>45</v>
      </c>
      <c r="G42" s="154">
        <f>IF($B42=" ","",IFERROR(INDEX(MMWR_RATING_STATE_ROLLUP_PMC[],MATCH($B42,MMWR_RATING_STATE_ROLLUP_PMC[MMWR_RATING_STATE_ROLLUP_PMC],0),MATCH(G$9,MMWR_RATING_STATE_ROLLUP_PMC[#Headers],0)),"ERROR"))</f>
        <v>3350</v>
      </c>
      <c r="H42" s="155">
        <f>IF($B42=" ","",IFERROR(INDEX(MMWR_RATING_STATE_ROLLUP_PMC[],MATCH($B42,MMWR_RATING_STATE_ROLLUP_PMC[MMWR_RATING_STATE_ROLLUP_PMC],0),MATCH(H$9,MMWR_RATING_STATE_ROLLUP_PMC[#Headers],0)),"ERROR"))</f>
        <v>100.4</v>
      </c>
      <c r="I42" s="155">
        <f>IF($B42=" ","",IFERROR(INDEX(MMWR_RATING_STATE_ROLLUP_PMC[],MATCH($B42,MMWR_RATING_STATE_ROLLUP_PMC[MMWR_RATING_STATE_ROLLUP_PMC],0),MATCH(I$9,MMWR_RATING_STATE_ROLLUP_PMC[#Headers],0)),"ERROR"))</f>
        <v>97.699402985099994</v>
      </c>
      <c r="J42" s="42"/>
      <c r="K42" s="42"/>
      <c r="L42" s="42"/>
      <c r="M42" s="42"/>
      <c r="N42" s="28"/>
    </row>
    <row r="43" spans="1:14" x14ac:dyDescent="0.2">
      <c r="A43" s="25"/>
      <c r="B43" s="8" t="str">
        <f>VLOOKUP($B$15,DISTRICT_STATES[],11,0)</f>
        <v>North Carolina</v>
      </c>
      <c r="C43" s="154">
        <f>IF($B43=" ","",IFERROR(INDEX(MMWR_RATING_STATE_ROLLUP_PMC[],MATCH($B43,MMWR_RATING_STATE_ROLLUP_PMC[MMWR_RATING_STATE_ROLLUP_PMC],0),MATCH(C$9,MMWR_RATING_STATE_ROLLUP_PMC[#Headers],0)),"ERROR"))</f>
        <v>1486</v>
      </c>
      <c r="D43" s="155">
        <f>IF($B43=" ","",IFERROR(INDEX(MMWR_RATING_STATE_ROLLUP_PMC[],MATCH($B43,MMWR_RATING_STATE_ROLLUP_PMC[MMWR_RATING_STATE_ROLLUP_PMC],0),MATCH(D$9,MMWR_RATING_STATE_ROLLUP_PMC[#Headers],0)),"ERROR"))</f>
        <v>75.573351278600001</v>
      </c>
      <c r="E43" s="156">
        <f>IF($B43=" ","",IFERROR(INDEX(MMWR_RATING_STATE_ROLLUP_PMC[],MATCH($B43,MMWR_RATING_STATE_ROLLUP_PMC[MMWR_RATING_STATE_ROLLUP_PMC],0),MATCH(E$9,MMWR_RATING_STATE_ROLLUP_PMC[#Headers],0))/$C43,"ERROR"))</f>
        <v>0.12651413189771199</v>
      </c>
      <c r="F43" s="154">
        <f>IF($B43=" ","",IFERROR(INDEX(MMWR_RATING_STATE_ROLLUP_PMC[],MATCH($B43,MMWR_RATING_STATE_ROLLUP_PMC[MMWR_RATING_STATE_ROLLUP_PMC],0),MATCH(F$9,MMWR_RATING_STATE_ROLLUP_PMC[#Headers],0)),"ERROR"))</f>
        <v>54</v>
      </c>
      <c r="G43" s="154">
        <f>IF($B43=" ","",IFERROR(INDEX(MMWR_RATING_STATE_ROLLUP_PMC[],MATCH($B43,MMWR_RATING_STATE_ROLLUP_PMC[MMWR_RATING_STATE_ROLLUP_PMC],0),MATCH(G$9,MMWR_RATING_STATE_ROLLUP_PMC[#Headers],0)),"ERROR"))</f>
        <v>3417</v>
      </c>
      <c r="H43" s="155">
        <f>IF($B43=" ","",IFERROR(INDEX(MMWR_RATING_STATE_ROLLUP_PMC[],MATCH($B43,MMWR_RATING_STATE_ROLLUP_PMC[MMWR_RATING_STATE_ROLLUP_PMC],0),MATCH(H$9,MMWR_RATING_STATE_ROLLUP_PMC[#Headers],0)),"ERROR"))</f>
        <v>93.7037037037</v>
      </c>
      <c r="I43" s="155">
        <f>IF($B43=" ","",IFERROR(INDEX(MMWR_RATING_STATE_ROLLUP_PMC[],MATCH($B43,MMWR_RATING_STATE_ROLLUP_PMC[MMWR_RATING_STATE_ROLLUP_PMC],0),MATCH(I$9,MMWR_RATING_STATE_ROLLUP_PMC[#Headers],0)),"ERROR"))</f>
        <v>95.719051799799999</v>
      </c>
      <c r="J43" s="42"/>
      <c r="K43" s="42"/>
      <c r="L43" s="42"/>
      <c r="M43" s="42"/>
      <c r="N43" s="28"/>
    </row>
    <row r="44" spans="1:14" x14ac:dyDescent="0.2">
      <c r="A44" s="25"/>
      <c r="B44" s="8" t="str">
        <f>VLOOKUP($B$15,DISTRICT_STATES[],12,0)</f>
        <v>Pennsylvania</v>
      </c>
      <c r="C44" s="154">
        <f>IF($B44=" ","",IFERROR(INDEX(MMWR_RATING_STATE_ROLLUP_PMC[],MATCH($B44,MMWR_RATING_STATE_ROLLUP_PMC[MMWR_RATING_STATE_ROLLUP_PMC],0),MATCH(C$9,MMWR_RATING_STATE_ROLLUP_PMC[#Headers],0)),"ERROR"))</f>
        <v>1767</v>
      </c>
      <c r="D44" s="155">
        <f>IF($B44=" ","",IFERROR(INDEX(MMWR_RATING_STATE_ROLLUP_PMC[],MATCH($B44,MMWR_RATING_STATE_ROLLUP_PMC[MMWR_RATING_STATE_ROLLUP_PMC],0),MATCH(D$9,MMWR_RATING_STATE_ROLLUP_PMC[#Headers],0)),"ERROR"))</f>
        <v>71.590831918500001</v>
      </c>
      <c r="E44" s="156">
        <f>IF($B44=" ","",IFERROR(INDEX(MMWR_RATING_STATE_ROLLUP_PMC[],MATCH($B44,MMWR_RATING_STATE_ROLLUP_PMC[MMWR_RATING_STATE_ROLLUP_PMC],0),MATCH(E$9,MMWR_RATING_STATE_ROLLUP_PMC[#Headers],0))/$C44,"ERROR"))</f>
        <v>0.11658177702320317</v>
      </c>
      <c r="F44" s="154">
        <f>IF($B44=" ","",IFERROR(INDEX(MMWR_RATING_STATE_ROLLUP_PMC[],MATCH($B44,MMWR_RATING_STATE_ROLLUP_PMC[MMWR_RATING_STATE_ROLLUP_PMC],0),MATCH(F$9,MMWR_RATING_STATE_ROLLUP_PMC[#Headers],0)),"ERROR"))</f>
        <v>45</v>
      </c>
      <c r="G44" s="154">
        <f>IF($B44=" ","",IFERROR(INDEX(MMWR_RATING_STATE_ROLLUP_PMC[],MATCH($B44,MMWR_RATING_STATE_ROLLUP_PMC[MMWR_RATING_STATE_ROLLUP_PMC],0),MATCH(G$9,MMWR_RATING_STATE_ROLLUP_PMC[#Headers],0)),"ERROR"))</f>
        <v>3991</v>
      </c>
      <c r="H44" s="155">
        <f>IF($B44=" ","",IFERROR(INDEX(MMWR_RATING_STATE_ROLLUP_PMC[],MATCH($B44,MMWR_RATING_STATE_ROLLUP_PMC[MMWR_RATING_STATE_ROLLUP_PMC],0),MATCH(H$9,MMWR_RATING_STATE_ROLLUP_PMC[#Headers],0)),"ERROR"))</f>
        <v>109.1555555556</v>
      </c>
      <c r="I44" s="155">
        <f>IF($B44=" ","",IFERROR(INDEX(MMWR_RATING_STATE_ROLLUP_PMC[],MATCH($B44,MMWR_RATING_STATE_ROLLUP_PMC[MMWR_RATING_STATE_ROLLUP_PMC],0),MATCH(I$9,MMWR_RATING_STATE_ROLLUP_PMC[#Headers],0)),"ERROR"))</f>
        <v>93.944374843399999</v>
      </c>
      <c r="J44" s="42"/>
      <c r="K44" s="42"/>
      <c r="L44" s="42"/>
      <c r="M44" s="42"/>
      <c r="N44" s="28"/>
    </row>
    <row r="45" spans="1:14" x14ac:dyDescent="0.2">
      <c r="A45" s="25"/>
      <c r="B45" s="8" t="str">
        <f>VLOOKUP($B$15,DISTRICT_STATES[],13,0)</f>
        <v>Rhode Island</v>
      </c>
      <c r="C45" s="154">
        <f>IF($B45=" ","",IFERROR(INDEX(MMWR_RATING_STATE_ROLLUP_PMC[],MATCH($B45,MMWR_RATING_STATE_ROLLUP_PMC[MMWR_RATING_STATE_ROLLUP_PMC],0),MATCH(C$9,MMWR_RATING_STATE_ROLLUP_PMC[#Headers],0)),"ERROR"))</f>
        <v>122</v>
      </c>
      <c r="D45" s="155">
        <f>IF($B45=" ","",IFERROR(INDEX(MMWR_RATING_STATE_ROLLUP_PMC[],MATCH($B45,MMWR_RATING_STATE_ROLLUP_PMC[MMWR_RATING_STATE_ROLLUP_PMC],0),MATCH(D$9,MMWR_RATING_STATE_ROLLUP_PMC[#Headers],0)),"ERROR"))</f>
        <v>71.508196721299996</v>
      </c>
      <c r="E45" s="156">
        <f>IF($B45=" ","",IFERROR(INDEX(MMWR_RATING_STATE_ROLLUP_PMC[],MATCH($B45,MMWR_RATING_STATE_ROLLUP_PMC[MMWR_RATING_STATE_ROLLUP_PMC],0),MATCH(E$9,MMWR_RATING_STATE_ROLLUP_PMC[#Headers],0))/$C45,"ERROR"))</f>
        <v>0.10655737704918032</v>
      </c>
      <c r="F45" s="154">
        <f>IF($B45=" ","",IFERROR(INDEX(MMWR_RATING_STATE_ROLLUP_PMC[],MATCH($B45,MMWR_RATING_STATE_ROLLUP_PMC[MMWR_RATING_STATE_ROLLUP_PMC],0),MATCH(F$9,MMWR_RATING_STATE_ROLLUP_PMC[#Headers],0)),"ERROR"))</f>
        <v>5</v>
      </c>
      <c r="G45" s="154">
        <f>IF($B45=" ","",IFERROR(INDEX(MMWR_RATING_STATE_ROLLUP_PMC[],MATCH($B45,MMWR_RATING_STATE_ROLLUP_PMC[MMWR_RATING_STATE_ROLLUP_PMC],0),MATCH(G$9,MMWR_RATING_STATE_ROLLUP_PMC[#Headers],0)),"ERROR"))</f>
        <v>314</v>
      </c>
      <c r="H45" s="155">
        <f>IF($B45=" ","",IFERROR(INDEX(MMWR_RATING_STATE_ROLLUP_PMC[],MATCH($B45,MMWR_RATING_STATE_ROLLUP_PMC[MMWR_RATING_STATE_ROLLUP_PMC],0),MATCH(H$9,MMWR_RATING_STATE_ROLLUP_PMC[#Headers],0)),"ERROR"))</f>
        <v>70.8</v>
      </c>
      <c r="I45" s="155">
        <f>IF($B45=" ","",IFERROR(INDEX(MMWR_RATING_STATE_ROLLUP_PMC[],MATCH($B45,MMWR_RATING_STATE_ROLLUP_PMC[MMWR_RATING_STATE_ROLLUP_PMC],0),MATCH(I$9,MMWR_RATING_STATE_ROLLUP_PMC[#Headers],0)),"ERROR"))</f>
        <v>94.035031847100001</v>
      </c>
      <c r="J45" s="42"/>
      <c r="K45" s="42"/>
      <c r="L45" s="42"/>
      <c r="M45" s="42"/>
      <c r="N45" s="28"/>
    </row>
    <row r="46" spans="1:14" x14ac:dyDescent="0.2">
      <c r="A46" s="25"/>
      <c r="B46" s="8" t="str">
        <f>VLOOKUP($B$15,DISTRICT_STATES[],14,0)</f>
        <v>Vermont</v>
      </c>
      <c r="C46" s="154">
        <f>IF($B46=" ","",IFERROR(INDEX(MMWR_RATING_STATE_ROLLUP_PMC[],MATCH($B46,MMWR_RATING_STATE_ROLLUP_PMC[MMWR_RATING_STATE_ROLLUP_PMC],0),MATCH(C$9,MMWR_RATING_STATE_ROLLUP_PMC[#Headers],0)),"ERROR"))</f>
        <v>38</v>
      </c>
      <c r="D46" s="155">
        <f>IF($B46=" ","",IFERROR(INDEX(MMWR_RATING_STATE_ROLLUP_PMC[],MATCH($B46,MMWR_RATING_STATE_ROLLUP_PMC[MMWR_RATING_STATE_ROLLUP_PMC],0),MATCH(D$9,MMWR_RATING_STATE_ROLLUP_PMC[#Headers],0)),"ERROR"))</f>
        <v>77.657894736800003</v>
      </c>
      <c r="E46" s="156">
        <f>IF($B46=" ","",IFERROR(INDEX(MMWR_RATING_STATE_ROLLUP_PMC[],MATCH($B46,MMWR_RATING_STATE_ROLLUP_PMC[MMWR_RATING_STATE_ROLLUP_PMC],0),MATCH(E$9,MMWR_RATING_STATE_ROLLUP_PMC[#Headers],0))/$C46,"ERROR"))</f>
        <v>0.21052631578947367</v>
      </c>
      <c r="F46" s="154">
        <f>IF($B46=" ","",IFERROR(INDEX(MMWR_RATING_STATE_ROLLUP_PMC[],MATCH($B46,MMWR_RATING_STATE_ROLLUP_PMC[MMWR_RATING_STATE_ROLLUP_PMC],0),MATCH(F$9,MMWR_RATING_STATE_ROLLUP_PMC[#Headers],0)),"ERROR"))</f>
        <v>2</v>
      </c>
      <c r="G46" s="154">
        <f>IF($B46=" ","",IFERROR(INDEX(MMWR_RATING_STATE_ROLLUP_PMC[],MATCH($B46,MMWR_RATING_STATE_ROLLUP_PMC[MMWR_RATING_STATE_ROLLUP_PMC],0),MATCH(G$9,MMWR_RATING_STATE_ROLLUP_PMC[#Headers],0)),"ERROR"))</f>
        <v>117</v>
      </c>
      <c r="H46" s="155">
        <f>IF($B46=" ","",IFERROR(INDEX(MMWR_RATING_STATE_ROLLUP_PMC[],MATCH($B46,MMWR_RATING_STATE_ROLLUP_PMC[MMWR_RATING_STATE_ROLLUP_PMC],0),MATCH(H$9,MMWR_RATING_STATE_ROLLUP_PMC[#Headers],0)),"ERROR"))</f>
        <v>105</v>
      </c>
      <c r="I46" s="155">
        <f>IF($B46=" ","",IFERROR(INDEX(MMWR_RATING_STATE_ROLLUP_PMC[],MATCH($B46,MMWR_RATING_STATE_ROLLUP_PMC[MMWR_RATING_STATE_ROLLUP_PMC],0),MATCH(I$9,MMWR_RATING_STATE_ROLLUP_PMC[#Headers],0)),"ERROR"))</f>
        <v>98.632478632499996</v>
      </c>
      <c r="J46" s="42"/>
      <c r="K46" s="42"/>
      <c r="L46" s="42"/>
      <c r="M46" s="42"/>
      <c r="N46" s="28"/>
    </row>
    <row r="47" spans="1:14" x14ac:dyDescent="0.2">
      <c r="A47" s="25"/>
      <c r="B47" s="8" t="str">
        <f>VLOOKUP($B$15,DISTRICT_STATES[],15,0)</f>
        <v>Virginia</v>
      </c>
      <c r="C47" s="154">
        <f>IF($B47=" ","",IFERROR(INDEX(MMWR_RATING_STATE_ROLLUP_PMC[],MATCH($B47,MMWR_RATING_STATE_ROLLUP_PMC[MMWR_RATING_STATE_ROLLUP_PMC],0),MATCH(C$9,MMWR_RATING_STATE_ROLLUP_PMC[#Headers],0)),"ERROR"))</f>
        <v>1010</v>
      </c>
      <c r="D47" s="155">
        <f>IF($B47=" ","",IFERROR(INDEX(MMWR_RATING_STATE_ROLLUP_PMC[],MATCH($B47,MMWR_RATING_STATE_ROLLUP_PMC[MMWR_RATING_STATE_ROLLUP_PMC],0),MATCH(D$9,MMWR_RATING_STATE_ROLLUP_PMC[#Headers],0)),"ERROR"))</f>
        <v>72.459405940600007</v>
      </c>
      <c r="E47" s="156">
        <f>IF($B47=" ","",IFERROR(INDEX(MMWR_RATING_STATE_ROLLUP_PMC[],MATCH($B47,MMWR_RATING_STATE_ROLLUP_PMC[MMWR_RATING_STATE_ROLLUP_PMC],0),MATCH(E$9,MMWR_RATING_STATE_ROLLUP_PMC[#Headers],0))/$C47,"ERROR"))</f>
        <v>0.1306930693069307</v>
      </c>
      <c r="F47" s="154">
        <f>IF($B47=" ","",IFERROR(INDEX(MMWR_RATING_STATE_ROLLUP_PMC[],MATCH($B47,MMWR_RATING_STATE_ROLLUP_PMC[MMWR_RATING_STATE_ROLLUP_PMC],0),MATCH(F$9,MMWR_RATING_STATE_ROLLUP_PMC[#Headers],0)),"ERROR"))</f>
        <v>27</v>
      </c>
      <c r="G47" s="154">
        <f>IF($B47=" ","",IFERROR(INDEX(MMWR_RATING_STATE_ROLLUP_PMC[],MATCH($B47,MMWR_RATING_STATE_ROLLUP_PMC[MMWR_RATING_STATE_ROLLUP_PMC],0),MATCH(G$9,MMWR_RATING_STATE_ROLLUP_PMC[#Headers],0)),"ERROR"))</f>
        <v>2123</v>
      </c>
      <c r="H47" s="155">
        <f>IF($B47=" ","",IFERROR(INDEX(MMWR_RATING_STATE_ROLLUP_PMC[],MATCH($B47,MMWR_RATING_STATE_ROLLUP_PMC[MMWR_RATING_STATE_ROLLUP_PMC],0),MATCH(H$9,MMWR_RATING_STATE_ROLLUP_PMC[#Headers],0)),"ERROR"))</f>
        <v>79.148148148100006</v>
      </c>
      <c r="I47" s="155">
        <f>IF($B47=" ","",IFERROR(INDEX(MMWR_RATING_STATE_ROLLUP_PMC[],MATCH($B47,MMWR_RATING_STATE_ROLLUP_PMC[MMWR_RATING_STATE_ROLLUP_PMC],0),MATCH(I$9,MMWR_RATING_STATE_ROLLUP_PMC[#Headers],0)),"ERROR"))</f>
        <v>99.376354215700005</v>
      </c>
      <c r="J47" s="42"/>
      <c r="K47" s="42"/>
      <c r="L47" s="42"/>
      <c r="M47" s="42"/>
      <c r="N47" s="28"/>
    </row>
    <row r="48" spans="1:14" x14ac:dyDescent="0.2">
      <c r="A48" s="25"/>
      <c r="B48" s="8" t="str">
        <f>VLOOKUP($B$15,DISTRICT_STATES[],16,0)</f>
        <v>West Virginia</v>
      </c>
      <c r="C48" s="154">
        <f>IF($B48=" ","",IFERROR(INDEX(MMWR_RATING_STATE_ROLLUP_PMC[],MATCH($B48,MMWR_RATING_STATE_ROLLUP_PMC[MMWR_RATING_STATE_ROLLUP_PMC],0),MATCH(C$9,MMWR_RATING_STATE_ROLLUP_PMC[#Headers],0)),"ERROR"))</f>
        <v>255</v>
      </c>
      <c r="D48" s="155">
        <f>IF($B48=" ","",IFERROR(INDEX(MMWR_RATING_STATE_ROLLUP_PMC[],MATCH($B48,MMWR_RATING_STATE_ROLLUP_PMC[MMWR_RATING_STATE_ROLLUP_PMC],0),MATCH(D$9,MMWR_RATING_STATE_ROLLUP_PMC[#Headers],0)),"ERROR"))</f>
        <v>75.015686274499998</v>
      </c>
      <c r="E48" s="156">
        <f>IF($B48=" ","",IFERROR(INDEX(MMWR_RATING_STATE_ROLLUP_PMC[],MATCH($B48,MMWR_RATING_STATE_ROLLUP_PMC[MMWR_RATING_STATE_ROLLUP_PMC],0),MATCH(E$9,MMWR_RATING_STATE_ROLLUP_PMC[#Headers],0))/$C48,"ERROR"))</f>
        <v>0.14509803921568629</v>
      </c>
      <c r="F48" s="154">
        <f>IF($B48=" ","",IFERROR(INDEX(MMWR_RATING_STATE_ROLLUP_PMC[],MATCH($B48,MMWR_RATING_STATE_ROLLUP_PMC[MMWR_RATING_STATE_ROLLUP_PMC],0),MATCH(F$9,MMWR_RATING_STATE_ROLLUP_PMC[#Headers],0)),"ERROR"))</f>
        <v>7</v>
      </c>
      <c r="G48" s="154">
        <f>IF($B48=" ","",IFERROR(INDEX(MMWR_RATING_STATE_ROLLUP_PMC[],MATCH($B48,MMWR_RATING_STATE_ROLLUP_PMC[MMWR_RATING_STATE_ROLLUP_PMC],0),MATCH(G$9,MMWR_RATING_STATE_ROLLUP_PMC[#Headers],0)),"ERROR"))</f>
        <v>724</v>
      </c>
      <c r="H48" s="155">
        <f>IF($B48=" ","",IFERROR(INDEX(MMWR_RATING_STATE_ROLLUP_PMC[],MATCH($B48,MMWR_RATING_STATE_ROLLUP_PMC[MMWR_RATING_STATE_ROLLUP_PMC],0),MATCH(H$9,MMWR_RATING_STATE_ROLLUP_PMC[#Headers],0)),"ERROR"))</f>
        <v>173.57142857139999</v>
      </c>
      <c r="I48" s="155">
        <f>IF($B48=" ","",IFERROR(INDEX(MMWR_RATING_STATE_ROLLUP_PMC[],MATCH($B48,MMWR_RATING_STATE_ROLLUP_PMC[MMWR_RATING_STATE_ROLLUP_PMC],0),MATCH(I$9,MMWR_RATING_STATE_ROLLUP_PMC[#Headers],0)),"ERROR"))</f>
        <v>96.888121546999997</v>
      </c>
      <c r="J48" s="42"/>
      <c r="K48" s="42"/>
      <c r="L48" s="42"/>
      <c r="M48" s="42"/>
      <c r="N48" s="28"/>
    </row>
    <row r="49" spans="1:14" x14ac:dyDescent="0.2">
      <c r="A49" s="25"/>
      <c r="B49" s="341" t="s">
        <v>1039</v>
      </c>
      <c r="C49" s="342"/>
      <c r="D49" s="342"/>
      <c r="E49" s="342"/>
      <c r="F49" s="342"/>
      <c r="G49" s="342"/>
      <c r="H49" s="342"/>
      <c r="I49" s="342"/>
      <c r="J49" s="342"/>
      <c r="K49" s="342"/>
      <c r="L49" s="342"/>
      <c r="M49" s="392"/>
      <c r="N49" s="28"/>
    </row>
    <row r="50" spans="1:14" x14ac:dyDescent="0.2">
      <c r="A50" s="25"/>
      <c r="B50" s="41" t="s">
        <v>1038</v>
      </c>
      <c r="C50" s="154">
        <f>IF($B50=" ","",IFERROR(INDEX(MMWR_RATING_STATE_ROLLUP_QST[],MATCH($B50,MMWR_RATING_STATE_ROLLUP_QST[MMWR_RATING_STATE_ROLLUP_QST],0),MATCH(C$9,MMWR_RATING_STATE_ROLLUP_QST[#Headers],0)),"ERROR"))</f>
        <v>7785</v>
      </c>
      <c r="D50" s="155">
        <f>IF($B50=" ","",IFERROR(INDEX(MMWR_RATING_STATE_ROLLUP_QST[],MATCH($B50,MMWR_RATING_STATE_ROLLUP_QST[MMWR_RATING_STATE_ROLLUP_QST],0),MATCH(D$9,MMWR_RATING_STATE_ROLLUP_QST[#Headers],0)),"ERROR"))</f>
        <v>76.237251123999997</v>
      </c>
      <c r="E50" s="156">
        <f>IF($B50=" ","",IFERROR(INDEX(MMWR_RATING_STATE_ROLLUP_QST[],MATCH($B50,MMWR_RATING_STATE_ROLLUP_QST[MMWR_RATING_STATE_ROLLUP_QST],0),MATCH(E$9,MMWR_RATING_STATE_ROLLUP_QST[#Headers],0))/$C50,"ERROR"))</f>
        <v>0.18214515093127809</v>
      </c>
      <c r="F50" s="154">
        <f>IF($B50=" ","",IFERROR(INDEX(MMWR_RATING_STATE_ROLLUP_QST[],MATCH($B50,MMWR_RATING_STATE_ROLLUP_QST[MMWR_RATING_STATE_ROLLUP_QST],0),MATCH(F$9,MMWR_RATING_STATE_ROLLUP_QST[#Headers],0)),"ERROR"))</f>
        <v>393</v>
      </c>
      <c r="G50" s="154">
        <f>IF($B50=" ","",IFERROR(INDEX(MMWR_RATING_STATE_ROLLUP_QST[],MATCH($B50,MMWR_RATING_STATE_ROLLUP_QST[MMWR_RATING_STATE_ROLLUP_QST],0),MATCH(G$9,MMWR_RATING_STATE_ROLLUP_QST[#Headers],0)),"ERROR"))</f>
        <v>17192</v>
      </c>
      <c r="H50" s="155">
        <f>IF($B50=" ","",IFERROR(INDEX(MMWR_RATING_STATE_ROLLUP_QST[],MATCH($B50,MMWR_RATING_STATE_ROLLUP_QST[MMWR_RATING_STATE_ROLLUP_QST],0),MATCH(H$9,MMWR_RATING_STATE_ROLLUP_QST[#Headers],0)),"ERROR"))</f>
        <v>123.9134860051</v>
      </c>
      <c r="I50" s="155">
        <f>IF($B50=" ","",IFERROR(INDEX(MMWR_RATING_STATE_ROLLUP_QST[],MATCH($B50,MMWR_RATING_STATE_ROLLUP_QST[MMWR_RATING_STATE_ROLLUP_QST],0),MATCH(I$9,MMWR_RATING_STATE_ROLLUP_QST[#Headers],0)),"ERROR"))</f>
        <v>141.69288040949999</v>
      </c>
      <c r="J50" s="42"/>
      <c r="K50" s="42"/>
      <c r="L50" s="42"/>
      <c r="M50" s="42"/>
      <c r="N50" s="28"/>
    </row>
    <row r="51" spans="1:14" x14ac:dyDescent="0.2">
      <c r="A51" s="25"/>
      <c r="B51" s="248" t="str">
        <f>INDEX(DISTRICT_STATES[],MATCH($B$5,DISTRICT_RO[District],0),1)</f>
        <v>North Atlantic</v>
      </c>
      <c r="C51" s="154">
        <f>IF($B51=" ","",IFERROR(INDEX(MMWR_RATING_STATE_ROLLUP_QST[],MATCH($B51,MMWR_RATING_STATE_ROLLUP_QST[MMWR_RATING_STATE_ROLLUP_QST],0),MATCH(C$9,MMWR_RATING_STATE_ROLLUP_QST[#Headers],0)),"ERROR"))</f>
        <v>1842</v>
      </c>
      <c r="D51" s="155">
        <f>IF($B51=" ","",IFERROR(INDEX(MMWR_RATING_STATE_ROLLUP_QST[],MATCH($B51,MMWR_RATING_STATE_ROLLUP_QST[MMWR_RATING_STATE_ROLLUP_QST],0),MATCH(D$9,MMWR_RATING_STATE_ROLLUP_QST[#Headers],0)),"ERROR"))</f>
        <v>76.815418023899994</v>
      </c>
      <c r="E51" s="156">
        <f>IF($B51=" ","",IFERROR(INDEX(MMWR_RATING_STATE_ROLLUP_QST[],MATCH($B51,MMWR_RATING_STATE_ROLLUP_QST[MMWR_RATING_STATE_ROLLUP_QST],0),MATCH(E$9,MMWR_RATING_STATE_ROLLUP_QST[#Headers],0))/$C51,"ERROR"))</f>
        <v>0.18241042345276873</v>
      </c>
      <c r="F51" s="154">
        <f>IF($B51=" ","",IFERROR(INDEX(MMWR_RATING_STATE_ROLLUP_QST[],MATCH($B51,MMWR_RATING_STATE_ROLLUP_QST[MMWR_RATING_STATE_ROLLUP_QST],0),MATCH(F$9,MMWR_RATING_STATE_ROLLUP_QST[#Headers],0)),"ERROR"))</f>
        <v>94</v>
      </c>
      <c r="G51" s="154">
        <f>IF($B51=" ","",IFERROR(INDEX(MMWR_RATING_STATE_ROLLUP_QST[],MATCH($B51,MMWR_RATING_STATE_ROLLUP_QST[MMWR_RATING_STATE_ROLLUP_QST],0),MATCH(G$9,MMWR_RATING_STATE_ROLLUP_QST[#Headers],0)),"ERROR"))</f>
        <v>3786</v>
      </c>
      <c r="H51" s="155">
        <f>IF($B51=" ","",IFERROR(INDEX(MMWR_RATING_STATE_ROLLUP_QST[],MATCH($B51,MMWR_RATING_STATE_ROLLUP_QST[MMWR_RATING_STATE_ROLLUP_QST],0),MATCH(H$9,MMWR_RATING_STATE_ROLLUP_QST[#Headers],0)),"ERROR"))</f>
        <v>140.69148936170001</v>
      </c>
      <c r="I51" s="155">
        <f>IF($B51=" ","",IFERROR(INDEX(MMWR_RATING_STATE_ROLLUP_QST[],MATCH($B51,MMWR_RATING_STATE_ROLLUP_QST[MMWR_RATING_STATE_ROLLUP_QST],0),MATCH(I$9,MMWR_RATING_STATE_ROLLUP_QST[#Headers],0)),"ERROR"))</f>
        <v>150.81273111460001</v>
      </c>
      <c r="J51" s="42"/>
      <c r="K51" s="42"/>
      <c r="L51" s="42"/>
      <c r="M51" s="42"/>
      <c r="N51" s="28"/>
    </row>
    <row r="52" spans="1:14" x14ac:dyDescent="0.2">
      <c r="A52" s="25"/>
      <c r="B52" s="8" t="str">
        <f>VLOOKUP($B$15,DISTRICT_STATES[],2,0)</f>
        <v>Connecticut</v>
      </c>
      <c r="C52" s="154">
        <f>IF($B52=" ","",IFERROR(INDEX(MMWR_RATING_STATE_ROLLUP_QST[],MATCH($B52,MMWR_RATING_STATE_ROLLUP_QST[MMWR_RATING_STATE_ROLLUP_QST],0),MATCH(C$9,MMWR_RATING_STATE_ROLLUP_QST[#Headers],0)),"ERROR"))</f>
        <v>57</v>
      </c>
      <c r="D52" s="155">
        <f>IF($B52=" ","",IFERROR(INDEX(MMWR_RATING_STATE_ROLLUP_QST[],MATCH($B52,MMWR_RATING_STATE_ROLLUP_QST[MMWR_RATING_STATE_ROLLUP_QST],0),MATCH(D$9,MMWR_RATING_STATE_ROLLUP_QST[#Headers],0)),"ERROR"))</f>
        <v>51.438596491200002</v>
      </c>
      <c r="E52" s="156">
        <f>IF($B52=" ","",IFERROR(INDEX(MMWR_RATING_STATE_ROLLUP_QST[],MATCH($B52,MMWR_RATING_STATE_ROLLUP_QST[MMWR_RATING_STATE_ROLLUP_QST],0),MATCH(E$9,MMWR_RATING_STATE_ROLLUP_QST[#Headers],0))/$C52,"ERROR"))</f>
        <v>5.2631578947368418E-2</v>
      </c>
      <c r="F52" s="154">
        <f>IF($B52=" ","",IFERROR(INDEX(MMWR_RATING_STATE_ROLLUP_QST[],MATCH($B52,MMWR_RATING_STATE_ROLLUP_QST[MMWR_RATING_STATE_ROLLUP_QST],0),MATCH(F$9,MMWR_RATING_STATE_ROLLUP_QST[#Headers],0)),"ERROR"))</f>
        <v>2</v>
      </c>
      <c r="G52" s="154">
        <f>IF($B52=" ","",IFERROR(INDEX(MMWR_RATING_STATE_ROLLUP_QST[],MATCH($B52,MMWR_RATING_STATE_ROLLUP_QST[MMWR_RATING_STATE_ROLLUP_QST],0),MATCH(G$9,MMWR_RATING_STATE_ROLLUP_QST[#Headers],0)),"ERROR"))</f>
        <v>95</v>
      </c>
      <c r="H52" s="155">
        <f>IF($B52=" ","",IFERROR(INDEX(MMWR_RATING_STATE_ROLLUP_QST[],MATCH($B52,MMWR_RATING_STATE_ROLLUP_QST[MMWR_RATING_STATE_ROLLUP_QST],0),MATCH(H$9,MMWR_RATING_STATE_ROLLUP_QST[#Headers],0)),"ERROR"))</f>
        <v>80.5</v>
      </c>
      <c r="I52" s="155">
        <f>IF($B52=" ","",IFERROR(INDEX(MMWR_RATING_STATE_ROLLUP_QST[],MATCH($B52,MMWR_RATING_STATE_ROLLUP_QST[MMWR_RATING_STATE_ROLLUP_QST],0),MATCH(I$9,MMWR_RATING_STATE_ROLLUP_QST[#Headers],0)),"ERROR"))</f>
        <v>143.80000000000001</v>
      </c>
      <c r="J52" s="42"/>
      <c r="K52" s="42"/>
      <c r="L52" s="42"/>
      <c r="M52" s="42"/>
      <c r="N52" s="28"/>
    </row>
    <row r="53" spans="1:14" x14ac:dyDescent="0.2">
      <c r="A53" s="25"/>
      <c r="B53" s="8" t="str">
        <f>VLOOKUP($B$15,DISTRICT_STATES[],3,0)</f>
        <v>Delaware</v>
      </c>
      <c r="C53" s="154">
        <f>IF($B53=" ","",IFERROR(INDEX(MMWR_RATING_STATE_ROLLUP_QST[],MATCH($B53,MMWR_RATING_STATE_ROLLUP_QST[MMWR_RATING_STATE_ROLLUP_QST],0),MATCH(C$9,MMWR_RATING_STATE_ROLLUP_QST[#Headers],0)),"ERROR"))</f>
        <v>20</v>
      </c>
      <c r="D53" s="155">
        <f>IF($B53=" ","",IFERROR(INDEX(MMWR_RATING_STATE_ROLLUP_QST[],MATCH($B53,MMWR_RATING_STATE_ROLLUP_QST[MMWR_RATING_STATE_ROLLUP_QST],0),MATCH(D$9,MMWR_RATING_STATE_ROLLUP_QST[#Headers],0)),"ERROR"))</f>
        <v>98.5</v>
      </c>
      <c r="E53" s="156">
        <f>IF($B53=" ","",IFERROR(INDEX(MMWR_RATING_STATE_ROLLUP_QST[],MATCH($B53,MMWR_RATING_STATE_ROLLUP_QST[MMWR_RATING_STATE_ROLLUP_QST],0),MATCH(E$9,MMWR_RATING_STATE_ROLLUP_QST[#Headers],0))/$C53,"ERROR"))</f>
        <v>0.3</v>
      </c>
      <c r="F53" s="154">
        <f>IF($B53=" ","",IFERROR(INDEX(MMWR_RATING_STATE_ROLLUP_QST[],MATCH($B53,MMWR_RATING_STATE_ROLLUP_QST[MMWR_RATING_STATE_ROLLUP_QST],0),MATCH(F$9,MMWR_RATING_STATE_ROLLUP_QST[#Headers],0)),"ERROR"))</f>
        <v>2</v>
      </c>
      <c r="G53" s="154">
        <f>IF($B53=" ","",IFERROR(INDEX(MMWR_RATING_STATE_ROLLUP_QST[],MATCH($B53,MMWR_RATING_STATE_ROLLUP_QST[MMWR_RATING_STATE_ROLLUP_QST],0),MATCH(G$9,MMWR_RATING_STATE_ROLLUP_QST[#Headers],0)),"ERROR"))</f>
        <v>27</v>
      </c>
      <c r="H53" s="155">
        <f>IF($B53=" ","",IFERROR(INDEX(MMWR_RATING_STATE_ROLLUP_QST[],MATCH($B53,MMWR_RATING_STATE_ROLLUP_QST[MMWR_RATING_STATE_ROLLUP_QST],0),MATCH(H$9,MMWR_RATING_STATE_ROLLUP_QST[#Headers],0)),"ERROR"))</f>
        <v>185.5</v>
      </c>
      <c r="I53" s="155">
        <f>IF($B53=" ","",IFERROR(INDEX(MMWR_RATING_STATE_ROLLUP_QST[],MATCH($B53,MMWR_RATING_STATE_ROLLUP_QST[MMWR_RATING_STATE_ROLLUP_QST],0),MATCH(I$9,MMWR_RATING_STATE_ROLLUP_QST[#Headers],0)),"ERROR"))</f>
        <v>156.037037037</v>
      </c>
      <c r="J53" s="42"/>
      <c r="K53" s="42"/>
      <c r="L53" s="42"/>
      <c r="M53" s="42"/>
      <c r="N53" s="28"/>
    </row>
    <row r="54" spans="1:14" x14ac:dyDescent="0.2">
      <c r="A54" s="25"/>
      <c r="B54" s="8" t="str">
        <f>VLOOKUP($B$15,DISTRICT_STATES[],4,0)</f>
        <v>District of Columbia</v>
      </c>
      <c r="C54" s="154">
        <f>IF($B54=" ","",IFERROR(INDEX(MMWR_RATING_STATE_ROLLUP_QST[],MATCH($B54,MMWR_RATING_STATE_ROLLUP_QST[MMWR_RATING_STATE_ROLLUP_QST],0),MATCH(C$9,MMWR_RATING_STATE_ROLLUP_QST[#Headers],0)),"ERROR"))</f>
        <v>14</v>
      </c>
      <c r="D54" s="155">
        <f>IF($B54=" ","",IFERROR(INDEX(MMWR_RATING_STATE_ROLLUP_QST[],MATCH($B54,MMWR_RATING_STATE_ROLLUP_QST[MMWR_RATING_STATE_ROLLUP_QST],0),MATCH(D$9,MMWR_RATING_STATE_ROLLUP_QST[#Headers],0)),"ERROR"))</f>
        <v>82.5</v>
      </c>
      <c r="E54" s="156">
        <f>IF($B54=" ","",IFERROR(INDEX(MMWR_RATING_STATE_ROLLUP_QST[],MATCH($B54,MMWR_RATING_STATE_ROLLUP_QST[MMWR_RATING_STATE_ROLLUP_QST],0),MATCH(E$9,MMWR_RATING_STATE_ROLLUP_QST[#Headers],0))/$C54,"ERROR"))</f>
        <v>0.21428571428571427</v>
      </c>
      <c r="F54" s="154">
        <f>IF($B54=" ","",IFERROR(INDEX(MMWR_RATING_STATE_ROLLUP_QST[],MATCH($B54,MMWR_RATING_STATE_ROLLUP_QST[MMWR_RATING_STATE_ROLLUP_QST],0),MATCH(F$9,MMWR_RATING_STATE_ROLLUP_QST[#Headers],0)),"ERROR"))</f>
        <v>1</v>
      </c>
      <c r="G54" s="154">
        <f>IF($B54=" ","",IFERROR(INDEX(MMWR_RATING_STATE_ROLLUP_QST[],MATCH($B54,MMWR_RATING_STATE_ROLLUP_QST[MMWR_RATING_STATE_ROLLUP_QST],0),MATCH(G$9,MMWR_RATING_STATE_ROLLUP_QST[#Headers],0)),"ERROR"))</f>
        <v>30</v>
      </c>
      <c r="H54" s="155">
        <f>IF($B54=" ","",IFERROR(INDEX(MMWR_RATING_STATE_ROLLUP_QST[],MATCH($B54,MMWR_RATING_STATE_ROLLUP_QST[MMWR_RATING_STATE_ROLLUP_QST],0),MATCH(H$9,MMWR_RATING_STATE_ROLLUP_QST[#Headers],0)),"ERROR"))</f>
        <v>74</v>
      </c>
      <c r="I54" s="155">
        <f>IF($B54=" ","",IFERROR(INDEX(MMWR_RATING_STATE_ROLLUP_QST[],MATCH($B54,MMWR_RATING_STATE_ROLLUP_QST[MMWR_RATING_STATE_ROLLUP_QST],0),MATCH(I$9,MMWR_RATING_STATE_ROLLUP_QST[#Headers],0)),"ERROR"))</f>
        <v>157.0666666667</v>
      </c>
      <c r="J54" s="42"/>
      <c r="K54" s="42"/>
      <c r="L54" s="42"/>
      <c r="M54" s="42"/>
      <c r="N54" s="28"/>
    </row>
    <row r="55" spans="1:14" x14ac:dyDescent="0.2">
      <c r="A55" s="25"/>
      <c r="B55" s="8" t="str">
        <f>VLOOKUP($B$15,DISTRICT_STATES[],5,0)</f>
        <v>Maine</v>
      </c>
      <c r="C55" s="154">
        <f>IF($B55=" ","",IFERROR(INDEX(MMWR_RATING_STATE_ROLLUP_QST[],MATCH($B55,MMWR_RATING_STATE_ROLLUP_QST[MMWR_RATING_STATE_ROLLUP_QST],0),MATCH(C$9,MMWR_RATING_STATE_ROLLUP_QST[#Headers],0)),"ERROR"))</f>
        <v>12</v>
      </c>
      <c r="D55" s="155">
        <f>IF($B55=" ","",IFERROR(INDEX(MMWR_RATING_STATE_ROLLUP_QST[],MATCH($B55,MMWR_RATING_STATE_ROLLUP_QST[MMWR_RATING_STATE_ROLLUP_QST],0),MATCH(D$9,MMWR_RATING_STATE_ROLLUP_QST[#Headers],0)),"ERROR"))</f>
        <v>70.583333333300004</v>
      </c>
      <c r="E55" s="156">
        <f>IF($B55=" ","",IFERROR(INDEX(MMWR_RATING_STATE_ROLLUP_QST[],MATCH($B55,MMWR_RATING_STATE_ROLLUP_QST[MMWR_RATING_STATE_ROLLUP_QST],0),MATCH(E$9,MMWR_RATING_STATE_ROLLUP_QST[#Headers],0))/$C55,"ERROR"))</f>
        <v>0.25</v>
      </c>
      <c r="F55" s="154">
        <f>IF($B55=" ","",IFERROR(INDEX(MMWR_RATING_STATE_ROLLUP_QST[],MATCH($B55,MMWR_RATING_STATE_ROLLUP_QST[MMWR_RATING_STATE_ROLLUP_QST],0),MATCH(F$9,MMWR_RATING_STATE_ROLLUP_QST[#Headers],0)),"ERROR"))</f>
        <v>1</v>
      </c>
      <c r="G55" s="154">
        <f>IF($B55=" ","",IFERROR(INDEX(MMWR_RATING_STATE_ROLLUP_QST[],MATCH($B55,MMWR_RATING_STATE_ROLLUP_QST[MMWR_RATING_STATE_ROLLUP_QST],0),MATCH(G$9,MMWR_RATING_STATE_ROLLUP_QST[#Headers],0)),"ERROR"))</f>
        <v>44</v>
      </c>
      <c r="H55" s="155">
        <f>IF($B55=" ","",IFERROR(INDEX(MMWR_RATING_STATE_ROLLUP_QST[],MATCH($B55,MMWR_RATING_STATE_ROLLUP_QST[MMWR_RATING_STATE_ROLLUP_QST],0),MATCH(H$9,MMWR_RATING_STATE_ROLLUP_QST[#Headers],0)),"ERROR"))</f>
        <v>131</v>
      </c>
      <c r="I55" s="155">
        <f>IF($B55=" ","",IFERROR(INDEX(MMWR_RATING_STATE_ROLLUP_QST[],MATCH($B55,MMWR_RATING_STATE_ROLLUP_QST[MMWR_RATING_STATE_ROLLUP_QST],0),MATCH(I$9,MMWR_RATING_STATE_ROLLUP_QST[#Headers],0)),"ERROR"))</f>
        <v>146.8409090909</v>
      </c>
      <c r="J55" s="42"/>
      <c r="K55" s="42"/>
      <c r="L55" s="42"/>
      <c r="M55" s="42"/>
      <c r="N55" s="28"/>
    </row>
    <row r="56" spans="1:14" x14ac:dyDescent="0.2">
      <c r="A56" s="25"/>
      <c r="B56" s="8" t="str">
        <f>VLOOKUP($B$15,DISTRICT_STATES[],6,0)</f>
        <v>Maryland</v>
      </c>
      <c r="C56" s="154">
        <f>IF($B56=" ","",IFERROR(INDEX(MMWR_RATING_STATE_ROLLUP_QST[],MATCH($B56,MMWR_RATING_STATE_ROLLUP_QST[MMWR_RATING_STATE_ROLLUP_QST],0),MATCH(C$9,MMWR_RATING_STATE_ROLLUP_QST[#Headers],0)),"ERROR"))</f>
        <v>183</v>
      </c>
      <c r="D56" s="155">
        <f>IF($B56=" ","",IFERROR(INDEX(MMWR_RATING_STATE_ROLLUP_QST[],MATCH($B56,MMWR_RATING_STATE_ROLLUP_QST[MMWR_RATING_STATE_ROLLUP_QST],0),MATCH(D$9,MMWR_RATING_STATE_ROLLUP_QST[#Headers],0)),"ERROR"))</f>
        <v>75.387978142099996</v>
      </c>
      <c r="E56" s="156">
        <f>IF($B56=" ","",IFERROR(INDEX(MMWR_RATING_STATE_ROLLUP_QST[],MATCH($B56,MMWR_RATING_STATE_ROLLUP_QST[MMWR_RATING_STATE_ROLLUP_QST],0),MATCH(E$9,MMWR_RATING_STATE_ROLLUP_QST[#Headers],0))/$C56,"ERROR"))</f>
        <v>0.15846994535519127</v>
      </c>
      <c r="F56" s="154">
        <f>IF($B56=" ","",IFERROR(INDEX(MMWR_RATING_STATE_ROLLUP_QST[],MATCH($B56,MMWR_RATING_STATE_ROLLUP_QST[MMWR_RATING_STATE_ROLLUP_QST],0),MATCH(F$9,MMWR_RATING_STATE_ROLLUP_QST[#Headers],0)),"ERROR"))</f>
        <v>7</v>
      </c>
      <c r="G56" s="154">
        <f>IF($B56=" ","",IFERROR(INDEX(MMWR_RATING_STATE_ROLLUP_QST[],MATCH($B56,MMWR_RATING_STATE_ROLLUP_QST[MMWR_RATING_STATE_ROLLUP_QST],0),MATCH(G$9,MMWR_RATING_STATE_ROLLUP_QST[#Headers],0)),"ERROR"))</f>
        <v>410</v>
      </c>
      <c r="H56" s="155">
        <f>IF($B56=" ","",IFERROR(INDEX(MMWR_RATING_STATE_ROLLUP_QST[],MATCH($B56,MMWR_RATING_STATE_ROLLUP_QST[MMWR_RATING_STATE_ROLLUP_QST],0),MATCH(H$9,MMWR_RATING_STATE_ROLLUP_QST[#Headers],0)),"ERROR"))</f>
        <v>134.71428571429999</v>
      </c>
      <c r="I56" s="155">
        <f>IF($B56=" ","",IFERROR(INDEX(MMWR_RATING_STATE_ROLLUP_QST[],MATCH($B56,MMWR_RATING_STATE_ROLLUP_QST[MMWR_RATING_STATE_ROLLUP_QST],0),MATCH(I$9,MMWR_RATING_STATE_ROLLUP_QST[#Headers],0)),"ERROR"))</f>
        <v>149.8951219512</v>
      </c>
      <c r="J56" s="42"/>
      <c r="K56" s="42"/>
      <c r="L56" s="42"/>
      <c r="M56" s="42"/>
      <c r="N56" s="28"/>
    </row>
    <row r="57" spans="1:14" x14ac:dyDescent="0.2">
      <c r="A57" s="25"/>
      <c r="B57" s="8" t="str">
        <f>VLOOKUP($B$15,DISTRICT_STATES[],7,0)</f>
        <v>Massachusetts</v>
      </c>
      <c r="C57" s="154">
        <f>IF($B57=" ","",IFERROR(INDEX(MMWR_RATING_STATE_ROLLUP_QST[],MATCH($B57,MMWR_RATING_STATE_ROLLUP_QST[MMWR_RATING_STATE_ROLLUP_QST],0),MATCH(C$9,MMWR_RATING_STATE_ROLLUP_QST[#Headers],0)),"ERROR"))</f>
        <v>64</v>
      </c>
      <c r="D57" s="155">
        <f>IF($B57=" ","",IFERROR(INDEX(MMWR_RATING_STATE_ROLLUP_QST[],MATCH($B57,MMWR_RATING_STATE_ROLLUP_QST[MMWR_RATING_STATE_ROLLUP_QST],0),MATCH(D$9,MMWR_RATING_STATE_ROLLUP_QST[#Headers],0)),"ERROR"))</f>
        <v>72.359375</v>
      </c>
      <c r="E57" s="156">
        <f>IF($B57=" ","",IFERROR(INDEX(MMWR_RATING_STATE_ROLLUP_QST[],MATCH($B57,MMWR_RATING_STATE_ROLLUP_QST[MMWR_RATING_STATE_ROLLUP_QST],0),MATCH(E$9,MMWR_RATING_STATE_ROLLUP_QST[#Headers],0))/$C57,"ERROR"))</f>
        <v>0.1875</v>
      </c>
      <c r="F57" s="154">
        <f>IF($B57=" ","",IFERROR(INDEX(MMWR_RATING_STATE_ROLLUP_QST[],MATCH($B57,MMWR_RATING_STATE_ROLLUP_QST[MMWR_RATING_STATE_ROLLUP_QST],0),MATCH(F$9,MMWR_RATING_STATE_ROLLUP_QST[#Headers],0)),"ERROR"))</f>
        <v>1</v>
      </c>
      <c r="G57" s="154">
        <f>IF($B57=" ","",IFERROR(INDEX(MMWR_RATING_STATE_ROLLUP_QST[],MATCH($B57,MMWR_RATING_STATE_ROLLUP_QST[MMWR_RATING_STATE_ROLLUP_QST],0),MATCH(G$9,MMWR_RATING_STATE_ROLLUP_QST[#Headers],0)),"ERROR"))</f>
        <v>158</v>
      </c>
      <c r="H57" s="155">
        <f>IF($B57=" ","",IFERROR(INDEX(MMWR_RATING_STATE_ROLLUP_QST[],MATCH($B57,MMWR_RATING_STATE_ROLLUP_QST[MMWR_RATING_STATE_ROLLUP_QST],0),MATCH(H$9,MMWR_RATING_STATE_ROLLUP_QST[#Headers],0)),"ERROR"))</f>
        <v>176</v>
      </c>
      <c r="I57" s="155">
        <f>IF($B57=" ","",IFERROR(INDEX(MMWR_RATING_STATE_ROLLUP_QST[],MATCH($B57,MMWR_RATING_STATE_ROLLUP_QST[MMWR_RATING_STATE_ROLLUP_QST],0),MATCH(I$9,MMWR_RATING_STATE_ROLLUP_QST[#Headers],0)),"ERROR"))</f>
        <v>144.417721519</v>
      </c>
      <c r="J57" s="42"/>
      <c r="K57" s="42"/>
      <c r="L57" s="42"/>
      <c r="M57" s="42"/>
      <c r="N57" s="28"/>
    </row>
    <row r="58" spans="1:14" x14ac:dyDescent="0.2">
      <c r="A58" s="25"/>
      <c r="B58" s="8" t="str">
        <f>VLOOKUP($B$15,DISTRICT_STATES[],8,0)</f>
        <v>New Hampshire</v>
      </c>
      <c r="C58" s="154">
        <f>IF($B58=" ","",IFERROR(INDEX(MMWR_RATING_STATE_ROLLUP_QST[],MATCH($B58,MMWR_RATING_STATE_ROLLUP_QST[MMWR_RATING_STATE_ROLLUP_QST],0),MATCH(C$9,MMWR_RATING_STATE_ROLLUP_QST[#Headers],0)),"ERROR"))</f>
        <v>21</v>
      </c>
      <c r="D58" s="155">
        <f>IF($B58=" ","",IFERROR(INDEX(MMWR_RATING_STATE_ROLLUP_QST[],MATCH($B58,MMWR_RATING_STATE_ROLLUP_QST[MMWR_RATING_STATE_ROLLUP_QST],0),MATCH(D$9,MMWR_RATING_STATE_ROLLUP_QST[#Headers],0)),"ERROR"))</f>
        <v>55.904761904799997</v>
      </c>
      <c r="E58" s="156">
        <f>IF($B58=" ","",IFERROR(INDEX(MMWR_RATING_STATE_ROLLUP_QST[],MATCH($B58,MMWR_RATING_STATE_ROLLUP_QST[MMWR_RATING_STATE_ROLLUP_QST],0),MATCH(E$9,MMWR_RATING_STATE_ROLLUP_QST[#Headers],0))/$C58,"ERROR"))</f>
        <v>9.5238095238095233E-2</v>
      </c>
      <c r="F58" s="154">
        <f>IF($B58=" ","",IFERROR(INDEX(MMWR_RATING_STATE_ROLLUP_QST[],MATCH($B58,MMWR_RATING_STATE_ROLLUP_QST[MMWR_RATING_STATE_ROLLUP_QST],0),MATCH(F$9,MMWR_RATING_STATE_ROLLUP_QST[#Headers],0)),"ERROR"))</f>
        <v>1</v>
      </c>
      <c r="G58" s="154">
        <f>IF($B58=" ","",IFERROR(INDEX(MMWR_RATING_STATE_ROLLUP_QST[],MATCH($B58,MMWR_RATING_STATE_ROLLUP_QST[MMWR_RATING_STATE_ROLLUP_QST],0),MATCH(G$9,MMWR_RATING_STATE_ROLLUP_QST[#Headers],0)),"ERROR"))</f>
        <v>42</v>
      </c>
      <c r="H58" s="155">
        <f>IF($B58=" ","",IFERROR(INDEX(MMWR_RATING_STATE_ROLLUP_QST[],MATCH($B58,MMWR_RATING_STATE_ROLLUP_QST[MMWR_RATING_STATE_ROLLUP_QST],0),MATCH(H$9,MMWR_RATING_STATE_ROLLUP_QST[#Headers],0)),"ERROR"))</f>
        <v>203</v>
      </c>
      <c r="I58" s="155">
        <f>IF($B58=" ","",IFERROR(INDEX(MMWR_RATING_STATE_ROLLUP_QST[],MATCH($B58,MMWR_RATING_STATE_ROLLUP_QST[MMWR_RATING_STATE_ROLLUP_QST],0),MATCH(I$9,MMWR_RATING_STATE_ROLLUP_QST[#Headers],0)),"ERROR"))</f>
        <v>152.04761904759999</v>
      </c>
      <c r="J58" s="42"/>
      <c r="K58" s="42"/>
      <c r="L58" s="42"/>
      <c r="M58" s="42"/>
      <c r="N58" s="28"/>
    </row>
    <row r="59" spans="1:14" x14ac:dyDescent="0.2">
      <c r="A59" s="25"/>
      <c r="B59" s="8" t="str">
        <f>VLOOKUP($B$15,DISTRICT_STATES[],9,0)</f>
        <v>New Jersey</v>
      </c>
      <c r="C59" s="154">
        <f>IF($B59=" ","",IFERROR(INDEX(MMWR_RATING_STATE_ROLLUP_QST[],MATCH($B59,MMWR_RATING_STATE_ROLLUP_QST[MMWR_RATING_STATE_ROLLUP_QST],0),MATCH(C$9,MMWR_RATING_STATE_ROLLUP_QST[#Headers],0)),"ERROR"))</f>
        <v>89</v>
      </c>
      <c r="D59" s="155">
        <f>IF($B59=" ","",IFERROR(INDEX(MMWR_RATING_STATE_ROLLUP_QST[],MATCH($B59,MMWR_RATING_STATE_ROLLUP_QST[MMWR_RATING_STATE_ROLLUP_QST],0),MATCH(D$9,MMWR_RATING_STATE_ROLLUP_QST[#Headers],0)),"ERROR"))</f>
        <v>83.0337078652</v>
      </c>
      <c r="E59" s="156">
        <f>IF($B59=" ","",IFERROR(INDEX(MMWR_RATING_STATE_ROLLUP_QST[],MATCH($B59,MMWR_RATING_STATE_ROLLUP_QST[MMWR_RATING_STATE_ROLLUP_QST],0),MATCH(E$9,MMWR_RATING_STATE_ROLLUP_QST[#Headers],0))/$C59,"ERROR"))</f>
        <v>0.21348314606741572</v>
      </c>
      <c r="F59" s="154">
        <f>IF($B59=" ","",IFERROR(INDEX(MMWR_RATING_STATE_ROLLUP_QST[],MATCH($B59,MMWR_RATING_STATE_ROLLUP_QST[MMWR_RATING_STATE_ROLLUP_QST],0),MATCH(F$9,MMWR_RATING_STATE_ROLLUP_QST[#Headers],0)),"ERROR"))</f>
        <v>9</v>
      </c>
      <c r="G59" s="154">
        <f>IF($B59=" ","",IFERROR(INDEX(MMWR_RATING_STATE_ROLLUP_QST[],MATCH($B59,MMWR_RATING_STATE_ROLLUP_QST[MMWR_RATING_STATE_ROLLUP_QST],0),MATCH(G$9,MMWR_RATING_STATE_ROLLUP_QST[#Headers],0)),"ERROR"))</f>
        <v>175</v>
      </c>
      <c r="H59" s="155">
        <f>IF($B59=" ","",IFERROR(INDEX(MMWR_RATING_STATE_ROLLUP_QST[],MATCH($B59,MMWR_RATING_STATE_ROLLUP_QST[MMWR_RATING_STATE_ROLLUP_QST],0),MATCH(H$9,MMWR_RATING_STATE_ROLLUP_QST[#Headers],0)),"ERROR"))</f>
        <v>139.44444444440001</v>
      </c>
      <c r="I59" s="155">
        <f>IF($B59=" ","",IFERROR(INDEX(MMWR_RATING_STATE_ROLLUP_QST[],MATCH($B59,MMWR_RATING_STATE_ROLLUP_QST[MMWR_RATING_STATE_ROLLUP_QST],0),MATCH(I$9,MMWR_RATING_STATE_ROLLUP_QST[#Headers],0)),"ERROR"))</f>
        <v>148.88</v>
      </c>
      <c r="J59" s="42"/>
      <c r="K59" s="42"/>
      <c r="L59" s="42"/>
      <c r="M59" s="42"/>
      <c r="N59" s="28"/>
    </row>
    <row r="60" spans="1:14" x14ac:dyDescent="0.2">
      <c r="A60" s="25"/>
      <c r="B60" s="8" t="str">
        <f>VLOOKUP($B$15,DISTRICT_STATES[],10,0)</f>
        <v>New York</v>
      </c>
      <c r="C60" s="154">
        <f>IF($B60=" ","",IFERROR(INDEX(MMWR_RATING_STATE_ROLLUP_QST[],MATCH($B60,MMWR_RATING_STATE_ROLLUP_QST[MMWR_RATING_STATE_ROLLUP_QST],0),MATCH(C$9,MMWR_RATING_STATE_ROLLUP_QST[#Headers],0)),"ERROR"))</f>
        <v>218</v>
      </c>
      <c r="D60" s="155">
        <f>IF($B60=" ","",IFERROR(INDEX(MMWR_RATING_STATE_ROLLUP_QST[],MATCH($B60,MMWR_RATING_STATE_ROLLUP_QST[MMWR_RATING_STATE_ROLLUP_QST],0),MATCH(D$9,MMWR_RATING_STATE_ROLLUP_QST[#Headers],0)),"ERROR"))</f>
        <v>75.449541284399999</v>
      </c>
      <c r="E60" s="156">
        <f>IF($B60=" ","",IFERROR(INDEX(MMWR_RATING_STATE_ROLLUP_QST[],MATCH($B60,MMWR_RATING_STATE_ROLLUP_QST[MMWR_RATING_STATE_ROLLUP_QST],0),MATCH(E$9,MMWR_RATING_STATE_ROLLUP_QST[#Headers],0))/$C60,"ERROR"))</f>
        <v>0.16513761467889909</v>
      </c>
      <c r="F60" s="154">
        <f>IF($B60=" ","",IFERROR(INDEX(MMWR_RATING_STATE_ROLLUP_QST[],MATCH($B60,MMWR_RATING_STATE_ROLLUP_QST[MMWR_RATING_STATE_ROLLUP_QST],0),MATCH(F$9,MMWR_RATING_STATE_ROLLUP_QST[#Headers],0)),"ERROR"))</f>
        <v>13</v>
      </c>
      <c r="G60" s="154">
        <f>IF($B60=" ","",IFERROR(INDEX(MMWR_RATING_STATE_ROLLUP_QST[],MATCH($B60,MMWR_RATING_STATE_ROLLUP_QST[MMWR_RATING_STATE_ROLLUP_QST],0),MATCH(G$9,MMWR_RATING_STATE_ROLLUP_QST[#Headers],0)),"ERROR"))</f>
        <v>399</v>
      </c>
      <c r="H60" s="155">
        <f>IF($B60=" ","",IFERROR(INDEX(MMWR_RATING_STATE_ROLLUP_QST[],MATCH($B60,MMWR_RATING_STATE_ROLLUP_QST[MMWR_RATING_STATE_ROLLUP_QST],0),MATCH(H$9,MMWR_RATING_STATE_ROLLUP_QST[#Headers],0)),"ERROR"))</f>
        <v>133.76923076919999</v>
      </c>
      <c r="I60" s="155">
        <f>IF($B60=" ","",IFERROR(INDEX(MMWR_RATING_STATE_ROLLUP_QST[],MATCH($B60,MMWR_RATING_STATE_ROLLUP_QST[MMWR_RATING_STATE_ROLLUP_QST],0),MATCH(I$9,MMWR_RATING_STATE_ROLLUP_QST[#Headers],0)),"ERROR"))</f>
        <v>141.52631578949999</v>
      </c>
      <c r="J60" s="42"/>
      <c r="K60" s="42"/>
      <c r="L60" s="42"/>
      <c r="M60" s="42"/>
      <c r="N60" s="28"/>
    </row>
    <row r="61" spans="1:14" x14ac:dyDescent="0.2">
      <c r="A61" s="25"/>
      <c r="B61" s="8" t="str">
        <f>VLOOKUP($B$15,DISTRICT_STATES[],11,0)</f>
        <v>North Carolina</v>
      </c>
      <c r="C61" s="154">
        <f>IF($B61=" ","",IFERROR(INDEX(MMWR_RATING_STATE_ROLLUP_QST[],MATCH($B61,MMWR_RATING_STATE_ROLLUP_QST[MMWR_RATING_STATE_ROLLUP_QST],0),MATCH(C$9,MMWR_RATING_STATE_ROLLUP_QST[#Headers],0)),"ERROR"))</f>
        <v>442</v>
      </c>
      <c r="D61" s="155">
        <f>IF($B61=" ","",IFERROR(INDEX(MMWR_RATING_STATE_ROLLUP_QST[],MATCH($B61,MMWR_RATING_STATE_ROLLUP_QST[MMWR_RATING_STATE_ROLLUP_QST],0),MATCH(D$9,MMWR_RATING_STATE_ROLLUP_QST[#Headers],0)),"ERROR"))</f>
        <v>78.180995475100005</v>
      </c>
      <c r="E61" s="156">
        <f>IF($B61=" ","",IFERROR(INDEX(MMWR_RATING_STATE_ROLLUP_QST[],MATCH($B61,MMWR_RATING_STATE_ROLLUP_QST[MMWR_RATING_STATE_ROLLUP_QST],0),MATCH(E$9,MMWR_RATING_STATE_ROLLUP_QST[#Headers],0))/$C61,"ERROR"))</f>
        <v>0.19909502262443438</v>
      </c>
      <c r="F61" s="154">
        <f>IF($B61=" ","",IFERROR(INDEX(MMWR_RATING_STATE_ROLLUP_QST[],MATCH($B61,MMWR_RATING_STATE_ROLLUP_QST[MMWR_RATING_STATE_ROLLUP_QST],0),MATCH(F$9,MMWR_RATING_STATE_ROLLUP_QST[#Headers],0)),"ERROR"))</f>
        <v>19</v>
      </c>
      <c r="G61" s="154">
        <f>IF($B61=" ","",IFERROR(INDEX(MMWR_RATING_STATE_ROLLUP_QST[],MATCH($B61,MMWR_RATING_STATE_ROLLUP_QST[MMWR_RATING_STATE_ROLLUP_QST],0),MATCH(G$9,MMWR_RATING_STATE_ROLLUP_QST[#Headers],0)),"ERROR"))</f>
        <v>947</v>
      </c>
      <c r="H61" s="155">
        <f>IF($B61=" ","",IFERROR(INDEX(MMWR_RATING_STATE_ROLLUP_QST[],MATCH($B61,MMWR_RATING_STATE_ROLLUP_QST[MMWR_RATING_STATE_ROLLUP_QST],0),MATCH(H$9,MMWR_RATING_STATE_ROLLUP_QST[#Headers],0)),"ERROR"))</f>
        <v>136.42105263159999</v>
      </c>
      <c r="I61" s="155">
        <f>IF($B61=" ","",IFERROR(INDEX(MMWR_RATING_STATE_ROLLUP_QST[],MATCH($B61,MMWR_RATING_STATE_ROLLUP_QST[MMWR_RATING_STATE_ROLLUP_QST],0),MATCH(I$9,MMWR_RATING_STATE_ROLLUP_QST[#Headers],0)),"ERROR"))</f>
        <v>151.94297782469999</v>
      </c>
      <c r="J61" s="42"/>
      <c r="K61" s="42"/>
      <c r="L61" s="42"/>
      <c r="M61" s="42"/>
      <c r="N61" s="28"/>
    </row>
    <row r="62" spans="1:14" x14ac:dyDescent="0.2">
      <c r="A62" s="25"/>
      <c r="B62" s="8" t="str">
        <f>VLOOKUP($B$15,DISTRICT_STATES[],12,0)</f>
        <v>Pennsylvania</v>
      </c>
      <c r="C62" s="154">
        <f>IF($B62=" ","",IFERROR(INDEX(MMWR_RATING_STATE_ROLLUP_QST[],MATCH($B62,MMWR_RATING_STATE_ROLLUP_QST[MMWR_RATING_STATE_ROLLUP_QST],0),MATCH(C$9,MMWR_RATING_STATE_ROLLUP_QST[#Headers],0)),"ERROR"))</f>
        <v>147</v>
      </c>
      <c r="D62" s="155">
        <f>IF($B62=" ","",IFERROR(INDEX(MMWR_RATING_STATE_ROLLUP_QST[],MATCH($B62,MMWR_RATING_STATE_ROLLUP_QST[MMWR_RATING_STATE_ROLLUP_QST],0),MATCH(D$9,MMWR_RATING_STATE_ROLLUP_QST[#Headers],0)),"ERROR"))</f>
        <v>81.768707483</v>
      </c>
      <c r="E62" s="156">
        <f>IF($B62=" ","",IFERROR(INDEX(MMWR_RATING_STATE_ROLLUP_QST[],MATCH($B62,MMWR_RATING_STATE_ROLLUP_QST[MMWR_RATING_STATE_ROLLUP_QST],0),MATCH(E$9,MMWR_RATING_STATE_ROLLUP_QST[#Headers],0))/$C62,"ERROR"))</f>
        <v>0.21088435374149661</v>
      </c>
      <c r="F62" s="154">
        <f>IF($B62=" ","",IFERROR(INDEX(MMWR_RATING_STATE_ROLLUP_QST[],MATCH($B62,MMWR_RATING_STATE_ROLLUP_QST[MMWR_RATING_STATE_ROLLUP_QST],0),MATCH(F$9,MMWR_RATING_STATE_ROLLUP_QST[#Headers],0)),"ERROR"))</f>
        <v>5</v>
      </c>
      <c r="G62" s="154">
        <f>IF($B62=" ","",IFERROR(INDEX(MMWR_RATING_STATE_ROLLUP_QST[],MATCH($B62,MMWR_RATING_STATE_ROLLUP_QST[MMWR_RATING_STATE_ROLLUP_QST],0),MATCH(G$9,MMWR_RATING_STATE_ROLLUP_QST[#Headers],0)),"ERROR"))</f>
        <v>340</v>
      </c>
      <c r="H62" s="155">
        <f>IF($B62=" ","",IFERROR(INDEX(MMWR_RATING_STATE_ROLLUP_QST[],MATCH($B62,MMWR_RATING_STATE_ROLLUP_QST[MMWR_RATING_STATE_ROLLUP_QST],0),MATCH(H$9,MMWR_RATING_STATE_ROLLUP_QST[#Headers],0)),"ERROR"))</f>
        <v>144.19999999999999</v>
      </c>
      <c r="I62" s="155">
        <f>IF($B62=" ","",IFERROR(INDEX(MMWR_RATING_STATE_ROLLUP_QST[],MATCH($B62,MMWR_RATING_STATE_ROLLUP_QST[MMWR_RATING_STATE_ROLLUP_QST],0),MATCH(I$9,MMWR_RATING_STATE_ROLLUP_QST[#Headers],0)),"ERROR"))</f>
        <v>143.6911764706</v>
      </c>
      <c r="J62" s="42"/>
      <c r="K62" s="42"/>
      <c r="L62" s="42"/>
      <c r="M62" s="42"/>
      <c r="N62" s="28"/>
    </row>
    <row r="63" spans="1:14" x14ac:dyDescent="0.2">
      <c r="A63" s="25"/>
      <c r="B63" s="8" t="str">
        <f>VLOOKUP($B$15,DISTRICT_STATES[],13,0)</f>
        <v>Rhode Island</v>
      </c>
      <c r="C63" s="154">
        <f>IF($B63=" ","",IFERROR(INDEX(MMWR_RATING_STATE_ROLLUP_QST[],MATCH($B63,MMWR_RATING_STATE_ROLLUP_QST[MMWR_RATING_STATE_ROLLUP_QST],0),MATCH(C$9,MMWR_RATING_STATE_ROLLUP_QST[#Headers],0)),"ERROR"))</f>
        <v>6</v>
      </c>
      <c r="D63" s="155">
        <f>IF($B63=" ","",IFERROR(INDEX(MMWR_RATING_STATE_ROLLUP_QST[],MATCH($B63,MMWR_RATING_STATE_ROLLUP_QST[MMWR_RATING_STATE_ROLLUP_QST],0),MATCH(D$9,MMWR_RATING_STATE_ROLLUP_QST[#Headers],0)),"ERROR"))</f>
        <v>62.333333333299997</v>
      </c>
      <c r="E63" s="156">
        <f>IF($B63=" ","",IFERROR(INDEX(MMWR_RATING_STATE_ROLLUP_QST[],MATCH($B63,MMWR_RATING_STATE_ROLLUP_QST[MMWR_RATING_STATE_ROLLUP_QST],0),MATCH(E$9,MMWR_RATING_STATE_ROLLUP_QST[#Headers],0))/$C63,"ERROR"))</f>
        <v>0.16666666666666666</v>
      </c>
      <c r="F63" s="154">
        <f>IF($B63=" ","",IFERROR(INDEX(MMWR_RATING_STATE_ROLLUP_QST[],MATCH($B63,MMWR_RATING_STATE_ROLLUP_QST[MMWR_RATING_STATE_ROLLUP_QST],0),MATCH(F$9,MMWR_RATING_STATE_ROLLUP_QST[#Headers],0)),"ERROR"))</f>
        <v>0</v>
      </c>
      <c r="G63" s="154">
        <f>IF($B63=" ","",IFERROR(INDEX(MMWR_RATING_STATE_ROLLUP_QST[],MATCH($B63,MMWR_RATING_STATE_ROLLUP_QST[MMWR_RATING_STATE_ROLLUP_QST],0),MATCH(G$9,MMWR_RATING_STATE_ROLLUP_QST[#Headers],0)),"ERROR"))</f>
        <v>25</v>
      </c>
      <c r="H63" s="155">
        <f>IF($B63=" ","",IFERROR(INDEX(MMWR_RATING_STATE_ROLLUP_QST[],MATCH($B63,MMWR_RATING_STATE_ROLLUP_QST[MMWR_RATING_STATE_ROLLUP_QST],0),MATCH(H$9,MMWR_RATING_STATE_ROLLUP_QST[#Headers],0)),"ERROR"))</f>
        <v>0</v>
      </c>
      <c r="I63" s="155">
        <f>IF($B63=" ","",IFERROR(INDEX(MMWR_RATING_STATE_ROLLUP_QST[],MATCH($B63,MMWR_RATING_STATE_ROLLUP_QST[MMWR_RATING_STATE_ROLLUP_QST],0),MATCH(I$9,MMWR_RATING_STATE_ROLLUP_QST[#Headers],0)),"ERROR"))</f>
        <v>155.88</v>
      </c>
      <c r="J63" s="42"/>
      <c r="K63" s="42"/>
      <c r="L63" s="42"/>
      <c r="M63" s="42"/>
      <c r="N63" s="28"/>
    </row>
    <row r="64" spans="1:14" x14ac:dyDescent="0.2">
      <c r="A64" s="25"/>
      <c r="B64" s="8" t="str">
        <f>VLOOKUP($B$15,DISTRICT_STATES[],14,0)</f>
        <v>Vermont</v>
      </c>
      <c r="C64" s="154">
        <f>IF($B64=" ","",IFERROR(INDEX(MMWR_RATING_STATE_ROLLUP_QST[],MATCH($B64,MMWR_RATING_STATE_ROLLUP_QST[MMWR_RATING_STATE_ROLLUP_QST],0),MATCH(C$9,MMWR_RATING_STATE_ROLLUP_QST[#Headers],0)),"ERROR"))</f>
        <v>7</v>
      </c>
      <c r="D64" s="155">
        <f>IF($B64=" ","",IFERROR(INDEX(MMWR_RATING_STATE_ROLLUP_QST[],MATCH($B64,MMWR_RATING_STATE_ROLLUP_QST[MMWR_RATING_STATE_ROLLUP_QST],0),MATCH(D$9,MMWR_RATING_STATE_ROLLUP_QST[#Headers],0)),"ERROR"))</f>
        <v>115.7142857143</v>
      </c>
      <c r="E64" s="156">
        <f>IF($B64=" ","",IFERROR(INDEX(MMWR_RATING_STATE_ROLLUP_QST[],MATCH($B64,MMWR_RATING_STATE_ROLLUP_QST[MMWR_RATING_STATE_ROLLUP_QST],0),MATCH(E$9,MMWR_RATING_STATE_ROLLUP_QST[#Headers],0))/$C64,"ERROR"))</f>
        <v>0.42857142857142855</v>
      </c>
      <c r="F64" s="154">
        <f>IF($B64=" ","",IFERROR(INDEX(MMWR_RATING_STATE_ROLLUP_QST[],MATCH($B64,MMWR_RATING_STATE_ROLLUP_QST[MMWR_RATING_STATE_ROLLUP_QST],0),MATCH(F$9,MMWR_RATING_STATE_ROLLUP_QST[#Headers],0)),"ERROR"))</f>
        <v>1</v>
      </c>
      <c r="G64" s="154">
        <f>IF($B64=" ","",IFERROR(INDEX(MMWR_RATING_STATE_ROLLUP_QST[],MATCH($B64,MMWR_RATING_STATE_ROLLUP_QST[MMWR_RATING_STATE_ROLLUP_QST],0),MATCH(G$9,MMWR_RATING_STATE_ROLLUP_QST[#Headers],0)),"ERROR"))</f>
        <v>8</v>
      </c>
      <c r="H64" s="155">
        <f>IF($B64=" ","",IFERROR(INDEX(MMWR_RATING_STATE_ROLLUP_QST[],MATCH($B64,MMWR_RATING_STATE_ROLLUP_QST[MMWR_RATING_STATE_ROLLUP_QST],0),MATCH(H$9,MMWR_RATING_STATE_ROLLUP_QST[#Headers],0)),"ERROR"))</f>
        <v>120</v>
      </c>
      <c r="I64" s="155">
        <f>IF($B64=" ","",IFERROR(INDEX(MMWR_RATING_STATE_ROLLUP_QST[],MATCH($B64,MMWR_RATING_STATE_ROLLUP_QST[MMWR_RATING_STATE_ROLLUP_QST],0),MATCH(I$9,MMWR_RATING_STATE_ROLLUP_QST[#Headers],0)),"ERROR"))</f>
        <v>133.5</v>
      </c>
      <c r="J64" s="42"/>
      <c r="K64" s="42"/>
      <c r="L64" s="42"/>
      <c r="M64" s="42"/>
      <c r="N64" s="28"/>
    </row>
    <row r="65" spans="1:14" x14ac:dyDescent="0.2">
      <c r="A65" s="25"/>
      <c r="B65" s="8" t="str">
        <f>VLOOKUP($B$15,DISTRICT_STATES[],15,0)</f>
        <v>Virginia</v>
      </c>
      <c r="C65" s="154">
        <f>IF($B65=" ","",IFERROR(INDEX(MMWR_RATING_STATE_ROLLUP_QST[],MATCH($B65,MMWR_RATING_STATE_ROLLUP_QST[MMWR_RATING_STATE_ROLLUP_QST],0),MATCH(C$9,MMWR_RATING_STATE_ROLLUP_QST[#Headers],0)),"ERROR"))</f>
        <v>543</v>
      </c>
      <c r="D65" s="155">
        <f>IF($B65=" ","",IFERROR(INDEX(MMWR_RATING_STATE_ROLLUP_QST[],MATCH($B65,MMWR_RATING_STATE_ROLLUP_QST[MMWR_RATING_STATE_ROLLUP_QST],0),MATCH(D$9,MMWR_RATING_STATE_ROLLUP_QST[#Headers],0)),"ERROR"))</f>
        <v>77.484346224700005</v>
      </c>
      <c r="E65" s="156">
        <f>IF($B65=" ","",IFERROR(INDEX(MMWR_RATING_STATE_ROLLUP_QST[],MATCH($B65,MMWR_RATING_STATE_ROLLUP_QST[MMWR_RATING_STATE_ROLLUP_QST],0),MATCH(E$9,MMWR_RATING_STATE_ROLLUP_QST[#Headers],0))/$C65,"ERROR"))</f>
        <v>0.17863720073664824</v>
      </c>
      <c r="F65" s="154">
        <f>IF($B65=" ","",IFERROR(INDEX(MMWR_RATING_STATE_ROLLUP_QST[],MATCH($B65,MMWR_RATING_STATE_ROLLUP_QST[MMWR_RATING_STATE_ROLLUP_QST],0),MATCH(F$9,MMWR_RATING_STATE_ROLLUP_QST[#Headers],0)),"ERROR"))</f>
        <v>31</v>
      </c>
      <c r="G65" s="154">
        <f>IF($B65=" ","",IFERROR(INDEX(MMWR_RATING_STATE_ROLLUP_QST[],MATCH($B65,MMWR_RATING_STATE_ROLLUP_QST[MMWR_RATING_STATE_ROLLUP_QST],0),MATCH(G$9,MMWR_RATING_STATE_ROLLUP_QST[#Headers],0)),"ERROR"))</f>
        <v>1050</v>
      </c>
      <c r="H65" s="155">
        <f>IF($B65=" ","",IFERROR(INDEX(MMWR_RATING_STATE_ROLLUP_QST[],MATCH($B65,MMWR_RATING_STATE_ROLLUP_QST[MMWR_RATING_STATE_ROLLUP_QST],0),MATCH(H$9,MMWR_RATING_STATE_ROLLUP_QST[#Headers],0)),"ERROR"))</f>
        <v>146.935483871</v>
      </c>
      <c r="I65" s="155">
        <f>IF($B65=" ","",IFERROR(INDEX(MMWR_RATING_STATE_ROLLUP_QST[],MATCH($B65,MMWR_RATING_STATE_ROLLUP_QST[MMWR_RATING_STATE_ROLLUP_QST],0),MATCH(I$9,MMWR_RATING_STATE_ROLLUP_QST[#Headers],0)),"ERROR"))</f>
        <v>157.76380952380001</v>
      </c>
      <c r="J65" s="42"/>
      <c r="K65" s="42"/>
      <c r="L65" s="42"/>
      <c r="M65" s="42"/>
      <c r="N65" s="28"/>
    </row>
    <row r="66" spans="1:14" x14ac:dyDescent="0.2">
      <c r="A66" s="25"/>
      <c r="B66" s="8" t="str">
        <f>VLOOKUP($B$15,DISTRICT_STATES[],16,0)</f>
        <v>West Virginia</v>
      </c>
      <c r="C66" s="154">
        <f>IF($B66=" ","",IFERROR(INDEX(MMWR_RATING_STATE_ROLLUP_QST[],MATCH($B66,MMWR_RATING_STATE_ROLLUP_QST[MMWR_RATING_STATE_ROLLUP_QST],0),MATCH(C$9,MMWR_RATING_STATE_ROLLUP_QST[#Headers],0)),"ERROR"))</f>
        <v>19</v>
      </c>
      <c r="D66" s="155">
        <f>IF($B66=" ","",IFERROR(INDEX(MMWR_RATING_STATE_ROLLUP_QST[],MATCH($B66,MMWR_RATING_STATE_ROLLUP_QST[MMWR_RATING_STATE_ROLLUP_QST],0),MATCH(D$9,MMWR_RATING_STATE_ROLLUP_QST[#Headers],0)),"ERROR"))</f>
        <v>69.315789473699994</v>
      </c>
      <c r="E66" s="156">
        <f>IF($B66=" ","",IFERROR(INDEX(MMWR_RATING_STATE_ROLLUP_QST[],MATCH($B66,MMWR_RATING_STATE_ROLLUP_QST[MMWR_RATING_STATE_ROLLUP_QST],0),MATCH(E$9,MMWR_RATING_STATE_ROLLUP_QST[#Headers],0))/$C66,"ERROR"))</f>
        <v>0.15789473684210525</v>
      </c>
      <c r="F66" s="154">
        <f>IF($B66=" ","",IFERROR(INDEX(MMWR_RATING_STATE_ROLLUP_QST[],MATCH($B66,MMWR_RATING_STATE_ROLLUP_QST[MMWR_RATING_STATE_ROLLUP_QST],0),MATCH(F$9,MMWR_RATING_STATE_ROLLUP_QST[#Headers],0)),"ERROR"))</f>
        <v>1</v>
      </c>
      <c r="G66" s="154">
        <f>IF($B66=" ","",IFERROR(INDEX(MMWR_RATING_STATE_ROLLUP_QST[],MATCH($B66,MMWR_RATING_STATE_ROLLUP_QST[MMWR_RATING_STATE_ROLLUP_QST],0),MATCH(G$9,MMWR_RATING_STATE_ROLLUP_QST[#Headers],0)),"ERROR"))</f>
        <v>36</v>
      </c>
      <c r="H66" s="155">
        <f>IF($B66=" ","",IFERROR(INDEX(MMWR_RATING_STATE_ROLLUP_QST[],MATCH($B66,MMWR_RATING_STATE_ROLLUP_QST[MMWR_RATING_STATE_ROLLUP_QST],0),MATCH(H$9,MMWR_RATING_STATE_ROLLUP_QST[#Headers],0)),"ERROR"))</f>
        <v>184</v>
      </c>
      <c r="I66" s="155">
        <f>IF($B66=" ","",IFERROR(INDEX(MMWR_RATING_STATE_ROLLUP_QST[],MATCH($B66,MMWR_RATING_STATE_ROLLUP_QST[MMWR_RATING_STATE_ROLLUP_QST],0),MATCH(I$9,MMWR_RATING_STATE_ROLLUP_QST[#Headers],0)),"ERROR"))</f>
        <v>149.55555555559999</v>
      </c>
      <c r="J66" s="42"/>
      <c r="K66" s="42"/>
      <c r="L66" s="42"/>
      <c r="M66" s="42"/>
      <c r="N66" s="28"/>
    </row>
    <row r="67" spans="1:14" x14ac:dyDescent="0.2">
      <c r="A67" s="25"/>
      <c r="B67" s="341" t="s">
        <v>1040</v>
      </c>
      <c r="C67" s="342"/>
      <c r="D67" s="342"/>
      <c r="E67" s="342"/>
      <c r="F67" s="342"/>
      <c r="G67" s="342"/>
      <c r="H67" s="342"/>
      <c r="I67" s="342"/>
      <c r="J67" s="342"/>
      <c r="K67" s="342"/>
      <c r="L67" s="342"/>
      <c r="M67" s="392"/>
      <c r="N67" s="28"/>
    </row>
    <row r="68" spans="1:14" ht="25.5" x14ac:dyDescent="0.2">
      <c r="A68" s="25"/>
      <c r="B68" s="250" t="s">
        <v>1036</v>
      </c>
      <c r="C68" s="154">
        <f>IF($B68=" ","",IFERROR(INDEX(MMWR_RATING_STATE_ROLLUP_BDD[],MATCH($B68,MMWR_RATING_STATE_ROLLUP_BDD[MMWR_RATING_STATE_ROLLUP_BDD],0),MATCH(C$9,MMWR_RATING_STATE_ROLLUP_BDD[#Headers],0)),"ERROR"))</f>
        <v>8033</v>
      </c>
      <c r="D68" s="155">
        <f>IF($B68=" ","",IFERROR(INDEX(MMWR_RATING_STATE_ROLLUP_BDD[],MATCH($B68,MMWR_RATING_STATE_ROLLUP_BDD[MMWR_RATING_STATE_ROLLUP_BDD],0),MATCH(D$9,MMWR_RATING_STATE_ROLLUP_BDD[#Headers],0)),"ERROR"))</f>
        <v>73.198306983699993</v>
      </c>
      <c r="E68" s="156">
        <f>IF($B68=" ","",IFERROR(INDEX(MMWR_RATING_STATE_ROLLUP_BDD[],MATCH($B68,MMWR_RATING_STATE_ROLLUP_BDD[MMWR_RATING_STATE_ROLLUP_BDD],0),MATCH(E$9,MMWR_RATING_STATE_ROLLUP_BDD[#Headers],0))/$C68,"ERROR"))</f>
        <v>0.16880368480019917</v>
      </c>
      <c r="F68" s="154">
        <f>IF($B68=" ","",IFERROR(INDEX(MMWR_RATING_STATE_ROLLUP_BDD[],MATCH($B68,MMWR_RATING_STATE_ROLLUP_BDD[MMWR_RATING_STATE_ROLLUP_BDD],0),MATCH(F$9,MMWR_RATING_STATE_ROLLUP_BDD[#Headers],0)),"ERROR"))</f>
        <v>518</v>
      </c>
      <c r="G68" s="154">
        <f>IF($B68=" ","",IFERROR(INDEX(MMWR_RATING_STATE_ROLLUP_BDD[],MATCH($B68,MMWR_RATING_STATE_ROLLUP_BDD[MMWR_RATING_STATE_ROLLUP_BDD],0),MATCH(G$9,MMWR_RATING_STATE_ROLLUP_BDD[#Headers],0)),"ERROR"))</f>
        <v>19902</v>
      </c>
      <c r="H68" s="155">
        <f>IF($B68=" ","",IFERROR(INDEX(MMWR_RATING_STATE_ROLLUP_BDD[],MATCH($B68,MMWR_RATING_STATE_ROLLUP_BDD[MMWR_RATING_STATE_ROLLUP_BDD],0),MATCH(H$9,MMWR_RATING_STATE_ROLLUP_BDD[#Headers],0)),"ERROR"))</f>
        <v>112.51930501930001</v>
      </c>
      <c r="I68" s="155">
        <f>IF($B68=" ","",IFERROR(INDEX(MMWR_RATING_STATE_ROLLUP_BDD[],MATCH($B68,MMWR_RATING_STATE_ROLLUP_BDD[MMWR_RATING_STATE_ROLLUP_BDD],0),MATCH(I$9,MMWR_RATING_STATE_ROLLUP_BDD[#Headers],0)),"ERROR"))</f>
        <v>133.520198975</v>
      </c>
      <c r="J68" s="42"/>
      <c r="K68" s="42"/>
      <c r="L68" s="42"/>
      <c r="M68" s="42"/>
      <c r="N68" s="28"/>
    </row>
    <row r="69" spans="1:14" x14ac:dyDescent="0.2">
      <c r="A69" s="25"/>
      <c r="B69" s="248" t="str">
        <f>INDEX(DISTRICT_STATES[],MATCH($B$5,DISTRICT_RO[District],0),1)</f>
        <v>North Atlantic</v>
      </c>
      <c r="C69" s="154">
        <f>IF($B69=" ","",IFERROR(INDEX(MMWR_RATING_STATE_ROLLUP_BDD[],MATCH($B69,MMWR_RATING_STATE_ROLLUP_BDD[MMWR_RATING_STATE_ROLLUP_BDD],0),MATCH(C$9,MMWR_RATING_STATE_ROLLUP_BDD[#Headers],0)),"ERROR"))</f>
        <v>2215</v>
      </c>
      <c r="D69" s="155">
        <f>IF($B69=" ","",IFERROR(INDEX(MMWR_RATING_STATE_ROLLUP_BDD[],MATCH($B69,MMWR_RATING_STATE_ROLLUP_BDD[MMWR_RATING_STATE_ROLLUP_BDD],0),MATCH(D$9,MMWR_RATING_STATE_ROLLUP_BDD[#Headers],0)),"ERROR"))</f>
        <v>71.776523702000006</v>
      </c>
      <c r="E69" s="156">
        <f>IF($B69=" ","",IFERROR(INDEX(MMWR_RATING_STATE_ROLLUP_BDD[],MATCH($B69,MMWR_RATING_STATE_ROLLUP_BDD[MMWR_RATING_STATE_ROLLUP_BDD],0),MATCH(E$9,MMWR_RATING_STATE_ROLLUP_BDD[#Headers],0))/$C69,"ERROR"))</f>
        <v>0.17065462753950339</v>
      </c>
      <c r="F69" s="154">
        <f>IF($B69=" ","",IFERROR(INDEX(MMWR_RATING_STATE_ROLLUP_BDD[],MATCH($B69,MMWR_RATING_STATE_ROLLUP_BDD[MMWR_RATING_STATE_ROLLUP_BDD],0),MATCH(F$9,MMWR_RATING_STATE_ROLLUP_BDD[#Headers],0)),"ERROR"))</f>
        <v>153</v>
      </c>
      <c r="G69" s="154">
        <f>IF($B69=" ","",IFERROR(INDEX(MMWR_RATING_STATE_ROLLUP_BDD[],MATCH($B69,MMWR_RATING_STATE_ROLLUP_BDD[MMWR_RATING_STATE_ROLLUP_BDD],0),MATCH(G$9,MMWR_RATING_STATE_ROLLUP_BDD[#Headers],0)),"ERROR"))</f>
        <v>5244</v>
      </c>
      <c r="H69" s="155">
        <f>IF($B69=" ","",IFERROR(INDEX(MMWR_RATING_STATE_ROLLUP_BDD[],MATCH($B69,MMWR_RATING_STATE_ROLLUP_BDD[MMWR_RATING_STATE_ROLLUP_BDD],0),MATCH(H$9,MMWR_RATING_STATE_ROLLUP_BDD[#Headers],0)),"ERROR"))</f>
        <v>130.39215686270001</v>
      </c>
      <c r="I69" s="155">
        <f>IF($B69=" ","",IFERROR(INDEX(MMWR_RATING_STATE_ROLLUP_BDD[],MATCH($B69,MMWR_RATING_STATE_ROLLUP_BDD[MMWR_RATING_STATE_ROLLUP_BDD],0),MATCH(I$9,MMWR_RATING_STATE_ROLLUP_BDD[#Headers],0)),"ERROR"))</f>
        <v>145.48779557590001</v>
      </c>
      <c r="J69" s="42"/>
      <c r="K69" s="42"/>
      <c r="L69" s="42"/>
      <c r="M69" s="42"/>
      <c r="N69" s="28"/>
    </row>
    <row r="70" spans="1:14" x14ac:dyDescent="0.2">
      <c r="A70" s="25"/>
      <c r="B70" s="8" t="str">
        <f>VLOOKUP($B$15,DISTRICT_STATES[],2,0)</f>
        <v>Connecticut</v>
      </c>
      <c r="C70" s="154">
        <f>IF($B70=" ","",IFERROR(INDEX(MMWR_RATING_STATE_ROLLUP_BDD[],MATCH($B70,MMWR_RATING_STATE_ROLLUP_BDD[MMWR_RATING_STATE_ROLLUP_BDD],0),MATCH(C$9,MMWR_RATING_STATE_ROLLUP_BDD[#Headers],0)),"ERROR"))</f>
        <v>21</v>
      </c>
      <c r="D70" s="155">
        <f>IF($B70=" ","",IFERROR(INDEX(MMWR_RATING_STATE_ROLLUP_BDD[],MATCH($B70,MMWR_RATING_STATE_ROLLUP_BDD[MMWR_RATING_STATE_ROLLUP_BDD],0),MATCH(D$9,MMWR_RATING_STATE_ROLLUP_BDD[#Headers],0)),"ERROR"))</f>
        <v>69.047619047599994</v>
      </c>
      <c r="E70" s="156">
        <f>IF($B70=" ","",IFERROR(INDEX(MMWR_RATING_STATE_ROLLUP_BDD[],MATCH($B70,MMWR_RATING_STATE_ROLLUP_BDD[MMWR_RATING_STATE_ROLLUP_BDD],0),MATCH(E$9,MMWR_RATING_STATE_ROLLUP_BDD[#Headers],0))/$C70,"ERROR"))</f>
        <v>9.5238095238095233E-2</v>
      </c>
      <c r="F70" s="154">
        <f>IF($B70=" ","",IFERROR(INDEX(MMWR_RATING_STATE_ROLLUP_BDD[],MATCH($B70,MMWR_RATING_STATE_ROLLUP_BDD[MMWR_RATING_STATE_ROLLUP_BDD],0),MATCH(F$9,MMWR_RATING_STATE_ROLLUP_BDD[#Headers],0)),"ERROR"))</f>
        <v>3</v>
      </c>
      <c r="G70" s="154">
        <f>IF($B70=" ","",IFERROR(INDEX(MMWR_RATING_STATE_ROLLUP_BDD[],MATCH($B70,MMWR_RATING_STATE_ROLLUP_BDD[MMWR_RATING_STATE_ROLLUP_BDD],0),MATCH(G$9,MMWR_RATING_STATE_ROLLUP_BDD[#Headers],0)),"ERROR"))</f>
        <v>121</v>
      </c>
      <c r="H70" s="155">
        <f>IF($B70=" ","",IFERROR(INDEX(MMWR_RATING_STATE_ROLLUP_BDD[],MATCH($B70,MMWR_RATING_STATE_ROLLUP_BDD[MMWR_RATING_STATE_ROLLUP_BDD],0),MATCH(H$9,MMWR_RATING_STATE_ROLLUP_BDD[#Headers],0)),"ERROR"))</f>
        <v>104.6666666667</v>
      </c>
      <c r="I70" s="155">
        <f>IF($B70=" ","",IFERROR(INDEX(MMWR_RATING_STATE_ROLLUP_BDD[],MATCH($B70,MMWR_RATING_STATE_ROLLUP_BDD[MMWR_RATING_STATE_ROLLUP_BDD],0),MATCH(I$9,MMWR_RATING_STATE_ROLLUP_BDD[#Headers],0)),"ERROR"))</f>
        <v>135.6694214876</v>
      </c>
      <c r="J70" s="42"/>
      <c r="K70" s="42"/>
      <c r="L70" s="42"/>
      <c r="M70" s="42"/>
      <c r="N70" s="28"/>
    </row>
    <row r="71" spans="1:14" x14ac:dyDescent="0.2">
      <c r="A71" s="25"/>
      <c r="B71" s="8" t="str">
        <f>VLOOKUP($B$15,DISTRICT_STATES[],3,0)</f>
        <v>Delaware</v>
      </c>
      <c r="C71" s="154">
        <f>IF($B71=" ","",IFERROR(INDEX(MMWR_RATING_STATE_ROLLUP_BDD[],MATCH($B71,MMWR_RATING_STATE_ROLLUP_BDD[MMWR_RATING_STATE_ROLLUP_BDD],0),MATCH(C$9,MMWR_RATING_STATE_ROLLUP_BDD[#Headers],0)),"ERROR"))</f>
        <v>23</v>
      </c>
      <c r="D71" s="155">
        <f>IF($B71=" ","",IFERROR(INDEX(MMWR_RATING_STATE_ROLLUP_BDD[],MATCH($B71,MMWR_RATING_STATE_ROLLUP_BDD[MMWR_RATING_STATE_ROLLUP_BDD],0),MATCH(D$9,MMWR_RATING_STATE_ROLLUP_BDD[#Headers],0)),"ERROR"))</f>
        <v>81.521739130399993</v>
      </c>
      <c r="E71" s="156">
        <f>IF($B71=" ","",IFERROR(INDEX(MMWR_RATING_STATE_ROLLUP_BDD[],MATCH($B71,MMWR_RATING_STATE_ROLLUP_BDD[MMWR_RATING_STATE_ROLLUP_BDD],0),MATCH(E$9,MMWR_RATING_STATE_ROLLUP_BDD[#Headers],0))/$C71,"ERROR"))</f>
        <v>0.17391304347826086</v>
      </c>
      <c r="F71" s="154">
        <f>IF($B71=" ","",IFERROR(INDEX(MMWR_RATING_STATE_ROLLUP_BDD[],MATCH($B71,MMWR_RATING_STATE_ROLLUP_BDD[MMWR_RATING_STATE_ROLLUP_BDD],0),MATCH(F$9,MMWR_RATING_STATE_ROLLUP_BDD[#Headers],0)),"ERROR"))</f>
        <v>3</v>
      </c>
      <c r="G71" s="154">
        <f>IF($B71=" ","",IFERROR(INDEX(MMWR_RATING_STATE_ROLLUP_BDD[],MATCH($B71,MMWR_RATING_STATE_ROLLUP_BDD[MMWR_RATING_STATE_ROLLUP_BDD],0),MATCH(G$9,MMWR_RATING_STATE_ROLLUP_BDD[#Headers],0)),"ERROR"))</f>
        <v>39</v>
      </c>
      <c r="H71" s="155">
        <f>IF($B71=" ","",IFERROR(INDEX(MMWR_RATING_STATE_ROLLUP_BDD[],MATCH($B71,MMWR_RATING_STATE_ROLLUP_BDD[MMWR_RATING_STATE_ROLLUP_BDD],0),MATCH(H$9,MMWR_RATING_STATE_ROLLUP_BDD[#Headers],0)),"ERROR"))</f>
        <v>133</v>
      </c>
      <c r="I71" s="155">
        <f>IF($B71=" ","",IFERROR(INDEX(MMWR_RATING_STATE_ROLLUP_BDD[],MATCH($B71,MMWR_RATING_STATE_ROLLUP_BDD[MMWR_RATING_STATE_ROLLUP_BDD],0),MATCH(I$9,MMWR_RATING_STATE_ROLLUP_BDD[#Headers],0)),"ERROR"))</f>
        <v>153.56410256410001</v>
      </c>
      <c r="J71" s="42"/>
      <c r="K71" s="42"/>
      <c r="L71" s="42"/>
      <c r="M71" s="42"/>
      <c r="N71" s="28"/>
    </row>
    <row r="72" spans="1:14" x14ac:dyDescent="0.2">
      <c r="A72" s="25"/>
      <c r="B72" s="8" t="str">
        <f>VLOOKUP($B$15,DISTRICT_STATES[],4,0)</f>
        <v>District of Columbia</v>
      </c>
      <c r="C72" s="154">
        <f>IF($B72=" ","",IFERROR(INDEX(MMWR_RATING_STATE_ROLLUP_BDD[],MATCH($B72,MMWR_RATING_STATE_ROLLUP_BDD[MMWR_RATING_STATE_ROLLUP_BDD],0),MATCH(C$9,MMWR_RATING_STATE_ROLLUP_BDD[#Headers],0)),"ERROR"))</f>
        <v>21</v>
      </c>
      <c r="D72" s="155">
        <f>IF($B72=" ","",IFERROR(INDEX(MMWR_RATING_STATE_ROLLUP_BDD[],MATCH($B72,MMWR_RATING_STATE_ROLLUP_BDD[MMWR_RATING_STATE_ROLLUP_BDD],0),MATCH(D$9,MMWR_RATING_STATE_ROLLUP_BDD[#Headers],0)),"ERROR"))</f>
        <v>52.571428571399998</v>
      </c>
      <c r="E72" s="156">
        <f>IF($B72=" ","",IFERROR(INDEX(MMWR_RATING_STATE_ROLLUP_BDD[],MATCH($B72,MMWR_RATING_STATE_ROLLUP_BDD[MMWR_RATING_STATE_ROLLUP_BDD],0),MATCH(E$9,MMWR_RATING_STATE_ROLLUP_BDD[#Headers],0))/$C72,"ERROR"))</f>
        <v>0.14285714285714285</v>
      </c>
      <c r="F72" s="154">
        <f>IF($B72=" ","",IFERROR(INDEX(MMWR_RATING_STATE_ROLLUP_BDD[],MATCH($B72,MMWR_RATING_STATE_ROLLUP_BDD[MMWR_RATING_STATE_ROLLUP_BDD],0),MATCH(F$9,MMWR_RATING_STATE_ROLLUP_BDD[#Headers],0)),"ERROR"))</f>
        <v>2</v>
      </c>
      <c r="G72" s="154">
        <f>IF($B72=" ","",IFERROR(INDEX(MMWR_RATING_STATE_ROLLUP_BDD[],MATCH($B72,MMWR_RATING_STATE_ROLLUP_BDD[MMWR_RATING_STATE_ROLLUP_BDD],0),MATCH(G$9,MMWR_RATING_STATE_ROLLUP_BDD[#Headers],0)),"ERROR"))</f>
        <v>41</v>
      </c>
      <c r="H72" s="155">
        <f>IF($B72=" ","",IFERROR(INDEX(MMWR_RATING_STATE_ROLLUP_BDD[],MATCH($B72,MMWR_RATING_STATE_ROLLUP_BDD[MMWR_RATING_STATE_ROLLUP_BDD],0),MATCH(H$9,MMWR_RATING_STATE_ROLLUP_BDD[#Headers],0)),"ERROR"))</f>
        <v>110</v>
      </c>
      <c r="I72" s="155">
        <f>IF($B72=" ","",IFERROR(INDEX(MMWR_RATING_STATE_ROLLUP_BDD[],MATCH($B72,MMWR_RATING_STATE_ROLLUP_BDD[MMWR_RATING_STATE_ROLLUP_BDD],0),MATCH(I$9,MMWR_RATING_STATE_ROLLUP_BDD[#Headers],0)),"ERROR"))</f>
        <v>135.85365853659999</v>
      </c>
      <c r="J72" s="42"/>
      <c r="K72" s="42"/>
      <c r="L72" s="42"/>
      <c r="M72" s="42"/>
      <c r="N72" s="28"/>
    </row>
    <row r="73" spans="1:14" x14ac:dyDescent="0.2">
      <c r="A73" s="25"/>
      <c r="B73" s="8" t="str">
        <f>VLOOKUP($B$15,DISTRICT_STATES[],5,0)</f>
        <v>Maine</v>
      </c>
      <c r="C73" s="154">
        <f>IF($B73=" ","",IFERROR(INDEX(MMWR_RATING_STATE_ROLLUP_BDD[],MATCH($B73,MMWR_RATING_STATE_ROLLUP_BDD[MMWR_RATING_STATE_ROLLUP_BDD],0),MATCH(C$9,MMWR_RATING_STATE_ROLLUP_BDD[#Headers],0)),"ERROR"))</f>
        <v>7</v>
      </c>
      <c r="D73" s="155">
        <f>IF($B73=" ","",IFERROR(INDEX(MMWR_RATING_STATE_ROLLUP_BDD[],MATCH($B73,MMWR_RATING_STATE_ROLLUP_BDD[MMWR_RATING_STATE_ROLLUP_BDD],0),MATCH(D$9,MMWR_RATING_STATE_ROLLUP_BDD[#Headers],0)),"ERROR"))</f>
        <v>72.428571428599994</v>
      </c>
      <c r="E73" s="156">
        <f>IF($B73=" ","",IFERROR(INDEX(MMWR_RATING_STATE_ROLLUP_BDD[],MATCH($B73,MMWR_RATING_STATE_ROLLUP_BDD[MMWR_RATING_STATE_ROLLUP_BDD],0),MATCH(E$9,MMWR_RATING_STATE_ROLLUP_BDD[#Headers],0))/$C73,"ERROR"))</f>
        <v>0.2857142857142857</v>
      </c>
      <c r="F73" s="154">
        <f>IF($B73=" ","",IFERROR(INDEX(MMWR_RATING_STATE_ROLLUP_BDD[],MATCH($B73,MMWR_RATING_STATE_ROLLUP_BDD[MMWR_RATING_STATE_ROLLUP_BDD],0),MATCH(F$9,MMWR_RATING_STATE_ROLLUP_BDD[#Headers],0)),"ERROR"))</f>
        <v>0</v>
      </c>
      <c r="G73" s="154">
        <f>IF($B73=" ","",IFERROR(INDEX(MMWR_RATING_STATE_ROLLUP_BDD[],MATCH($B73,MMWR_RATING_STATE_ROLLUP_BDD[MMWR_RATING_STATE_ROLLUP_BDD],0),MATCH(G$9,MMWR_RATING_STATE_ROLLUP_BDD[#Headers],0)),"ERROR"))</f>
        <v>44</v>
      </c>
      <c r="H73" s="155">
        <f>IF($B73=" ","",IFERROR(INDEX(MMWR_RATING_STATE_ROLLUP_BDD[],MATCH($B73,MMWR_RATING_STATE_ROLLUP_BDD[MMWR_RATING_STATE_ROLLUP_BDD],0),MATCH(H$9,MMWR_RATING_STATE_ROLLUP_BDD[#Headers],0)),"ERROR"))</f>
        <v>0</v>
      </c>
      <c r="I73" s="155">
        <f>IF($B73=" ","",IFERROR(INDEX(MMWR_RATING_STATE_ROLLUP_BDD[],MATCH($B73,MMWR_RATING_STATE_ROLLUP_BDD[MMWR_RATING_STATE_ROLLUP_BDD],0),MATCH(I$9,MMWR_RATING_STATE_ROLLUP_BDD[#Headers],0)),"ERROR"))</f>
        <v>141.8409090909</v>
      </c>
      <c r="J73" s="42"/>
      <c r="K73" s="42"/>
      <c r="L73" s="42"/>
      <c r="M73" s="42"/>
      <c r="N73" s="28"/>
    </row>
    <row r="74" spans="1:14" x14ac:dyDescent="0.2">
      <c r="A74" s="25"/>
      <c r="B74" s="8" t="str">
        <f>VLOOKUP($B$15,DISTRICT_STATES[],6,0)</f>
        <v>Maryland</v>
      </c>
      <c r="C74" s="154">
        <f>IF($B74=" ","",IFERROR(INDEX(MMWR_RATING_STATE_ROLLUP_BDD[],MATCH($B74,MMWR_RATING_STATE_ROLLUP_BDD[MMWR_RATING_STATE_ROLLUP_BDD],0),MATCH(C$9,MMWR_RATING_STATE_ROLLUP_BDD[#Headers],0)),"ERROR"))</f>
        <v>238</v>
      </c>
      <c r="D74" s="155">
        <f>IF($B74=" ","",IFERROR(INDEX(MMWR_RATING_STATE_ROLLUP_BDD[],MATCH($B74,MMWR_RATING_STATE_ROLLUP_BDD[MMWR_RATING_STATE_ROLLUP_BDD],0),MATCH(D$9,MMWR_RATING_STATE_ROLLUP_BDD[#Headers],0)),"ERROR"))</f>
        <v>74.411764705899998</v>
      </c>
      <c r="E74" s="156">
        <f>IF($B74=" ","",IFERROR(INDEX(MMWR_RATING_STATE_ROLLUP_BDD[],MATCH($B74,MMWR_RATING_STATE_ROLLUP_BDD[MMWR_RATING_STATE_ROLLUP_BDD],0),MATCH(E$9,MMWR_RATING_STATE_ROLLUP_BDD[#Headers],0))/$C74,"ERROR"))</f>
        <v>0.18067226890756302</v>
      </c>
      <c r="F74" s="154">
        <f>IF($B74=" ","",IFERROR(INDEX(MMWR_RATING_STATE_ROLLUP_BDD[],MATCH($B74,MMWR_RATING_STATE_ROLLUP_BDD[MMWR_RATING_STATE_ROLLUP_BDD],0),MATCH(F$9,MMWR_RATING_STATE_ROLLUP_BDD[#Headers],0)),"ERROR"))</f>
        <v>20</v>
      </c>
      <c r="G74" s="154">
        <f>IF($B74=" ","",IFERROR(INDEX(MMWR_RATING_STATE_ROLLUP_BDD[],MATCH($B74,MMWR_RATING_STATE_ROLLUP_BDD[MMWR_RATING_STATE_ROLLUP_BDD],0),MATCH(G$9,MMWR_RATING_STATE_ROLLUP_BDD[#Headers],0)),"ERROR"))</f>
        <v>576</v>
      </c>
      <c r="H74" s="155">
        <f>IF($B74=" ","",IFERROR(INDEX(MMWR_RATING_STATE_ROLLUP_BDD[],MATCH($B74,MMWR_RATING_STATE_ROLLUP_BDD[MMWR_RATING_STATE_ROLLUP_BDD],0),MATCH(H$9,MMWR_RATING_STATE_ROLLUP_BDD[#Headers],0)),"ERROR"))</f>
        <v>96.05</v>
      </c>
      <c r="I74" s="155">
        <f>IF($B74=" ","",IFERROR(INDEX(MMWR_RATING_STATE_ROLLUP_BDD[],MATCH($B74,MMWR_RATING_STATE_ROLLUP_BDD[MMWR_RATING_STATE_ROLLUP_BDD],0),MATCH(I$9,MMWR_RATING_STATE_ROLLUP_BDD[#Headers],0)),"ERROR"))</f>
        <v>145.6076388889</v>
      </c>
      <c r="J74" s="42"/>
      <c r="K74" s="42"/>
      <c r="L74" s="42"/>
      <c r="M74" s="42"/>
      <c r="N74" s="28"/>
    </row>
    <row r="75" spans="1:14" x14ac:dyDescent="0.2">
      <c r="A75" s="25"/>
      <c r="B75" s="8" t="str">
        <f>VLOOKUP($B$15,DISTRICT_STATES[],7,0)</f>
        <v>Massachusetts</v>
      </c>
      <c r="C75" s="154">
        <f>IF($B75=" ","",IFERROR(INDEX(MMWR_RATING_STATE_ROLLUP_BDD[],MATCH($B75,MMWR_RATING_STATE_ROLLUP_BDD[MMWR_RATING_STATE_ROLLUP_BDD],0),MATCH(C$9,MMWR_RATING_STATE_ROLLUP_BDD[#Headers],0)),"ERROR"))</f>
        <v>41</v>
      </c>
      <c r="D75" s="155">
        <f>IF($B75=" ","",IFERROR(INDEX(MMWR_RATING_STATE_ROLLUP_BDD[],MATCH($B75,MMWR_RATING_STATE_ROLLUP_BDD[MMWR_RATING_STATE_ROLLUP_BDD],0),MATCH(D$9,MMWR_RATING_STATE_ROLLUP_BDD[#Headers],0)),"ERROR"))</f>
        <v>45.195121951200001</v>
      </c>
      <c r="E75" s="156">
        <f>IF($B75=" ","",IFERROR(INDEX(MMWR_RATING_STATE_ROLLUP_BDD[],MATCH($B75,MMWR_RATING_STATE_ROLLUP_BDD[MMWR_RATING_STATE_ROLLUP_BDD],0),MATCH(E$9,MMWR_RATING_STATE_ROLLUP_BDD[#Headers],0))/$C75,"ERROR"))</f>
        <v>0</v>
      </c>
      <c r="F75" s="154">
        <f>IF($B75=" ","",IFERROR(INDEX(MMWR_RATING_STATE_ROLLUP_BDD[],MATCH($B75,MMWR_RATING_STATE_ROLLUP_BDD[MMWR_RATING_STATE_ROLLUP_BDD],0),MATCH(F$9,MMWR_RATING_STATE_ROLLUP_BDD[#Headers],0)),"ERROR"))</f>
        <v>3</v>
      </c>
      <c r="G75" s="154">
        <f>IF($B75=" ","",IFERROR(INDEX(MMWR_RATING_STATE_ROLLUP_BDD[],MATCH($B75,MMWR_RATING_STATE_ROLLUP_BDD[MMWR_RATING_STATE_ROLLUP_BDD],0),MATCH(G$9,MMWR_RATING_STATE_ROLLUP_BDD[#Headers],0)),"ERROR"))</f>
        <v>97</v>
      </c>
      <c r="H75" s="155">
        <f>IF($B75=" ","",IFERROR(INDEX(MMWR_RATING_STATE_ROLLUP_BDD[],MATCH($B75,MMWR_RATING_STATE_ROLLUP_BDD[MMWR_RATING_STATE_ROLLUP_BDD],0),MATCH(H$9,MMWR_RATING_STATE_ROLLUP_BDD[#Headers],0)),"ERROR"))</f>
        <v>106.3333333333</v>
      </c>
      <c r="I75" s="155">
        <f>IF($B75=" ","",IFERROR(INDEX(MMWR_RATING_STATE_ROLLUP_BDD[],MATCH($B75,MMWR_RATING_STATE_ROLLUP_BDD[MMWR_RATING_STATE_ROLLUP_BDD],0),MATCH(I$9,MMWR_RATING_STATE_ROLLUP_BDD[#Headers],0)),"ERROR"))</f>
        <v>132.88659793810001</v>
      </c>
      <c r="J75" s="42"/>
      <c r="K75" s="42"/>
      <c r="L75" s="42"/>
      <c r="M75" s="42"/>
      <c r="N75" s="28"/>
    </row>
    <row r="76" spans="1:14" x14ac:dyDescent="0.2">
      <c r="A76" s="25"/>
      <c r="B76" s="8" t="str">
        <f>VLOOKUP($B$15,DISTRICT_STATES[],8,0)</f>
        <v>New Hampshire</v>
      </c>
      <c r="C76" s="154">
        <f>IF($B76=" ","",IFERROR(INDEX(MMWR_RATING_STATE_ROLLUP_BDD[],MATCH($B76,MMWR_RATING_STATE_ROLLUP_BDD[MMWR_RATING_STATE_ROLLUP_BDD],0),MATCH(C$9,MMWR_RATING_STATE_ROLLUP_BDD[#Headers],0)),"ERROR"))</f>
        <v>9</v>
      </c>
      <c r="D76" s="155">
        <f>IF($B76=" ","",IFERROR(INDEX(MMWR_RATING_STATE_ROLLUP_BDD[],MATCH($B76,MMWR_RATING_STATE_ROLLUP_BDD[MMWR_RATING_STATE_ROLLUP_BDD],0),MATCH(D$9,MMWR_RATING_STATE_ROLLUP_BDD[#Headers],0)),"ERROR"))</f>
        <v>127.3333333333</v>
      </c>
      <c r="E76" s="156">
        <f>IF($B76=" ","",IFERROR(INDEX(MMWR_RATING_STATE_ROLLUP_BDD[],MATCH($B76,MMWR_RATING_STATE_ROLLUP_BDD[MMWR_RATING_STATE_ROLLUP_BDD],0),MATCH(E$9,MMWR_RATING_STATE_ROLLUP_BDD[#Headers],0))/$C76,"ERROR"))</f>
        <v>0.33333333333333331</v>
      </c>
      <c r="F76" s="154">
        <f>IF($B76=" ","",IFERROR(INDEX(MMWR_RATING_STATE_ROLLUP_BDD[],MATCH($B76,MMWR_RATING_STATE_ROLLUP_BDD[MMWR_RATING_STATE_ROLLUP_BDD],0),MATCH(F$9,MMWR_RATING_STATE_ROLLUP_BDD[#Headers],0)),"ERROR"))</f>
        <v>1</v>
      </c>
      <c r="G76" s="154">
        <f>IF($B76=" ","",IFERROR(INDEX(MMWR_RATING_STATE_ROLLUP_BDD[],MATCH($B76,MMWR_RATING_STATE_ROLLUP_BDD[MMWR_RATING_STATE_ROLLUP_BDD],0),MATCH(G$9,MMWR_RATING_STATE_ROLLUP_BDD[#Headers],0)),"ERROR"))</f>
        <v>43</v>
      </c>
      <c r="H76" s="155">
        <f>IF($B76=" ","",IFERROR(INDEX(MMWR_RATING_STATE_ROLLUP_BDD[],MATCH($B76,MMWR_RATING_STATE_ROLLUP_BDD[MMWR_RATING_STATE_ROLLUP_BDD],0),MATCH(H$9,MMWR_RATING_STATE_ROLLUP_BDD[#Headers],0)),"ERROR"))</f>
        <v>137</v>
      </c>
      <c r="I76" s="155">
        <f>IF($B76=" ","",IFERROR(INDEX(MMWR_RATING_STATE_ROLLUP_BDD[],MATCH($B76,MMWR_RATING_STATE_ROLLUP_BDD[MMWR_RATING_STATE_ROLLUP_BDD],0),MATCH(I$9,MMWR_RATING_STATE_ROLLUP_BDD[#Headers],0)),"ERROR"))</f>
        <v>132.32558139529999</v>
      </c>
      <c r="J76" s="42"/>
      <c r="K76" s="42"/>
      <c r="L76" s="42"/>
      <c r="M76" s="42"/>
      <c r="N76" s="28"/>
    </row>
    <row r="77" spans="1:14" x14ac:dyDescent="0.2">
      <c r="A77" s="25"/>
      <c r="B77" s="8" t="str">
        <f>VLOOKUP($B$15,DISTRICT_STATES[],9,0)</f>
        <v>New Jersey</v>
      </c>
      <c r="C77" s="154">
        <f>IF($B77=" ","",IFERROR(INDEX(MMWR_RATING_STATE_ROLLUP_BDD[],MATCH($B77,MMWR_RATING_STATE_ROLLUP_BDD[MMWR_RATING_STATE_ROLLUP_BDD],0),MATCH(C$9,MMWR_RATING_STATE_ROLLUP_BDD[#Headers],0)),"ERROR"))</f>
        <v>63</v>
      </c>
      <c r="D77" s="155">
        <f>IF($B77=" ","",IFERROR(INDEX(MMWR_RATING_STATE_ROLLUP_BDD[],MATCH($B77,MMWR_RATING_STATE_ROLLUP_BDD[MMWR_RATING_STATE_ROLLUP_BDD],0),MATCH(D$9,MMWR_RATING_STATE_ROLLUP_BDD[#Headers],0)),"ERROR"))</f>
        <v>78.555555555599994</v>
      </c>
      <c r="E77" s="156">
        <f>IF($B77=" ","",IFERROR(INDEX(MMWR_RATING_STATE_ROLLUP_BDD[],MATCH($B77,MMWR_RATING_STATE_ROLLUP_BDD[MMWR_RATING_STATE_ROLLUP_BDD],0),MATCH(E$9,MMWR_RATING_STATE_ROLLUP_BDD[#Headers],0))/$C77,"ERROR"))</f>
        <v>0.17460317460317459</v>
      </c>
      <c r="F77" s="154">
        <f>IF($B77=" ","",IFERROR(INDEX(MMWR_RATING_STATE_ROLLUP_BDD[],MATCH($B77,MMWR_RATING_STATE_ROLLUP_BDD[MMWR_RATING_STATE_ROLLUP_BDD],0),MATCH(F$9,MMWR_RATING_STATE_ROLLUP_BDD[#Headers],0)),"ERROR"))</f>
        <v>2</v>
      </c>
      <c r="G77" s="154">
        <f>IF($B77=" ","",IFERROR(INDEX(MMWR_RATING_STATE_ROLLUP_BDD[],MATCH($B77,MMWR_RATING_STATE_ROLLUP_BDD[MMWR_RATING_STATE_ROLLUP_BDD],0),MATCH(G$9,MMWR_RATING_STATE_ROLLUP_BDD[#Headers],0)),"ERROR"))</f>
        <v>143</v>
      </c>
      <c r="H77" s="155">
        <f>IF($B77=" ","",IFERROR(INDEX(MMWR_RATING_STATE_ROLLUP_BDD[],MATCH($B77,MMWR_RATING_STATE_ROLLUP_BDD[MMWR_RATING_STATE_ROLLUP_BDD],0),MATCH(H$9,MMWR_RATING_STATE_ROLLUP_BDD[#Headers],0)),"ERROR"))</f>
        <v>105</v>
      </c>
      <c r="I77" s="155">
        <f>IF($B77=" ","",IFERROR(INDEX(MMWR_RATING_STATE_ROLLUP_BDD[],MATCH($B77,MMWR_RATING_STATE_ROLLUP_BDD[MMWR_RATING_STATE_ROLLUP_BDD],0),MATCH(I$9,MMWR_RATING_STATE_ROLLUP_BDD[#Headers],0)),"ERROR"))</f>
        <v>138.28671328670001</v>
      </c>
      <c r="J77" s="42"/>
      <c r="K77" s="42"/>
      <c r="L77" s="42"/>
      <c r="M77" s="42"/>
      <c r="N77" s="28"/>
    </row>
    <row r="78" spans="1:14" x14ac:dyDescent="0.2">
      <c r="A78" s="25"/>
      <c r="B78" s="8" t="str">
        <f>VLOOKUP($B$15,DISTRICT_STATES[],10,0)</f>
        <v>New York</v>
      </c>
      <c r="C78" s="154">
        <f>IF($B78=" ","",IFERROR(INDEX(MMWR_RATING_STATE_ROLLUP_BDD[],MATCH($B78,MMWR_RATING_STATE_ROLLUP_BDD[MMWR_RATING_STATE_ROLLUP_BDD],0),MATCH(C$9,MMWR_RATING_STATE_ROLLUP_BDD[#Headers],0)),"ERROR"))</f>
        <v>134</v>
      </c>
      <c r="D78" s="155">
        <f>IF($B78=" ","",IFERROR(INDEX(MMWR_RATING_STATE_ROLLUP_BDD[],MATCH($B78,MMWR_RATING_STATE_ROLLUP_BDD[MMWR_RATING_STATE_ROLLUP_BDD],0),MATCH(D$9,MMWR_RATING_STATE_ROLLUP_BDD[#Headers],0)),"ERROR"))</f>
        <v>70.6865671642</v>
      </c>
      <c r="E78" s="156">
        <f>IF($B78=" ","",IFERROR(INDEX(MMWR_RATING_STATE_ROLLUP_BDD[],MATCH($B78,MMWR_RATING_STATE_ROLLUP_BDD[MMWR_RATING_STATE_ROLLUP_BDD],0),MATCH(E$9,MMWR_RATING_STATE_ROLLUP_BDD[#Headers],0))/$C78,"ERROR"))</f>
        <v>0.16417910447761194</v>
      </c>
      <c r="F78" s="154">
        <f>IF($B78=" ","",IFERROR(INDEX(MMWR_RATING_STATE_ROLLUP_BDD[],MATCH($B78,MMWR_RATING_STATE_ROLLUP_BDD[MMWR_RATING_STATE_ROLLUP_BDD],0),MATCH(F$9,MMWR_RATING_STATE_ROLLUP_BDD[#Headers],0)),"ERROR"))</f>
        <v>5</v>
      </c>
      <c r="G78" s="154">
        <f>IF($B78=" ","",IFERROR(INDEX(MMWR_RATING_STATE_ROLLUP_BDD[],MATCH($B78,MMWR_RATING_STATE_ROLLUP_BDD[MMWR_RATING_STATE_ROLLUP_BDD],0),MATCH(G$9,MMWR_RATING_STATE_ROLLUP_BDD[#Headers],0)),"ERROR"))</f>
        <v>300</v>
      </c>
      <c r="H78" s="155">
        <f>IF($B78=" ","",IFERROR(INDEX(MMWR_RATING_STATE_ROLLUP_BDD[],MATCH($B78,MMWR_RATING_STATE_ROLLUP_BDD[MMWR_RATING_STATE_ROLLUP_BDD],0),MATCH(H$9,MMWR_RATING_STATE_ROLLUP_BDD[#Headers],0)),"ERROR"))</f>
        <v>85.8</v>
      </c>
      <c r="I78" s="155">
        <f>IF($B78=" ","",IFERROR(INDEX(MMWR_RATING_STATE_ROLLUP_BDD[],MATCH($B78,MMWR_RATING_STATE_ROLLUP_BDD[MMWR_RATING_STATE_ROLLUP_BDD],0),MATCH(I$9,MMWR_RATING_STATE_ROLLUP_BDD[#Headers],0)),"ERROR"))</f>
        <v>135.8033333333</v>
      </c>
      <c r="J78" s="42"/>
      <c r="K78" s="42"/>
      <c r="L78" s="42"/>
      <c r="M78" s="42"/>
      <c r="N78" s="28"/>
    </row>
    <row r="79" spans="1:14" x14ac:dyDescent="0.2">
      <c r="A79" s="25"/>
      <c r="B79" s="8" t="str">
        <f>VLOOKUP($B$15,DISTRICT_STATES[],11,0)</f>
        <v>North Carolina</v>
      </c>
      <c r="C79" s="154">
        <f>IF($B79=" ","",IFERROR(INDEX(MMWR_RATING_STATE_ROLLUP_BDD[],MATCH($B79,MMWR_RATING_STATE_ROLLUP_BDD[MMWR_RATING_STATE_ROLLUP_BDD],0),MATCH(C$9,MMWR_RATING_STATE_ROLLUP_BDD[#Headers],0)),"ERROR"))</f>
        <v>768</v>
      </c>
      <c r="D79" s="155">
        <f>IF($B79=" ","",IFERROR(INDEX(MMWR_RATING_STATE_ROLLUP_BDD[],MATCH($B79,MMWR_RATING_STATE_ROLLUP_BDD[MMWR_RATING_STATE_ROLLUP_BDD],0),MATCH(D$9,MMWR_RATING_STATE_ROLLUP_BDD[#Headers],0)),"ERROR"))</f>
        <v>69.658854166699996</v>
      </c>
      <c r="E79" s="156">
        <f>IF($B79=" ","",IFERROR(INDEX(MMWR_RATING_STATE_ROLLUP_BDD[],MATCH($B79,MMWR_RATING_STATE_ROLLUP_BDD[MMWR_RATING_STATE_ROLLUP_BDD],0),MATCH(E$9,MMWR_RATING_STATE_ROLLUP_BDD[#Headers],0))/$C79,"ERROR"))</f>
        <v>0.16145833333333334</v>
      </c>
      <c r="F79" s="154">
        <f>IF($B79=" ","",IFERROR(INDEX(MMWR_RATING_STATE_ROLLUP_BDD[],MATCH($B79,MMWR_RATING_STATE_ROLLUP_BDD[MMWR_RATING_STATE_ROLLUP_BDD],0),MATCH(F$9,MMWR_RATING_STATE_ROLLUP_BDD[#Headers],0)),"ERROR"))</f>
        <v>41</v>
      </c>
      <c r="G79" s="154">
        <f>IF($B79=" ","",IFERROR(INDEX(MMWR_RATING_STATE_ROLLUP_BDD[],MATCH($B79,MMWR_RATING_STATE_ROLLUP_BDD[MMWR_RATING_STATE_ROLLUP_BDD],0),MATCH(G$9,MMWR_RATING_STATE_ROLLUP_BDD[#Headers],0)),"ERROR"))</f>
        <v>1648</v>
      </c>
      <c r="H79" s="155">
        <f>IF($B79=" ","",IFERROR(INDEX(MMWR_RATING_STATE_ROLLUP_BDD[],MATCH($B79,MMWR_RATING_STATE_ROLLUP_BDD[MMWR_RATING_STATE_ROLLUP_BDD],0),MATCH(H$9,MMWR_RATING_STATE_ROLLUP_BDD[#Headers],0)),"ERROR"))</f>
        <v>143.19512195120001</v>
      </c>
      <c r="I79" s="155">
        <f>IF($B79=" ","",IFERROR(INDEX(MMWR_RATING_STATE_ROLLUP_BDD[],MATCH($B79,MMWR_RATING_STATE_ROLLUP_BDD[MMWR_RATING_STATE_ROLLUP_BDD],0),MATCH(I$9,MMWR_RATING_STATE_ROLLUP_BDD[#Headers],0)),"ERROR"))</f>
        <v>145.7766990291</v>
      </c>
      <c r="J79" s="42"/>
      <c r="K79" s="42"/>
      <c r="L79" s="42"/>
      <c r="M79" s="42"/>
      <c r="N79" s="28"/>
    </row>
    <row r="80" spans="1:14" x14ac:dyDescent="0.2">
      <c r="A80" s="25"/>
      <c r="B80" s="8" t="str">
        <f>VLOOKUP($B$15,DISTRICT_STATES[],12,0)</f>
        <v>Pennsylvania</v>
      </c>
      <c r="C80" s="154">
        <f>IF($B80=" ","",IFERROR(INDEX(MMWR_RATING_STATE_ROLLUP_BDD[],MATCH($B80,MMWR_RATING_STATE_ROLLUP_BDD[MMWR_RATING_STATE_ROLLUP_BDD],0),MATCH(C$9,MMWR_RATING_STATE_ROLLUP_BDD[#Headers],0)),"ERROR"))</f>
        <v>91</v>
      </c>
      <c r="D80" s="155">
        <f>IF($B80=" ","",IFERROR(INDEX(MMWR_RATING_STATE_ROLLUP_BDD[],MATCH($B80,MMWR_RATING_STATE_ROLLUP_BDD[MMWR_RATING_STATE_ROLLUP_BDD],0),MATCH(D$9,MMWR_RATING_STATE_ROLLUP_BDD[#Headers],0)),"ERROR"))</f>
        <v>78.857142857100001</v>
      </c>
      <c r="E80" s="156">
        <f>IF($B80=" ","",IFERROR(INDEX(MMWR_RATING_STATE_ROLLUP_BDD[],MATCH($B80,MMWR_RATING_STATE_ROLLUP_BDD[MMWR_RATING_STATE_ROLLUP_BDD],0),MATCH(E$9,MMWR_RATING_STATE_ROLLUP_BDD[#Headers],0))/$C80,"ERROR"))</f>
        <v>0.18681318681318682</v>
      </c>
      <c r="F80" s="154">
        <f>IF($B80=" ","",IFERROR(INDEX(MMWR_RATING_STATE_ROLLUP_BDD[],MATCH($B80,MMWR_RATING_STATE_ROLLUP_BDD[MMWR_RATING_STATE_ROLLUP_BDD],0),MATCH(F$9,MMWR_RATING_STATE_ROLLUP_BDD[#Headers],0)),"ERROR"))</f>
        <v>5</v>
      </c>
      <c r="G80" s="154">
        <f>IF($B80=" ","",IFERROR(INDEX(MMWR_RATING_STATE_ROLLUP_BDD[],MATCH($B80,MMWR_RATING_STATE_ROLLUP_BDD[MMWR_RATING_STATE_ROLLUP_BDD],0),MATCH(G$9,MMWR_RATING_STATE_ROLLUP_BDD[#Headers],0)),"ERROR"))</f>
        <v>291</v>
      </c>
      <c r="H80" s="155">
        <f>IF($B80=" ","",IFERROR(INDEX(MMWR_RATING_STATE_ROLLUP_BDD[],MATCH($B80,MMWR_RATING_STATE_ROLLUP_BDD[MMWR_RATING_STATE_ROLLUP_BDD],0),MATCH(H$9,MMWR_RATING_STATE_ROLLUP_BDD[#Headers],0)),"ERROR"))</f>
        <v>118</v>
      </c>
      <c r="I80" s="155">
        <f>IF($B80=" ","",IFERROR(INDEX(MMWR_RATING_STATE_ROLLUP_BDD[],MATCH($B80,MMWR_RATING_STATE_ROLLUP_BDD[MMWR_RATING_STATE_ROLLUP_BDD],0),MATCH(I$9,MMWR_RATING_STATE_ROLLUP_BDD[#Headers],0)),"ERROR"))</f>
        <v>130.1374570447</v>
      </c>
      <c r="J80" s="42"/>
      <c r="K80" s="42"/>
      <c r="L80" s="42"/>
      <c r="M80" s="42"/>
      <c r="N80" s="28"/>
    </row>
    <row r="81" spans="1:14" x14ac:dyDescent="0.2">
      <c r="A81" s="25"/>
      <c r="B81" s="8" t="str">
        <f>VLOOKUP($B$15,DISTRICT_STATES[],13,0)</f>
        <v>Rhode Island</v>
      </c>
      <c r="C81" s="154">
        <f>IF($B81=" ","",IFERROR(INDEX(MMWR_RATING_STATE_ROLLUP_BDD[],MATCH($B81,MMWR_RATING_STATE_ROLLUP_BDD[MMWR_RATING_STATE_ROLLUP_BDD],0),MATCH(C$9,MMWR_RATING_STATE_ROLLUP_BDD[#Headers],0)),"ERROR"))</f>
        <v>4</v>
      </c>
      <c r="D81" s="155">
        <f>IF($B81=" ","",IFERROR(INDEX(MMWR_RATING_STATE_ROLLUP_BDD[],MATCH($B81,MMWR_RATING_STATE_ROLLUP_BDD[MMWR_RATING_STATE_ROLLUP_BDD],0),MATCH(D$9,MMWR_RATING_STATE_ROLLUP_BDD[#Headers],0)),"ERROR"))</f>
        <v>41</v>
      </c>
      <c r="E81" s="156">
        <f>IF($B81=" ","",IFERROR(INDEX(MMWR_RATING_STATE_ROLLUP_BDD[],MATCH($B81,MMWR_RATING_STATE_ROLLUP_BDD[MMWR_RATING_STATE_ROLLUP_BDD],0),MATCH(E$9,MMWR_RATING_STATE_ROLLUP_BDD[#Headers],0))/$C81,"ERROR"))</f>
        <v>0</v>
      </c>
      <c r="F81" s="154">
        <f>IF($B81=" ","",IFERROR(INDEX(MMWR_RATING_STATE_ROLLUP_BDD[],MATCH($B81,MMWR_RATING_STATE_ROLLUP_BDD[MMWR_RATING_STATE_ROLLUP_BDD],0),MATCH(F$9,MMWR_RATING_STATE_ROLLUP_BDD[#Headers],0)),"ERROR"))</f>
        <v>0</v>
      </c>
      <c r="G81" s="154">
        <f>IF($B81=" ","",IFERROR(INDEX(MMWR_RATING_STATE_ROLLUP_BDD[],MATCH($B81,MMWR_RATING_STATE_ROLLUP_BDD[MMWR_RATING_STATE_ROLLUP_BDD],0),MATCH(G$9,MMWR_RATING_STATE_ROLLUP_BDD[#Headers],0)),"ERROR"))</f>
        <v>21</v>
      </c>
      <c r="H81" s="155">
        <f>IF($B81=" ","",IFERROR(INDEX(MMWR_RATING_STATE_ROLLUP_BDD[],MATCH($B81,MMWR_RATING_STATE_ROLLUP_BDD[MMWR_RATING_STATE_ROLLUP_BDD],0),MATCH(H$9,MMWR_RATING_STATE_ROLLUP_BDD[#Headers],0)),"ERROR"))</f>
        <v>0</v>
      </c>
      <c r="I81" s="155">
        <f>IF($B81=" ","",IFERROR(INDEX(MMWR_RATING_STATE_ROLLUP_BDD[],MATCH($B81,MMWR_RATING_STATE_ROLLUP_BDD[MMWR_RATING_STATE_ROLLUP_BDD],0),MATCH(I$9,MMWR_RATING_STATE_ROLLUP_BDD[#Headers],0)),"ERROR"))</f>
        <v>130.09523809519999</v>
      </c>
      <c r="J81" s="42"/>
      <c r="K81" s="42"/>
      <c r="L81" s="42"/>
      <c r="M81" s="42"/>
      <c r="N81" s="28"/>
    </row>
    <row r="82" spans="1:14" x14ac:dyDescent="0.2">
      <c r="A82" s="25"/>
      <c r="B82" s="8" t="str">
        <f>VLOOKUP($B$15,DISTRICT_STATES[],14,0)</f>
        <v>Vermont</v>
      </c>
      <c r="C82" s="154">
        <f>IF($B82=" ","",IFERROR(INDEX(MMWR_RATING_STATE_ROLLUP_BDD[],MATCH($B82,MMWR_RATING_STATE_ROLLUP_BDD[MMWR_RATING_STATE_ROLLUP_BDD],0),MATCH(C$9,MMWR_RATING_STATE_ROLLUP_BDD[#Headers],0)),"ERROR"))</f>
        <v>3</v>
      </c>
      <c r="D82" s="155">
        <f>IF($B82=" ","",IFERROR(INDEX(MMWR_RATING_STATE_ROLLUP_BDD[],MATCH($B82,MMWR_RATING_STATE_ROLLUP_BDD[MMWR_RATING_STATE_ROLLUP_BDD],0),MATCH(D$9,MMWR_RATING_STATE_ROLLUP_BDD[#Headers],0)),"ERROR"))</f>
        <v>79.333333333300004</v>
      </c>
      <c r="E82" s="156">
        <f>IF($B82=" ","",IFERROR(INDEX(MMWR_RATING_STATE_ROLLUP_BDD[],MATCH($B82,MMWR_RATING_STATE_ROLLUP_BDD[MMWR_RATING_STATE_ROLLUP_BDD],0),MATCH(E$9,MMWR_RATING_STATE_ROLLUP_BDD[#Headers],0))/$C82,"ERROR"))</f>
        <v>0.33333333333333331</v>
      </c>
      <c r="F82" s="154">
        <f>IF($B82=" ","",IFERROR(INDEX(MMWR_RATING_STATE_ROLLUP_BDD[],MATCH($B82,MMWR_RATING_STATE_ROLLUP_BDD[MMWR_RATING_STATE_ROLLUP_BDD],0),MATCH(F$9,MMWR_RATING_STATE_ROLLUP_BDD[#Headers],0)),"ERROR"))</f>
        <v>0</v>
      </c>
      <c r="G82" s="154">
        <f>IF($B82=" ","",IFERROR(INDEX(MMWR_RATING_STATE_ROLLUP_BDD[],MATCH($B82,MMWR_RATING_STATE_ROLLUP_BDD[MMWR_RATING_STATE_ROLLUP_BDD],0),MATCH(G$9,MMWR_RATING_STATE_ROLLUP_BDD[#Headers],0)),"ERROR"))</f>
        <v>12</v>
      </c>
      <c r="H82" s="155">
        <f>IF($B82=" ","",IFERROR(INDEX(MMWR_RATING_STATE_ROLLUP_BDD[],MATCH($B82,MMWR_RATING_STATE_ROLLUP_BDD[MMWR_RATING_STATE_ROLLUP_BDD],0),MATCH(H$9,MMWR_RATING_STATE_ROLLUP_BDD[#Headers],0)),"ERROR"))</f>
        <v>0</v>
      </c>
      <c r="I82" s="155">
        <f>IF($B82=" ","",IFERROR(INDEX(MMWR_RATING_STATE_ROLLUP_BDD[],MATCH($B82,MMWR_RATING_STATE_ROLLUP_BDD[MMWR_RATING_STATE_ROLLUP_BDD],0),MATCH(I$9,MMWR_RATING_STATE_ROLLUP_BDD[#Headers],0)),"ERROR"))</f>
        <v>115.4166666667</v>
      </c>
      <c r="J82" s="42"/>
      <c r="K82" s="42"/>
      <c r="L82" s="42"/>
      <c r="M82" s="42"/>
      <c r="N82" s="28"/>
    </row>
    <row r="83" spans="1:14" x14ac:dyDescent="0.2">
      <c r="A83" s="25"/>
      <c r="B83" s="8" t="str">
        <f>VLOOKUP($B$15,DISTRICT_STATES[],15,0)</f>
        <v>Virginia</v>
      </c>
      <c r="C83" s="154">
        <f>IF($B83=" ","",IFERROR(INDEX(MMWR_RATING_STATE_ROLLUP_BDD[],MATCH($B83,MMWR_RATING_STATE_ROLLUP_BDD[MMWR_RATING_STATE_ROLLUP_BDD],0),MATCH(C$9,MMWR_RATING_STATE_ROLLUP_BDD[#Headers],0)),"ERROR"))</f>
        <v>769</v>
      </c>
      <c r="D83" s="155">
        <f>IF($B83=" ","",IFERROR(INDEX(MMWR_RATING_STATE_ROLLUP_BDD[],MATCH($B83,MMWR_RATING_STATE_ROLLUP_BDD[MMWR_RATING_STATE_ROLLUP_BDD],0),MATCH(D$9,MMWR_RATING_STATE_ROLLUP_BDD[#Headers],0)),"ERROR"))</f>
        <v>73.383615084499993</v>
      </c>
      <c r="E83" s="156">
        <f>IF($B83=" ","",IFERROR(INDEX(MMWR_RATING_STATE_ROLLUP_BDD[],MATCH($B83,MMWR_RATING_STATE_ROLLUP_BDD[MMWR_RATING_STATE_ROLLUP_BDD],0),MATCH(E$9,MMWR_RATING_STATE_ROLLUP_BDD[#Headers],0))/$C83,"ERROR"))</f>
        <v>0.1846553966189857</v>
      </c>
      <c r="F83" s="154">
        <f>IF($B83=" ","",IFERROR(INDEX(MMWR_RATING_STATE_ROLLUP_BDD[],MATCH($B83,MMWR_RATING_STATE_ROLLUP_BDD[MMWR_RATING_STATE_ROLLUP_BDD],0),MATCH(F$9,MMWR_RATING_STATE_ROLLUP_BDD[#Headers],0)),"ERROR"))</f>
        <v>67</v>
      </c>
      <c r="G83" s="154">
        <f>IF($B83=" ","",IFERROR(INDEX(MMWR_RATING_STATE_ROLLUP_BDD[],MATCH($B83,MMWR_RATING_STATE_ROLLUP_BDD[MMWR_RATING_STATE_ROLLUP_BDD],0),MATCH(G$9,MMWR_RATING_STATE_ROLLUP_BDD[#Headers],0)),"ERROR"))</f>
        <v>1806</v>
      </c>
      <c r="H83" s="155">
        <f>IF($B83=" ","",IFERROR(INDEX(MMWR_RATING_STATE_ROLLUP_BDD[],MATCH($B83,MMWR_RATING_STATE_ROLLUP_BDD[MMWR_RATING_STATE_ROLLUP_BDD],0),MATCH(H$9,MMWR_RATING_STATE_ROLLUP_BDD[#Headers],0)),"ERROR"))</f>
        <v>140.9850746269</v>
      </c>
      <c r="I83" s="155">
        <f>IF($B83=" ","",IFERROR(INDEX(MMWR_RATING_STATE_ROLLUP_BDD[],MATCH($B83,MMWR_RATING_STATE_ROLLUP_BDD[MMWR_RATING_STATE_ROLLUP_BDD],0),MATCH(I$9,MMWR_RATING_STATE_ROLLUP_BDD[#Headers],0)),"ERROR"))</f>
        <v>152.2131782946</v>
      </c>
      <c r="J83" s="42"/>
      <c r="K83" s="42"/>
      <c r="L83" s="42"/>
      <c r="M83" s="42"/>
      <c r="N83" s="28"/>
    </row>
    <row r="84" spans="1:14" x14ac:dyDescent="0.2">
      <c r="A84" s="25"/>
      <c r="B84" s="249" t="str">
        <f>VLOOKUP($B$15,DISTRICT_STATES[],16,0)</f>
        <v>West Virginia</v>
      </c>
      <c r="C84" s="154">
        <f>IF($B84=" ","",IFERROR(INDEX(MMWR_RATING_STATE_ROLLUP_BDD[],MATCH($B84,MMWR_RATING_STATE_ROLLUP_BDD[MMWR_RATING_STATE_ROLLUP_BDD],0),MATCH(C$9,MMWR_RATING_STATE_ROLLUP_BDD[#Headers],0)),"ERROR"))</f>
        <v>23</v>
      </c>
      <c r="D84" s="155">
        <f>IF($B84=" ","",IFERROR(INDEX(MMWR_RATING_STATE_ROLLUP_BDD[],MATCH($B84,MMWR_RATING_STATE_ROLLUP_BDD[MMWR_RATING_STATE_ROLLUP_BDD],0),MATCH(D$9,MMWR_RATING_STATE_ROLLUP_BDD[#Headers],0)),"ERROR"))</f>
        <v>61.347826087000001</v>
      </c>
      <c r="E84" s="156">
        <f>IF($B84=" ","",IFERROR(INDEX(MMWR_RATING_STATE_ROLLUP_BDD[],MATCH($B84,MMWR_RATING_STATE_ROLLUP_BDD[MMWR_RATING_STATE_ROLLUP_BDD],0),MATCH(E$9,MMWR_RATING_STATE_ROLLUP_BDD[#Headers],0))/$C84,"ERROR"))</f>
        <v>0.17391304347826086</v>
      </c>
      <c r="F84" s="154">
        <f>IF($B84=" ","",IFERROR(INDEX(MMWR_RATING_STATE_ROLLUP_BDD[],MATCH($B84,MMWR_RATING_STATE_ROLLUP_BDD[MMWR_RATING_STATE_ROLLUP_BDD],0),MATCH(F$9,MMWR_RATING_STATE_ROLLUP_BDD[#Headers],0)),"ERROR"))</f>
        <v>1</v>
      </c>
      <c r="G84" s="154">
        <f>IF($B84=" ","",IFERROR(INDEX(MMWR_RATING_STATE_ROLLUP_BDD[],MATCH($B84,MMWR_RATING_STATE_ROLLUP_BDD[MMWR_RATING_STATE_ROLLUP_BDD],0),MATCH(G$9,MMWR_RATING_STATE_ROLLUP_BDD[#Headers],0)),"ERROR"))</f>
        <v>62</v>
      </c>
      <c r="H84" s="155">
        <f>IF($B84=" ","",IFERROR(INDEX(MMWR_RATING_STATE_ROLLUP_BDD[],MATCH($B84,MMWR_RATING_STATE_ROLLUP_BDD[MMWR_RATING_STATE_ROLLUP_BDD],0),MATCH(H$9,MMWR_RATING_STATE_ROLLUP_BDD[#Headers],0)),"ERROR"))</f>
        <v>94</v>
      </c>
      <c r="I84" s="155">
        <f>IF($B84=" ","",IFERROR(INDEX(MMWR_RATING_STATE_ROLLUP_BDD[],MATCH($B84,MMWR_RATING_STATE_ROLLUP_BDD[MMWR_RATING_STATE_ROLLUP_BDD],0),MATCH(I$9,MMWR_RATING_STATE_ROLLUP_BDD[#Headers],0)),"ERROR"))</f>
        <v>139.22580645159999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2" t="s">
        <v>296</v>
      </c>
      <c r="C2" s="423"/>
      <c r="D2" s="423"/>
      <c r="E2" s="423"/>
      <c r="F2" s="423"/>
      <c r="G2" s="423"/>
      <c r="H2" s="423"/>
      <c r="I2" s="423"/>
      <c r="J2" s="423"/>
      <c r="K2" s="423"/>
      <c r="L2" s="423"/>
      <c r="M2" s="423"/>
      <c r="N2" s="423"/>
      <c r="O2" s="423"/>
      <c r="P2" s="423"/>
      <c r="Q2" s="423"/>
      <c r="R2" s="423"/>
      <c r="S2" s="423"/>
      <c r="T2" s="423"/>
      <c r="U2" s="424"/>
      <c r="V2" s="25"/>
    </row>
    <row r="3" spans="1:22" s="1" customFormat="1" ht="63" customHeight="1" thickBot="1" x14ac:dyDescent="0.25">
      <c r="A3" s="25"/>
      <c r="B3" s="431" t="s">
        <v>311</v>
      </c>
      <c r="C3" s="432"/>
      <c r="D3" s="432"/>
      <c r="E3" s="432"/>
      <c r="F3" s="432"/>
      <c r="G3" s="432"/>
      <c r="H3" s="432"/>
      <c r="I3" s="432"/>
      <c r="J3" s="432"/>
      <c r="K3" s="432"/>
      <c r="L3" s="432"/>
      <c r="M3" s="432"/>
      <c r="N3" s="432"/>
      <c r="O3" s="432"/>
      <c r="P3" s="432"/>
      <c r="Q3" s="432"/>
      <c r="R3" s="432"/>
      <c r="S3" s="432"/>
      <c r="T3" s="432"/>
      <c r="U3" s="433"/>
      <c r="V3" s="25"/>
    </row>
    <row r="4" spans="1:22" s="1" customFormat="1" ht="32.25" customHeight="1" thickBot="1" x14ac:dyDescent="0.25">
      <c r="A4" s="25"/>
      <c r="B4" s="428" t="str">
        <f>Transformation!B4</f>
        <v>As of: June 04, 2016</v>
      </c>
      <c r="C4" s="429"/>
      <c r="D4" s="429"/>
      <c r="E4" s="429"/>
      <c r="F4" s="429"/>
      <c r="G4" s="429"/>
      <c r="H4" s="429"/>
      <c r="I4" s="429"/>
      <c r="J4" s="429"/>
      <c r="K4" s="429"/>
      <c r="L4" s="429"/>
      <c r="M4" s="429"/>
      <c r="N4" s="429"/>
      <c r="O4" s="429"/>
      <c r="P4" s="429"/>
      <c r="Q4" s="429"/>
      <c r="R4" s="429"/>
      <c r="S4" s="429"/>
      <c r="T4" s="429"/>
      <c r="U4" s="430"/>
      <c r="V4" s="25"/>
    </row>
    <row r="5" spans="1:22" s="1" customFormat="1" ht="27" customHeight="1" thickBot="1" x14ac:dyDescent="0.45">
      <c r="A5" s="25"/>
      <c r="B5" s="434" t="s">
        <v>239</v>
      </c>
      <c r="C5" s="435"/>
      <c r="D5" s="435"/>
      <c r="E5" s="435"/>
      <c r="F5" s="435"/>
      <c r="G5" s="435"/>
      <c r="H5" s="436"/>
      <c r="I5" s="55"/>
      <c r="J5" s="434" t="s">
        <v>236</v>
      </c>
      <c r="K5" s="435"/>
      <c r="L5" s="435"/>
      <c r="M5" s="435"/>
      <c r="N5" s="436"/>
      <c r="O5" s="56"/>
      <c r="P5" s="406" t="s">
        <v>11</v>
      </c>
      <c r="Q5" s="407"/>
      <c r="R5" s="407"/>
      <c r="S5" s="407"/>
      <c r="T5" s="407"/>
      <c r="U5" s="408"/>
      <c r="V5" s="25"/>
    </row>
    <row r="6" spans="1:22" s="1" customFormat="1" ht="65.25" customHeight="1" thickBot="1" x14ac:dyDescent="0.25">
      <c r="A6" s="25"/>
      <c r="B6" s="425" t="s">
        <v>279</v>
      </c>
      <c r="C6" s="426"/>
      <c r="D6" s="426"/>
      <c r="E6" s="427"/>
      <c r="F6" s="57" t="s">
        <v>12</v>
      </c>
      <c r="G6" s="58" t="s">
        <v>3</v>
      </c>
      <c r="H6" s="59" t="s">
        <v>4</v>
      </c>
      <c r="I6" s="25"/>
      <c r="J6" s="445" t="s">
        <v>279</v>
      </c>
      <c r="K6" s="446"/>
      <c r="L6" s="60" t="s">
        <v>12</v>
      </c>
      <c r="M6" s="61" t="s">
        <v>3</v>
      </c>
      <c r="N6" s="62" t="s">
        <v>4</v>
      </c>
      <c r="O6" s="63"/>
      <c r="P6" s="437" t="s">
        <v>279</v>
      </c>
      <c r="Q6" s="438"/>
      <c r="R6" s="64" t="s">
        <v>488</v>
      </c>
      <c r="S6" s="440" t="s">
        <v>279</v>
      </c>
      <c r="T6" s="441"/>
      <c r="U6" s="65" t="s">
        <v>134</v>
      </c>
      <c r="V6" s="25"/>
    </row>
    <row r="7" spans="1:22" s="1" customFormat="1" ht="32.25" customHeight="1" thickBot="1" x14ac:dyDescent="0.25">
      <c r="A7" s="25"/>
      <c r="B7" s="409" t="s">
        <v>298</v>
      </c>
      <c r="C7" s="410"/>
      <c r="D7" s="410"/>
      <c r="E7" s="410"/>
      <c r="F7" s="166">
        <f>SUM(F8:F10)</f>
        <v>114879</v>
      </c>
      <c r="G7" s="167">
        <f>SUM(G8:G10)</f>
        <v>29931</v>
      </c>
      <c r="H7" s="168">
        <f t="shared" ref="H7:H44" si="0">IF(G7="--", 0, G7/F7)</f>
        <v>0.26054370250437414</v>
      </c>
      <c r="I7" s="25"/>
      <c r="J7" s="409" t="s">
        <v>264</v>
      </c>
      <c r="K7" s="410"/>
      <c r="L7" s="167">
        <f>SUM(L8:L10)</f>
        <v>32544</v>
      </c>
      <c r="M7" s="167">
        <f>SUM(M8:M10)</f>
        <v>4566</v>
      </c>
      <c r="N7" s="178">
        <f>IF(M7="--", 0, M7/L7)</f>
        <v>0.1403023598820059</v>
      </c>
      <c r="O7" s="66"/>
      <c r="P7" s="409" t="s">
        <v>966</v>
      </c>
      <c r="Q7" s="410"/>
      <c r="R7" s="179">
        <f>R8+R9+R10+R11+R12</f>
        <v>323213</v>
      </c>
      <c r="S7" s="409"/>
      <c r="T7" s="410"/>
      <c r="U7" s="67"/>
      <c r="V7" s="25"/>
    </row>
    <row r="8" spans="1:22" s="1" customFormat="1" ht="51" customHeight="1" x14ac:dyDescent="0.2">
      <c r="A8" s="25"/>
      <c r="B8" s="322" t="s">
        <v>249</v>
      </c>
      <c r="C8" s="323"/>
      <c r="D8" s="323"/>
      <c r="E8" s="402"/>
      <c r="F8" s="169">
        <f>IFERROR(VLOOKUP(MID(B8,4,3),MMWR_TRAD_AGG_NATIONAL[],2,0),"--")</f>
        <v>322</v>
      </c>
      <c r="G8" s="170">
        <f>IFERROR(VLOOKUP(MID(B8,4,3),MMWR_TRAD_AGG_NATIONAL[],3,0),"--")</f>
        <v>139</v>
      </c>
      <c r="H8" s="171">
        <f t="shared" si="0"/>
        <v>0.43167701863354035</v>
      </c>
      <c r="I8" s="25"/>
      <c r="J8" s="420" t="s">
        <v>266</v>
      </c>
      <c r="K8" s="439"/>
      <c r="L8" s="169">
        <f>IFERROR(VLOOKUP(MID(J8,4,3),MMWR_TRAD_AGG_NATIONAL[],2,0),"--")</f>
        <v>7657</v>
      </c>
      <c r="M8" s="170">
        <f>IFERROR(VLOOKUP(MID(J8,4,3),MMWR_TRAD_AGG_NATIONAL[],3,0),"--")</f>
        <v>607</v>
      </c>
      <c r="N8" s="171">
        <f>IF(M8="--", 0, M8/L8)</f>
        <v>7.927386704975839E-2</v>
      </c>
      <c r="O8" s="68" t="s">
        <v>310</v>
      </c>
      <c r="P8" s="442" t="s">
        <v>240</v>
      </c>
      <c r="Q8" s="443"/>
      <c r="R8" s="180">
        <f>VLOOKUP(P8,MMWR_APP_NATIONAL[],2,0)</f>
        <v>236237</v>
      </c>
      <c r="S8" s="444" t="s">
        <v>229</v>
      </c>
      <c r="T8" s="421"/>
      <c r="U8" s="181">
        <f>VLOOKUP(P8,MMWR_APP_NATIONAL[],3,0)</f>
        <v>405.28290225630002</v>
      </c>
      <c r="V8" s="25"/>
    </row>
    <row r="9" spans="1:22" s="1" customFormat="1" ht="45" customHeight="1" x14ac:dyDescent="0.2">
      <c r="A9" s="25"/>
      <c r="B9" s="322" t="s">
        <v>247</v>
      </c>
      <c r="C9" s="323"/>
      <c r="D9" s="323"/>
      <c r="E9" s="402"/>
      <c r="F9" s="169">
        <f>IFERROR(VLOOKUP(MID(B9,4,3),MMWR_TRAD_AGG_NATIONAL[],2,0),"--")</f>
        <v>35214</v>
      </c>
      <c r="G9" s="170">
        <f>IFERROR(VLOOKUP(MID(B9,4,3),MMWR_TRAD_AGG_NATIONAL[],3,0),"--")</f>
        <v>10672</v>
      </c>
      <c r="H9" s="171">
        <f t="shared" si="0"/>
        <v>0.30306128244448233</v>
      </c>
      <c r="I9" s="68" t="s">
        <v>310</v>
      </c>
      <c r="J9" s="322" t="s">
        <v>265</v>
      </c>
      <c r="K9" s="323"/>
      <c r="L9" s="169">
        <f>IFERROR(VLOOKUP(MID(J9,4,3),MMWR_TRAD_AGG_NATIONAL[],2,0),"--")</f>
        <v>8729</v>
      </c>
      <c r="M9" s="170">
        <f>IFERROR(VLOOKUP(MID(J9,4,3),MMWR_TRAD_AGG_NATIONAL[],3,0),"--")</f>
        <v>536</v>
      </c>
      <c r="N9" s="171">
        <f>IF(M9="--", 0, M9/L9)</f>
        <v>6.1404513689998858E-2</v>
      </c>
      <c r="O9" s="68" t="s">
        <v>310</v>
      </c>
      <c r="P9" s="400" t="s">
        <v>241</v>
      </c>
      <c r="Q9" s="401"/>
      <c r="R9" s="182">
        <f>VLOOKUP(P9,MMWR_APP_NATIONAL[],2,0)</f>
        <v>52317</v>
      </c>
      <c r="S9" s="396" t="s">
        <v>230</v>
      </c>
      <c r="T9" s="397"/>
      <c r="U9" s="183">
        <f>VLOOKUP(P9,MMWR_APP_NATIONAL[],3,0)</f>
        <v>556.9525010991</v>
      </c>
      <c r="V9" s="25"/>
    </row>
    <row r="10" spans="1:22" s="1" customFormat="1" ht="63" customHeight="1" thickBot="1" x14ac:dyDescent="0.25">
      <c r="A10" s="25"/>
      <c r="B10" s="322" t="s">
        <v>248</v>
      </c>
      <c r="C10" s="323"/>
      <c r="D10" s="323"/>
      <c r="E10" s="402"/>
      <c r="F10" s="169">
        <f>IFERROR(VLOOKUP(MID(B10,4,3),MMWR_TRAD_AGG_NATIONAL[],2,0),"--")</f>
        <v>79343</v>
      </c>
      <c r="G10" s="170">
        <f>IFERROR(VLOOKUP(MID(B10,4,3),MMWR_TRAD_AGG_NATIONAL[],3,0),"--")</f>
        <v>19120</v>
      </c>
      <c r="H10" s="171">
        <f t="shared" si="0"/>
        <v>0.24097904036903067</v>
      </c>
      <c r="I10" s="68" t="s">
        <v>310</v>
      </c>
      <c r="J10" s="324" t="s">
        <v>267</v>
      </c>
      <c r="K10" s="325"/>
      <c r="L10" s="169">
        <f>IFERROR(VLOOKUP(MID(J10,4,3),MMWR_TRAD_AGG_NATIONAL[],2,0),"--")</f>
        <v>16158</v>
      </c>
      <c r="M10" s="170">
        <f>IFERROR(VLOOKUP(MID(J10,4,3),MMWR_TRAD_AGG_NATIONAL[],3,0),"--")</f>
        <v>3423</v>
      </c>
      <c r="N10" s="171">
        <f>IF(M10="--", 0, M10/L10)</f>
        <v>0.21184552543631638</v>
      </c>
      <c r="O10" s="69"/>
      <c r="P10" s="400" t="s">
        <v>242</v>
      </c>
      <c r="Q10" s="401"/>
      <c r="R10" s="182">
        <f>VLOOKUP(P10,MMWR_APP_NATIONAL[],2,0)</f>
        <v>23414</v>
      </c>
      <c r="S10" s="396" t="s">
        <v>231</v>
      </c>
      <c r="T10" s="397"/>
      <c r="U10" s="183">
        <f>VLOOKUP(P10,MMWR_APP_NATIONAL[],3,0)</f>
        <v>511.42381135459999</v>
      </c>
      <c r="V10" s="25"/>
    </row>
    <row r="11" spans="1:22" s="1" customFormat="1" ht="45" customHeight="1" thickBot="1" x14ac:dyDescent="0.25">
      <c r="A11" s="25"/>
      <c r="B11" s="409" t="s">
        <v>299</v>
      </c>
      <c r="C11" s="410"/>
      <c r="D11" s="410"/>
      <c r="E11" s="410"/>
      <c r="F11" s="166">
        <f>SUM(F12:F13)</f>
        <v>11612</v>
      </c>
      <c r="G11" s="167">
        <f>SUM(G12:G13)</f>
        <v>2621</v>
      </c>
      <c r="H11" s="168">
        <f t="shared" si="0"/>
        <v>0.22571477781605237</v>
      </c>
      <c r="I11" s="25"/>
      <c r="J11" s="409" t="s">
        <v>237</v>
      </c>
      <c r="K11" s="410"/>
      <c r="L11" s="166">
        <f>SUM(L12:L17)</f>
        <v>34764</v>
      </c>
      <c r="M11" s="166">
        <f>SUM(M12:M17)</f>
        <v>8234</v>
      </c>
      <c r="N11" s="159">
        <f>IF(M11="--", 0, M11/L11)</f>
        <v>0.23685421700609827</v>
      </c>
      <c r="O11" s="69"/>
      <c r="P11" s="400" t="s">
        <v>967</v>
      </c>
      <c r="Q11" s="401"/>
      <c r="R11" s="182">
        <f>VLOOKUP(P11,MMWR_APP_NATIONAL[],2,0)</f>
        <v>10627</v>
      </c>
      <c r="S11" s="396" t="s">
        <v>232</v>
      </c>
      <c r="T11" s="397"/>
      <c r="U11" s="183">
        <f>VLOOKUP(P11,MMWR_APP_NATIONAL[],3,0)</f>
        <v>175.84875294119999</v>
      </c>
      <c r="V11" s="25"/>
    </row>
    <row r="12" spans="1:22" s="1" customFormat="1" ht="46.5" customHeight="1" thickBot="1" x14ac:dyDescent="0.25">
      <c r="A12" s="25"/>
      <c r="B12" s="403" t="s">
        <v>269</v>
      </c>
      <c r="C12" s="404"/>
      <c r="D12" s="404"/>
      <c r="E12" s="405"/>
      <c r="F12" s="169">
        <f>IFERROR(VLOOKUP(MID(B12,4,3),MMWR_TRAD_AGG_NATIONAL[],2,0),"--")</f>
        <v>10430</v>
      </c>
      <c r="G12" s="170">
        <f>IFERROR(VLOOKUP(MID(B12,4,3),MMWR_TRAD_AGG_NATIONAL[],3,0),"--")</f>
        <v>1845</v>
      </c>
      <c r="H12" s="171">
        <f t="shared" si="0"/>
        <v>0.17689357622243529</v>
      </c>
      <c r="I12" s="68" t="s">
        <v>310</v>
      </c>
      <c r="J12" s="324" t="s">
        <v>259</v>
      </c>
      <c r="K12" s="397"/>
      <c r="L12" s="169">
        <f>IFERROR(VLOOKUP(MID(J12,4,3)&amp;"p",MMWR_TRAD_AGG_NATIONAL[],2,0),"--")</f>
        <v>863</v>
      </c>
      <c r="M12" s="170">
        <f>IFERROR(VLOOKUP(MID(J12,4,3)&amp;"p",MMWR_TRAD_AGG_NATIONAL[],3,0),"--")</f>
        <v>57</v>
      </c>
      <c r="N12" s="171">
        <f t="shared" ref="N12:N17" si="1">IF(L12="--", 0,M12/L12)</f>
        <v>6.6048667439165695E-2</v>
      </c>
      <c r="O12" s="69"/>
      <c r="P12" s="400" t="s">
        <v>948</v>
      </c>
      <c r="Q12" s="401"/>
      <c r="R12" s="182">
        <f>VLOOKUP(P12,MMWR_APP_NATIONAL[],2,0)</f>
        <v>618</v>
      </c>
      <c r="S12" s="398" t="s">
        <v>965</v>
      </c>
      <c r="T12" s="399"/>
      <c r="U12" s="183">
        <f>VLOOKUP(P12,MMWR_APP_NATIONAL[],3,0)</f>
        <v>438.63592233010002</v>
      </c>
      <c r="V12" s="25"/>
    </row>
    <row r="13" spans="1:22" s="1" customFormat="1" ht="49.5" customHeight="1" thickBot="1" x14ac:dyDescent="0.25">
      <c r="A13" s="25"/>
      <c r="B13" s="403" t="s">
        <v>1057</v>
      </c>
      <c r="C13" s="404"/>
      <c r="D13" s="404"/>
      <c r="E13" s="405"/>
      <c r="F13" s="169">
        <f>IFERROR(VLOOKUP(MID(B13,4,3),MMWR_TRAD_AGG_NATIONAL[],2,0),"--")</f>
        <v>1182</v>
      </c>
      <c r="G13" s="170">
        <f>IFERROR(VLOOKUP(MID(B13,4,3),MMWR_TRAD_AGG_NATIONAL[],3,0),"--")</f>
        <v>776</v>
      </c>
      <c r="H13" s="171">
        <f t="shared" si="0"/>
        <v>0.65651438240270732</v>
      </c>
      <c r="I13" s="25"/>
      <c r="J13" s="324" t="s">
        <v>268</v>
      </c>
      <c r="K13" s="397"/>
      <c r="L13" s="169">
        <f>IFERROR(VLOOKUP(MID(J13,4,3),MMWR_TRAD_AGG_NATIONAL[],2,0),"--")</f>
        <v>5212</v>
      </c>
      <c r="M13" s="170">
        <f>IFERROR(VLOOKUP(MID(J13,4,3),MMWR_TRAD_AGG_NATIONAL[],3,0),"--")</f>
        <v>1072</v>
      </c>
      <c r="N13" s="171">
        <f t="shared" si="1"/>
        <v>0.2056792018419033</v>
      </c>
      <c r="O13" s="69"/>
      <c r="P13" s="409" t="s">
        <v>976</v>
      </c>
      <c r="Q13" s="410"/>
      <c r="R13" s="411"/>
      <c r="S13" s="412">
        <f>VLOOKUP(P13,MMWR_APP_NATIONAL[],2,0)</f>
        <v>26282</v>
      </c>
      <c r="T13" s="413"/>
      <c r="U13" s="414"/>
      <c r="V13" s="25"/>
    </row>
    <row r="14" spans="1:22" s="1" customFormat="1" ht="45" customHeight="1" thickBot="1" x14ac:dyDescent="0.25">
      <c r="A14" s="25"/>
      <c r="B14" s="409" t="s">
        <v>1</v>
      </c>
      <c r="C14" s="410"/>
      <c r="D14" s="410"/>
      <c r="E14" s="410"/>
      <c r="F14" s="166">
        <f>SUM(F15:F21)</f>
        <v>204047</v>
      </c>
      <c r="G14" s="167">
        <f>SUM(G15:G21)</f>
        <v>39653</v>
      </c>
      <c r="H14" s="168">
        <f t="shared" si="0"/>
        <v>0.19433267825549996</v>
      </c>
      <c r="I14" s="25"/>
      <c r="J14" s="324" t="s">
        <v>270</v>
      </c>
      <c r="K14" s="397"/>
      <c r="L14" s="169">
        <f>IFERROR(VLOOKUP(MID(J14,4,3),MMWR_TRAD_AGG_NATIONAL[],2,0),"--")</f>
        <v>17416</v>
      </c>
      <c r="M14" s="170">
        <f>IFERROR(VLOOKUP(MID(J14,4,3),MMWR_TRAD_AGG_NATIONAL[],3,0),"--")</f>
        <v>4625</v>
      </c>
      <c r="N14" s="171">
        <f t="shared" si="1"/>
        <v>0.26556040422599908</v>
      </c>
      <c r="O14" s="69"/>
      <c r="P14" s="21"/>
      <c r="Q14" s="21"/>
      <c r="R14" s="21"/>
      <c r="S14" s="28"/>
      <c r="T14" s="28"/>
      <c r="U14" s="70"/>
      <c r="V14" s="25"/>
    </row>
    <row r="15" spans="1:22" s="1" customFormat="1" ht="44.25" customHeight="1" thickBot="1" x14ac:dyDescent="0.25">
      <c r="A15" s="25"/>
      <c r="B15" s="322" t="s">
        <v>250</v>
      </c>
      <c r="C15" s="323"/>
      <c r="D15" s="323"/>
      <c r="E15" s="402"/>
      <c r="F15" s="169">
        <f>IFERROR(VLOOKUP(MID(B15,4,3),MMWR_TRAD_AGG_NATIONAL[],2,0),"--")</f>
        <v>203310</v>
      </c>
      <c r="G15" s="170">
        <f>IFERROR(VLOOKUP(MID(B15,4,3),MMWR_TRAD_AGG_NATIONAL[],3,0),"--")</f>
        <v>39403</v>
      </c>
      <c r="H15" s="171">
        <f t="shared" si="0"/>
        <v>0.19380748610496287</v>
      </c>
      <c r="I15" s="68" t="s">
        <v>310</v>
      </c>
      <c r="J15" s="324" t="s">
        <v>271</v>
      </c>
      <c r="K15" s="397"/>
      <c r="L15" s="169">
        <f>IFERROR(VLOOKUP(MID(J15,4,3),MMWR_TRAD_AGG_NATIONAL[],2,0),"--")</f>
        <v>1</v>
      </c>
      <c r="M15" s="170">
        <f>IFERROR(VLOOKUP(MID(J15,4,3),MMWR_TRAD_AGG_NATIONAL[],3,0),"--")</f>
        <v>1</v>
      </c>
      <c r="N15" s="171">
        <f t="shared" si="1"/>
        <v>1</v>
      </c>
      <c r="O15" s="69"/>
      <c r="P15" s="25"/>
      <c r="Q15" s="25"/>
      <c r="R15" s="25"/>
      <c r="S15" s="25"/>
      <c r="T15" s="28"/>
      <c r="U15" s="71"/>
      <c r="V15" s="25"/>
    </row>
    <row r="16" spans="1:22" s="1" customFormat="1" ht="57.75" customHeight="1" thickBot="1" x14ac:dyDescent="0.25">
      <c r="A16" s="25"/>
      <c r="B16" s="324" t="s">
        <v>251</v>
      </c>
      <c r="C16" s="325"/>
      <c r="D16" s="325"/>
      <c r="E16" s="397"/>
      <c r="F16" s="169">
        <f>IFERROR(VLOOKUP(MID(B16,4,3),MMWR_TRAD_AGG_NATIONAL[],2,0),"--")</f>
        <v>352</v>
      </c>
      <c r="G16" s="170">
        <f>IFERROR(VLOOKUP(MID(B16,4,3),MMWR_TRAD_AGG_NATIONAL[],3,0),"--")</f>
        <v>44</v>
      </c>
      <c r="H16" s="171">
        <f t="shared" si="0"/>
        <v>0.125</v>
      </c>
      <c r="I16" s="68" t="s">
        <v>310</v>
      </c>
      <c r="J16" s="324" t="s">
        <v>272</v>
      </c>
      <c r="K16" s="397"/>
      <c r="L16" s="169">
        <f>IFERROR(VLOOKUP(MID(J16,4,3),MMWR_TRAD_AGG_NATIONAL[],2,0),"--")</f>
        <v>6297</v>
      </c>
      <c r="M16" s="170">
        <f>IFERROR(VLOOKUP(MID(J16,4,3),MMWR_TRAD_AGG_NATIONAL[],3,0),"--")</f>
        <v>1918</v>
      </c>
      <c r="N16" s="171">
        <f t="shared" si="1"/>
        <v>0.30458948705732891</v>
      </c>
      <c r="O16" s="69"/>
      <c r="P16" s="406" t="s">
        <v>949</v>
      </c>
      <c r="Q16" s="407"/>
      <c r="R16" s="407"/>
      <c r="S16" s="408"/>
      <c r="T16" s="28"/>
      <c r="U16" s="71"/>
      <c r="V16" s="25"/>
    </row>
    <row r="17" spans="1:22" s="1" customFormat="1" ht="31.5" customHeight="1" thickBot="1" x14ac:dyDescent="0.25">
      <c r="A17" s="25"/>
      <c r="B17" s="324" t="s">
        <v>252</v>
      </c>
      <c r="C17" s="325"/>
      <c r="D17" s="325"/>
      <c r="E17" s="397"/>
      <c r="F17" s="169">
        <f>IFERROR(VLOOKUP(MID(B17,4,3),MMWR_TRAD_AGG_NATIONAL[],2,0),"--")</f>
        <v>235</v>
      </c>
      <c r="G17" s="170">
        <f>IFERROR(VLOOKUP(MID(B17,4,3),MMWR_TRAD_AGG_NATIONAL[],3,0),"--")</f>
        <v>162</v>
      </c>
      <c r="H17" s="171">
        <f t="shared" si="0"/>
        <v>0.68936170212765957</v>
      </c>
      <c r="I17" s="25"/>
      <c r="J17" s="324" t="s">
        <v>273</v>
      </c>
      <c r="K17" s="397"/>
      <c r="L17" s="169">
        <f>IFERROR(VLOOKUP(MID(J17,4,3),MMWR_TRAD_AGG_NATIONAL[],2,0),"--")</f>
        <v>4975</v>
      </c>
      <c r="M17" s="170">
        <f>IFERROR(VLOOKUP(MID(J17,4,3),MMWR_TRAD_AGG_NATIONAL[],3,0),"--")</f>
        <v>561</v>
      </c>
      <c r="N17" s="171">
        <f t="shared" si="1"/>
        <v>0.11276381909547739</v>
      </c>
      <c r="O17" s="72"/>
      <c r="P17" s="415" t="s">
        <v>245</v>
      </c>
      <c r="Q17" s="416"/>
      <c r="R17" s="416"/>
      <c r="S17" s="184">
        <f>IFERROR(VLOOKUP("160",MMWR_TRAD_AGG_NATIONAL[],2,0),"--")</f>
        <v>35915</v>
      </c>
      <c r="T17" s="28"/>
      <c r="U17" s="71"/>
      <c r="V17" s="25"/>
    </row>
    <row r="18" spans="1:22" s="1" customFormat="1" ht="32.25" customHeight="1" thickBot="1" x14ac:dyDescent="0.25">
      <c r="A18" s="25"/>
      <c r="B18" s="324" t="s">
        <v>253</v>
      </c>
      <c r="C18" s="325"/>
      <c r="D18" s="325"/>
      <c r="E18" s="397"/>
      <c r="F18" s="169">
        <f>IFERROR(VLOOKUP(MID(B18,4,3),MMWR_TRAD_AGG_NATIONAL[],2,0),"--")</f>
        <v>8</v>
      </c>
      <c r="G18" s="170">
        <f>IFERROR(VLOOKUP(MID(B18,4,3),MMWR_TRAD_AGG_NATIONAL[],3,0),"--")</f>
        <v>3</v>
      </c>
      <c r="H18" s="171">
        <f t="shared" si="0"/>
        <v>0.375</v>
      </c>
      <c r="I18" s="68" t="s">
        <v>310</v>
      </c>
      <c r="J18" s="409" t="s">
        <v>15</v>
      </c>
      <c r="K18" s="410"/>
      <c r="L18" s="166">
        <f>SUM(L19:L21)</f>
        <v>281</v>
      </c>
      <c r="M18" s="166">
        <f>SUM(M19:M21)</f>
        <v>261</v>
      </c>
      <c r="N18" s="159">
        <f t="shared" ref="N18:N26" si="2">IF(M18="--", 0, M18/L18)</f>
        <v>0.92882562277580072</v>
      </c>
      <c r="O18" s="73"/>
      <c r="P18" s="417" t="s">
        <v>246</v>
      </c>
      <c r="Q18" s="418"/>
      <c r="R18" s="418"/>
      <c r="S18" s="185">
        <f>IFERROR(VLOOKUP("165",MMWR_TRAD_AGG_NATIONAL[],2,0),"--")</f>
        <v>10334</v>
      </c>
      <c r="T18" s="28"/>
      <c r="U18" s="71"/>
      <c r="V18" s="25"/>
    </row>
    <row r="19" spans="1:22" s="1" customFormat="1" ht="41.25" customHeight="1" x14ac:dyDescent="0.4">
      <c r="A19" s="25"/>
      <c r="B19" s="324" t="s">
        <v>254</v>
      </c>
      <c r="C19" s="325"/>
      <c r="D19" s="325"/>
      <c r="E19" s="397"/>
      <c r="F19" s="169" t="str">
        <f>IFERROR(VLOOKUP(MID(B19,4,3),MMWR_TRAD_AGG_NATIONAL[],2,0),"--")</f>
        <v>--</v>
      </c>
      <c r="G19" s="170" t="str">
        <f>IFERROR(VLOOKUP(MID(B19,4,3),MMWR_TRAD_AGG_NATIONAL[],3,0),"--")</f>
        <v>--</v>
      </c>
      <c r="H19" s="171">
        <f t="shared" si="0"/>
        <v>0</v>
      </c>
      <c r="I19" s="68" t="s">
        <v>310</v>
      </c>
      <c r="J19" s="324" t="s">
        <v>274</v>
      </c>
      <c r="K19" s="397"/>
      <c r="L19" s="169">
        <f>IFERROR(VLOOKUP(MID(J19,4,3),MMWR_TRAD_AGG_NATIONAL[],2,0),"--")</f>
        <v>200</v>
      </c>
      <c r="M19" s="170">
        <f>IFERROR(VLOOKUP(MID(J19,4,3),MMWR_TRAD_AGG_NATIONAL[],3,0),"--")</f>
        <v>199</v>
      </c>
      <c r="N19" s="171">
        <f t="shared" si="2"/>
        <v>0.995</v>
      </c>
      <c r="O19" s="56"/>
      <c r="P19" s="25"/>
      <c r="Q19" s="25"/>
      <c r="R19" s="25"/>
      <c r="S19" s="25"/>
      <c r="T19" s="28"/>
      <c r="U19" s="71"/>
      <c r="V19" s="25"/>
    </row>
    <row r="20" spans="1:22" s="1" customFormat="1" ht="40.5" customHeight="1" x14ac:dyDescent="0.4">
      <c r="A20" s="25"/>
      <c r="B20" s="324" t="s">
        <v>255</v>
      </c>
      <c r="C20" s="325"/>
      <c r="D20" s="325"/>
      <c r="E20" s="397"/>
      <c r="F20" s="169">
        <f>IFERROR(VLOOKUP(MID(B20,4,3),MMWR_TRAD_AGG_NATIONAL[],2,0),"--")</f>
        <v>11</v>
      </c>
      <c r="G20" s="170">
        <f>IFERROR(VLOOKUP(MID(B20,4,3),MMWR_TRAD_AGG_NATIONAL[],3,0),"--")</f>
        <v>0</v>
      </c>
      <c r="H20" s="171">
        <f t="shared" si="0"/>
        <v>0</v>
      </c>
      <c r="I20" s="68" t="s">
        <v>310</v>
      </c>
      <c r="J20" s="324" t="s">
        <v>297</v>
      </c>
      <c r="K20" s="397"/>
      <c r="L20" s="169">
        <f>IFERROR(VLOOKUP(MID(J20,4,3),MMWR_TRAD_AGG_NATIONAL[],2,0),"--")</f>
        <v>53</v>
      </c>
      <c r="M20" s="170">
        <f>IFERROR(VLOOKUP(MID(J20,4,3),MMWR_TRAD_AGG_NATIONAL[],3,0),"--")</f>
        <v>46</v>
      </c>
      <c r="N20" s="171">
        <f t="shared" si="2"/>
        <v>0.86792452830188682</v>
      </c>
      <c r="O20" s="56"/>
      <c r="P20" s="56"/>
      <c r="Q20" s="56"/>
      <c r="R20" s="56"/>
      <c r="S20" s="56"/>
      <c r="T20" s="56"/>
      <c r="U20" s="74"/>
      <c r="V20" s="25"/>
    </row>
    <row r="21" spans="1:22" s="1" customFormat="1" ht="39" customHeight="1" thickBot="1" x14ac:dyDescent="0.45">
      <c r="A21" s="25"/>
      <c r="B21" s="324" t="s">
        <v>256</v>
      </c>
      <c r="C21" s="325"/>
      <c r="D21" s="325"/>
      <c r="E21" s="397"/>
      <c r="F21" s="169">
        <f>IFERROR(VLOOKUP(MID(B21,4,3),MMWR_TRAD_AGG_NATIONAL[],2,0),"--")</f>
        <v>131</v>
      </c>
      <c r="G21" s="170">
        <f>IFERROR(VLOOKUP(MID(B21,4,3),MMWR_TRAD_AGG_NATIONAL[],3,0),"--")</f>
        <v>41</v>
      </c>
      <c r="H21" s="171">
        <f t="shared" si="0"/>
        <v>0.31297709923664124</v>
      </c>
      <c r="I21" s="68" t="s">
        <v>310</v>
      </c>
      <c r="J21" s="324" t="s">
        <v>275</v>
      </c>
      <c r="K21" s="397"/>
      <c r="L21" s="169">
        <f>IFERROR(VLOOKUP(MID(J21,4,3),MMWR_TRAD_AGG_NATIONAL[],2,0),"--")</f>
        <v>28</v>
      </c>
      <c r="M21" s="170">
        <f>IFERROR(VLOOKUP(MID(J21,4,3),MMWR_TRAD_AGG_NATIONAL[],3,0),"--")</f>
        <v>16</v>
      </c>
      <c r="N21" s="171">
        <f t="shared" si="2"/>
        <v>0.5714285714285714</v>
      </c>
      <c r="O21" s="56"/>
      <c r="P21" s="56"/>
      <c r="Q21" s="56"/>
      <c r="R21" s="56"/>
      <c r="S21" s="56"/>
      <c r="T21" s="56"/>
      <c r="U21" s="74"/>
      <c r="V21" s="25"/>
    </row>
    <row r="22" spans="1:22" s="1" customFormat="1" ht="32.25" customHeight="1" thickBot="1" x14ac:dyDescent="0.45">
      <c r="A22" s="25"/>
      <c r="B22" s="409" t="s">
        <v>13</v>
      </c>
      <c r="C22" s="410"/>
      <c r="D22" s="410"/>
      <c r="E22" s="410"/>
      <c r="F22" s="166">
        <f>SUM(F23:F29)</f>
        <v>376798</v>
      </c>
      <c r="G22" s="167">
        <f>SUM(G23:G29)</f>
        <v>250973</v>
      </c>
      <c r="H22" s="168">
        <f t="shared" si="0"/>
        <v>0.66606776044458837</v>
      </c>
      <c r="I22" s="25"/>
      <c r="J22" s="409" t="s">
        <v>224</v>
      </c>
      <c r="K22" s="410"/>
      <c r="L22" s="166">
        <f>SUM(L23:L26)</f>
        <v>1883</v>
      </c>
      <c r="M22" s="166">
        <f>SUM(M23:M26)</f>
        <v>511</v>
      </c>
      <c r="N22" s="159">
        <f t="shared" si="2"/>
        <v>0.27137546468401486</v>
      </c>
      <c r="O22" s="56"/>
      <c r="P22" s="25"/>
      <c r="Q22" s="25"/>
      <c r="R22" s="25"/>
      <c r="S22" s="25"/>
      <c r="T22" s="56"/>
      <c r="U22" s="74"/>
      <c r="V22" s="25"/>
    </row>
    <row r="23" spans="1:22" s="1" customFormat="1" ht="26.25" customHeight="1" x14ac:dyDescent="0.4">
      <c r="A23" s="25"/>
      <c r="B23" s="403" t="s">
        <v>257</v>
      </c>
      <c r="C23" s="404"/>
      <c r="D23" s="404"/>
      <c r="E23" s="405"/>
      <c r="F23" s="169">
        <f>IFERROR(VLOOKUP(MID(B23,4,3),MMWR_TRAD_AGG_NATIONAL[],2,0),"--")</f>
        <v>155043</v>
      </c>
      <c r="G23" s="170">
        <f>IFERROR(VLOOKUP(MID(B23,4,3),MMWR_TRAD_AGG_NATIONAL[],3,0),"--")</f>
        <v>102727</v>
      </c>
      <c r="H23" s="171">
        <f t="shared" si="0"/>
        <v>0.6625710286823655</v>
      </c>
      <c r="I23" s="25"/>
      <c r="J23" s="420" t="s">
        <v>278</v>
      </c>
      <c r="K23" s="421"/>
      <c r="L23" s="172">
        <f>IFERROR(VLOOKUP(MID(J23,4,3),MMWR_TRAD_AGG_NATIONAL[],2,0),"--")</f>
        <v>265</v>
      </c>
      <c r="M23" s="173">
        <f>IFERROR(VLOOKUP(MID(J23,4,3),MMWR_TRAD_AGG_NATIONAL[],3,0),"--")</f>
        <v>87</v>
      </c>
      <c r="N23" s="174">
        <f t="shared" si="2"/>
        <v>0.32830188679245281</v>
      </c>
      <c r="O23" s="56"/>
      <c r="P23" s="25"/>
      <c r="Q23" s="25"/>
      <c r="R23" s="25"/>
      <c r="S23" s="25"/>
      <c r="T23" s="56"/>
      <c r="U23" s="74"/>
      <c r="V23" s="25"/>
    </row>
    <row r="24" spans="1:22" s="1" customFormat="1" ht="39.75" customHeight="1" x14ac:dyDescent="0.4">
      <c r="A24" s="25"/>
      <c r="B24" s="403" t="s">
        <v>258</v>
      </c>
      <c r="C24" s="404"/>
      <c r="D24" s="404"/>
      <c r="E24" s="405"/>
      <c r="F24" s="169">
        <f>IFERROR(VLOOKUP(MID(B24,4,3),MMWR_TRAD_AGG_NATIONAL[],2,0),"--")</f>
        <v>145</v>
      </c>
      <c r="G24" s="170">
        <f>IFERROR(VLOOKUP(MID(B24,4,3),MMWR_TRAD_AGG_NATIONAL[],3,0),"--")</f>
        <v>91</v>
      </c>
      <c r="H24" s="171">
        <f t="shared" si="0"/>
        <v>0.62758620689655176</v>
      </c>
      <c r="I24" s="25"/>
      <c r="J24" s="324" t="s">
        <v>277</v>
      </c>
      <c r="K24" s="397"/>
      <c r="L24" s="169">
        <f>IFERROR(VLOOKUP(MID(J24,4,3),MMWR_TRAD_AGG_NATIONAL[],2,0),"--")</f>
        <v>700</v>
      </c>
      <c r="M24" s="170">
        <f>IFERROR(VLOOKUP(MID(J24,4,3),MMWR_TRAD_AGG_NATIONAL[],3,0),"--")</f>
        <v>21</v>
      </c>
      <c r="N24" s="171">
        <f t="shared" si="2"/>
        <v>0.03</v>
      </c>
      <c r="O24" s="56"/>
      <c r="P24" s="25"/>
      <c r="Q24" s="25"/>
      <c r="R24" s="25"/>
      <c r="S24" s="25"/>
      <c r="T24" s="56"/>
      <c r="U24" s="74"/>
      <c r="V24" s="25"/>
    </row>
    <row r="25" spans="1:22" s="1" customFormat="1" ht="37.5" customHeight="1" x14ac:dyDescent="0.4">
      <c r="A25" s="25"/>
      <c r="B25" s="403" t="s">
        <v>259</v>
      </c>
      <c r="C25" s="404"/>
      <c r="D25" s="404"/>
      <c r="E25" s="405"/>
      <c r="F25" s="169">
        <f>IFERROR(VLOOKUP(MID(B25,4,3),MMWR_TRAD_AGG_NATIONAL[],2,0),"--")</f>
        <v>297</v>
      </c>
      <c r="G25" s="170">
        <f>IFERROR(VLOOKUP(MID(B25,4,3),MMWR_TRAD_AGG_NATIONAL[],3,0),"--")</f>
        <v>239</v>
      </c>
      <c r="H25" s="171">
        <f t="shared" si="0"/>
        <v>0.80471380471380471</v>
      </c>
      <c r="I25" s="25"/>
      <c r="J25" s="324" t="s">
        <v>276</v>
      </c>
      <c r="K25" s="397"/>
      <c r="L25" s="169">
        <f>IFERROR(VLOOKUP(MID(J25,4,3),MMWR_TRAD_AGG_NATIONAL[],2,0),"--")</f>
        <v>865</v>
      </c>
      <c r="M25" s="170">
        <f>IFERROR(VLOOKUP(MID(J25,4,3),MMWR_TRAD_AGG_NATIONAL[],3,0),"--")</f>
        <v>369</v>
      </c>
      <c r="N25" s="171">
        <f t="shared" si="2"/>
        <v>0.42658959537572255</v>
      </c>
      <c r="O25" s="56"/>
      <c r="P25" s="56"/>
      <c r="Q25" s="56"/>
      <c r="R25" s="56"/>
      <c r="S25" s="56"/>
      <c r="T25" s="56"/>
      <c r="U25" s="74"/>
      <c r="V25" s="25"/>
    </row>
    <row r="26" spans="1:22" s="1" customFormat="1" ht="37.5" customHeight="1" thickBot="1" x14ac:dyDescent="0.45">
      <c r="A26" s="25"/>
      <c r="B26" s="403" t="s">
        <v>260</v>
      </c>
      <c r="C26" s="404"/>
      <c r="D26" s="404"/>
      <c r="E26" s="405"/>
      <c r="F26" s="169">
        <f>IFERROR(VLOOKUP(MID(B26,4,3),MMWR_TRAD_AGG_NATIONAL[],2,0),"--")</f>
        <v>98615</v>
      </c>
      <c r="G26" s="170">
        <f>IFERROR(VLOOKUP(MID(B26,4,3),MMWR_TRAD_AGG_NATIONAL[],3,0),"--")</f>
        <v>77237</v>
      </c>
      <c r="H26" s="171">
        <f t="shared" si="0"/>
        <v>0.78321756325102676</v>
      </c>
      <c r="I26" s="56"/>
      <c r="J26" s="326" t="s">
        <v>313</v>
      </c>
      <c r="K26" s="399"/>
      <c r="L26" s="175">
        <f>IFERROR(VLOOKUP(MID(J26,4,3),MMWR_TRAD_AGG_NATIONAL[],2,0),"--")</f>
        <v>53</v>
      </c>
      <c r="M26" s="176">
        <f>IFERROR(VLOOKUP(MID(J26,4,3),MMWR_TRAD_AGG_NATIONAL[],3,0),"--")</f>
        <v>34</v>
      </c>
      <c r="N26" s="177">
        <f t="shared" si="2"/>
        <v>0.64150943396226412</v>
      </c>
      <c r="O26" s="56"/>
      <c r="P26" s="56"/>
      <c r="Q26" s="56"/>
      <c r="R26" s="56"/>
      <c r="S26" s="56"/>
      <c r="T26" s="56"/>
      <c r="U26" s="74"/>
      <c r="V26" s="25"/>
    </row>
    <row r="27" spans="1:22" s="1" customFormat="1" ht="26.25" customHeight="1" thickBot="1" x14ac:dyDescent="0.45">
      <c r="A27" s="25"/>
      <c r="B27" s="403" t="s">
        <v>261</v>
      </c>
      <c r="C27" s="404"/>
      <c r="D27" s="404"/>
      <c r="E27" s="405"/>
      <c r="F27" s="169">
        <f>IFERROR(VLOOKUP(MID(B27,4,3),MMWR_TRAD_AGG_NATIONAL[],2,0),"--")</f>
        <v>227</v>
      </c>
      <c r="G27" s="170">
        <f>IFERROR(VLOOKUP(MID(B27,4,3),MMWR_TRAD_AGG_NATIONAL[],3,0),"--")</f>
        <v>46</v>
      </c>
      <c r="H27" s="171">
        <f t="shared" si="0"/>
        <v>0.20264317180616739</v>
      </c>
      <c r="I27" s="56"/>
      <c r="J27" s="56"/>
      <c r="K27" s="56"/>
      <c r="L27" s="56"/>
      <c r="M27" s="56"/>
      <c r="N27" s="56"/>
      <c r="O27" s="56"/>
      <c r="P27" s="56"/>
      <c r="Q27" s="56"/>
      <c r="R27" s="56"/>
      <c r="S27" s="56"/>
      <c r="T27" s="56"/>
      <c r="U27" s="74"/>
      <c r="V27" s="25"/>
    </row>
    <row r="28" spans="1:22" s="1" customFormat="1" ht="32.25" customHeight="1" x14ac:dyDescent="0.4">
      <c r="A28" s="25"/>
      <c r="B28" s="403" t="s">
        <v>262</v>
      </c>
      <c r="C28" s="404"/>
      <c r="D28" s="404"/>
      <c r="E28" s="405"/>
      <c r="F28" s="169">
        <f>IFERROR(VLOOKUP(MID(B28,4,3),MMWR_TRAD_AGG_NATIONAL[],2,0),"--")</f>
        <v>15317</v>
      </c>
      <c r="G28" s="170">
        <f>IFERROR(VLOOKUP(MID(B28,4,3),MMWR_TRAD_AGG_NATIONAL[],3,0),"--")</f>
        <v>3930</v>
      </c>
      <c r="H28" s="171">
        <f t="shared" si="0"/>
        <v>0.25657765881047201</v>
      </c>
      <c r="I28" s="68" t="s">
        <v>310</v>
      </c>
      <c r="J28" s="447" t="s">
        <v>312</v>
      </c>
      <c r="K28" s="448"/>
      <c r="L28" s="448"/>
      <c r="M28" s="448"/>
      <c r="N28" s="449"/>
      <c r="O28" s="419" t="s">
        <v>310</v>
      </c>
      <c r="P28" s="75"/>
      <c r="Q28" s="56"/>
      <c r="R28" s="56"/>
      <c r="S28" s="56"/>
      <c r="T28" s="56"/>
      <c r="U28" s="74"/>
      <c r="V28" s="25"/>
    </row>
    <row r="29" spans="1:22" s="1" customFormat="1" ht="27" customHeight="1" thickBot="1" x14ac:dyDescent="0.45">
      <c r="A29" s="25"/>
      <c r="B29" s="403" t="s">
        <v>263</v>
      </c>
      <c r="C29" s="404"/>
      <c r="D29" s="404"/>
      <c r="E29" s="405"/>
      <c r="F29" s="169">
        <f>IFERROR(VLOOKUP(MID(B29,4,3),MMWR_TRAD_AGG_NATIONAL[],2,0),"--")</f>
        <v>107154</v>
      </c>
      <c r="G29" s="170">
        <f>IFERROR(VLOOKUP(MID(B29,4,3),MMWR_TRAD_AGG_NATIONAL[],3,0),"--")</f>
        <v>66703</v>
      </c>
      <c r="H29" s="171">
        <f t="shared" si="0"/>
        <v>0.62249659368758981</v>
      </c>
      <c r="I29" s="56"/>
      <c r="J29" s="450"/>
      <c r="K29" s="451"/>
      <c r="L29" s="451"/>
      <c r="M29" s="451"/>
      <c r="N29" s="452"/>
      <c r="O29" s="419"/>
      <c r="P29" s="76"/>
      <c r="Q29" s="56"/>
      <c r="R29" s="56"/>
      <c r="S29" s="56"/>
      <c r="T29" s="56"/>
      <c r="U29" s="74"/>
      <c r="V29" s="25"/>
    </row>
    <row r="30" spans="1:22" s="1" customFormat="1" ht="32.25" customHeight="1" thickBot="1" x14ac:dyDescent="0.45">
      <c r="A30" s="25"/>
      <c r="B30" s="409" t="s">
        <v>29</v>
      </c>
      <c r="C30" s="410"/>
      <c r="D30" s="410"/>
      <c r="E30" s="410"/>
      <c r="F30" s="167">
        <f>SUM(F31:F37)</f>
        <v>123694</v>
      </c>
      <c r="G30" s="167">
        <f>SUM(G31:G37)</f>
        <v>97353</v>
      </c>
      <c r="H30" s="159">
        <f t="shared" si="0"/>
        <v>0.78704706776399824</v>
      </c>
      <c r="I30" s="56"/>
      <c r="J30" s="28"/>
      <c r="K30" s="28"/>
      <c r="L30" s="28"/>
      <c r="M30" s="28"/>
      <c r="N30" s="28"/>
      <c r="O30" s="28"/>
      <c r="P30" s="56"/>
      <c r="Q30" s="56"/>
      <c r="R30" s="56"/>
      <c r="S30" s="56"/>
      <c r="T30" s="56"/>
      <c r="U30" s="74"/>
      <c r="V30" s="25"/>
    </row>
    <row r="31" spans="1:22" s="1" customFormat="1" ht="33.75" customHeight="1" x14ac:dyDescent="0.4">
      <c r="A31" s="25"/>
      <c r="B31" s="324" t="s">
        <v>280</v>
      </c>
      <c r="C31" s="325"/>
      <c r="D31" s="325"/>
      <c r="E31" s="397"/>
      <c r="F31" s="169">
        <f>IFERROR(VLOOKUP(MID(B31,4,3),MMWR_TRAD_AGG_NATIONAL[],2,0),"--")</f>
        <v>34</v>
      </c>
      <c r="G31" s="170">
        <f>IFERROR(VLOOKUP(MID(B31,4,3),MMWR_TRAD_AGG_NATIONAL[],3,0),"--")</f>
        <v>33</v>
      </c>
      <c r="H31" s="171">
        <f t="shared" si="0"/>
        <v>0.97058823529411764</v>
      </c>
      <c r="I31" s="56"/>
      <c r="J31" s="56"/>
      <c r="K31" s="56"/>
      <c r="L31" s="56"/>
      <c r="M31" s="56"/>
      <c r="N31" s="56"/>
      <c r="O31" s="56"/>
      <c r="P31" s="56"/>
      <c r="Q31" s="56"/>
      <c r="R31" s="56"/>
      <c r="S31" s="56"/>
      <c r="T31" s="56"/>
      <c r="U31" s="74"/>
      <c r="V31" s="25"/>
    </row>
    <row r="32" spans="1:22" s="1" customFormat="1" ht="32.25" customHeight="1" x14ac:dyDescent="0.4">
      <c r="A32" s="25"/>
      <c r="B32" s="324" t="s">
        <v>281</v>
      </c>
      <c r="C32" s="325"/>
      <c r="D32" s="325"/>
      <c r="E32" s="397"/>
      <c r="F32" s="169">
        <f>IFERROR(VLOOKUP(MID(B32,4,3),MMWR_TRAD_AGG_NATIONAL[],2,0),"--")</f>
        <v>35408</v>
      </c>
      <c r="G32" s="170">
        <f>IFERROR(VLOOKUP(MID(B32,4,3),MMWR_TRAD_AGG_NATIONAL[],3,0),"--")</f>
        <v>24282</v>
      </c>
      <c r="H32" s="171">
        <f t="shared" si="0"/>
        <v>0.68577722548576592</v>
      </c>
      <c r="I32" s="56"/>
      <c r="J32" s="56"/>
      <c r="K32" s="56"/>
      <c r="L32" s="56"/>
      <c r="M32" s="56"/>
      <c r="N32" s="56"/>
      <c r="O32" s="56"/>
      <c r="P32" s="56"/>
      <c r="Q32" s="56"/>
      <c r="R32" s="56"/>
      <c r="S32" s="56"/>
      <c r="T32" s="56"/>
      <c r="U32" s="74"/>
      <c r="V32" s="25"/>
    </row>
    <row r="33" spans="1:22" s="1" customFormat="1" ht="32.25" customHeight="1" x14ac:dyDescent="0.4">
      <c r="A33" s="25"/>
      <c r="B33" s="324" t="s">
        <v>282</v>
      </c>
      <c r="C33" s="325"/>
      <c r="D33" s="325"/>
      <c r="E33" s="397"/>
      <c r="F33" s="169" t="str">
        <f>IFERROR(VLOOKUP(MID(B33,4,3),MMWR_TRAD_AGG_NATIONAL[],2,0),"--")</f>
        <v>--</v>
      </c>
      <c r="G33" s="170" t="str">
        <f>IFERROR(VLOOKUP(MID(B33,4,3),MMWR_TRAD_AGG_NATIONAL[],3,0),"--")</f>
        <v>--</v>
      </c>
      <c r="H33" s="171">
        <f t="shared" si="0"/>
        <v>0</v>
      </c>
      <c r="I33" s="56"/>
      <c r="J33" s="56"/>
      <c r="K33" s="56"/>
      <c r="L33" s="28"/>
      <c r="M33" s="28"/>
      <c r="N33" s="28"/>
      <c r="O33" s="28"/>
      <c r="P33" s="28"/>
      <c r="Q33" s="28"/>
      <c r="R33" s="56"/>
      <c r="S33" s="56"/>
      <c r="T33" s="56"/>
      <c r="U33" s="74"/>
      <c r="V33" s="25"/>
    </row>
    <row r="34" spans="1:22" s="1" customFormat="1" ht="32.25" customHeight="1" x14ac:dyDescent="0.4">
      <c r="A34" s="25"/>
      <c r="B34" s="324" t="s">
        <v>283</v>
      </c>
      <c r="C34" s="325"/>
      <c r="D34" s="325"/>
      <c r="E34" s="397"/>
      <c r="F34" s="169" t="str">
        <f>IFERROR(VLOOKUP(MID(B34,4,3),MMWR_TRAD_AGG_NATIONAL[],2,0),"--")</f>
        <v>--</v>
      </c>
      <c r="G34" s="170" t="str">
        <f>IFERROR(VLOOKUP(MID(B34,4,3),MMWR_TRAD_AGG_NATIONAL[],3,0),"--")</f>
        <v>--</v>
      </c>
      <c r="H34" s="171">
        <f t="shared" si="0"/>
        <v>0</v>
      </c>
      <c r="I34" s="56"/>
      <c r="J34" s="56"/>
      <c r="K34" s="56"/>
      <c r="L34" s="28"/>
      <c r="M34" s="28"/>
      <c r="N34" s="28"/>
      <c r="O34" s="28"/>
      <c r="P34" s="28"/>
      <c r="Q34" s="28"/>
      <c r="R34" s="56"/>
      <c r="S34" s="56"/>
      <c r="T34" s="56"/>
      <c r="U34" s="74"/>
      <c r="V34" s="25"/>
    </row>
    <row r="35" spans="1:22" s="1" customFormat="1" ht="32.25" customHeight="1" x14ac:dyDescent="0.4">
      <c r="A35" s="25"/>
      <c r="B35" s="324" t="s">
        <v>284</v>
      </c>
      <c r="C35" s="325"/>
      <c r="D35" s="325"/>
      <c r="E35" s="397"/>
      <c r="F35" s="169" t="str">
        <f>IFERROR(VLOOKUP(MID(B35,4,3),MMWR_TRAD_AGG_NATIONAL[],2,0),"--")</f>
        <v>--</v>
      </c>
      <c r="G35" s="170" t="str">
        <f>IFERROR(VLOOKUP(MID(B35,4,3),MMWR_TRAD_AGG_NATIONAL[],3,0),"--")</f>
        <v>--</v>
      </c>
      <c r="H35" s="171">
        <f t="shared" si="0"/>
        <v>0</v>
      </c>
      <c r="I35" s="56"/>
      <c r="J35" s="56"/>
      <c r="K35" s="56"/>
      <c r="L35" s="56"/>
      <c r="M35" s="56"/>
      <c r="N35" s="56"/>
      <c r="O35" s="56"/>
      <c r="P35" s="56"/>
      <c r="Q35" s="56"/>
      <c r="R35" s="56"/>
      <c r="S35" s="56"/>
      <c r="T35" s="56"/>
      <c r="U35" s="74"/>
      <c r="V35" s="25"/>
    </row>
    <row r="36" spans="1:22" s="1" customFormat="1" ht="32.25" customHeight="1" x14ac:dyDescent="0.4">
      <c r="A36" s="25"/>
      <c r="B36" s="324" t="s">
        <v>285</v>
      </c>
      <c r="C36" s="325"/>
      <c r="D36" s="325"/>
      <c r="E36" s="397"/>
      <c r="F36" s="169">
        <f>IFERROR(VLOOKUP(MID(B36,4,3),MMWR_TRAD_AGG_NATIONAL[],2,0),"--")</f>
        <v>22714</v>
      </c>
      <c r="G36" s="170">
        <f>IFERROR(VLOOKUP(MID(B36,4,3),MMWR_TRAD_AGG_NATIONAL[],3,0),"--")</f>
        <v>16004</v>
      </c>
      <c r="H36" s="171">
        <f t="shared" si="0"/>
        <v>0.70458747908778729</v>
      </c>
      <c r="I36" s="56"/>
      <c r="J36" s="56"/>
      <c r="K36" s="56"/>
      <c r="L36" s="56"/>
      <c r="M36" s="56"/>
      <c r="N36" s="56"/>
      <c r="O36" s="56"/>
      <c r="P36" s="56"/>
      <c r="Q36" s="56"/>
      <c r="R36" s="56"/>
      <c r="S36" s="56"/>
      <c r="T36" s="56"/>
      <c r="U36" s="74"/>
      <c r="V36" s="25"/>
    </row>
    <row r="37" spans="1:22" s="1" customFormat="1" ht="27" customHeight="1" thickBot="1" x14ac:dyDescent="0.45">
      <c r="A37" s="25"/>
      <c r="B37" s="324" t="s">
        <v>286</v>
      </c>
      <c r="C37" s="325"/>
      <c r="D37" s="325"/>
      <c r="E37" s="397"/>
      <c r="F37" s="169">
        <f>IFERROR(VLOOKUP(MID(B37,4,3)&amp;"G",MMWR_TRAD_AGG_NATIONAL[],2,0),"--")</f>
        <v>65538</v>
      </c>
      <c r="G37" s="170">
        <f>IFERROR(VLOOKUP(MID(B37,4,3)&amp;"G",MMWR_TRAD_AGG_NATIONAL[],3,0),"--")</f>
        <v>57034</v>
      </c>
      <c r="H37" s="171">
        <f t="shared" si="0"/>
        <v>0.87024321767524182</v>
      </c>
      <c r="I37" s="56"/>
      <c r="J37" s="56"/>
      <c r="K37" s="56"/>
      <c r="L37" s="56"/>
      <c r="M37" s="56"/>
      <c r="N37" s="56"/>
      <c r="O37" s="56"/>
      <c r="P37" s="56"/>
      <c r="Q37" s="56"/>
      <c r="R37" s="56"/>
      <c r="S37" s="56"/>
      <c r="T37" s="56"/>
      <c r="U37" s="74"/>
      <c r="V37" s="25"/>
    </row>
    <row r="38" spans="1:22" s="1" customFormat="1" ht="32.25" customHeight="1" thickBot="1" x14ac:dyDescent="0.45">
      <c r="A38" s="25"/>
      <c r="B38" s="409" t="s">
        <v>238</v>
      </c>
      <c r="C38" s="410"/>
      <c r="D38" s="410"/>
      <c r="E38" s="410"/>
      <c r="F38" s="166">
        <f>SUM(F39:F44)</f>
        <v>174703</v>
      </c>
      <c r="G38" s="167">
        <f>SUM(G39:G44)</f>
        <v>115619</v>
      </c>
      <c r="H38" s="168">
        <f t="shared" si="0"/>
        <v>0.66180317453048887</v>
      </c>
      <c r="I38" s="56"/>
      <c r="J38" s="56"/>
      <c r="K38" s="75"/>
      <c r="L38" s="75"/>
      <c r="M38" s="75"/>
      <c r="N38" s="75"/>
      <c r="O38" s="75"/>
      <c r="P38" s="56"/>
      <c r="Q38" s="56"/>
      <c r="R38" s="56"/>
      <c r="S38" s="56"/>
      <c r="T38" s="56"/>
      <c r="U38" s="74"/>
      <c r="V38" s="25"/>
    </row>
    <row r="39" spans="1:22" s="1" customFormat="1" ht="26.25" customHeight="1" x14ac:dyDescent="0.4">
      <c r="A39" s="25"/>
      <c r="B39" s="420" t="s">
        <v>287</v>
      </c>
      <c r="C39" s="439"/>
      <c r="D39" s="439"/>
      <c r="E39" s="421"/>
      <c r="F39" s="172">
        <f>IFERROR(VLOOKUP(MID(B39,4,3),MMWR_TRAD_AGG_NATIONAL[],2,0),"--")</f>
        <v>8009</v>
      </c>
      <c r="G39" s="173">
        <f>IFERROR(VLOOKUP(MID(B39,4,3),MMWR_TRAD_AGG_NATIONAL[],3,0),"--")</f>
        <v>6051</v>
      </c>
      <c r="H39" s="174">
        <f t="shared" si="0"/>
        <v>0.75552503433637164</v>
      </c>
      <c r="I39" s="56"/>
      <c r="J39" s="56"/>
      <c r="K39" s="75"/>
      <c r="L39" s="75"/>
      <c r="M39" s="75"/>
      <c r="N39" s="75"/>
      <c r="O39" s="75"/>
      <c r="P39" s="56"/>
      <c r="Q39" s="56"/>
      <c r="R39" s="56"/>
      <c r="S39" s="56"/>
      <c r="T39" s="56"/>
      <c r="U39" s="74"/>
      <c r="V39" s="25"/>
    </row>
    <row r="40" spans="1:22" s="1" customFormat="1" ht="26.25" customHeight="1" x14ac:dyDescent="0.4">
      <c r="A40" s="25"/>
      <c r="B40" s="324" t="s">
        <v>288</v>
      </c>
      <c r="C40" s="325"/>
      <c r="D40" s="325"/>
      <c r="E40" s="397"/>
      <c r="F40" s="169">
        <f>IFERROR(VLOOKUP(MID(B40,4,3),MMWR_TRAD_AGG_NATIONAL[],2,0),"--")</f>
        <v>67158</v>
      </c>
      <c r="G40" s="170">
        <f>IFERROR(VLOOKUP(MID(B40,4,3),MMWR_TRAD_AGG_NATIONAL[],3,0),"--")</f>
        <v>50106</v>
      </c>
      <c r="H40" s="171">
        <f t="shared" si="0"/>
        <v>0.74609130706691684</v>
      </c>
      <c r="I40" s="56"/>
      <c r="J40" s="56"/>
      <c r="K40" s="56"/>
      <c r="L40" s="56"/>
      <c r="M40" s="56"/>
      <c r="N40" s="56"/>
      <c r="O40" s="56"/>
      <c r="P40" s="56"/>
      <c r="Q40" s="56"/>
      <c r="R40" s="56"/>
      <c r="S40" s="56"/>
      <c r="T40" s="56"/>
      <c r="U40" s="74"/>
      <c r="V40" s="25"/>
    </row>
    <row r="41" spans="1:22" s="1" customFormat="1" ht="26.25" customHeight="1" x14ac:dyDescent="0.4">
      <c r="A41" s="25"/>
      <c r="B41" s="324" t="s">
        <v>289</v>
      </c>
      <c r="C41" s="325"/>
      <c r="D41" s="325"/>
      <c r="E41" s="397"/>
      <c r="F41" s="169">
        <f>IFERROR(VLOOKUP(MID(B41,4,3),MMWR_TRAD_AGG_NATIONAL[],2,0),"--")</f>
        <v>1220</v>
      </c>
      <c r="G41" s="170">
        <f>IFERROR(VLOOKUP(MID(B41,4,3),MMWR_TRAD_AGG_NATIONAL[],3,0),"--")</f>
        <v>338</v>
      </c>
      <c r="H41" s="171">
        <f t="shared" si="0"/>
        <v>0.27704918032786885</v>
      </c>
      <c r="I41" s="56"/>
      <c r="J41" s="56"/>
      <c r="K41" s="56"/>
      <c r="L41" s="56"/>
      <c r="M41" s="56"/>
      <c r="N41" s="56"/>
      <c r="O41" s="56"/>
      <c r="P41" s="56"/>
      <c r="Q41" s="56"/>
      <c r="R41" s="56"/>
      <c r="S41" s="56"/>
      <c r="T41" s="56"/>
      <c r="U41" s="74"/>
      <c r="V41" s="25"/>
    </row>
    <row r="42" spans="1:22" s="1" customFormat="1" ht="36" customHeight="1" x14ac:dyDescent="0.4">
      <c r="A42" s="25"/>
      <c r="B42" s="324" t="s">
        <v>290</v>
      </c>
      <c r="C42" s="325"/>
      <c r="D42" s="325"/>
      <c r="E42" s="397"/>
      <c r="F42" s="169">
        <f>IFERROR(VLOOKUP(MID(B42,4,3),MMWR_TRAD_AGG_NATIONAL[],2,0),"--")</f>
        <v>79980</v>
      </c>
      <c r="G42" s="170">
        <f>IFERROR(VLOOKUP(MID(B42,4,3),MMWR_TRAD_AGG_NATIONAL[],3,0),"--")</f>
        <v>43994</v>
      </c>
      <c r="H42" s="171">
        <f t="shared" si="0"/>
        <v>0.55006251562890718</v>
      </c>
      <c r="I42" s="56"/>
      <c r="J42" s="56"/>
      <c r="K42" s="56"/>
      <c r="L42" s="56"/>
      <c r="M42" s="56"/>
      <c r="N42" s="56"/>
      <c r="O42" s="56"/>
      <c r="P42" s="56"/>
      <c r="Q42" s="56"/>
      <c r="R42" s="56"/>
      <c r="S42" s="56"/>
      <c r="T42" s="56"/>
      <c r="U42" s="74"/>
      <c r="V42" s="25"/>
    </row>
    <row r="43" spans="1:22" s="1" customFormat="1" ht="33" customHeight="1" x14ac:dyDescent="0.4">
      <c r="A43" s="25"/>
      <c r="B43" s="324" t="s">
        <v>291</v>
      </c>
      <c r="C43" s="325"/>
      <c r="D43" s="325"/>
      <c r="E43" s="397"/>
      <c r="F43" s="169">
        <f>IFERROR(VLOOKUP(MID(B43,4,3),MMWR_TRAD_AGG_NATIONAL[],2,0),"--")</f>
        <v>17867</v>
      </c>
      <c r="G43" s="170">
        <f>IFERROR(VLOOKUP(MID(B43,4,3),MMWR_TRAD_AGG_NATIONAL[],3,0),"--")</f>
        <v>14746</v>
      </c>
      <c r="H43" s="171">
        <f t="shared" si="0"/>
        <v>0.82532042312643417</v>
      </c>
      <c r="I43" s="56"/>
      <c r="J43" s="56"/>
      <c r="K43" s="56"/>
      <c r="L43" s="56"/>
      <c r="M43" s="56"/>
      <c r="N43" s="56"/>
      <c r="O43" s="56"/>
      <c r="P43" s="56"/>
      <c r="Q43" s="56"/>
      <c r="R43" s="56"/>
      <c r="S43" s="56"/>
      <c r="T43" s="56"/>
      <c r="U43" s="74"/>
      <c r="V43" s="25"/>
    </row>
    <row r="44" spans="1:22" s="1" customFormat="1" ht="27" customHeight="1" thickBot="1" x14ac:dyDescent="0.45">
      <c r="A44" s="25"/>
      <c r="B44" s="326" t="s">
        <v>292</v>
      </c>
      <c r="C44" s="327"/>
      <c r="D44" s="327"/>
      <c r="E44" s="399"/>
      <c r="F44" s="175">
        <f>IFERROR(VLOOKUP(MID(B44,4,3),MMWR_TRAD_AGG_NATIONAL[],2,0),"--")</f>
        <v>469</v>
      </c>
      <c r="G44" s="176">
        <f>IFERROR(VLOOKUP(MID(B44,4,3),MMWR_TRAD_AGG_NATIONAL[],3,0),"--")</f>
        <v>384</v>
      </c>
      <c r="H44" s="177">
        <f t="shared" si="0"/>
        <v>0.81876332622601278</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5" zoomScaleNormal="85"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3" t="str">
        <f>UPPER("INVENTORY BY REGIONAL OFFICE "&amp;Transformation!B4)</f>
        <v>INVENTORY BY REGIONAL OFFICE AS OF: JUNE 04, 2016</v>
      </c>
      <c r="D2" s="454"/>
      <c r="E2" s="454"/>
      <c r="F2" s="454"/>
      <c r="G2" s="454"/>
      <c r="H2" s="454"/>
      <c r="I2" s="454"/>
      <c r="J2" s="454"/>
      <c r="K2" s="454"/>
      <c r="L2" s="454"/>
      <c r="M2" s="454"/>
      <c r="N2" s="454"/>
      <c r="O2" s="454"/>
      <c r="P2" s="454"/>
      <c r="Q2" s="454"/>
      <c r="R2" s="454"/>
      <c r="S2" s="455"/>
      <c r="T2" s="25"/>
    </row>
    <row r="3" spans="1:20" x14ac:dyDescent="0.2">
      <c r="A3" s="25"/>
      <c r="B3" s="26"/>
      <c r="C3" s="456" t="s">
        <v>225</v>
      </c>
      <c r="D3" s="457"/>
      <c r="E3" s="458" t="s">
        <v>205</v>
      </c>
      <c r="F3" s="459"/>
      <c r="G3" s="460"/>
      <c r="H3" s="458" t="s">
        <v>7</v>
      </c>
      <c r="I3" s="459"/>
      <c r="J3" s="460"/>
      <c r="K3" s="458" t="s">
        <v>30</v>
      </c>
      <c r="L3" s="459"/>
      <c r="M3" s="460"/>
      <c r="N3" s="458" t="s">
        <v>8</v>
      </c>
      <c r="O3" s="459"/>
      <c r="P3" s="460"/>
      <c r="Q3" s="81" t="s">
        <v>9</v>
      </c>
      <c r="R3" s="82" t="s">
        <v>10</v>
      </c>
      <c r="S3" s="82" t="s">
        <v>11</v>
      </c>
      <c r="T3" s="25"/>
    </row>
    <row r="4" spans="1:20"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488</v>
      </c>
      <c r="T4" s="91"/>
    </row>
    <row r="5" spans="1:20" ht="26.25" x14ac:dyDescent="0.4">
      <c r="A5" s="25"/>
      <c r="B5" s="26"/>
      <c r="C5" s="453" t="s">
        <v>486</v>
      </c>
      <c r="D5" s="454"/>
      <c r="E5" s="454"/>
      <c r="F5" s="454"/>
      <c r="G5" s="454"/>
      <c r="H5" s="454"/>
      <c r="I5" s="454"/>
      <c r="J5" s="454"/>
      <c r="K5" s="454"/>
      <c r="L5" s="454"/>
      <c r="M5" s="454"/>
      <c r="N5" s="454"/>
      <c r="O5" s="454"/>
      <c r="P5" s="454"/>
      <c r="Q5" s="454"/>
      <c r="R5" s="454"/>
      <c r="S5" s="455"/>
      <c r="T5" s="25"/>
    </row>
    <row r="6" spans="1:20" x14ac:dyDescent="0.2">
      <c r="A6" s="92"/>
      <c r="B6" s="93" t="s">
        <v>461</v>
      </c>
      <c r="C6" s="208">
        <f>IFERROR(VLOOKUP($B6,MMWR_TRAD_AGG_DISTRICT_COMP[],C$1,0),"ERROR")</f>
        <v>256421</v>
      </c>
      <c r="D6" s="186">
        <f>IFERROR(VLOOKUP($B6,MMWR_TRAD_AGG_DISTRICT_COMP[],D$1,0),"ERROR")</f>
        <v>389.82102089919999</v>
      </c>
      <c r="E6" s="194">
        <f>IFERROR(VLOOKUP($B6,MMWR_TRAD_AGG_DISTRICT_COMP[],E$1,0),"ERROR")</f>
        <v>330538</v>
      </c>
      <c r="F6" s="188">
        <f>IFERROR(VLOOKUP($B6,MMWR_TRAD_AGG_DISTRICT_COMP[],F$1,0),"ERROR")</f>
        <v>72205</v>
      </c>
      <c r="G6" s="211">
        <f t="shared" ref="G6:G69" si="0">IFERROR(F6/E6,"0%")</f>
        <v>0.21844689566706399</v>
      </c>
      <c r="H6" s="187">
        <f>IFERROR(VLOOKUP($B6,MMWR_TRAD_AGG_DISTRICT_COMP[],H$1,0),"ERROR")</f>
        <v>376798</v>
      </c>
      <c r="I6" s="188">
        <f>IFERROR(VLOOKUP($B6,MMWR_TRAD_AGG_DISTRICT_COMP[],I$1,0),"ERROR")</f>
        <v>250973</v>
      </c>
      <c r="J6" s="211">
        <f t="shared" ref="J6:J69" si="1">IFERROR(I6/H6,"0%")</f>
        <v>0.66606776044458837</v>
      </c>
      <c r="K6" s="187">
        <f>IFERROR(VLOOKUP($B6,MMWR_TRAD_AGG_DISTRICT_COMP[],K$1,0),"ERROR")</f>
        <v>127440</v>
      </c>
      <c r="L6" s="188">
        <f>IFERROR(VLOOKUP($B6,MMWR_TRAD_AGG_DISTRICT_COMP[],L$1,0),"ERROR")</f>
        <v>100952</v>
      </c>
      <c r="M6" s="211">
        <f t="shared" ref="M6:M69" si="2">IFERROR(L6/K6,"0%")</f>
        <v>0.79215317011927178</v>
      </c>
      <c r="N6" s="187">
        <f>IFERROR(VLOOKUP($B6,MMWR_TRAD_AGG_DISTRICT_COMP[],N$1,0),"ERROR")</f>
        <v>175938</v>
      </c>
      <c r="O6" s="188">
        <f>IFERROR(VLOOKUP($B6,MMWR_TRAD_AGG_DISTRICT_COMP[],O$1,0),"ERROR")</f>
        <v>116283</v>
      </c>
      <c r="P6" s="211">
        <f t="shared" ref="P6:P69" si="3">IFERROR(O6/N6,"0%")</f>
        <v>0.66093169184599121</v>
      </c>
      <c r="Q6" s="200">
        <f>IFERROR(VLOOKUP($B6,MMWR_TRAD_AGG_DISTRICT_COMP[],Q$1,0),"ERROR")</f>
        <v>24162</v>
      </c>
      <c r="R6" s="200">
        <f>IFERROR(VLOOKUP($B6,MMWR_TRAD_AGG_DISTRICT_COMP[],R$1,0),"ERROR")</f>
        <v>4376</v>
      </c>
      <c r="S6" s="203">
        <f>S7+S25+S38+S49+S62+S70</f>
        <v>317514</v>
      </c>
      <c r="T6" s="25"/>
    </row>
    <row r="7" spans="1:20" x14ac:dyDescent="0.2">
      <c r="A7" s="92"/>
      <c r="B7" s="101" t="s">
        <v>369</v>
      </c>
      <c r="C7" s="212">
        <f>IFERROR(VLOOKUP($B7,MMWR_TRAD_AGG_DISTRICT_COMP[],C$1,0),"ERROR")</f>
        <v>72014</v>
      </c>
      <c r="D7" s="197">
        <f>IFERROR(VLOOKUP($B7,MMWR_TRAD_AGG_DISTRICT_COMP[],D$1,0),"ERROR")</f>
        <v>430.95075957450001</v>
      </c>
      <c r="E7" s="213">
        <f>IFERROR(VLOOKUP($B7,MMWR_TRAD_AGG_DISTRICT_COMP[],E$1,0),"ERROR")</f>
        <v>79028</v>
      </c>
      <c r="F7" s="212">
        <f>IFERROR(VLOOKUP($B7,MMWR_TRAD_AGG_DISTRICT_COMP[],F$1,0),"ERROR")</f>
        <v>18707</v>
      </c>
      <c r="G7" s="214">
        <f t="shared" si="0"/>
        <v>0.23671356987396872</v>
      </c>
      <c r="H7" s="212">
        <f>IFERROR(VLOOKUP($B7,MMWR_TRAD_AGG_DISTRICT_COMP[],H$1,0),"ERROR")</f>
        <v>100466</v>
      </c>
      <c r="I7" s="212">
        <f>IFERROR(VLOOKUP($B7,MMWR_TRAD_AGG_DISTRICT_COMP[],I$1,0),"ERROR")</f>
        <v>70471</v>
      </c>
      <c r="J7" s="214">
        <f t="shared" si="1"/>
        <v>0.70144128361833857</v>
      </c>
      <c r="K7" s="212">
        <f>IFERROR(VLOOKUP($B7,MMWR_TRAD_AGG_DISTRICT_COMP[],K$1,0),"ERROR")</f>
        <v>38746</v>
      </c>
      <c r="L7" s="212">
        <f>IFERROR(VLOOKUP($B7,MMWR_TRAD_AGG_DISTRICT_COMP[],L$1,0),"ERROR")</f>
        <v>31171</v>
      </c>
      <c r="M7" s="214">
        <f t="shared" si="2"/>
        <v>0.80449594796882262</v>
      </c>
      <c r="N7" s="212">
        <f>IFERROR(VLOOKUP($B7,MMWR_TRAD_AGG_DISTRICT_COMP[],N$1,0),"ERROR")</f>
        <v>29200</v>
      </c>
      <c r="O7" s="212">
        <f>IFERROR(VLOOKUP($B7,MMWR_TRAD_AGG_DISTRICT_COMP[],O$1,0),"ERROR")</f>
        <v>22309</v>
      </c>
      <c r="P7" s="214">
        <f t="shared" si="3"/>
        <v>0.76400684931506846</v>
      </c>
      <c r="Q7" s="212">
        <f>IFERROR(VLOOKUP($B7,MMWR_TRAD_AGG_DISTRICT_COMP[],Q$1,0),"ERROR")</f>
        <v>14763</v>
      </c>
      <c r="R7" s="215">
        <f>IFERROR(VLOOKUP($B7,MMWR_TRAD_AGG_DISTRICT_COMP[],R$1,0),"ERROR")</f>
        <v>52</v>
      </c>
      <c r="S7" s="215">
        <f>IFERROR(VLOOKUP($B7,MMWR_APP_RO[],S$1,0),"ERROR")</f>
        <v>57440</v>
      </c>
      <c r="T7" s="25"/>
    </row>
    <row r="8" spans="1:20" x14ac:dyDescent="0.2">
      <c r="A8" s="107"/>
      <c r="B8" s="108" t="s">
        <v>33</v>
      </c>
      <c r="C8" s="209">
        <f>IFERROR(VLOOKUP($B8,MMWR_TRAD_AGG_RO_COMP[],C$1,0),"ERROR")</f>
        <v>8972</v>
      </c>
      <c r="D8" s="198">
        <f>IFERROR(VLOOKUP($B8,MMWR_TRAD_AGG_RO_COMP[],D$1,0),"ERROR")</f>
        <v>718.6730940704</v>
      </c>
      <c r="E8" s="195">
        <f>IFERROR(VLOOKUP($B8,MMWR_TRAD_AGG_RO_COMP[],E$1,0),"ERROR")</f>
        <v>4880</v>
      </c>
      <c r="F8" s="191">
        <f>IFERROR(VLOOKUP($B8,MMWR_TRAD_AGG_RO_COMP[],F$1,0),"ERROR")</f>
        <v>1201</v>
      </c>
      <c r="G8" s="216">
        <f t="shared" si="0"/>
        <v>0.24610655737704917</v>
      </c>
      <c r="H8" s="190">
        <f>IFERROR(VLOOKUP($B8,MMWR_TRAD_AGG_RO_COMP[],H$1,0),"ERROR")</f>
        <v>10503</v>
      </c>
      <c r="I8" s="191">
        <f>IFERROR(VLOOKUP($B8,MMWR_TRAD_AGG_RO_COMP[],I$1,0),"ERROR")</f>
        <v>8691</v>
      </c>
      <c r="J8" s="216">
        <f t="shared" si="1"/>
        <v>0.82747786346758068</v>
      </c>
      <c r="K8" s="204">
        <f>IFERROR(VLOOKUP($B8,MMWR_TRAD_AGG_RO_COMP[],K$1,0),"ERROR")</f>
        <v>3491</v>
      </c>
      <c r="L8" s="205">
        <f>IFERROR(VLOOKUP($B8,MMWR_TRAD_AGG_RO_COMP[],L$1,0),"ERROR")</f>
        <v>3086</v>
      </c>
      <c r="M8" s="216">
        <f t="shared" si="2"/>
        <v>0.8839873961615583</v>
      </c>
      <c r="N8" s="204">
        <f>IFERROR(VLOOKUP($B8,MMWR_TRAD_AGG_RO_COMP[],N$1,0),"ERROR")</f>
        <v>1503</v>
      </c>
      <c r="O8" s="205">
        <f>IFERROR(VLOOKUP($B8,MMWR_TRAD_AGG_RO_COMP[],O$1,0),"ERROR")</f>
        <v>1166</v>
      </c>
      <c r="P8" s="216">
        <f t="shared" si="3"/>
        <v>0.7757817697937458</v>
      </c>
      <c r="Q8" s="201">
        <f>IFERROR(VLOOKUP($B8,MMWR_TRAD_AGG_RO_COMP[],Q$1,0),"ERROR")</f>
        <v>0</v>
      </c>
      <c r="R8" s="201">
        <f>IFERROR(VLOOKUP($B8,MMWR_TRAD_AGG_RO_COMP[],R$1,0),"ERROR")</f>
        <v>6</v>
      </c>
      <c r="S8" s="201">
        <f>IFERROR(VLOOKUP($B8,MMWR_APP_RO[],S$1,0),"ERROR")</f>
        <v>5420</v>
      </c>
      <c r="T8" s="25"/>
    </row>
    <row r="9" spans="1:20" x14ac:dyDescent="0.2">
      <c r="A9" s="107"/>
      <c r="B9" s="108" t="s">
        <v>35</v>
      </c>
      <c r="C9" s="209">
        <f>IFERROR(VLOOKUP($B9,MMWR_TRAD_AGG_RO_COMP[],C$1,0),"ERROR")</f>
        <v>3865</v>
      </c>
      <c r="D9" s="198">
        <f>IFERROR(VLOOKUP($B9,MMWR_TRAD_AGG_RO_COMP[],D$1,0),"ERROR")</f>
        <v>633.40439844759999</v>
      </c>
      <c r="E9" s="195">
        <f>IFERROR(VLOOKUP($B9,MMWR_TRAD_AGG_RO_COMP[],E$1,0),"ERROR")</f>
        <v>3277</v>
      </c>
      <c r="F9" s="191">
        <f>IFERROR(VLOOKUP($B9,MMWR_TRAD_AGG_RO_COMP[],F$1,0),"ERROR")</f>
        <v>734</v>
      </c>
      <c r="G9" s="216">
        <f t="shared" si="0"/>
        <v>0.2239853524565151</v>
      </c>
      <c r="H9" s="190">
        <f>IFERROR(VLOOKUP($B9,MMWR_TRAD_AGG_RO_COMP[],H$1,0),"ERROR")</f>
        <v>5471</v>
      </c>
      <c r="I9" s="191">
        <f>IFERROR(VLOOKUP($B9,MMWR_TRAD_AGG_RO_COMP[],I$1,0),"ERROR")</f>
        <v>4158</v>
      </c>
      <c r="J9" s="216">
        <f t="shared" si="1"/>
        <v>0.76000731127764576</v>
      </c>
      <c r="K9" s="204">
        <f>IFERROR(VLOOKUP($B9,MMWR_TRAD_AGG_RO_COMP[],K$1,0),"ERROR")</f>
        <v>2735</v>
      </c>
      <c r="L9" s="205">
        <f>IFERROR(VLOOKUP($B9,MMWR_TRAD_AGG_RO_COMP[],L$1,0),"ERROR")</f>
        <v>2234</v>
      </c>
      <c r="M9" s="216">
        <f t="shared" si="2"/>
        <v>0.81681901279707492</v>
      </c>
      <c r="N9" s="204">
        <f>IFERROR(VLOOKUP($B9,MMWR_TRAD_AGG_RO_COMP[],N$1,0),"ERROR")</f>
        <v>641</v>
      </c>
      <c r="O9" s="205">
        <f>IFERROR(VLOOKUP($B9,MMWR_TRAD_AGG_RO_COMP[],O$1,0),"ERROR")</f>
        <v>575</v>
      </c>
      <c r="P9" s="216">
        <f t="shared" si="3"/>
        <v>0.89703588143525737</v>
      </c>
      <c r="Q9" s="201">
        <f>IFERROR(VLOOKUP($B9,MMWR_TRAD_AGG_RO_COMP[],Q$1,0),"ERROR")</f>
        <v>0</v>
      </c>
      <c r="R9" s="201">
        <f>IFERROR(VLOOKUP($B9,MMWR_TRAD_AGG_RO_COMP[],R$1,0),"ERROR")</f>
        <v>2</v>
      </c>
      <c r="S9" s="201">
        <f>IFERROR(VLOOKUP($B9,MMWR_APP_RO[],S$1,0),"ERROR")</f>
        <v>3226</v>
      </c>
      <c r="T9" s="25"/>
    </row>
    <row r="10" spans="1:20" x14ac:dyDescent="0.2">
      <c r="A10" s="107"/>
      <c r="B10" s="108" t="s">
        <v>24</v>
      </c>
      <c r="C10" s="209">
        <f>IFERROR(VLOOKUP($B10,MMWR_TRAD_AGG_RO_COMP[],C$1,0),"ERROR")</f>
        <v>628</v>
      </c>
      <c r="D10" s="198">
        <f>IFERROR(VLOOKUP($B10,MMWR_TRAD_AGG_RO_COMP[],D$1,0),"ERROR")</f>
        <v>222.59713375800001</v>
      </c>
      <c r="E10" s="195">
        <f>IFERROR(VLOOKUP($B10,MMWR_TRAD_AGG_RO_COMP[],E$1,0),"ERROR")</f>
        <v>3850</v>
      </c>
      <c r="F10" s="191">
        <f>IFERROR(VLOOKUP($B10,MMWR_TRAD_AGG_RO_COMP[],F$1,0),"ERROR")</f>
        <v>824</v>
      </c>
      <c r="G10" s="216">
        <f t="shared" si="0"/>
        <v>0.21402597402597404</v>
      </c>
      <c r="H10" s="190">
        <f>IFERROR(VLOOKUP($B10,MMWR_TRAD_AGG_RO_COMP[],H$1,0),"ERROR")</f>
        <v>1790</v>
      </c>
      <c r="I10" s="191">
        <f>IFERROR(VLOOKUP($B10,MMWR_TRAD_AGG_RO_COMP[],I$1,0),"ERROR")</f>
        <v>941</v>
      </c>
      <c r="J10" s="216">
        <f t="shared" si="1"/>
        <v>0.5256983240223464</v>
      </c>
      <c r="K10" s="204">
        <f>IFERROR(VLOOKUP($B10,MMWR_TRAD_AGG_RO_COMP[],K$1,0),"ERROR")</f>
        <v>966</v>
      </c>
      <c r="L10" s="205">
        <f>IFERROR(VLOOKUP($B10,MMWR_TRAD_AGG_RO_COMP[],L$1,0),"ERROR")</f>
        <v>654</v>
      </c>
      <c r="M10" s="216">
        <f t="shared" si="2"/>
        <v>0.67701863354037262</v>
      </c>
      <c r="N10" s="204">
        <f>IFERROR(VLOOKUP($B10,MMWR_TRAD_AGG_RO_COMP[],N$1,0),"ERROR")</f>
        <v>316</v>
      </c>
      <c r="O10" s="205">
        <f>IFERROR(VLOOKUP($B10,MMWR_TRAD_AGG_RO_COMP[],O$1,0),"ERROR")</f>
        <v>155</v>
      </c>
      <c r="P10" s="216">
        <f t="shared" si="3"/>
        <v>0.49050632911392406</v>
      </c>
      <c r="Q10" s="201">
        <f>IFERROR(VLOOKUP($B10,MMWR_TRAD_AGG_RO_COMP[],Q$1,0),"ERROR")</f>
        <v>0</v>
      </c>
      <c r="R10" s="201">
        <f>IFERROR(VLOOKUP($B10,MMWR_TRAD_AGG_RO_COMP[],R$1,0),"ERROR")</f>
        <v>0</v>
      </c>
      <c r="S10" s="201">
        <f>IFERROR(VLOOKUP($B10,MMWR_APP_RO[],S$1,0),"ERROR")</f>
        <v>2103</v>
      </c>
      <c r="T10" s="25"/>
    </row>
    <row r="11" spans="1:20" x14ac:dyDescent="0.2">
      <c r="A11" s="107"/>
      <c r="B11" s="108" t="s">
        <v>44</v>
      </c>
      <c r="C11" s="209">
        <f>IFERROR(VLOOKUP($B11,MMWR_TRAD_AGG_RO_COMP[],C$1,0),"ERROR")</f>
        <v>629</v>
      </c>
      <c r="D11" s="198">
        <f>IFERROR(VLOOKUP($B11,MMWR_TRAD_AGG_RO_COMP[],D$1,0),"ERROR")</f>
        <v>287.17329093799998</v>
      </c>
      <c r="E11" s="195">
        <f>IFERROR(VLOOKUP($B11,MMWR_TRAD_AGG_RO_COMP[],E$1,0),"ERROR")</f>
        <v>1694</v>
      </c>
      <c r="F11" s="191">
        <f>IFERROR(VLOOKUP($B11,MMWR_TRAD_AGG_RO_COMP[],F$1,0),"ERROR")</f>
        <v>346</v>
      </c>
      <c r="G11" s="216">
        <f t="shared" si="0"/>
        <v>0.20425029515938606</v>
      </c>
      <c r="H11" s="190">
        <f>IFERROR(VLOOKUP($B11,MMWR_TRAD_AGG_RO_COMP[],H$1,0),"ERROR")</f>
        <v>1733</v>
      </c>
      <c r="I11" s="191">
        <f>IFERROR(VLOOKUP($B11,MMWR_TRAD_AGG_RO_COMP[],I$1,0),"ERROR")</f>
        <v>852</v>
      </c>
      <c r="J11" s="216">
        <f t="shared" si="1"/>
        <v>0.4916330063473745</v>
      </c>
      <c r="K11" s="204">
        <f>IFERROR(VLOOKUP($B11,MMWR_TRAD_AGG_RO_COMP[],K$1,0),"ERROR")</f>
        <v>460</v>
      </c>
      <c r="L11" s="205">
        <f>IFERROR(VLOOKUP($B11,MMWR_TRAD_AGG_RO_COMP[],L$1,0),"ERROR")</f>
        <v>249</v>
      </c>
      <c r="M11" s="216">
        <f t="shared" si="2"/>
        <v>0.54130434782608694</v>
      </c>
      <c r="N11" s="204">
        <f>IFERROR(VLOOKUP($B11,MMWR_TRAD_AGG_RO_COMP[],N$1,0),"ERROR")</f>
        <v>817</v>
      </c>
      <c r="O11" s="205">
        <f>IFERROR(VLOOKUP($B11,MMWR_TRAD_AGG_RO_COMP[],O$1,0),"ERROR")</f>
        <v>661</v>
      </c>
      <c r="P11" s="216">
        <f t="shared" si="3"/>
        <v>0.80905752753977966</v>
      </c>
      <c r="Q11" s="201">
        <f>IFERROR(VLOOKUP($B11,MMWR_TRAD_AGG_RO_COMP[],Q$1,0),"ERROR")</f>
        <v>0</v>
      </c>
      <c r="R11" s="201">
        <f>IFERROR(VLOOKUP($B11,MMWR_TRAD_AGG_RO_COMP[],R$1,0),"ERROR")</f>
        <v>5</v>
      </c>
      <c r="S11" s="201">
        <f>IFERROR(VLOOKUP($B11,MMWR_APP_RO[],S$1,0),"ERROR")</f>
        <v>1259</v>
      </c>
      <c r="T11" s="25"/>
    </row>
    <row r="12" spans="1:20" x14ac:dyDescent="0.2">
      <c r="A12" s="107"/>
      <c r="B12" s="108" t="s">
        <v>47</v>
      </c>
      <c r="C12" s="209">
        <f>IFERROR(VLOOKUP($B12,MMWR_TRAD_AGG_RO_COMP[],C$1,0),"ERROR")</f>
        <v>1915</v>
      </c>
      <c r="D12" s="198">
        <f>IFERROR(VLOOKUP($B12,MMWR_TRAD_AGG_RO_COMP[],D$1,0),"ERROR")</f>
        <v>288.1603133159</v>
      </c>
      <c r="E12" s="195">
        <f>IFERROR(VLOOKUP($B12,MMWR_TRAD_AGG_RO_COMP[],E$1,0),"ERROR")</f>
        <v>2415</v>
      </c>
      <c r="F12" s="191">
        <f>IFERROR(VLOOKUP($B12,MMWR_TRAD_AGG_RO_COMP[],F$1,0),"ERROR")</f>
        <v>447</v>
      </c>
      <c r="G12" s="216">
        <f t="shared" si="0"/>
        <v>0.18509316770186335</v>
      </c>
      <c r="H12" s="190">
        <f>IFERROR(VLOOKUP($B12,MMWR_TRAD_AGG_RO_COMP[],H$1,0),"ERROR")</f>
        <v>3137</v>
      </c>
      <c r="I12" s="191">
        <f>IFERROR(VLOOKUP($B12,MMWR_TRAD_AGG_RO_COMP[],I$1,0),"ERROR")</f>
        <v>2119</v>
      </c>
      <c r="J12" s="216">
        <f t="shared" si="1"/>
        <v>0.6754861332483264</v>
      </c>
      <c r="K12" s="204">
        <f>IFERROR(VLOOKUP($B12,MMWR_TRAD_AGG_RO_COMP[],K$1,0),"ERROR")</f>
        <v>445</v>
      </c>
      <c r="L12" s="205">
        <f>IFERROR(VLOOKUP($B12,MMWR_TRAD_AGG_RO_COMP[],L$1,0),"ERROR")</f>
        <v>358</v>
      </c>
      <c r="M12" s="216">
        <f t="shared" si="2"/>
        <v>0.80449438202247192</v>
      </c>
      <c r="N12" s="204">
        <f>IFERROR(VLOOKUP($B12,MMWR_TRAD_AGG_RO_COMP[],N$1,0),"ERROR")</f>
        <v>1232</v>
      </c>
      <c r="O12" s="205">
        <f>IFERROR(VLOOKUP($B12,MMWR_TRAD_AGG_RO_COMP[],O$1,0),"ERROR")</f>
        <v>917</v>
      </c>
      <c r="P12" s="216">
        <f t="shared" si="3"/>
        <v>0.74431818181818177</v>
      </c>
      <c r="Q12" s="201">
        <f>IFERROR(VLOOKUP($B12,MMWR_TRAD_AGG_RO_COMP[],Q$1,0),"ERROR")</f>
        <v>0</v>
      </c>
      <c r="R12" s="201">
        <f>IFERROR(VLOOKUP($B12,MMWR_TRAD_AGG_RO_COMP[],R$1,0),"ERROR")</f>
        <v>8</v>
      </c>
      <c r="S12" s="201">
        <f>IFERROR(VLOOKUP($B12,MMWR_APP_RO[],S$1,0),"ERROR")</f>
        <v>2288</v>
      </c>
      <c r="T12" s="25"/>
    </row>
    <row r="13" spans="1:20" x14ac:dyDescent="0.2">
      <c r="A13" s="107"/>
      <c r="B13" s="108" t="s">
        <v>54</v>
      </c>
      <c r="C13" s="209">
        <f>IFERROR(VLOOKUP($B13,MMWR_TRAD_AGG_RO_COMP[],C$1,0),"ERROR")</f>
        <v>1052</v>
      </c>
      <c r="D13" s="198">
        <f>IFERROR(VLOOKUP($B13,MMWR_TRAD_AGG_RO_COMP[],D$1,0),"ERROR")</f>
        <v>285.6768060837</v>
      </c>
      <c r="E13" s="195">
        <f>IFERROR(VLOOKUP($B13,MMWR_TRAD_AGG_RO_COMP[],E$1,0),"ERROR")</f>
        <v>1094</v>
      </c>
      <c r="F13" s="191">
        <f>IFERROR(VLOOKUP($B13,MMWR_TRAD_AGG_RO_COMP[],F$1,0),"ERROR")</f>
        <v>149</v>
      </c>
      <c r="G13" s="216">
        <f t="shared" si="0"/>
        <v>0.13619744058500913</v>
      </c>
      <c r="H13" s="190">
        <f>IFERROR(VLOOKUP($B13,MMWR_TRAD_AGG_RO_COMP[],H$1,0),"ERROR")</f>
        <v>1515</v>
      </c>
      <c r="I13" s="191">
        <f>IFERROR(VLOOKUP($B13,MMWR_TRAD_AGG_RO_COMP[],I$1,0),"ERROR")</f>
        <v>943</v>
      </c>
      <c r="J13" s="216">
        <f t="shared" si="1"/>
        <v>0.6224422442244224</v>
      </c>
      <c r="K13" s="204">
        <f>IFERROR(VLOOKUP($B13,MMWR_TRAD_AGG_RO_COMP[],K$1,0),"ERROR")</f>
        <v>217</v>
      </c>
      <c r="L13" s="205">
        <f>IFERROR(VLOOKUP($B13,MMWR_TRAD_AGG_RO_COMP[],L$1,0),"ERROR")</f>
        <v>157</v>
      </c>
      <c r="M13" s="216">
        <f t="shared" si="2"/>
        <v>0.72350230414746541</v>
      </c>
      <c r="N13" s="204">
        <f>IFERROR(VLOOKUP($B13,MMWR_TRAD_AGG_RO_COMP[],N$1,0),"ERROR")</f>
        <v>122</v>
      </c>
      <c r="O13" s="205">
        <f>IFERROR(VLOOKUP($B13,MMWR_TRAD_AGG_RO_COMP[],O$1,0),"ERROR")</f>
        <v>49</v>
      </c>
      <c r="P13" s="216">
        <f t="shared" si="3"/>
        <v>0.40163934426229508</v>
      </c>
      <c r="Q13" s="201">
        <f>IFERROR(VLOOKUP($B13,MMWR_TRAD_AGG_RO_COMP[],Q$1,0),"ERROR")</f>
        <v>0</v>
      </c>
      <c r="R13" s="201">
        <f>IFERROR(VLOOKUP($B13,MMWR_TRAD_AGG_RO_COMP[],R$1,0),"ERROR")</f>
        <v>1</v>
      </c>
      <c r="S13" s="201">
        <f>IFERROR(VLOOKUP($B13,MMWR_APP_RO[],S$1,0),"ERROR")</f>
        <v>619</v>
      </c>
      <c r="T13" s="25"/>
    </row>
    <row r="14" spans="1:20" x14ac:dyDescent="0.2">
      <c r="A14" s="107"/>
      <c r="B14" s="108" t="s">
        <v>60</v>
      </c>
      <c r="C14" s="209">
        <f>IFERROR(VLOOKUP($B14,MMWR_TRAD_AGG_RO_COMP[],C$1,0),"ERROR")</f>
        <v>2667</v>
      </c>
      <c r="D14" s="198">
        <f>IFERROR(VLOOKUP($B14,MMWR_TRAD_AGG_RO_COMP[],D$1,0),"ERROR")</f>
        <v>318.01462317210002</v>
      </c>
      <c r="E14" s="195">
        <f>IFERROR(VLOOKUP($B14,MMWR_TRAD_AGG_RO_COMP[],E$1,0),"ERROR")</f>
        <v>5057</v>
      </c>
      <c r="F14" s="191">
        <f>IFERROR(VLOOKUP($B14,MMWR_TRAD_AGG_RO_COMP[],F$1,0),"ERROR")</f>
        <v>1368</v>
      </c>
      <c r="G14" s="216">
        <f t="shared" si="0"/>
        <v>0.27051611627447103</v>
      </c>
      <c r="H14" s="190">
        <f>IFERROR(VLOOKUP($B14,MMWR_TRAD_AGG_RO_COMP[],H$1,0),"ERROR")</f>
        <v>3840</v>
      </c>
      <c r="I14" s="191">
        <f>IFERROR(VLOOKUP($B14,MMWR_TRAD_AGG_RO_COMP[],I$1,0),"ERROR")</f>
        <v>2379</v>
      </c>
      <c r="J14" s="216">
        <f t="shared" si="1"/>
        <v>0.61953124999999998</v>
      </c>
      <c r="K14" s="204">
        <f>IFERROR(VLOOKUP($B14,MMWR_TRAD_AGG_RO_COMP[],K$1,0),"ERROR")</f>
        <v>2505</v>
      </c>
      <c r="L14" s="205">
        <f>IFERROR(VLOOKUP($B14,MMWR_TRAD_AGG_RO_COMP[],L$1,0),"ERROR")</f>
        <v>2184</v>
      </c>
      <c r="M14" s="216">
        <f t="shared" si="2"/>
        <v>0.87185628742514965</v>
      </c>
      <c r="N14" s="204">
        <f>IFERROR(VLOOKUP($B14,MMWR_TRAD_AGG_RO_COMP[],N$1,0),"ERROR")</f>
        <v>4078</v>
      </c>
      <c r="O14" s="205">
        <f>IFERROR(VLOOKUP($B14,MMWR_TRAD_AGG_RO_COMP[],O$1,0),"ERROR")</f>
        <v>1667</v>
      </c>
      <c r="P14" s="216">
        <f t="shared" si="3"/>
        <v>0.40877881314369791</v>
      </c>
      <c r="Q14" s="201">
        <f>IFERROR(VLOOKUP($B14,MMWR_TRAD_AGG_RO_COMP[],Q$1,0),"ERROR")</f>
        <v>0</v>
      </c>
      <c r="R14" s="201">
        <f>IFERROR(VLOOKUP($B14,MMWR_TRAD_AGG_RO_COMP[],R$1,0),"ERROR")</f>
        <v>2</v>
      </c>
      <c r="S14" s="201">
        <f>IFERROR(VLOOKUP($B14,MMWR_APP_RO[],S$1,0),"ERROR")</f>
        <v>3339</v>
      </c>
      <c r="T14" s="25"/>
    </row>
    <row r="15" spans="1:20" x14ac:dyDescent="0.2">
      <c r="A15" s="107"/>
      <c r="B15" s="108" t="s">
        <v>61</v>
      </c>
      <c r="C15" s="209">
        <f>IFERROR(VLOOKUP($B15,MMWR_TRAD_AGG_RO_COMP[],C$1,0),"ERROR")</f>
        <v>491</v>
      </c>
      <c r="D15" s="198">
        <f>IFERROR(VLOOKUP($B15,MMWR_TRAD_AGG_RO_COMP[],D$1,0),"ERROR")</f>
        <v>270.63136456209998</v>
      </c>
      <c r="E15" s="195">
        <f>IFERROR(VLOOKUP($B15,MMWR_TRAD_AGG_RO_COMP[],E$1,0),"ERROR")</f>
        <v>2723</v>
      </c>
      <c r="F15" s="191">
        <f>IFERROR(VLOOKUP($B15,MMWR_TRAD_AGG_RO_COMP[],F$1,0),"ERROR")</f>
        <v>666</v>
      </c>
      <c r="G15" s="216">
        <f t="shared" si="0"/>
        <v>0.24458318031582812</v>
      </c>
      <c r="H15" s="190">
        <f>IFERROR(VLOOKUP($B15,MMWR_TRAD_AGG_RO_COMP[],H$1,0),"ERROR")</f>
        <v>1011</v>
      </c>
      <c r="I15" s="191">
        <f>IFERROR(VLOOKUP($B15,MMWR_TRAD_AGG_RO_COMP[],I$1,0),"ERROR")</f>
        <v>448</v>
      </c>
      <c r="J15" s="216">
        <f t="shared" si="1"/>
        <v>0.44312561819980217</v>
      </c>
      <c r="K15" s="204">
        <f>IFERROR(VLOOKUP($B15,MMWR_TRAD_AGG_RO_COMP[],K$1,0),"ERROR")</f>
        <v>656</v>
      </c>
      <c r="L15" s="205">
        <f>IFERROR(VLOOKUP($B15,MMWR_TRAD_AGG_RO_COMP[],L$1,0),"ERROR")</f>
        <v>615</v>
      </c>
      <c r="M15" s="216">
        <f t="shared" si="2"/>
        <v>0.9375</v>
      </c>
      <c r="N15" s="204">
        <f>IFERROR(VLOOKUP($B15,MMWR_TRAD_AGG_RO_COMP[],N$1,0),"ERROR")</f>
        <v>1507</v>
      </c>
      <c r="O15" s="205">
        <f>IFERROR(VLOOKUP($B15,MMWR_TRAD_AGG_RO_COMP[],O$1,0),"ERROR")</f>
        <v>1192</v>
      </c>
      <c r="P15" s="216">
        <f t="shared" si="3"/>
        <v>0.79097544790975449</v>
      </c>
      <c r="Q15" s="201">
        <f>IFERROR(VLOOKUP($B15,MMWR_TRAD_AGG_RO_COMP[],Q$1,0),"ERROR")</f>
        <v>0</v>
      </c>
      <c r="R15" s="201">
        <f>IFERROR(VLOOKUP($B15,MMWR_TRAD_AGG_RO_COMP[],R$1,0),"ERROR")</f>
        <v>1</v>
      </c>
      <c r="S15" s="201">
        <f>IFERROR(VLOOKUP($B15,MMWR_APP_RO[],S$1,0),"ERROR")</f>
        <v>2617</v>
      </c>
      <c r="T15" s="25"/>
    </row>
    <row r="16" spans="1:20" x14ac:dyDescent="0.2">
      <c r="A16" s="107"/>
      <c r="B16" s="108" t="s">
        <v>63</v>
      </c>
      <c r="C16" s="209">
        <f>IFERROR(VLOOKUP($B16,MMWR_TRAD_AGG_RO_COMP[],C$1,0),"ERROR")</f>
        <v>5288</v>
      </c>
      <c r="D16" s="198">
        <f>IFERROR(VLOOKUP($B16,MMWR_TRAD_AGG_RO_COMP[],D$1,0),"ERROR")</f>
        <v>509.2906580938</v>
      </c>
      <c r="E16" s="195">
        <f>IFERROR(VLOOKUP($B16,MMWR_TRAD_AGG_RO_COMP[],E$1,0),"ERROR")</f>
        <v>14200</v>
      </c>
      <c r="F16" s="191">
        <f>IFERROR(VLOOKUP($B16,MMWR_TRAD_AGG_RO_COMP[],F$1,0),"ERROR")</f>
        <v>3401</v>
      </c>
      <c r="G16" s="216">
        <f t="shared" si="0"/>
        <v>0.23950704225352112</v>
      </c>
      <c r="H16" s="190">
        <f>IFERROR(VLOOKUP($B16,MMWR_TRAD_AGG_RO_COMP[],H$1,0),"ERROR")</f>
        <v>7874</v>
      </c>
      <c r="I16" s="191">
        <f>IFERROR(VLOOKUP($B16,MMWR_TRAD_AGG_RO_COMP[],I$1,0),"ERROR")</f>
        <v>6078</v>
      </c>
      <c r="J16" s="216">
        <f t="shared" si="1"/>
        <v>0.77190754381508764</v>
      </c>
      <c r="K16" s="204">
        <f>IFERROR(VLOOKUP($B16,MMWR_TRAD_AGG_RO_COMP[],K$1,0),"ERROR")</f>
        <v>2288</v>
      </c>
      <c r="L16" s="205">
        <f>IFERROR(VLOOKUP($B16,MMWR_TRAD_AGG_RO_COMP[],L$1,0),"ERROR")</f>
        <v>1458</v>
      </c>
      <c r="M16" s="216">
        <f t="shared" si="2"/>
        <v>0.63723776223776218</v>
      </c>
      <c r="N16" s="204">
        <f>IFERROR(VLOOKUP($B16,MMWR_TRAD_AGG_RO_COMP[],N$1,0),"ERROR")</f>
        <v>7190</v>
      </c>
      <c r="O16" s="205">
        <f>IFERROR(VLOOKUP($B16,MMWR_TRAD_AGG_RO_COMP[],O$1,0),"ERROR")</f>
        <v>6442</v>
      </c>
      <c r="P16" s="216">
        <f t="shared" si="3"/>
        <v>0.89596662030598051</v>
      </c>
      <c r="Q16" s="201">
        <f>IFERROR(VLOOKUP($B16,MMWR_TRAD_AGG_RO_COMP[],Q$1,0),"ERROR")</f>
        <v>14756</v>
      </c>
      <c r="R16" s="201">
        <f>IFERROR(VLOOKUP($B16,MMWR_TRAD_AGG_RO_COMP[],R$1,0),"ERROR")</f>
        <v>0</v>
      </c>
      <c r="S16" s="201">
        <f>IFERROR(VLOOKUP($B16,MMWR_APP_RO[],S$1,0),"ERROR")</f>
        <v>5849</v>
      </c>
      <c r="T16" s="25"/>
    </row>
    <row r="17" spans="1:20" x14ac:dyDescent="0.2">
      <c r="A17" s="107"/>
      <c r="B17" s="108" t="s">
        <v>65</v>
      </c>
      <c r="C17" s="209">
        <f>IFERROR(VLOOKUP($B17,MMWR_TRAD_AGG_RO_COMP[],C$1,0),"ERROR")</f>
        <v>3612</v>
      </c>
      <c r="D17" s="198">
        <f>IFERROR(VLOOKUP($B17,MMWR_TRAD_AGG_RO_COMP[],D$1,0),"ERROR")</f>
        <v>425.58250276849998</v>
      </c>
      <c r="E17" s="195">
        <f>IFERROR(VLOOKUP($B17,MMWR_TRAD_AGG_RO_COMP[],E$1,0),"ERROR")</f>
        <v>5229</v>
      </c>
      <c r="F17" s="191">
        <f>IFERROR(VLOOKUP($B17,MMWR_TRAD_AGG_RO_COMP[],F$1,0),"ERROR")</f>
        <v>1671</v>
      </c>
      <c r="G17" s="216">
        <f t="shared" si="0"/>
        <v>0.31956397016637983</v>
      </c>
      <c r="H17" s="190">
        <f>IFERROR(VLOOKUP($B17,MMWR_TRAD_AGG_RO_COMP[],H$1,0),"ERROR")</f>
        <v>5089</v>
      </c>
      <c r="I17" s="191">
        <f>IFERROR(VLOOKUP($B17,MMWR_TRAD_AGG_RO_COMP[],I$1,0),"ERROR")</f>
        <v>3555</v>
      </c>
      <c r="J17" s="216">
        <f t="shared" si="1"/>
        <v>0.69856553350363526</v>
      </c>
      <c r="K17" s="204">
        <f>IFERROR(VLOOKUP($B17,MMWR_TRAD_AGG_RO_COMP[],K$1,0),"ERROR")</f>
        <v>473</v>
      </c>
      <c r="L17" s="205">
        <f>IFERROR(VLOOKUP($B17,MMWR_TRAD_AGG_RO_COMP[],L$1,0),"ERROR")</f>
        <v>347</v>
      </c>
      <c r="M17" s="216">
        <f t="shared" si="2"/>
        <v>0.73361522198731499</v>
      </c>
      <c r="N17" s="204">
        <f>IFERROR(VLOOKUP($B17,MMWR_TRAD_AGG_RO_COMP[],N$1,0),"ERROR")</f>
        <v>839</v>
      </c>
      <c r="O17" s="205">
        <f>IFERROR(VLOOKUP($B17,MMWR_TRAD_AGG_RO_COMP[],O$1,0),"ERROR")</f>
        <v>585</v>
      </c>
      <c r="P17" s="216">
        <f t="shared" si="3"/>
        <v>0.69725864123957093</v>
      </c>
      <c r="Q17" s="201">
        <f>IFERROR(VLOOKUP($B17,MMWR_TRAD_AGG_RO_COMP[],Q$1,0),"ERROR")</f>
        <v>0</v>
      </c>
      <c r="R17" s="201">
        <f>IFERROR(VLOOKUP($B17,MMWR_TRAD_AGG_RO_COMP[],R$1,0),"ERROR")</f>
        <v>2</v>
      </c>
      <c r="S17" s="201">
        <f>IFERROR(VLOOKUP($B17,MMWR_APP_RO[],S$1,0),"ERROR")</f>
        <v>5171</v>
      </c>
      <c r="T17" s="25"/>
    </row>
    <row r="18" spans="1:20" x14ac:dyDescent="0.2">
      <c r="A18" s="107"/>
      <c r="B18" s="108" t="s">
        <v>67</v>
      </c>
      <c r="C18" s="209">
        <f>IFERROR(VLOOKUP($B18,MMWR_TRAD_AGG_RO_COMP[],C$1,0),"ERROR")</f>
        <v>708</v>
      </c>
      <c r="D18" s="198">
        <f>IFERROR(VLOOKUP($B18,MMWR_TRAD_AGG_RO_COMP[],D$1,0),"ERROR")</f>
        <v>236.7853107345</v>
      </c>
      <c r="E18" s="195">
        <f>IFERROR(VLOOKUP($B18,MMWR_TRAD_AGG_RO_COMP[],E$1,0),"ERROR")</f>
        <v>2235</v>
      </c>
      <c r="F18" s="191">
        <f>IFERROR(VLOOKUP($B18,MMWR_TRAD_AGG_RO_COMP[],F$1,0),"ERROR")</f>
        <v>398</v>
      </c>
      <c r="G18" s="216">
        <f t="shared" si="0"/>
        <v>0.17807606263982104</v>
      </c>
      <c r="H18" s="190">
        <f>IFERROR(VLOOKUP($B18,MMWR_TRAD_AGG_RO_COMP[],H$1,0),"ERROR")</f>
        <v>2474</v>
      </c>
      <c r="I18" s="191">
        <f>IFERROR(VLOOKUP($B18,MMWR_TRAD_AGG_RO_COMP[],I$1,0),"ERROR")</f>
        <v>741</v>
      </c>
      <c r="J18" s="216">
        <f t="shared" si="1"/>
        <v>0.29951495553759094</v>
      </c>
      <c r="K18" s="204">
        <f>IFERROR(VLOOKUP($B18,MMWR_TRAD_AGG_RO_COMP[],K$1,0),"ERROR")</f>
        <v>1537</v>
      </c>
      <c r="L18" s="205">
        <f>IFERROR(VLOOKUP($B18,MMWR_TRAD_AGG_RO_COMP[],L$1,0),"ERROR")</f>
        <v>1467</v>
      </c>
      <c r="M18" s="216">
        <f t="shared" si="2"/>
        <v>0.95445673389720231</v>
      </c>
      <c r="N18" s="204">
        <f>IFERROR(VLOOKUP($B18,MMWR_TRAD_AGG_RO_COMP[],N$1,0),"ERROR")</f>
        <v>430</v>
      </c>
      <c r="O18" s="205">
        <f>IFERROR(VLOOKUP($B18,MMWR_TRAD_AGG_RO_COMP[],O$1,0),"ERROR")</f>
        <v>260</v>
      </c>
      <c r="P18" s="216">
        <f t="shared" si="3"/>
        <v>0.60465116279069764</v>
      </c>
      <c r="Q18" s="201">
        <f>IFERROR(VLOOKUP($B18,MMWR_TRAD_AGG_RO_COMP[],Q$1,0),"ERROR")</f>
        <v>0</v>
      </c>
      <c r="R18" s="201">
        <f>IFERROR(VLOOKUP($B18,MMWR_TRAD_AGG_RO_COMP[],R$1,0),"ERROR")</f>
        <v>0</v>
      </c>
      <c r="S18" s="201">
        <f>IFERROR(VLOOKUP($B18,MMWR_APP_RO[],S$1,0),"ERROR")</f>
        <v>611</v>
      </c>
      <c r="T18" s="25"/>
    </row>
    <row r="19" spans="1:20" x14ac:dyDescent="0.2">
      <c r="A19" s="107"/>
      <c r="B19" s="108" t="s">
        <v>69</v>
      </c>
      <c r="C19" s="209">
        <f>IFERROR(VLOOKUP($B19,MMWR_TRAD_AGG_RO_COMP[],C$1,0),"ERROR")</f>
        <v>16900</v>
      </c>
      <c r="D19" s="198">
        <f>IFERROR(VLOOKUP($B19,MMWR_TRAD_AGG_RO_COMP[],D$1,0),"ERROR")</f>
        <v>394.50378698219998</v>
      </c>
      <c r="E19" s="195">
        <f>IFERROR(VLOOKUP($B19,MMWR_TRAD_AGG_RO_COMP[],E$1,0),"ERROR")</f>
        <v>11113</v>
      </c>
      <c r="F19" s="191">
        <f>IFERROR(VLOOKUP($B19,MMWR_TRAD_AGG_RO_COMP[],F$1,0),"ERROR")</f>
        <v>2166</v>
      </c>
      <c r="G19" s="216">
        <f t="shared" si="0"/>
        <v>0.19490686583280842</v>
      </c>
      <c r="H19" s="190">
        <f>IFERROR(VLOOKUP($B19,MMWR_TRAD_AGG_RO_COMP[],H$1,0),"ERROR")</f>
        <v>20254</v>
      </c>
      <c r="I19" s="191">
        <f>IFERROR(VLOOKUP($B19,MMWR_TRAD_AGG_RO_COMP[],I$1,0),"ERROR")</f>
        <v>13441</v>
      </c>
      <c r="J19" s="216">
        <f t="shared" si="1"/>
        <v>0.66362200059247556</v>
      </c>
      <c r="K19" s="204">
        <f>IFERROR(VLOOKUP($B19,MMWR_TRAD_AGG_RO_COMP[],K$1,0),"ERROR")</f>
        <v>8458</v>
      </c>
      <c r="L19" s="205">
        <f>IFERROR(VLOOKUP($B19,MMWR_TRAD_AGG_RO_COMP[],L$1,0),"ERROR")</f>
        <v>7444</v>
      </c>
      <c r="M19" s="216">
        <f t="shared" si="2"/>
        <v>0.88011350200993144</v>
      </c>
      <c r="N19" s="204">
        <f>IFERROR(VLOOKUP($B19,MMWR_TRAD_AGG_RO_COMP[],N$1,0),"ERROR")</f>
        <v>4521</v>
      </c>
      <c r="O19" s="205">
        <f>IFERROR(VLOOKUP($B19,MMWR_TRAD_AGG_RO_COMP[],O$1,0),"ERROR")</f>
        <v>3943</v>
      </c>
      <c r="P19" s="216">
        <f t="shared" si="3"/>
        <v>0.87215217872152184</v>
      </c>
      <c r="Q19" s="201">
        <f>IFERROR(VLOOKUP($B19,MMWR_TRAD_AGG_RO_COMP[],Q$1,0),"ERROR")</f>
        <v>5</v>
      </c>
      <c r="R19" s="201">
        <f>IFERROR(VLOOKUP($B19,MMWR_TRAD_AGG_RO_COMP[],R$1,0),"ERROR")</f>
        <v>8</v>
      </c>
      <c r="S19" s="201">
        <f>IFERROR(VLOOKUP($B19,MMWR_APP_RO[],S$1,0),"ERROR")</f>
        <v>15131</v>
      </c>
      <c r="T19" s="25"/>
    </row>
    <row r="20" spans="1:20" x14ac:dyDescent="0.2">
      <c r="A20" s="107"/>
      <c r="B20" s="108" t="s">
        <v>78</v>
      </c>
      <c r="C20" s="209">
        <f>IFERROR(VLOOKUP($B20,MMWR_TRAD_AGG_RO_COMP[],C$1,0),"ERROR")</f>
        <v>1197</v>
      </c>
      <c r="D20" s="198">
        <f>IFERROR(VLOOKUP($B20,MMWR_TRAD_AGG_RO_COMP[],D$1,0),"ERROR")</f>
        <v>299.79615705930001</v>
      </c>
      <c r="E20" s="195">
        <f>IFERROR(VLOOKUP($B20,MMWR_TRAD_AGG_RO_COMP[],E$1,0),"ERROR")</f>
        <v>1103</v>
      </c>
      <c r="F20" s="191">
        <f>IFERROR(VLOOKUP($B20,MMWR_TRAD_AGG_RO_COMP[],F$1,0),"ERROR")</f>
        <v>169</v>
      </c>
      <c r="G20" s="216">
        <f t="shared" si="0"/>
        <v>0.15321849501359927</v>
      </c>
      <c r="H20" s="190">
        <f>IFERROR(VLOOKUP($B20,MMWR_TRAD_AGG_RO_COMP[],H$1,0),"ERROR")</f>
        <v>1866</v>
      </c>
      <c r="I20" s="191">
        <f>IFERROR(VLOOKUP($B20,MMWR_TRAD_AGG_RO_COMP[],I$1,0),"ERROR")</f>
        <v>1098</v>
      </c>
      <c r="J20" s="216">
        <f t="shared" si="1"/>
        <v>0.58842443729903537</v>
      </c>
      <c r="K20" s="204">
        <f>IFERROR(VLOOKUP($B20,MMWR_TRAD_AGG_RO_COMP[],K$1,0),"ERROR")</f>
        <v>935</v>
      </c>
      <c r="L20" s="205">
        <f>IFERROR(VLOOKUP($B20,MMWR_TRAD_AGG_RO_COMP[],L$1,0),"ERROR")</f>
        <v>739</v>
      </c>
      <c r="M20" s="216">
        <f t="shared" si="2"/>
        <v>0.79037433155080217</v>
      </c>
      <c r="N20" s="204">
        <f>IFERROR(VLOOKUP($B20,MMWR_TRAD_AGG_RO_COMP[],N$1,0),"ERROR")</f>
        <v>241</v>
      </c>
      <c r="O20" s="205">
        <f>IFERROR(VLOOKUP($B20,MMWR_TRAD_AGG_RO_COMP[],O$1,0),"ERROR")</f>
        <v>188</v>
      </c>
      <c r="P20" s="216">
        <f t="shared" si="3"/>
        <v>0.78008298755186722</v>
      </c>
      <c r="Q20" s="201">
        <f>IFERROR(VLOOKUP($B20,MMWR_TRAD_AGG_RO_COMP[],Q$1,0),"ERROR")</f>
        <v>1</v>
      </c>
      <c r="R20" s="201">
        <f>IFERROR(VLOOKUP($B20,MMWR_TRAD_AGG_RO_COMP[],R$1,0),"ERROR")</f>
        <v>0</v>
      </c>
      <c r="S20" s="201">
        <f>IFERROR(VLOOKUP($B20,MMWR_APP_RO[],S$1,0),"ERROR")</f>
        <v>787</v>
      </c>
      <c r="T20" s="25"/>
    </row>
    <row r="21" spans="1:20" x14ac:dyDescent="0.2">
      <c r="A21" s="107"/>
      <c r="B21" s="108" t="s">
        <v>430</v>
      </c>
      <c r="C21" s="209">
        <f>IFERROR(VLOOKUP($B21,MMWR_TRAD_AGG_RO_COMP[],C$1,0),"ERROR")</f>
        <v>5390</v>
      </c>
      <c r="D21" s="198">
        <f>IFERROR(VLOOKUP($B21,MMWR_TRAD_AGG_RO_COMP[],D$1,0),"ERROR")</f>
        <v>463.08515769939999</v>
      </c>
      <c r="E21" s="195">
        <f>IFERROR(VLOOKUP($B21,MMWR_TRAD_AGG_RO_COMP[],E$1,0),"ERROR")</f>
        <v>882</v>
      </c>
      <c r="F21" s="191">
        <f>IFERROR(VLOOKUP($B21,MMWR_TRAD_AGG_RO_COMP[],F$1,0),"ERROR")</f>
        <v>246</v>
      </c>
      <c r="G21" s="216">
        <f t="shared" si="0"/>
        <v>0.27891156462585032</v>
      </c>
      <c r="H21" s="190">
        <f>IFERROR(VLOOKUP($B21,MMWR_TRAD_AGG_RO_COMP[],H$1,0),"ERROR")</f>
        <v>5730</v>
      </c>
      <c r="I21" s="191">
        <f>IFERROR(VLOOKUP($B21,MMWR_TRAD_AGG_RO_COMP[],I$1,0),"ERROR")</f>
        <v>4616</v>
      </c>
      <c r="J21" s="216">
        <f t="shared" si="1"/>
        <v>0.80558464223385684</v>
      </c>
      <c r="K21" s="204">
        <f>IFERROR(VLOOKUP($B21,MMWR_TRAD_AGG_RO_COMP[],K$1,0),"ERROR")</f>
        <v>1123</v>
      </c>
      <c r="L21" s="205">
        <f>IFERROR(VLOOKUP($B21,MMWR_TRAD_AGG_RO_COMP[],L$1,0),"ERROR")</f>
        <v>734</v>
      </c>
      <c r="M21" s="216">
        <f t="shared" si="2"/>
        <v>0.65360641139804099</v>
      </c>
      <c r="N21" s="204">
        <f>IFERROR(VLOOKUP($B21,MMWR_TRAD_AGG_RO_COMP[],N$1,0),"ERROR")</f>
        <v>1262</v>
      </c>
      <c r="O21" s="205">
        <f>IFERROR(VLOOKUP($B21,MMWR_TRAD_AGG_RO_COMP[],O$1,0),"ERROR")</f>
        <v>1234</v>
      </c>
      <c r="P21" s="216">
        <f t="shared" si="3"/>
        <v>0.9778129952456418</v>
      </c>
      <c r="Q21" s="201">
        <f>IFERROR(VLOOKUP($B21,MMWR_TRAD_AGG_RO_COMP[],Q$1,0),"ERROR")</f>
        <v>0</v>
      </c>
      <c r="R21" s="201">
        <f>IFERROR(VLOOKUP($B21,MMWR_TRAD_AGG_RO_COMP[],R$1,0),"ERROR")</f>
        <v>0</v>
      </c>
      <c r="S21" s="201">
        <f>IFERROR(VLOOKUP($B21,MMWR_APP_RO[],S$1,0),"ERROR")</f>
        <v>28</v>
      </c>
      <c r="T21" s="25"/>
    </row>
    <row r="22" spans="1:20" x14ac:dyDescent="0.2">
      <c r="A22" s="107"/>
      <c r="B22" s="108" t="s">
        <v>135</v>
      </c>
      <c r="C22" s="209">
        <f>IFERROR(VLOOKUP($B22,MMWR_TRAD_AGG_RO_COMP[],C$1,0),"ERROR")</f>
        <v>549</v>
      </c>
      <c r="D22" s="198">
        <f>IFERROR(VLOOKUP($B22,MMWR_TRAD_AGG_RO_COMP[],D$1,0),"ERROR")</f>
        <v>359.31147540979998</v>
      </c>
      <c r="E22" s="195">
        <f>IFERROR(VLOOKUP($B22,MMWR_TRAD_AGG_RO_COMP[],E$1,0),"ERROR")</f>
        <v>505</v>
      </c>
      <c r="F22" s="191">
        <f>IFERROR(VLOOKUP($B22,MMWR_TRAD_AGG_RO_COMP[],F$1,0),"ERROR")</f>
        <v>149</v>
      </c>
      <c r="G22" s="216">
        <f t="shared" si="0"/>
        <v>0.29504950495049503</v>
      </c>
      <c r="H22" s="190">
        <f>IFERROR(VLOOKUP($B22,MMWR_TRAD_AGG_RO_COMP[],H$1,0),"ERROR")</f>
        <v>807</v>
      </c>
      <c r="I22" s="191">
        <f>IFERROR(VLOOKUP($B22,MMWR_TRAD_AGG_RO_COMP[],I$1,0),"ERROR")</f>
        <v>474</v>
      </c>
      <c r="J22" s="216">
        <f t="shared" si="1"/>
        <v>0.58736059479553904</v>
      </c>
      <c r="K22" s="204">
        <f>IFERROR(VLOOKUP($B22,MMWR_TRAD_AGG_RO_COMP[],K$1,0),"ERROR")</f>
        <v>152</v>
      </c>
      <c r="L22" s="205">
        <f>IFERROR(VLOOKUP($B22,MMWR_TRAD_AGG_RO_COMP[],L$1,0),"ERROR")</f>
        <v>83</v>
      </c>
      <c r="M22" s="216">
        <f t="shared" si="2"/>
        <v>0.54605263157894735</v>
      </c>
      <c r="N22" s="204">
        <f>IFERROR(VLOOKUP($B22,MMWR_TRAD_AGG_RO_COMP[],N$1,0),"ERROR")</f>
        <v>178</v>
      </c>
      <c r="O22" s="205">
        <f>IFERROR(VLOOKUP($B22,MMWR_TRAD_AGG_RO_COMP[],O$1,0),"ERROR")</f>
        <v>82</v>
      </c>
      <c r="P22" s="216">
        <f t="shared" si="3"/>
        <v>0.4606741573033708</v>
      </c>
      <c r="Q22" s="201">
        <f>IFERROR(VLOOKUP($B22,MMWR_TRAD_AGG_RO_COMP[],Q$1,0),"ERROR")</f>
        <v>0</v>
      </c>
      <c r="R22" s="201">
        <f>IFERROR(VLOOKUP($B22,MMWR_TRAD_AGG_RO_COMP[],R$1,0),"ERROR")</f>
        <v>1</v>
      </c>
      <c r="S22" s="201">
        <f>IFERROR(VLOOKUP($B22,MMWR_APP_RO[],S$1,0),"ERROR")</f>
        <v>206</v>
      </c>
      <c r="T22" s="25"/>
    </row>
    <row r="23" spans="1:20" x14ac:dyDescent="0.2">
      <c r="A23" s="107"/>
      <c r="B23" s="108" t="s">
        <v>82</v>
      </c>
      <c r="C23" s="209">
        <f>IFERROR(VLOOKUP($B23,MMWR_TRAD_AGG_RO_COMP[],C$1,0),"ERROR")</f>
        <v>599</v>
      </c>
      <c r="D23" s="198">
        <f>IFERROR(VLOOKUP($B23,MMWR_TRAD_AGG_RO_COMP[],D$1,0),"ERROR")</f>
        <v>432.49248747910002</v>
      </c>
      <c r="E23" s="195">
        <f>IFERROR(VLOOKUP($B23,MMWR_TRAD_AGG_RO_COMP[],E$1,0),"ERROR")</f>
        <v>716</v>
      </c>
      <c r="F23" s="191">
        <f>IFERROR(VLOOKUP($B23,MMWR_TRAD_AGG_RO_COMP[],F$1,0),"ERROR")</f>
        <v>149</v>
      </c>
      <c r="G23" s="216">
        <f t="shared" si="0"/>
        <v>0.20810055865921787</v>
      </c>
      <c r="H23" s="190">
        <f>IFERROR(VLOOKUP($B23,MMWR_TRAD_AGG_RO_COMP[],H$1,0),"ERROR")</f>
        <v>678</v>
      </c>
      <c r="I23" s="191">
        <f>IFERROR(VLOOKUP($B23,MMWR_TRAD_AGG_RO_COMP[],I$1,0),"ERROR")</f>
        <v>504</v>
      </c>
      <c r="J23" s="216">
        <f t="shared" si="1"/>
        <v>0.74336283185840712</v>
      </c>
      <c r="K23" s="204">
        <f>IFERROR(VLOOKUP($B23,MMWR_TRAD_AGG_RO_COMP[],K$1,0),"ERROR")</f>
        <v>50</v>
      </c>
      <c r="L23" s="205">
        <f>IFERROR(VLOOKUP($B23,MMWR_TRAD_AGG_RO_COMP[],L$1,0),"ERROR")</f>
        <v>47</v>
      </c>
      <c r="M23" s="216">
        <f t="shared" si="2"/>
        <v>0.94</v>
      </c>
      <c r="N23" s="204">
        <f>IFERROR(VLOOKUP($B23,MMWR_TRAD_AGG_RO_COMP[],N$1,0),"ERROR")</f>
        <v>75</v>
      </c>
      <c r="O23" s="205">
        <f>IFERROR(VLOOKUP($B23,MMWR_TRAD_AGG_RO_COMP[],O$1,0),"ERROR")</f>
        <v>46</v>
      </c>
      <c r="P23" s="216">
        <f t="shared" si="3"/>
        <v>0.61333333333333329</v>
      </c>
      <c r="Q23" s="201">
        <f>IFERROR(VLOOKUP($B23,MMWR_TRAD_AGG_RO_COMP[],Q$1,0),"ERROR")</f>
        <v>0</v>
      </c>
      <c r="R23" s="201">
        <f>IFERROR(VLOOKUP($B23,MMWR_TRAD_AGG_RO_COMP[],R$1,0),"ERROR")</f>
        <v>0</v>
      </c>
      <c r="S23" s="201">
        <f>IFERROR(VLOOKUP($B23,MMWR_APP_RO[],S$1,0),"ERROR")</f>
        <v>169</v>
      </c>
      <c r="T23" s="25"/>
    </row>
    <row r="24" spans="1:20" x14ac:dyDescent="0.2">
      <c r="A24" s="92"/>
      <c r="B24" s="116" t="s">
        <v>83</v>
      </c>
      <c r="C24" s="210">
        <f>IFERROR(VLOOKUP($B24,MMWR_TRAD_AGG_RO_COMP[],C$1,0),"ERROR")</f>
        <v>17552</v>
      </c>
      <c r="D24" s="199">
        <f>IFERROR(VLOOKUP($B24,MMWR_TRAD_AGG_RO_COMP[],D$1,0),"ERROR")</f>
        <v>319.5269484959</v>
      </c>
      <c r="E24" s="196">
        <f>IFERROR(VLOOKUP($B24,MMWR_TRAD_AGG_RO_COMP[],E$1,0),"ERROR")</f>
        <v>18055</v>
      </c>
      <c r="F24" s="193">
        <f>IFERROR(VLOOKUP($B24,MMWR_TRAD_AGG_RO_COMP[],F$1,0),"ERROR")</f>
        <v>4623</v>
      </c>
      <c r="G24" s="217">
        <f t="shared" si="0"/>
        <v>0.25605095541401274</v>
      </c>
      <c r="H24" s="192">
        <f>IFERROR(VLOOKUP($B24,MMWR_TRAD_AGG_RO_COMP[],H$1,0),"ERROR")</f>
        <v>26694</v>
      </c>
      <c r="I24" s="193">
        <f>IFERROR(VLOOKUP($B24,MMWR_TRAD_AGG_RO_COMP[],I$1,0),"ERROR")</f>
        <v>19433</v>
      </c>
      <c r="J24" s="217">
        <f t="shared" si="1"/>
        <v>0.72799130890836894</v>
      </c>
      <c r="K24" s="206">
        <f>IFERROR(VLOOKUP($B24,MMWR_TRAD_AGG_RO_COMP[],K$1,0),"ERROR")</f>
        <v>12255</v>
      </c>
      <c r="L24" s="207">
        <f>IFERROR(VLOOKUP($B24,MMWR_TRAD_AGG_RO_COMP[],L$1,0),"ERROR")</f>
        <v>9315</v>
      </c>
      <c r="M24" s="217">
        <f t="shared" si="2"/>
        <v>0.76009791921664627</v>
      </c>
      <c r="N24" s="206">
        <f>IFERROR(VLOOKUP($B24,MMWR_TRAD_AGG_RO_COMP[],N$1,0),"ERROR")</f>
        <v>4248</v>
      </c>
      <c r="O24" s="207">
        <f>IFERROR(VLOOKUP($B24,MMWR_TRAD_AGG_RO_COMP[],O$1,0),"ERROR")</f>
        <v>3147</v>
      </c>
      <c r="P24" s="217">
        <f t="shared" si="3"/>
        <v>0.74081920903954801</v>
      </c>
      <c r="Q24" s="202">
        <f>IFERROR(VLOOKUP($B24,MMWR_TRAD_AGG_RO_COMP[],Q$1,0),"ERROR")</f>
        <v>1</v>
      </c>
      <c r="R24" s="202">
        <f>IFERROR(VLOOKUP($B24,MMWR_TRAD_AGG_RO_COMP[],R$1,0),"ERROR")</f>
        <v>16</v>
      </c>
      <c r="S24" s="201">
        <f>IFERROR(VLOOKUP($B24,MMWR_APP_RO[],S$1,0),"ERROR")</f>
        <v>8617</v>
      </c>
      <c r="T24" s="25"/>
    </row>
    <row r="25" spans="1:20" x14ac:dyDescent="0.2">
      <c r="A25" s="107"/>
      <c r="B25" s="101" t="s">
        <v>390</v>
      </c>
      <c r="C25" s="212">
        <f>IFERROR(VLOOKUP($B25,MMWR_TRAD_AGG_DISTRICT_COMP[],C$1,0),"ERROR")</f>
        <v>34141</v>
      </c>
      <c r="D25" s="197">
        <f>IFERROR(VLOOKUP($B25,MMWR_TRAD_AGG_DISTRICT_COMP[],D$1,0),"ERROR")</f>
        <v>349.62086640699999</v>
      </c>
      <c r="E25" s="213">
        <f>IFERROR(VLOOKUP($B25,MMWR_TRAD_AGG_DISTRICT_COMP[],E$1,0),"ERROR")</f>
        <v>56419</v>
      </c>
      <c r="F25" s="218">
        <f>IFERROR(VLOOKUP($B25,MMWR_TRAD_AGG_DISTRICT_COMP[],F$1,0),"ERROR")</f>
        <v>10643</v>
      </c>
      <c r="G25" s="214">
        <f t="shared" si="0"/>
        <v>0.18864212410712702</v>
      </c>
      <c r="H25" s="218">
        <f>IFERROR(VLOOKUP($B25,MMWR_TRAD_AGG_DISTRICT_COMP[],H$1,0),"ERROR")</f>
        <v>57164</v>
      </c>
      <c r="I25" s="218">
        <f>IFERROR(VLOOKUP($B25,MMWR_TRAD_AGG_DISTRICT_COMP[],I$1,0),"ERROR")</f>
        <v>32351</v>
      </c>
      <c r="J25" s="214">
        <f t="shared" si="1"/>
        <v>0.56593310475124203</v>
      </c>
      <c r="K25" s="212">
        <f>IFERROR(VLOOKUP($B25,MMWR_TRAD_AGG_DISTRICT_COMP[],K$1,0),"ERROR")</f>
        <v>18382</v>
      </c>
      <c r="L25" s="212">
        <f>IFERROR(VLOOKUP($B25,MMWR_TRAD_AGG_DISTRICT_COMP[],L$1,0),"ERROR")</f>
        <v>14553</v>
      </c>
      <c r="M25" s="214">
        <f t="shared" si="2"/>
        <v>0.79169840060929175</v>
      </c>
      <c r="N25" s="212">
        <f>IFERROR(VLOOKUP($B25,MMWR_TRAD_AGG_DISTRICT_COMP[],N$1,0),"ERROR")</f>
        <v>12697</v>
      </c>
      <c r="O25" s="212">
        <f>IFERROR(VLOOKUP($B25,MMWR_TRAD_AGG_DISTRICT_COMP[],O$1,0),"ERROR")</f>
        <v>8416</v>
      </c>
      <c r="P25" s="214">
        <f t="shared" si="3"/>
        <v>0.6628337402536032</v>
      </c>
      <c r="Q25" s="212">
        <f>IFERROR(VLOOKUP($B25,MMWR_TRAD_AGG_DISTRICT_COMP[],Q$1,0),"ERROR")</f>
        <v>8715</v>
      </c>
      <c r="R25" s="215">
        <f>IFERROR(VLOOKUP($B25,MMWR_TRAD_AGG_DISTRICT_COMP[],R$1,0),"ERROR")</f>
        <v>1064</v>
      </c>
      <c r="S25" s="215">
        <f>IFERROR(VLOOKUP($B25,MMWR_APP_RO[],S$1,0),"ERROR")</f>
        <v>52576</v>
      </c>
      <c r="T25" s="25"/>
    </row>
    <row r="26" spans="1:20" x14ac:dyDescent="0.2">
      <c r="A26" s="107"/>
      <c r="B26" s="108" t="s">
        <v>37</v>
      </c>
      <c r="C26" s="209">
        <f>IFERROR(VLOOKUP($B26,MMWR_TRAD_AGG_RO_COMP[],C$1,0),"ERROR")</f>
        <v>4926</v>
      </c>
      <c r="D26" s="198">
        <f>IFERROR(VLOOKUP($B26,MMWR_TRAD_AGG_RO_COMP[],D$1,0),"ERROR")</f>
        <v>504.94112870480001</v>
      </c>
      <c r="E26" s="195">
        <f>IFERROR(VLOOKUP($B26,MMWR_TRAD_AGG_RO_COMP[],E$1,0),"ERROR")</f>
        <v>6599</v>
      </c>
      <c r="F26" s="191">
        <f>IFERROR(VLOOKUP($B26,MMWR_TRAD_AGG_RO_COMP[],F$1,0),"ERROR")</f>
        <v>1480</v>
      </c>
      <c r="G26" s="216">
        <f t="shared" si="0"/>
        <v>0.22427640551598726</v>
      </c>
      <c r="H26" s="190">
        <f>IFERROR(VLOOKUP($B26,MMWR_TRAD_AGG_RO_COMP[],H$1,0),"ERROR")</f>
        <v>6383</v>
      </c>
      <c r="I26" s="191">
        <f>IFERROR(VLOOKUP($B26,MMWR_TRAD_AGG_RO_COMP[],I$1,0),"ERROR")</f>
        <v>4580</v>
      </c>
      <c r="J26" s="216">
        <f t="shared" si="1"/>
        <v>0.71753094156352815</v>
      </c>
      <c r="K26" s="204">
        <f>IFERROR(VLOOKUP($B26,MMWR_TRAD_AGG_RO_COMP[],K$1,0),"ERROR")</f>
        <v>1765</v>
      </c>
      <c r="L26" s="205">
        <f>IFERROR(VLOOKUP($B26,MMWR_TRAD_AGG_RO_COMP[],L$1,0),"ERROR")</f>
        <v>1633</v>
      </c>
      <c r="M26" s="216">
        <f t="shared" si="2"/>
        <v>0.92521246458923512</v>
      </c>
      <c r="N26" s="204">
        <f>IFERROR(VLOOKUP($B26,MMWR_TRAD_AGG_RO_COMP[],N$1,0),"ERROR")</f>
        <v>1521</v>
      </c>
      <c r="O26" s="205">
        <f>IFERROR(VLOOKUP($B26,MMWR_TRAD_AGG_RO_COMP[],O$1,0),"ERROR")</f>
        <v>886</v>
      </c>
      <c r="P26" s="216">
        <f t="shared" si="3"/>
        <v>0.58251150558842868</v>
      </c>
      <c r="Q26" s="201">
        <f>IFERROR(VLOOKUP($B26,MMWR_TRAD_AGG_RO_COMP[],Q$1,0),"ERROR")</f>
        <v>0</v>
      </c>
      <c r="R26" s="201">
        <f>IFERROR(VLOOKUP($B26,MMWR_TRAD_AGG_RO_COMP[],R$1,0),"ERROR")</f>
        <v>214</v>
      </c>
      <c r="S26" s="201">
        <f>IFERROR(VLOOKUP($B26,MMWR_APP_RO[],S$1,0),"ERROR")</f>
        <v>8250</v>
      </c>
      <c r="T26" s="25"/>
    </row>
    <row r="27" spans="1:20" x14ac:dyDescent="0.2">
      <c r="A27" s="107"/>
      <c r="B27" s="108" t="s">
        <v>38</v>
      </c>
      <c r="C27" s="209">
        <f>IFERROR(VLOOKUP($B27,MMWR_TRAD_AGG_RO_COMP[],C$1,0),"ERROR")</f>
        <v>4191</v>
      </c>
      <c r="D27" s="198">
        <f>IFERROR(VLOOKUP($B27,MMWR_TRAD_AGG_RO_COMP[],D$1,0),"ERROR")</f>
        <v>430.55786208540002</v>
      </c>
      <c r="E27" s="195">
        <f>IFERROR(VLOOKUP($B27,MMWR_TRAD_AGG_RO_COMP[],E$1,0),"ERROR")</f>
        <v>7540</v>
      </c>
      <c r="F27" s="191">
        <f>IFERROR(VLOOKUP($B27,MMWR_TRAD_AGG_RO_COMP[],F$1,0),"ERROR")</f>
        <v>1395</v>
      </c>
      <c r="G27" s="216">
        <f t="shared" si="0"/>
        <v>0.18501326259946949</v>
      </c>
      <c r="H27" s="190">
        <f>IFERROR(VLOOKUP($B27,MMWR_TRAD_AGG_RO_COMP[],H$1,0),"ERROR")</f>
        <v>6114</v>
      </c>
      <c r="I27" s="191">
        <f>IFERROR(VLOOKUP($B27,MMWR_TRAD_AGG_RO_COMP[],I$1,0),"ERROR")</f>
        <v>3562</v>
      </c>
      <c r="J27" s="216">
        <f t="shared" si="1"/>
        <v>0.582597317631665</v>
      </c>
      <c r="K27" s="204">
        <f>IFERROR(VLOOKUP($B27,MMWR_TRAD_AGG_RO_COMP[],K$1,0),"ERROR")</f>
        <v>1733</v>
      </c>
      <c r="L27" s="205">
        <f>IFERROR(VLOOKUP($B27,MMWR_TRAD_AGG_RO_COMP[],L$1,0),"ERROR")</f>
        <v>1520</v>
      </c>
      <c r="M27" s="216">
        <f t="shared" si="2"/>
        <v>0.8770917484131564</v>
      </c>
      <c r="N27" s="204">
        <f>IFERROR(VLOOKUP($B27,MMWR_TRAD_AGG_RO_COMP[],N$1,0),"ERROR")</f>
        <v>2819</v>
      </c>
      <c r="O27" s="205">
        <f>IFERROR(VLOOKUP($B27,MMWR_TRAD_AGG_RO_COMP[],O$1,0),"ERROR")</f>
        <v>2212</v>
      </c>
      <c r="P27" s="216">
        <f t="shared" si="3"/>
        <v>0.78467541681447317</v>
      </c>
      <c r="Q27" s="201">
        <f>IFERROR(VLOOKUP($B27,MMWR_TRAD_AGG_RO_COMP[],Q$1,0),"ERROR")</f>
        <v>2</v>
      </c>
      <c r="R27" s="201">
        <f>IFERROR(VLOOKUP($B27,MMWR_TRAD_AGG_RO_COMP[],R$1,0),"ERROR")</f>
        <v>327</v>
      </c>
      <c r="S27" s="201">
        <f>IFERROR(VLOOKUP($B27,MMWR_APP_RO[],S$1,0),"ERROR")</f>
        <v>12734</v>
      </c>
      <c r="T27" s="25"/>
    </row>
    <row r="28" spans="1:20" x14ac:dyDescent="0.2">
      <c r="A28" s="107"/>
      <c r="B28" s="108" t="s">
        <v>41</v>
      </c>
      <c r="C28" s="209">
        <f>IFERROR(VLOOKUP($B28,MMWR_TRAD_AGG_RO_COMP[],C$1,0),"ERROR")</f>
        <v>693</v>
      </c>
      <c r="D28" s="198">
        <f>IFERROR(VLOOKUP($B28,MMWR_TRAD_AGG_RO_COMP[],D$1,0),"ERROR")</f>
        <v>119.49062049059999</v>
      </c>
      <c r="E28" s="195">
        <f>IFERROR(VLOOKUP($B28,MMWR_TRAD_AGG_RO_COMP[],E$1,0),"ERROR")</f>
        <v>2240</v>
      </c>
      <c r="F28" s="191">
        <f>IFERROR(VLOOKUP($B28,MMWR_TRAD_AGG_RO_COMP[],F$1,0),"ERROR")</f>
        <v>353</v>
      </c>
      <c r="G28" s="216">
        <f t="shared" si="0"/>
        <v>0.15758928571428571</v>
      </c>
      <c r="H28" s="190">
        <f>IFERROR(VLOOKUP($B28,MMWR_TRAD_AGG_RO_COMP[],H$1,0),"ERROR")</f>
        <v>1006</v>
      </c>
      <c r="I28" s="191">
        <f>IFERROR(VLOOKUP($B28,MMWR_TRAD_AGG_RO_COMP[],I$1,0),"ERROR")</f>
        <v>276</v>
      </c>
      <c r="J28" s="216">
        <f t="shared" si="1"/>
        <v>0.27435387673956263</v>
      </c>
      <c r="K28" s="204">
        <f>IFERROR(VLOOKUP($B28,MMWR_TRAD_AGG_RO_COMP[],K$1,0),"ERROR")</f>
        <v>154</v>
      </c>
      <c r="L28" s="205">
        <f>IFERROR(VLOOKUP($B28,MMWR_TRAD_AGG_RO_COMP[],L$1,0),"ERROR")</f>
        <v>93</v>
      </c>
      <c r="M28" s="216">
        <f t="shared" si="2"/>
        <v>0.60389610389610393</v>
      </c>
      <c r="N28" s="204">
        <f>IFERROR(VLOOKUP($B28,MMWR_TRAD_AGG_RO_COMP[],N$1,0),"ERROR")</f>
        <v>181</v>
      </c>
      <c r="O28" s="205">
        <f>IFERROR(VLOOKUP($B28,MMWR_TRAD_AGG_RO_COMP[],O$1,0),"ERROR")</f>
        <v>100</v>
      </c>
      <c r="P28" s="216">
        <f t="shared" si="3"/>
        <v>0.5524861878453039</v>
      </c>
      <c r="Q28" s="201">
        <f>IFERROR(VLOOKUP($B28,MMWR_TRAD_AGG_RO_COMP[],Q$1,0),"ERROR")</f>
        <v>0</v>
      </c>
      <c r="R28" s="201">
        <f>IFERROR(VLOOKUP($B28,MMWR_TRAD_AGG_RO_COMP[],R$1,0),"ERROR")</f>
        <v>8</v>
      </c>
      <c r="S28" s="201">
        <f>IFERROR(VLOOKUP($B28,MMWR_APP_RO[],S$1,0),"ERROR")</f>
        <v>1491</v>
      </c>
      <c r="T28" s="25"/>
    </row>
    <row r="29" spans="1:20" x14ac:dyDescent="0.2">
      <c r="A29" s="107"/>
      <c r="B29" s="108" t="s">
        <v>42</v>
      </c>
      <c r="C29" s="209">
        <f>IFERROR(VLOOKUP($B29,MMWR_TRAD_AGG_RO_COMP[],C$1,0),"ERROR")</f>
        <v>3146</v>
      </c>
      <c r="D29" s="198">
        <f>IFERROR(VLOOKUP($B29,MMWR_TRAD_AGG_RO_COMP[],D$1,0),"ERROR")</f>
        <v>350.01748251750001</v>
      </c>
      <c r="E29" s="195">
        <f>IFERROR(VLOOKUP($B29,MMWR_TRAD_AGG_RO_COMP[],E$1,0),"ERROR")</f>
        <v>7338</v>
      </c>
      <c r="F29" s="191">
        <f>IFERROR(VLOOKUP($B29,MMWR_TRAD_AGG_RO_COMP[],F$1,0),"ERROR")</f>
        <v>2018</v>
      </c>
      <c r="G29" s="216">
        <f t="shared" si="0"/>
        <v>0.27500681384573455</v>
      </c>
      <c r="H29" s="190">
        <f>IFERROR(VLOOKUP($B29,MMWR_TRAD_AGG_RO_COMP[],H$1,0),"ERROR")</f>
        <v>8488</v>
      </c>
      <c r="I29" s="191">
        <f>IFERROR(VLOOKUP($B29,MMWR_TRAD_AGG_RO_COMP[],I$1,0),"ERROR")</f>
        <v>4398</v>
      </c>
      <c r="J29" s="216">
        <f t="shared" si="1"/>
        <v>0.51814326107445807</v>
      </c>
      <c r="K29" s="204">
        <f>IFERROR(VLOOKUP($B29,MMWR_TRAD_AGG_RO_COMP[],K$1,0),"ERROR")</f>
        <v>2649</v>
      </c>
      <c r="L29" s="205">
        <f>IFERROR(VLOOKUP($B29,MMWR_TRAD_AGG_RO_COMP[],L$1,0),"ERROR")</f>
        <v>2222</v>
      </c>
      <c r="M29" s="216">
        <f t="shared" si="2"/>
        <v>0.83880709701774259</v>
      </c>
      <c r="N29" s="204">
        <f>IFERROR(VLOOKUP($B29,MMWR_TRAD_AGG_RO_COMP[],N$1,0),"ERROR")</f>
        <v>1499</v>
      </c>
      <c r="O29" s="205">
        <f>IFERROR(VLOOKUP($B29,MMWR_TRAD_AGG_RO_COMP[],O$1,0),"ERROR")</f>
        <v>500</v>
      </c>
      <c r="P29" s="216">
        <f t="shared" si="3"/>
        <v>0.33355570380253502</v>
      </c>
      <c r="Q29" s="201">
        <f>IFERROR(VLOOKUP($B29,MMWR_TRAD_AGG_RO_COMP[],Q$1,0),"ERROR")</f>
        <v>2</v>
      </c>
      <c r="R29" s="201">
        <f>IFERROR(VLOOKUP($B29,MMWR_TRAD_AGG_RO_COMP[],R$1,0),"ERROR")</f>
        <v>219</v>
      </c>
      <c r="S29" s="201">
        <f>IFERROR(VLOOKUP($B29,MMWR_APP_RO[],S$1,0),"ERROR")</f>
        <v>5457</v>
      </c>
      <c r="T29" s="25"/>
    </row>
    <row r="30" spans="1:20" x14ac:dyDescent="0.2">
      <c r="A30" s="107"/>
      <c r="B30" s="108" t="s">
        <v>43</v>
      </c>
      <c r="C30" s="209">
        <f>IFERROR(VLOOKUP($B30,MMWR_TRAD_AGG_RO_COMP[],C$1,0),"ERROR")</f>
        <v>147</v>
      </c>
      <c r="D30" s="198">
        <f>IFERROR(VLOOKUP($B30,MMWR_TRAD_AGG_RO_COMP[],D$1,0),"ERROR")</f>
        <v>106.57823129250001</v>
      </c>
      <c r="E30" s="195">
        <f>IFERROR(VLOOKUP($B30,MMWR_TRAD_AGG_RO_COMP[],E$1,0),"ERROR")</f>
        <v>779</v>
      </c>
      <c r="F30" s="191">
        <f>IFERROR(VLOOKUP($B30,MMWR_TRAD_AGG_RO_COMP[],F$1,0),"ERROR")</f>
        <v>145</v>
      </c>
      <c r="G30" s="216">
        <f t="shared" si="0"/>
        <v>0.18613607188703465</v>
      </c>
      <c r="H30" s="190">
        <f>IFERROR(VLOOKUP($B30,MMWR_TRAD_AGG_RO_COMP[],H$1,0),"ERROR")</f>
        <v>351</v>
      </c>
      <c r="I30" s="191">
        <f>IFERROR(VLOOKUP($B30,MMWR_TRAD_AGG_RO_COMP[],I$1,0),"ERROR")</f>
        <v>18</v>
      </c>
      <c r="J30" s="216">
        <f t="shared" si="1"/>
        <v>5.128205128205128E-2</v>
      </c>
      <c r="K30" s="204">
        <f>IFERROR(VLOOKUP($B30,MMWR_TRAD_AGG_RO_COMP[],K$1,0),"ERROR")</f>
        <v>114</v>
      </c>
      <c r="L30" s="205">
        <f>IFERROR(VLOOKUP($B30,MMWR_TRAD_AGG_RO_COMP[],L$1,0),"ERROR")</f>
        <v>42</v>
      </c>
      <c r="M30" s="216">
        <f t="shared" si="2"/>
        <v>0.36842105263157893</v>
      </c>
      <c r="N30" s="204">
        <f>IFERROR(VLOOKUP($B30,MMWR_TRAD_AGG_RO_COMP[],N$1,0),"ERROR")</f>
        <v>78</v>
      </c>
      <c r="O30" s="205">
        <f>IFERROR(VLOOKUP($B30,MMWR_TRAD_AGG_RO_COMP[],O$1,0),"ERROR")</f>
        <v>42</v>
      </c>
      <c r="P30" s="216">
        <f t="shared" si="3"/>
        <v>0.53846153846153844</v>
      </c>
      <c r="Q30" s="201">
        <f>IFERROR(VLOOKUP($B30,MMWR_TRAD_AGG_RO_COMP[],Q$1,0),"ERROR")</f>
        <v>0</v>
      </c>
      <c r="R30" s="201">
        <f>IFERROR(VLOOKUP($B30,MMWR_TRAD_AGG_RO_COMP[],R$1,0),"ERROR")</f>
        <v>0</v>
      </c>
      <c r="S30" s="201">
        <f>IFERROR(VLOOKUP($B30,MMWR_APP_RO[],S$1,0),"ERROR")</f>
        <v>589</v>
      </c>
      <c r="T30" s="25"/>
    </row>
    <row r="31" spans="1:20" x14ac:dyDescent="0.2">
      <c r="A31" s="107"/>
      <c r="B31" s="108" t="s">
        <v>48</v>
      </c>
      <c r="C31" s="209">
        <f>IFERROR(VLOOKUP($B31,MMWR_TRAD_AGG_RO_COMP[],C$1,0),"ERROR")</f>
        <v>6208</v>
      </c>
      <c r="D31" s="198">
        <f>IFERROR(VLOOKUP($B31,MMWR_TRAD_AGG_RO_COMP[],D$1,0),"ERROR")</f>
        <v>573.54188144329999</v>
      </c>
      <c r="E31" s="195">
        <f>IFERROR(VLOOKUP($B31,MMWR_TRAD_AGG_RO_COMP[],E$1,0),"ERROR")</f>
        <v>4421</v>
      </c>
      <c r="F31" s="191">
        <f>IFERROR(VLOOKUP($B31,MMWR_TRAD_AGG_RO_COMP[],F$1,0),"ERROR")</f>
        <v>814</v>
      </c>
      <c r="G31" s="216">
        <f t="shared" si="0"/>
        <v>0.18412123953856593</v>
      </c>
      <c r="H31" s="190">
        <f>IFERROR(VLOOKUP($B31,MMWR_TRAD_AGG_RO_COMP[],H$1,0),"ERROR")</f>
        <v>10027</v>
      </c>
      <c r="I31" s="191">
        <f>IFERROR(VLOOKUP($B31,MMWR_TRAD_AGG_RO_COMP[],I$1,0),"ERROR")</f>
        <v>7937</v>
      </c>
      <c r="J31" s="216">
        <f t="shared" si="1"/>
        <v>0.79156278049266982</v>
      </c>
      <c r="K31" s="204">
        <f>IFERROR(VLOOKUP($B31,MMWR_TRAD_AGG_RO_COMP[],K$1,0),"ERROR")</f>
        <v>2155</v>
      </c>
      <c r="L31" s="205">
        <f>IFERROR(VLOOKUP($B31,MMWR_TRAD_AGG_RO_COMP[],L$1,0),"ERROR")</f>
        <v>1597</v>
      </c>
      <c r="M31" s="216">
        <f t="shared" si="2"/>
        <v>0.74106728538283062</v>
      </c>
      <c r="N31" s="204">
        <f>IFERROR(VLOOKUP($B31,MMWR_TRAD_AGG_RO_COMP[],N$1,0),"ERROR")</f>
        <v>2337</v>
      </c>
      <c r="O31" s="205">
        <f>IFERROR(VLOOKUP($B31,MMWR_TRAD_AGG_RO_COMP[],O$1,0),"ERROR")</f>
        <v>1682</v>
      </c>
      <c r="P31" s="216">
        <f t="shared" si="3"/>
        <v>0.71972614462986739</v>
      </c>
      <c r="Q31" s="201">
        <f>IFERROR(VLOOKUP($B31,MMWR_TRAD_AGG_RO_COMP[],Q$1,0),"ERROR")</f>
        <v>1</v>
      </c>
      <c r="R31" s="201">
        <f>IFERROR(VLOOKUP($B31,MMWR_TRAD_AGG_RO_COMP[],R$1,0),"ERROR")</f>
        <v>232</v>
      </c>
      <c r="S31" s="201">
        <f>IFERROR(VLOOKUP($B31,MMWR_APP_RO[],S$1,0),"ERROR")</f>
        <v>8072</v>
      </c>
      <c r="T31" s="25"/>
    </row>
    <row r="32" spans="1:20" x14ac:dyDescent="0.2">
      <c r="A32" s="107"/>
      <c r="B32" s="108" t="s">
        <v>50</v>
      </c>
      <c r="C32" s="209">
        <f>IFERROR(VLOOKUP($B32,MMWR_TRAD_AGG_RO_COMP[],C$1,0),"ERROR")</f>
        <v>1785</v>
      </c>
      <c r="D32" s="198">
        <f>IFERROR(VLOOKUP($B32,MMWR_TRAD_AGG_RO_COMP[],D$1,0),"ERROR")</f>
        <v>134.75518207280001</v>
      </c>
      <c r="E32" s="195">
        <f>IFERROR(VLOOKUP($B32,MMWR_TRAD_AGG_RO_COMP[],E$1,0),"ERROR")</f>
        <v>1757</v>
      </c>
      <c r="F32" s="191">
        <f>IFERROR(VLOOKUP($B32,MMWR_TRAD_AGG_RO_COMP[],F$1,0),"ERROR")</f>
        <v>238</v>
      </c>
      <c r="G32" s="216">
        <f t="shared" si="0"/>
        <v>0.13545816733067728</v>
      </c>
      <c r="H32" s="190">
        <f>IFERROR(VLOOKUP($B32,MMWR_TRAD_AGG_RO_COMP[],H$1,0),"ERROR")</f>
        <v>2682</v>
      </c>
      <c r="I32" s="191">
        <f>IFERROR(VLOOKUP($B32,MMWR_TRAD_AGG_RO_COMP[],I$1,0),"ERROR")</f>
        <v>1121</v>
      </c>
      <c r="J32" s="216">
        <f t="shared" si="1"/>
        <v>0.41797166293810589</v>
      </c>
      <c r="K32" s="204">
        <f>IFERROR(VLOOKUP($B32,MMWR_TRAD_AGG_RO_COMP[],K$1,0),"ERROR")</f>
        <v>802</v>
      </c>
      <c r="L32" s="205">
        <f>IFERROR(VLOOKUP($B32,MMWR_TRAD_AGG_RO_COMP[],L$1,0),"ERROR")</f>
        <v>571</v>
      </c>
      <c r="M32" s="216">
        <f t="shared" si="2"/>
        <v>0.71197007481296759</v>
      </c>
      <c r="N32" s="204">
        <f>IFERROR(VLOOKUP($B32,MMWR_TRAD_AGG_RO_COMP[],N$1,0),"ERROR")</f>
        <v>579</v>
      </c>
      <c r="O32" s="205">
        <f>IFERROR(VLOOKUP($B32,MMWR_TRAD_AGG_RO_COMP[],O$1,0),"ERROR")</f>
        <v>420</v>
      </c>
      <c r="P32" s="216">
        <f t="shared" si="3"/>
        <v>0.72538860103626945</v>
      </c>
      <c r="Q32" s="201">
        <f>IFERROR(VLOOKUP($B32,MMWR_TRAD_AGG_RO_COMP[],Q$1,0),"ERROR")</f>
        <v>1</v>
      </c>
      <c r="R32" s="201">
        <f>IFERROR(VLOOKUP($B32,MMWR_TRAD_AGG_RO_COMP[],R$1,0),"ERROR")</f>
        <v>18</v>
      </c>
      <c r="S32" s="201">
        <f>IFERROR(VLOOKUP($B32,MMWR_APP_RO[],S$1,0),"ERROR")</f>
        <v>1093</v>
      </c>
      <c r="T32" s="25"/>
    </row>
    <row r="33" spans="1:20" x14ac:dyDescent="0.2">
      <c r="A33" s="107"/>
      <c r="B33" s="108" t="s">
        <v>56</v>
      </c>
      <c r="C33" s="209">
        <f>IFERROR(VLOOKUP($B33,MMWR_TRAD_AGG_RO_COMP[],C$1,0),"ERROR")</f>
        <v>4452</v>
      </c>
      <c r="D33" s="198">
        <f>IFERROR(VLOOKUP($B33,MMWR_TRAD_AGG_RO_COMP[],D$1,0),"ERROR")</f>
        <v>188.09478885889999</v>
      </c>
      <c r="E33" s="195">
        <f>IFERROR(VLOOKUP($B33,MMWR_TRAD_AGG_RO_COMP[],E$1,0),"ERROR")</f>
        <v>6350</v>
      </c>
      <c r="F33" s="191">
        <f>IFERROR(VLOOKUP($B33,MMWR_TRAD_AGG_RO_COMP[],F$1,0),"ERROR")</f>
        <v>942</v>
      </c>
      <c r="G33" s="216">
        <f t="shared" si="0"/>
        <v>0.14834645669291338</v>
      </c>
      <c r="H33" s="190">
        <f>IFERROR(VLOOKUP($B33,MMWR_TRAD_AGG_RO_COMP[],H$1,0),"ERROR")</f>
        <v>5796</v>
      </c>
      <c r="I33" s="191">
        <f>IFERROR(VLOOKUP($B33,MMWR_TRAD_AGG_RO_COMP[],I$1,0),"ERROR")</f>
        <v>2558</v>
      </c>
      <c r="J33" s="216">
        <f t="shared" si="1"/>
        <v>0.44133885438233267</v>
      </c>
      <c r="K33" s="204">
        <f>IFERROR(VLOOKUP($B33,MMWR_TRAD_AGG_RO_COMP[],K$1,0),"ERROR")</f>
        <v>742</v>
      </c>
      <c r="L33" s="205">
        <f>IFERROR(VLOOKUP($B33,MMWR_TRAD_AGG_RO_COMP[],L$1,0),"ERROR")</f>
        <v>514</v>
      </c>
      <c r="M33" s="216">
        <f t="shared" si="2"/>
        <v>0.69272237196765496</v>
      </c>
      <c r="N33" s="204">
        <f>IFERROR(VLOOKUP($B33,MMWR_TRAD_AGG_RO_COMP[],N$1,0),"ERROR")</f>
        <v>668</v>
      </c>
      <c r="O33" s="205">
        <f>IFERROR(VLOOKUP($B33,MMWR_TRAD_AGG_RO_COMP[],O$1,0),"ERROR")</f>
        <v>358</v>
      </c>
      <c r="P33" s="216">
        <f t="shared" si="3"/>
        <v>0.5359281437125748</v>
      </c>
      <c r="Q33" s="201">
        <f>IFERROR(VLOOKUP($B33,MMWR_TRAD_AGG_RO_COMP[],Q$1,0),"ERROR")</f>
        <v>8684</v>
      </c>
      <c r="R33" s="201">
        <f>IFERROR(VLOOKUP($B33,MMWR_TRAD_AGG_RO_COMP[],R$1,0),"ERROR")</f>
        <v>0</v>
      </c>
      <c r="S33" s="201">
        <f>IFERROR(VLOOKUP($B33,MMWR_APP_RO[],S$1,0),"ERROR")</f>
        <v>3147</v>
      </c>
      <c r="T33" s="25"/>
    </row>
    <row r="34" spans="1:20" x14ac:dyDescent="0.2">
      <c r="A34" s="107"/>
      <c r="B34" s="108" t="s">
        <v>74</v>
      </c>
      <c r="C34" s="209">
        <f>IFERROR(VLOOKUP($B34,MMWR_TRAD_AGG_RO_COMP[],C$1,0),"ERROR")</f>
        <v>226</v>
      </c>
      <c r="D34" s="198">
        <f>IFERROR(VLOOKUP($B34,MMWR_TRAD_AGG_RO_COMP[],D$1,0),"ERROR")</f>
        <v>114.6150442478</v>
      </c>
      <c r="E34" s="195">
        <f>IFERROR(VLOOKUP($B34,MMWR_TRAD_AGG_RO_COMP[],E$1,0),"ERROR")</f>
        <v>983</v>
      </c>
      <c r="F34" s="191">
        <f>IFERROR(VLOOKUP($B34,MMWR_TRAD_AGG_RO_COMP[],F$1,0),"ERROR")</f>
        <v>260</v>
      </c>
      <c r="G34" s="216">
        <f t="shared" si="0"/>
        <v>0.26449643947100709</v>
      </c>
      <c r="H34" s="190">
        <f>IFERROR(VLOOKUP($B34,MMWR_TRAD_AGG_RO_COMP[],H$1,0),"ERROR")</f>
        <v>428</v>
      </c>
      <c r="I34" s="191">
        <f>IFERROR(VLOOKUP($B34,MMWR_TRAD_AGG_RO_COMP[],I$1,0),"ERROR")</f>
        <v>91</v>
      </c>
      <c r="J34" s="216">
        <f t="shared" si="1"/>
        <v>0.21261682242990654</v>
      </c>
      <c r="K34" s="204">
        <f>IFERROR(VLOOKUP($B34,MMWR_TRAD_AGG_RO_COMP[],K$1,0),"ERROR")</f>
        <v>284</v>
      </c>
      <c r="L34" s="205">
        <f>IFERROR(VLOOKUP($B34,MMWR_TRAD_AGG_RO_COMP[],L$1,0),"ERROR")</f>
        <v>135</v>
      </c>
      <c r="M34" s="216">
        <f t="shared" si="2"/>
        <v>0.47535211267605632</v>
      </c>
      <c r="N34" s="204">
        <f>IFERROR(VLOOKUP($B34,MMWR_TRAD_AGG_RO_COMP[],N$1,0),"ERROR")</f>
        <v>28</v>
      </c>
      <c r="O34" s="205">
        <f>IFERROR(VLOOKUP($B34,MMWR_TRAD_AGG_RO_COMP[],O$1,0),"ERROR")</f>
        <v>20</v>
      </c>
      <c r="P34" s="216">
        <f t="shared" si="3"/>
        <v>0.7142857142857143</v>
      </c>
      <c r="Q34" s="201">
        <f>IFERROR(VLOOKUP($B34,MMWR_TRAD_AGG_RO_COMP[],Q$1,0),"ERROR")</f>
        <v>0</v>
      </c>
      <c r="R34" s="201">
        <f>IFERROR(VLOOKUP($B34,MMWR_TRAD_AGG_RO_COMP[],R$1,0),"ERROR")</f>
        <v>0</v>
      </c>
      <c r="S34" s="201">
        <f>IFERROR(VLOOKUP($B34,MMWR_APP_RO[],S$1,0),"ERROR")</f>
        <v>265</v>
      </c>
      <c r="T34" s="25"/>
    </row>
    <row r="35" spans="1:20" x14ac:dyDescent="0.2">
      <c r="A35" s="107"/>
      <c r="B35" s="108" t="s">
        <v>75</v>
      </c>
      <c r="C35" s="209">
        <f>IFERROR(VLOOKUP($B35,MMWR_TRAD_AGG_RO_COMP[],C$1,0),"ERROR")</f>
        <v>3438</v>
      </c>
      <c r="D35" s="198">
        <f>IFERROR(VLOOKUP($B35,MMWR_TRAD_AGG_RO_COMP[],D$1,0),"ERROR")</f>
        <v>219.60354857479999</v>
      </c>
      <c r="E35" s="195">
        <f>IFERROR(VLOOKUP($B35,MMWR_TRAD_AGG_RO_COMP[],E$1,0),"ERROR")</f>
        <v>5731</v>
      </c>
      <c r="F35" s="191">
        <f>IFERROR(VLOOKUP($B35,MMWR_TRAD_AGG_RO_COMP[],F$1,0),"ERROR")</f>
        <v>1073</v>
      </c>
      <c r="G35" s="216">
        <f t="shared" si="0"/>
        <v>0.18722735997208168</v>
      </c>
      <c r="H35" s="190">
        <f>IFERROR(VLOOKUP($B35,MMWR_TRAD_AGG_RO_COMP[],H$1,0),"ERROR")</f>
        <v>5086</v>
      </c>
      <c r="I35" s="191">
        <f>IFERROR(VLOOKUP($B35,MMWR_TRAD_AGG_RO_COMP[],I$1,0),"ERROR")</f>
        <v>2650</v>
      </c>
      <c r="J35" s="216">
        <f t="shared" si="1"/>
        <v>0.52103814392449865</v>
      </c>
      <c r="K35" s="204">
        <f>IFERROR(VLOOKUP($B35,MMWR_TRAD_AGG_RO_COMP[],K$1,0),"ERROR")</f>
        <v>2056</v>
      </c>
      <c r="L35" s="205">
        <f>IFERROR(VLOOKUP($B35,MMWR_TRAD_AGG_RO_COMP[],L$1,0),"ERROR")</f>
        <v>1748</v>
      </c>
      <c r="M35" s="216">
        <f t="shared" si="2"/>
        <v>0.85019455252918286</v>
      </c>
      <c r="N35" s="204">
        <f>IFERROR(VLOOKUP($B35,MMWR_TRAD_AGG_RO_COMP[],N$1,0),"ERROR")</f>
        <v>1651</v>
      </c>
      <c r="O35" s="205">
        <f>IFERROR(VLOOKUP($B35,MMWR_TRAD_AGG_RO_COMP[],O$1,0),"ERROR")</f>
        <v>1386</v>
      </c>
      <c r="P35" s="216">
        <f t="shared" si="3"/>
        <v>0.83949121744397337</v>
      </c>
      <c r="Q35" s="201">
        <f>IFERROR(VLOOKUP($B35,MMWR_TRAD_AGG_RO_COMP[],Q$1,0),"ERROR")</f>
        <v>1</v>
      </c>
      <c r="R35" s="201">
        <f>IFERROR(VLOOKUP($B35,MMWR_TRAD_AGG_RO_COMP[],R$1,0),"ERROR")</f>
        <v>40</v>
      </c>
      <c r="S35" s="201">
        <f>IFERROR(VLOOKUP($B35,MMWR_APP_RO[],S$1,0),"ERROR")</f>
        <v>6075</v>
      </c>
      <c r="T35" s="25"/>
    </row>
    <row r="36" spans="1:20" x14ac:dyDescent="0.2">
      <c r="A36" s="28"/>
      <c r="B36" s="108" t="s">
        <v>76</v>
      </c>
      <c r="C36" s="219">
        <f>IFERROR(VLOOKUP($B36,MMWR_TRAD_AGG_RO_COMP[],C$1,0),"ERROR")</f>
        <v>3353</v>
      </c>
      <c r="D36" s="220">
        <f>IFERROR(VLOOKUP($B36,MMWR_TRAD_AGG_RO_COMP[],D$1,0),"ERROR")</f>
        <v>205.14524306589999</v>
      </c>
      <c r="E36" s="221">
        <f>IFERROR(VLOOKUP($B36,MMWR_TRAD_AGG_RO_COMP[],E$1,0),"ERROR")</f>
        <v>10413</v>
      </c>
      <c r="F36" s="222">
        <f>IFERROR(VLOOKUP($B36,MMWR_TRAD_AGG_RO_COMP[],F$1,0),"ERROR")</f>
        <v>1571</v>
      </c>
      <c r="G36" s="223">
        <f t="shared" si="0"/>
        <v>0.15086910592528571</v>
      </c>
      <c r="H36" s="224">
        <f>IFERROR(VLOOKUP($B36,MMWR_TRAD_AGG_RO_COMP[],H$1,0),"ERROR")</f>
        <v>8613</v>
      </c>
      <c r="I36" s="222">
        <f>IFERROR(VLOOKUP($B36,MMWR_TRAD_AGG_RO_COMP[],I$1,0),"ERROR")</f>
        <v>4048</v>
      </c>
      <c r="J36" s="223">
        <f t="shared" si="1"/>
        <v>0.46998722860791825</v>
      </c>
      <c r="K36" s="225">
        <f>IFERROR(VLOOKUP($B36,MMWR_TRAD_AGG_RO_COMP[],K$1,0),"ERROR")</f>
        <v>4944</v>
      </c>
      <c r="L36" s="226">
        <f>IFERROR(VLOOKUP($B36,MMWR_TRAD_AGG_RO_COMP[],L$1,0),"ERROR")</f>
        <v>3947</v>
      </c>
      <c r="M36" s="223">
        <f t="shared" si="2"/>
        <v>0.79834142394822005</v>
      </c>
      <c r="N36" s="225">
        <f>IFERROR(VLOOKUP($B36,MMWR_TRAD_AGG_RO_COMP[],N$1,0),"ERROR")</f>
        <v>1111</v>
      </c>
      <c r="O36" s="226">
        <f>IFERROR(VLOOKUP($B36,MMWR_TRAD_AGG_RO_COMP[],O$1,0),"ERROR")</f>
        <v>684</v>
      </c>
      <c r="P36" s="223">
        <f t="shared" si="3"/>
        <v>0.61566156615661571</v>
      </c>
      <c r="Q36" s="227">
        <f>IFERROR(VLOOKUP($B36,MMWR_TRAD_AGG_RO_COMP[],Q$1,0),"ERROR")</f>
        <v>24</v>
      </c>
      <c r="R36" s="227">
        <f>IFERROR(VLOOKUP($B36,MMWR_TRAD_AGG_RO_COMP[],R$1,0),"ERROR")</f>
        <v>0</v>
      </c>
      <c r="S36" s="201">
        <f>IFERROR(VLOOKUP($B36,MMWR_APP_RO[],S$1,0),"ERROR")</f>
        <v>4006</v>
      </c>
      <c r="T36" s="28"/>
    </row>
    <row r="37" spans="1:20" x14ac:dyDescent="0.2">
      <c r="A37" s="28"/>
      <c r="B37" s="116" t="s">
        <v>81</v>
      </c>
      <c r="C37" s="228">
        <f>IFERROR(VLOOKUP($B37,MMWR_TRAD_AGG_RO_COMP[],C$1,0),"ERROR")</f>
        <v>1576</v>
      </c>
      <c r="D37" s="229">
        <f>IFERROR(VLOOKUP($B37,MMWR_TRAD_AGG_RO_COMP[],D$1,0),"ERROR")</f>
        <v>214.2975888325</v>
      </c>
      <c r="E37" s="230">
        <f>IFERROR(VLOOKUP($B37,MMWR_TRAD_AGG_RO_COMP[],E$1,0),"ERROR")</f>
        <v>2268</v>
      </c>
      <c r="F37" s="231">
        <f>IFERROR(VLOOKUP($B37,MMWR_TRAD_AGG_RO_COMP[],F$1,0),"ERROR")</f>
        <v>354</v>
      </c>
      <c r="G37" s="232">
        <f t="shared" si="0"/>
        <v>0.15608465608465608</v>
      </c>
      <c r="H37" s="233">
        <f>IFERROR(VLOOKUP($B37,MMWR_TRAD_AGG_RO_COMP[],H$1,0),"ERROR")</f>
        <v>2190</v>
      </c>
      <c r="I37" s="231">
        <f>IFERROR(VLOOKUP($B37,MMWR_TRAD_AGG_RO_COMP[],I$1,0),"ERROR")</f>
        <v>1112</v>
      </c>
      <c r="J37" s="232">
        <f t="shared" si="1"/>
        <v>0.50776255707762552</v>
      </c>
      <c r="K37" s="234">
        <f>IFERROR(VLOOKUP($B37,MMWR_TRAD_AGG_RO_COMP[],K$1,0),"ERROR")</f>
        <v>984</v>
      </c>
      <c r="L37" s="235">
        <f>IFERROR(VLOOKUP($B37,MMWR_TRAD_AGG_RO_COMP[],L$1,0),"ERROR")</f>
        <v>531</v>
      </c>
      <c r="M37" s="232">
        <f t="shared" si="2"/>
        <v>0.53963414634146345</v>
      </c>
      <c r="N37" s="234">
        <f>IFERROR(VLOOKUP($B37,MMWR_TRAD_AGG_RO_COMP[],N$1,0),"ERROR")</f>
        <v>225</v>
      </c>
      <c r="O37" s="235">
        <f>IFERROR(VLOOKUP($B37,MMWR_TRAD_AGG_RO_COMP[],O$1,0),"ERROR")</f>
        <v>126</v>
      </c>
      <c r="P37" s="232">
        <f t="shared" si="3"/>
        <v>0.56000000000000005</v>
      </c>
      <c r="Q37" s="236">
        <f>IFERROR(VLOOKUP($B37,MMWR_TRAD_AGG_RO_COMP[],Q$1,0),"ERROR")</f>
        <v>0</v>
      </c>
      <c r="R37" s="236">
        <f>IFERROR(VLOOKUP($B37,MMWR_TRAD_AGG_RO_COMP[],R$1,0),"ERROR")</f>
        <v>6</v>
      </c>
      <c r="S37" s="201">
        <f>IFERROR(VLOOKUP($B37,MMWR_APP_RO[],S$1,0),"ERROR")</f>
        <v>1397</v>
      </c>
      <c r="T37" s="28"/>
    </row>
    <row r="38" spans="1:20" x14ac:dyDescent="0.2">
      <c r="A38" s="28"/>
      <c r="B38" s="101" t="s">
        <v>385</v>
      </c>
      <c r="C38" s="212">
        <f>IFERROR(VLOOKUP($B38,MMWR_TRAD_AGG_DISTRICT_COMP[],C$1,0),"ERROR")</f>
        <v>43142</v>
      </c>
      <c r="D38" s="197">
        <f>IFERROR(VLOOKUP($B38,MMWR_TRAD_AGG_DISTRICT_COMP[],D$1,0),"ERROR")</f>
        <v>380.45983032779998</v>
      </c>
      <c r="E38" s="213">
        <f>IFERROR(VLOOKUP($B38,MMWR_TRAD_AGG_DISTRICT_COMP[],E$1,0),"ERROR")</f>
        <v>62174</v>
      </c>
      <c r="F38" s="218">
        <f>IFERROR(VLOOKUP($B38,MMWR_TRAD_AGG_DISTRICT_COMP[],F$1,0),"ERROR")</f>
        <v>13610</v>
      </c>
      <c r="G38" s="214">
        <f t="shared" si="0"/>
        <v>0.21890179174574581</v>
      </c>
      <c r="H38" s="218">
        <f>IFERROR(VLOOKUP($B38,MMWR_TRAD_AGG_DISTRICT_COMP[],H$1,0),"ERROR")</f>
        <v>65931</v>
      </c>
      <c r="I38" s="218">
        <f>IFERROR(VLOOKUP($B38,MMWR_TRAD_AGG_DISTRICT_COMP[],I$1,0),"ERROR")</f>
        <v>42676</v>
      </c>
      <c r="J38" s="214">
        <f t="shared" si="1"/>
        <v>0.64728276531525386</v>
      </c>
      <c r="K38" s="212">
        <f>IFERROR(VLOOKUP($B38,MMWR_TRAD_AGG_DISTRICT_COMP[],K$1,0),"ERROR")</f>
        <v>20297</v>
      </c>
      <c r="L38" s="212">
        <f>IFERROR(VLOOKUP($B38,MMWR_TRAD_AGG_DISTRICT_COMP[],L$1,0),"ERROR")</f>
        <v>14732</v>
      </c>
      <c r="M38" s="214">
        <f t="shared" si="2"/>
        <v>0.72582154998275605</v>
      </c>
      <c r="N38" s="212">
        <f>IFERROR(VLOOKUP($B38,MMWR_TRAD_AGG_DISTRICT_COMP[],N$1,0),"ERROR")</f>
        <v>17270</v>
      </c>
      <c r="O38" s="212">
        <f>IFERROR(VLOOKUP($B38,MMWR_TRAD_AGG_DISTRICT_COMP[],O$1,0),"ERROR")</f>
        <v>9939</v>
      </c>
      <c r="P38" s="214">
        <f t="shared" si="3"/>
        <v>0.57550665894614939</v>
      </c>
      <c r="Q38" s="212">
        <f>IFERROR(VLOOKUP($B38,MMWR_TRAD_AGG_DISTRICT_COMP[],Q$1,0),"ERROR")</f>
        <v>53</v>
      </c>
      <c r="R38" s="215">
        <f>IFERROR(VLOOKUP($B38,MMWR_TRAD_AGG_DISTRICT_COMP[],R$1,0),"ERROR")</f>
        <v>1149</v>
      </c>
      <c r="S38" s="215">
        <f>IFERROR(VLOOKUP($B38,MMWR_APP_RO[],S$1,0),"ERROR")</f>
        <v>67879</v>
      </c>
      <c r="T38" s="28"/>
    </row>
    <row r="39" spans="1:20" x14ac:dyDescent="0.2">
      <c r="A39" s="28"/>
      <c r="B39" s="108" t="s">
        <v>36</v>
      </c>
      <c r="C39" s="219">
        <f>IFERROR(VLOOKUP($B39,MMWR_TRAD_AGG_RO_COMP[],C$1,0),"ERROR")</f>
        <v>243</v>
      </c>
      <c r="D39" s="220">
        <f>IFERROR(VLOOKUP($B39,MMWR_TRAD_AGG_RO_COMP[],D$1,0),"ERROR")</f>
        <v>336.5473251029</v>
      </c>
      <c r="E39" s="221">
        <f>IFERROR(VLOOKUP($B39,MMWR_TRAD_AGG_RO_COMP[],E$1,0),"ERROR")</f>
        <v>639</v>
      </c>
      <c r="F39" s="222">
        <f>IFERROR(VLOOKUP($B39,MMWR_TRAD_AGG_RO_COMP[],F$1,0),"ERROR")</f>
        <v>97</v>
      </c>
      <c r="G39" s="223">
        <f t="shared" si="0"/>
        <v>0.15179968701095461</v>
      </c>
      <c r="H39" s="224">
        <f>IFERROR(VLOOKUP($B39,MMWR_TRAD_AGG_RO_COMP[],H$1,0),"ERROR")</f>
        <v>450</v>
      </c>
      <c r="I39" s="222">
        <f>IFERROR(VLOOKUP($B39,MMWR_TRAD_AGG_RO_COMP[],I$1,0),"ERROR")</f>
        <v>249</v>
      </c>
      <c r="J39" s="223">
        <f t="shared" si="1"/>
        <v>0.55333333333333334</v>
      </c>
      <c r="K39" s="225">
        <f>IFERROR(VLOOKUP($B39,MMWR_TRAD_AGG_RO_COMP[],K$1,0),"ERROR")</f>
        <v>155</v>
      </c>
      <c r="L39" s="226">
        <f>IFERROR(VLOOKUP($B39,MMWR_TRAD_AGG_RO_COMP[],L$1,0),"ERROR")</f>
        <v>80</v>
      </c>
      <c r="M39" s="223">
        <f t="shared" si="2"/>
        <v>0.5161290322580645</v>
      </c>
      <c r="N39" s="225">
        <f>IFERROR(VLOOKUP($B39,MMWR_TRAD_AGG_RO_COMP[],N$1,0),"ERROR")</f>
        <v>104</v>
      </c>
      <c r="O39" s="226">
        <f>IFERROR(VLOOKUP($B39,MMWR_TRAD_AGG_RO_COMP[],O$1,0),"ERROR")</f>
        <v>47</v>
      </c>
      <c r="P39" s="223">
        <f t="shared" si="3"/>
        <v>0.45192307692307693</v>
      </c>
      <c r="Q39" s="227">
        <f>IFERROR(VLOOKUP($B39,MMWR_TRAD_AGG_RO_COMP[],Q$1,0),"ERROR")</f>
        <v>2</v>
      </c>
      <c r="R39" s="227">
        <f>IFERROR(VLOOKUP($B39,MMWR_TRAD_AGG_RO_COMP[],R$1,0),"ERROR")</f>
        <v>4</v>
      </c>
      <c r="S39" s="201">
        <f>IFERROR(VLOOKUP($B39,MMWR_APP_RO[],S$1,0),"ERROR")</f>
        <v>223</v>
      </c>
      <c r="T39" s="28"/>
    </row>
    <row r="40" spans="1:20" x14ac:dyDescent="0.2">
      <c r="A40" s="28"/>
      <c r="B40" s="108" t="s">
        <v>40</v>
      </c>
      <c r="C40" s="219">
        <f>IFERROR(VLOOKUP($B40,MMWR_TRAD_AGG_RO_COMP[],C$1,0),"ERROR")</f>
        <v>6016</v>
      </c>
      <c r="D40" s="220">
        <f>IFERROR(VLOOKUP($B40,MMWR_TRAD_AGG_RO_COMP[],D$1,0),"ERROR")</f>
        <v>439.23919547870003</v>
      </c>
      <c r="E40" s="221">
        <f>IFERROR(VLOOKUP($B40,MMWR_TRAD_AGG_RO_COMP[],E$1,0),"ERROR")</f>
        <v>7187</v>
      </c>
      <c r="F40" s="222">
        <f>IFERROR(VLOOKUP($B40,MMWR_TRAD_AGG_RO_COMP[],F$1,0),"ERROR")</f>
        <v>2329</v>
      </c>
      <c r="G40" s="223">
        <f t="shared" si="0"/>
        <v>0.32405732572700707</v>
      </c>
      <c r="H40" s="224">
        <f>IFERROR(VLOOKUP($B40,MMWR_TRAD_AGG_RO_COMP[],H$1,0),"ERROR")</f>
        <v>8302</v>
      </c>
      <c r="I40" s="222">
        <f>IFERROR(VLOOKUP($B40,MMWR_TRAD_AGG_RO_COMP[],I$1,0),"ERROR")</f>
        <v>5702</v>
      </c>
      <c r="J40" s="223">
        <f t="shared" si="1"/>
        <v>0.6868224524211034</v>
      </c>
      <c r="K40" s="225">
        <f>IFERROR(VLOOKUP($B40,MMWR_TRAD_AGG_RO_COMP[],K$1,0),"ERROR")</f>
        <v>3498</v>
      </c>
      <c r="L40" s="226">
        <f>IFERROR(VLOOKUP($B40,MMWR_TRAD_AGG_RO_COMP[],L$1,0),"ERROR")</f>
        <v>2865</v>
      </c>
      <c r="M40" s="223">
        <f t="shared" si="2"/>
        <v>0.81903945111492282</v>
      </c>
      <c r="N40" s="225">
        <f>IFERROR(VLOOKUP($B40,MMWR_TRAD_AGG_RO_COMP[],N$1,0),"ERROR")</f>
        <v>669</v>
      </c>
      <c r="O40" s="226">
        <f>IFERROR(VLOOKUP($B40,MMWR_TRAD_AGG_RO_COMP[],O$1,0),"ERROR")</f>
        <v>460</v>
      </c>
      <c r="P40" s="223">
        <f t="shared" si="3"/>
        <v>0.68759342301943194</v>
      </c>
      <c r="Q40" s="227">
        <f>IFERROR(VLOOKUP($B40,MMWR_TRAD_AGG_RO_COMP[],Q$1,0),"ERROR")</f>
        <v>0</v>
      </c>
      <c r="R40" s="227">
        <f>IFERROR(VLOOKUP($B40,MMWR_TRAD_AGG_RO_COMP[],R$1,0),"ERROR")</f>
        <v>54</v>
      </c>
      <c r="S40" s="201">
        <f>IFERROR(VLOOKUP($B40,MMWR_APP_RO[],S$1,0),"ERROR")</f>
        <v>6572</v>
      </c>
      <c r="T40" s="28"/>
    </row>
    <row r="41" spans="1:20" x14ac:dyDescent="0.2">
      <c r="A41" s="28"/>
      <c r="B41" s="108" t="s">
        <v>181</v>
      </c>
      <c r="C41" s="219">
        <f>IFERROR(VLOOKUP($B41,MMWR_TRAD_AGG_RO_COMP[],C$1,0),"ERROR")</f>
        <v>288</v>
      </c>
      <c r="D41" s="220">
        <f>IFERROR(VLOOKUP($B41,MMWR_TRAD_AGG_RO_COMP[],D$1,0),"ERROR")</f>
        <v>222.9895833333</v>
      </c>
      <c r="E41" s="221">
        <f>IFERROR(VLOOKUP($B41,MMWR_TRAD_AGG_RO_COMP[],E$1,0),"ERROR")</f>
        <v>622</v>
      </c>
      <c r="F41" s="222">
        <f>IFERROR(VLOOKUP($B41,MMWR_TRAD_AGG_RO_COMP[],F$1,0),"ERROR")</f>
        <v>43</v>
      </c>
      <c r="G41" s="223">
        <f t="shared" si="0"/>
        <v>6.9131832797427656E-2</v>
      </c>
      <c r="H41" s="224">
        <f>IFERROR(VLOOKUP($B41,MMWR_TRAD_AGG_RO_COMP[],H$1,0),"ERROR")</f>
        <v>526</v>
      </c>
      <c r="I41" s="222">
        <f>IFERROR(VLOOKUP($B41,MMWR_TRAD_AGG_RO_COMP[],I$1,0),"ERROR")</f>
        <v>123</v>
      </c>
      <c r="J41" s="223">
        <f t="shared" si="1"/>
        <v>0.23384030418250951</v>
      </c>
      <c r="K41" s="225">
        <f>IFERROR(VLOOKUP($B41,MMWR_TRAD_AGG_RO_COMP[],K$1,0),"ERROR")</f>
        <v>408</v>
      </c>
      <c r="L41" s="226">
        <f>IFERROR(VLOOKUP($B41,MMWR_TRAD_AGG_RO_COMP[],L$1,0),"ERROR")</f>
        <v>262</v>
      </c>
      <c r="M41" s="223">
        <f t="shared" si="2"/>
        <v>0.64215686274509809</v>
      </c>
      <c r="N41" s="225">
        <f>IFERROR(VLOOKUP($B41,MMWR_TRAD_AGG_RO_COMP[],N$1,0),"ERROR")</f>
        <v>220</v>
      </c>
      <c r="O41" s="226">
        <f>IFERROR(VLOOKUP($B41,MMWR_TRAD_AGG_RO_COMP[],O$1,0),"ERROR")</f>
        <v>117</v>
      </c>
      <c r="P41" s="223">
        <f t="shared" si="3"/>
        <v>0.53181818181818186</v>
      </c>
      <c r="Q41" s="227">
        <f>IFERROR(VLOOKUP($B41,MMWR_TRAD_AGG_RO_COMP[],Q$1,0),"ERROR")</f>
        <v>0</v>
      </c>
      <c r="R41" s="227">
        <f>IFERROR(VLOOKUP($B41,MMWR_TRAD_AGG_RO_COMP[],R$1,0),"ERROR")</f>
        <v>3</v>
      </c>
      <c r="S41" s="201">
        <f>IFERROR(VLOOKUP($B41,MMWR_APP_RO[],S$1,0),"ERROR")</f>
        <v>369</v>
      </c>
      <c r="T41" s="28"/>
    </row>
    <row r="42" spans="1:20" x14ac:dyDescent="0.2">
      <c r="A42" s="28"/>
      <c r="B42" s="108" t="s">
        <v>46</v>
      </c>
      <c r="C42" s="219">
        <f>IFERROR(VLOOKUP($B42,MMWR_TRAD_AGG_RO_COMP[],C$1,0),"ERROR")</f>
        <v>11352</v>
      </c>
      <c r="D42" s="220">
        <f>IFERROR(VLOOKUP($B42,MMWR_TRAD_AGG_RO_COMP[],D$1,0),"ERROR")</f>
        <v>395.1381254405</v>
      </c>
      <c r="E42" s="221">
        <f>IFERROR(VLOOKUP($B42,MMWR_TRAD_AGG_RO_COMP[],E$1,0),"ERROR")</f>
        <v>16877</v>
      </c>
      <c r="F42" s="222">
        <f>IFERROR(VLOOKUP($B42,MMWR_TRAD_AGG_RO_COMP[],F$1,0),"ERROR")</f>
        <v>4271</v>
      </c>
      <c r="G42" s="223">
        <f t="shared" si="0"/>
        <v>0.25306630325294782</v>
      </c>
      <c r="H42" s="224">
        <f>IFERROR(VLOOKUP($B42,MMWR_TRAD_AGG_RO_COMP[],H$1,0),"ERROR")</f>
        <v>15187</v>
      </c>
      <c r="I42" s="222">
        <f>IFERROR(VLOOKUP($B42,MMWR_TRAD_AGG_RO_COMP[],I$1,0),"ERROR")</f>
        <v>11232</v>
      </c>
      <c r="J42" s="223">
        <f t="shared" si="1"/>
        <v>0.73957990386514783</v>
      </c>
      <c r="K42" s="225">
        <f>IFERROR(VLOOKUP($B42,MMWR_TRAD_AGG_RO_COMP[],K$1,0),"ERROR")</f>
        <v>3704</v>
      </c>
      <c r="L42" s="226">
        <f>IFERROR(VLOOKUP($B42,MMWR_TRAD_AGG_RO_COMP[],L$1,0),"ERROR")</f>
        <v>2972</v>
      </c>
      <c r="M42" s="223">
        <f t="shared" si="2"/>
        <v>0.80237580993520519</v>
      </c>
      <c r="N42" s="225">
        <f>IFERROR(VLOOKUP($B42,MMWR_TRAD_AGG_RO_COMP[],N$1,0),"ERROR")</f>
        <v>3436</v>
      </c>
      <c r="O42" s="226">
        <f>IFERROR(VLOOKUP($B42,MMWR_TRAD_AGG_RO_COMP[],O$1,0),"ERROR")</f>
        <v>2831</v>
      </c>
      <c r="P42" s="223">
        <f t="shared" si="3"/>
        <v>0.82392316647264263</v>
      </c>
      <c r="Q42" s="227">
        <f>IFERROR(VLOOKUP($B42,MMWR_TRAD_AGG_RO_COMP[],Q$1,0),"ERROR")</f>
        <v>1</v>
      </c>
      <c r="R42" s="227">
        <f>IFERROR(VLOOKUP($B42,MMWR_TRAD_AGG_RO_COMP[],R$1,0),"ERROR")</f>
        <v>239</v>
      </c>
      <c r="S42" s="201">
        <f>IFERROR(VLOOKUP($B42,MMWR_APP_RO[],S$1,0),"ERROR")</f>
        <v>19635</v>
      </c>
      <c r="T42" s="28"/>
    </row>
    <row r="43" spans="1:20" x14ac:dyDescent="0.2">
      <c r="A43" s="28"/>
      <c r="B43" s="108" t="s">
        <v>49</v>
      </c>
      <c r="C43" s="219">
        <f>IFERROR(VLOOKUP($B43,MMWR_TRAD_AGG_RO_COMP[],C$1,0),"ERROR")</f>
        <v>3477</v>
      </c>
      <c r="D43" s="220">
        <f>IFERROR(VLOOKUP($B43,MMWR_TRAD_AGG_RO_COMP[],D$1,0),"ERROR")</f>
        <v>426.8377911993</v>
      </c>
      <c r="E43" s="221">
        <f>IFERROR(VLOOKUP($B43,MMWR_TRAD_AGG_RO_COMP[],E$1,0),"ERROR")</f>
        <v>4510</v>
      </c>
      <c r="F43" s="222">
        <f>IFERROR(VLOOKUP($B43,MMWR_TRAD_AGG_RO_COMP[],F$1,0),"ERROR")</f>
        <v>1410</v>
      </c>
      <c r="G43" s="223">
        <f t="shared" si="0"/>
        <v>0.31263858093126384</v>
      </c>
      <c r="H43" s="224">
        <f>IFERROR(VLOOKUP($B43,MMWR_TRAD_AGG_RO_COMP[],H$1,0),"ERROR")</f>
        <v>5878</v>
      </c>
      <c r="I43" s="222">
        <f>IFERROR(VLOOKUP($B43,MMWR_TRAD_AGG_RO_COMP[],I$1,0),"ERROR")</f>
        <v>4642</v>
      </c>
      <c r="J43" s="223">
        <f t="shared" si="1"/>
        <v>0.78972439605307931</v>
      </c>
      <c r="K43" s="225">
        <f>IFERROR(VLOOKUP($B43,MMWR_TRAD_AGG_RO_COMP[],K$1,0),"ERROR")</f>
        <v>2448</v>
      </c>
      <c r="L43" s="226">
        <f>IFERROR(VLOOKUP($B43,MMWR_TRAD_AGG_RO_COMP[],L$1,0),"ERROR")</f>
        <v>1911</v>
      </c>
      <c r="M43" s="223">
        <f t="shared" si="2"/>
        <v>0.78063725490196079</v>
      </c>
      <c r="N43" s="225">
        <f>IFERROR(VLOOKUP($B43,MMWR_TRAD_AGG_RO_COMP[],N$1,0),"ERROR")</f>
        <v>787</v>
      </c>
      <c r="O43" s="226">
        <f>IFERROR(VLOOKUP($B43,MMWR_TRAD_AGG_RO_COMP[],O$1,0),"ERROR")</f>
        <v>629</v>
      </c>
      <c r="P43" s="223">
        <f t="shared" si="3"/>
        <v>0.79923761118170267</v>
      </c>
      <c r="Q43" s="227">
        <f>IFERROR(VLOOKUP($B43,MMWR_TRAD_AGG_RO_COMP[],Q$1,0),"ERROR")</f>
        <v>45</v>
      </c>
      <c r="R43" s="227">
        <f>IFERROR(VLOOKUP($B43,MMWR_TRAD_AGG_RO_COMP[],R$1,0),"ERROR")</f>
        <v>256</v>
      </c>
      <c r="S43" s="201">
        <f>IFERROR(VLOOKUP($B43,MMWR_APP_RO[],S$1,0),"ERROR")</f>
        <v>4636</v>
      </c>
      <c r="T43" s="28"/>
    </row>
    <row r="44" spans="1:20" x14ac:dyDescent="0.2">
      <c r="A44" s="28"/>
      <c r="B44" s="108" t="s">
        <v>51</v>
      </c>
      <c r="C44" s="219">
        <f>IFERROR(VLOOKUP($B44,MMWR_TRAD_AGG_RO_COMP[],C$1,0),"ERROR")</f>
        <v>3610</v>
      </c>
      <c r="D44" s="220">
        <f>IFERROR(VLOOKUP($B44,MMWR_TRAD_AGG_RO_COMP[],D$1,0),"ERROR")</f>
        <v>330.34404432129998</v>
      </c>
      <c r="E44" s="221">
        <f>IFERROR(VLOOKUP($B44,MMWR_TRAD_AGG_RO_COMP[],E$1,0),"ERROR")</f>
        <v>3049</v>
      </c>
      <c r="F44" s="222">
        <f>IFERROR(VLOOKUP($B44,MMWR_TRAD_AGG_RO_COMP[],F$1,0),"ERROR")</f>
        <v>485</v>
      </c>
      <c r="G44" s="223">
        <f t="shared" si="0"/>
        <v>0.15906854706461135</v>
      </c>
      <c r="H44" s="224">
        <f>IFERROR(VLOOKUP($B44,MMWR_TRAD_AGG_RO_COMP[],H$1,0),"ERROR")</f>
        <v>6809</v>
      </c>
      <c r="I44" s="222">
        <f>IFERROR(VLOOKUP($B44,MMWR_TRAD_AGG_RO_COMP[],I$1,0),"ERROR")</f>
        <v>3494</v>
      </c>
      <c r="J44" s="223">
        <f t="shared" si="1"/>
        <v>0.51314436774856809</v>
      </c>
      <c r="K44" s="225">
        <f>IFERROR(VLOOKUP($B44,MMWR_TRAD_AGG_RO_COMP[],K$1,0),"ERROR")</f>
        <v>3395</v>
      </c>
      <c r="L44" s="226">
        <f>IFERROR(VLOOKUP($B44,MMWR_TRAD_AGG_RO_COMP[],L$1,0),"ERROR")</f>
        <v>2655</v>
      </c>
      <c r="M44" s="223">
        <f t="shared" si="2"/>
        <v>0.78203240058910162</v>
      </c>
      <c r="N44" s="225">
        <f>IFERROR(VLOOKUP($B44,MMWR_TRAD_AGG_RO_COMP[],N$1,0),"ERROR")</f>
        <v>1493</v>
      </c>
      <c r="O44" s="226">
        <f>IFERROR(VLOOKUP($B44,MMWR_TRAD_AGG_RO_COMP[],O$1,0),"ERROR")</f>
        <v>977</v>
      </c>
      <c r="P44" s="223">
        <f t="shared" si="3"/>
        <v>0.65438713998660414</v>
      </c>
      <c r="Q44" s="227">
        <f>IFERROR(VLOOKUP($B44,MMWR_TRAD_AGG_RO_COMP[],Q$1,0),"ERROR")</f>
        <v>0</v>
      </c>
      <c r="R44" s="227">
        <f>IFERROR(VLOOKUP($B44,MMWR_TRAD_AGG_RO_COMP[],R$1,0),"ERROR")</f>
        <v>95</v>
      </c>
      <c r="S44" s="201">
        <f>IFERROR(VLOOKUP($B44,MMWR_APP_RO[],S$1,0),"ERROR")</f>
        <v>5260</v>
      </c>
      <c r="T44" s="28"/>
    </row>
    <row r="45" spans="1:20" x14ac:dyDescent="0.2">
      <c r="A45" s="28"/>
      <c r="B45" s="108" t="s">
        <v>27</v>
      </c>
      <c r="C45" s="219">
        <f>IFERROR(VLOOKUP($B45,MMWR_TRAD_AGG_RO_COMP[],C$1,0),"ERROR")</f>
        <v>1394</v>
      </c>
      <c r="D45" s="220">
        <f>IFERROR(VLOOKUP($B45,MMWR_TRAD_AGG_RO_COMP[],D$1,0),"ERROR")</f>
        <v>77.5050215208</v>
      </c>
      <c r="E45" s="221">
        <f>IFERROR(VLOOKUP($B45,MMWR_TRAD_AGG_RO_COMP[],E$1,0),"ERROR")</f>
        <v>5142</v>
      </c>
      <c r="F45" s="222">
        <f>IFERROR(VLOOKUP($B45,MMWR_TRAD_AGG_RO_COMP[],F$1,0),"ERROR")</f>
        <v>590</v>
      </c>
      <c r="G45" s="223">
        <f t="shared" si="0"/>
        <v>0.11474134577985219</v>
      </c>
      <c r="H45" s="224">
        <f>IFERROR(VLOOKUP($B45,MMWR_TRAD_AGG_RO_COMP[],H$1,0),"ERROR")</f>
        <v>4695</v>
      </c>
      <c r="I45" s="222">
        <f>IFERROR(VLOOKUP($B45,MMWR_TRAD_AGG_RO_COMP[],I$1,0),"ERROR")</f>
        <v>1654</v>
      </c>
      <c r="J45" s="223">
        <f t="shared" si="1"/>
        <v>0.35228966986155485</v>
      </c>
      <c r="K45" s="225">
        <f>IFERROR(VLOOKUP($B45,MMWR_TRAD_AGG_RO_COMP[],K$1,0),"ERROR")</f>
        <v>1056</v>
      </c>
      <c r="L45" s="226">
        <f>IFERROR(VLOOKUP($B45,MMWR_TRAD_AGG_RO_COMP[],L$1,0),"ERROR")</f>
        <v>424</v>
      </c>
      <c r="M45" s="223">
        <f t="shared" si="2"/>
        <v>0.40151515151515149</v>
      </c>
      <c r="N45" s="225">
        <f>IFERROR(VLOOKUP($B45,MMWR_TRAD_AGG_RO_COMP[],N$1,0),"ERROR")</f>
        <v>1489</v>
      </c>
      <c r="O45" s="226">
        <f>IFERROR(VLOOKUP($B45,MMWR_TRAD_AGG_RO_COMP[],O$1,0),"ERROR")</f>
        <v>880</v>
      </c>
      <c r="P45" s="223">
        <f t="shared" si="3"/>
        <v>0.59100067159167224</v>
      </c>
      <c r="Q45" s="227">
        <f>IFERROR(VLOOKUP($B45,MMWR_TRAD_AGG_RO_COMP[],Q$1,0),"ERROR")</f>
        <v>0</v>
      </c>
      <c r="R45" s="227">
        <f>IFERROR(VLOOKUP($B45,MMWR_TRAD_AGG_RO_COMP[],R$1,0),"ERROR")</f>
        <v>28</v>
      </c>
      <c r="S45" s="201">
        <f>IFERROR(VLOOKUP($B45,MMWR_APP_RO[],S$1,0),"ERROR")</f>
        <v>4064</v>
      </c>
      <c r="T45" s="28"/>
    </row>
    <row r="46" spans="1:20" x14ac:dyDescent="0.2">
      <c r="A46" s="28"/>
      <c r="B46" s="108" t="s">
        <v>59</v>
      </c>
      <c r="C46" s="219">
        <f>IFERROR(VLOOKUP($B46,MMWR_TRAD_AGG_RO_COMP[],C$1,0),"ERROR")</f>
        <v>3900</v>
      </c>
      <c r="D46" s="220">
        <f>IFERROR(VLOOKUP($B46,MMWR_TRAD_AGG_RO_COMP[],D$1,0),"ERROR")</f>
        <v>461.40384615379998</v>
      </c>
      <c r="E46" s="221">
        <f>IFERROR(VLOOKUP($B46,MMWR_TRAD_AGG_RO_COMP[],E$1,0),"ERROR")</f>
        <v>5314</v>
      </c>
      <c r="F46" s="222">
        <f>IFERROR(VLOOKUP($B46,MMWR_TRAD_AGG_RO_COMP[],F$1,0),"ERROR")</f>
        <v>1088</v>
      </c>
      <c r="G46" s="223">
        <f t="shared" si="0"/>
        <v>0.20474219044034625</v>
      </c>
      <c r="H46" s="224">
        <f>IFERROR(VLOOKUP($B46,MMWR_TRAD_AGG_RO_COMP[],H$1,0),"ERROR")</f>
        <v>5265</v>
      </c>
      <c r="I46" s="222">
        <f>IFERROR(VLOOKUP($B46,MMWR_TRAD_AGG_RO_COMP[],I$1,0),"ERROR")</f>
        <v>3644</v>
      </c>
      <c r="J46" s="223">
        <f t="shared" si="1"/>
        <v>0.6921177587844255</v>
      </c>
      <c r="K46" s="225">
        <f>IFERROR(VLOOKUP($B46,MMWR_TRAD_AGG_RO_COMP[],K$1,0),"ERROR")</f>
        <v>1065</v>
      </c>
      <c r="L46" s="226">
        <f>IFERROR(VLOOKUP($B46,MMWR_TRAD_AGG_RO_COMP[],L$1,0),"ERROR")</f>
        <v>717</v>
      </c>
      <c r="M46" s="223">
        <f t="shared" si="2"/>
        <v>0.6732394366197183</v>
      </c>
      <c r="N46" s="225">
        <f>IFERROR(VLOOKUP($B46,MMWR_TRAD_AGG_RO_COMP[],N$1,0),"ERROR")</f>
        <v>1741</v>
      </c>
      <c r="O46" s="226">
        <f>IFERROR(VLOOKUP($B46,MMWR_TRAD_AGG_RO_COMP[],O$1,0),"ERROR")</f>
        <v>1191</v>
      </c>
      <c r="P46" s="223">
        <f t="shared" si="3"/>
        <v>0.68408960367604821</v>
      </c>
      <c r="Q46" s="227">
        <f>IFERROR(VLOOKUP($B46,MMWR_TRAD_AGG_RO_COMP[],Q$1,0),"ERROR")</f>
        <v>2</v>
      </c>
      <c r="R46" s="227">
        <f>IFERROR(VLOOKUP($B46,MMWR_TRAD_AGG_RO_COMP[],R$1,0),"ERROR")</f>
        <v>270</v>
      </c>
      <c r="S46" s="201">
        <f>IFERROR(VLOOKUP($B46,MMWR_APP_RO[],S$1,0),"ERROR")</f>
        <v>5875</v>
      </c>
      <c r="T46" s="28"/>
    </row>
    <row r="47" spans="1:20" x14ac:dyDescent="0.2">
      <c r="A47" s="28"/>
      <c r="B47" s="108" t="s">
        <v>70</v>
      </c>
      <c r="C47" s="219">
        <f>IFERROR(VLOOKUP($B47,MMWR_TRAD_AGG_RO_COMP[],C$1,0),"ERROR")</f>
        <v>3186</v>
      </c>
      <c r="D47" s="220">
        <f>IFERROR(VLOOKUP($B47,MMWR_TRAD_AGG_RO_COMP[],D$1,0),"ERROR")</f>
        <v>366.65348399250001</v>
      </c>
      <c r="E47" s="221">
        <f>IFERROR(VLOOKUP($B47,MMWR_TRAD_AGG_RO_COMP[],E$1,0),"ERROR")</f>
        <v>2614</v>
      </c>
      <c r="F47" s="222">
        <f>IFERROR(VLOOKUP($B47,MMWR_TRAD_AGG_RO_COMP[],F$1,0),"ERROR")</f>
        <v>535</v>
      </c>
      <c r="G47" s="223">
        <f t="shared" si="0"/>
        <v>0.2046671767406274</v>
      </c>
      <c r="H47" s="224">
        <f>IFERROR(VLOOKUP($B47,MMWR_TRAD_AGG_RO_COMP[],H$1,0),"ERROR")</f>
        <v>6865</v>
      </c>
      <c r="I47" s="222">
        <f>IFERROR(VLOOKUP($B47,MMWR_TRAD_AGG_RO_COMP[],I$1,0),"ERROR")</f>
        <v>4949</v>
      </c>
      <c r="J47" s="223">
        <f t="shared" si="1"/>
        <v>0.72090313182811361</v>
      </c>
      <c r="K47" s="225">
        <f>IFERROR(VLOOKUP($B47,MMWR_TRAD_AGG_RO_COMP[],K$1,0),"ERROR")</f>
        <v>1034</v>
      </c>
      <c r="L47" s="226">
        <f>IFERROR(VLOOKUP($B47,MMWR_TRAD_AGG_RO_COMP[],L$1,0),"ERROR")</f>
        <v>755</v>
      </c>
      <c r="M47" s="223">
        <f t="shared" si="2"/>
        <v>0.73017408123791105</v>
      </c>
      <c r="N47" s="225">
        <f>IFERROR(VLOOKUP($B47,MMWR_TRAD_AGG_RO_COMP[],N$1,0),"ERROR")</f>
        <v>366</v>
      </c>
      <c r="O47" s="226">
        <f>IFERROR(VLOOKUP($B47,MMWR_TRAD_AGG_RO_COMP[],O$1,0),"ERROR")</f>
        <v>200</v>
      </c>
      <c r="P47" s="223">
        <f t="shared" si="3"/>
        <v>0.54644808743169404</v>
      </c>
      <c r="Q47" s="227">
        <f>IFERROR(VLOOKUP($B47,MMWR_TRAD_AGG_RO_COMP[],Q$1,0),"ERROR")</f>
        <v>0</v>
      </c>
      <c r="R47" s="227">
        <f>IFERROR(VLOOKUP($B47,MMWR_TRAD_AGG_RO_COMP[],R$1,0),"ERROR")</f>
        <v>2</v>
      </c>
      <c r="S47" s="201">
        <f>IFERROR(VLOOKUP($B47,MMWR_APP_RO[],S$1,0),"ERROR")</f>
        <v>1025</v>
      </c>
      <c r="T47" s="28"/>
    </row>
    <row r="48" spans="1:20" x14ac:dyDescent="0.2">
      <c r="A48" s="28"/>
      <c r="B48" s="116" t="s">
        <v>79</v>
      </c>
      <c r="C48" s="228">
        <f>IFERROR(VLOOKUP($B48,MMWR_TRAD_AGG_RO_COMP[],C$1,0),"ERROR")</f>
        <v>9676</v>
      </c>
      <c r="D48" s="229">
        <f>IFERROR(VLOOKUP($B48,MMWR_TRAD_AGG_RO_COMP[],D$1,0),"ERROR")</f>
        <v>350.08195535350001</v>
      </c>
      <c r="E48" s="230">
        <f>IFERROR(VLOOKUP($B48,MMWR_TRAD_AGG_RO_COMP[],E$1,0),"ERROR")</f>
        <v>16220</v>
      </c>
      <c r="F48" s="231">
        <f>IFERROR(VLOOKUP($B48,MMWR_TRAD_AGG_RO_COMP[],F$1,0),"ERROR")</f>
        <v>2762</v>
      </c>
      <c r="G48" s="232">
        <f t="shared" si="0"/>
        <v>0.17028360049321825</v>
      </c>
      <c r="H48" s="233">
        <f>IFERROR(VLOOKUP($B48,MMWR_TRAD_AGG_RO_COMP[],H$1,0),"ERROR")</f>
        <v>11954</v>
      </c>
      <c r="I48" s="231">
        <f>IFERROR(VLOOKUP($B48,MMWR_TRAD_AGG_RO_COMP[],I$1,0),"ERROR")</f>
        <v>6987</v>
      </c>
      <c r="J48" s="232">
        <f t="shared" si="1"/>
        <v>0.58449054709720594</v>
      </c>
      <c r="K48" s="234">
        <f>IFERROR(VLOOKUP($B48,MMWR_TRAD_AGG_RO_COMP[],K$1,0),"ERROR")</f>
        <v>3534</v>
      </c>
      <c r="L48" s="235">
        <f>IFERROR(VLOOKUP($B48,MMWR_TRAD_AGG_RO_COMP[],L$1,0),"ERROR")</f>
        <v>2091</v>
      </c>
      <c r="M48" s="232">
        <f t="shared" si="2"/>
        <v>0.59168081494057723</v>
      </c>
      <c r="N48" s="234">
        <f>IFERROR(VLOOKUP($B48,MMWR_TRAD_AGG_RO_COMP[],N$1,0),"ERROR")</f>
        <v>6965</v>
      </c>
      <c r="O48" s="235">
        <f>IFERROR(VLOOKUP($B48,MMWR_TRAD_AGG_RO_COMP[],O$1,0),"ERROR")</f>
        <v>2607</v>
      </c>
      <c r="P48" s="232">
        <f t="shared" si="3"/>
        <v>0.37430007178750896</v>
      </c>
      <c r="Q48" s="236">
        <f>IFERROR(VLOOKUP($B48,MMWR_TRAD_AGG_RO_COMP[],Q$1,0),"ERROR")</f>
        <v>3</v>
      </c>
      <c r="R48" s="236">
        <f>IFERROR(VLOOKUP($B48,MMWR_TRAD_AGG_RO_COMP[],R$1,0),"ERROR")</f>
        <v>198</v>
      </c>
      <c r="S48" s="201">
        <f>IFERROR(VLOOKUP($B48,MMWR_APP_RO[],S$1,0),"ERROR")</f>
        <v>20220</v>
      </c>
      <c r="T48" s="28"/>
    </row>
    <row r="49" spans="1:20" x14ac:dyDescent="0.2">
      <c r="A49" s="28"/>
      <c r="B49" s="101" t="s">
        <v>404</v>
      </c>
      <c r="C49" s="212">
        <f>IFERROR(VLOOKUP($B49,MMWR_TRAD_AGG_DISTRICT_COMP[],C$1,0),"ERROR")</f>
        <v>48045</v>
      </c>
      <c r="D49" s="197">
        <f>IFERROR(VLOOKUP($B49,MMWR_TRAD_AGG_DISTRICT_COMP[],D$1,0),"ERROR")</f>
        <v>400.77602247890002</v>
      </c>
      <c r="E49" s="213">
        <f>IFERROR(VLOOKUP($B49,MMWR_TRAD_AGG_DISTRICT_COMP[],E$1,0),"ERROR")</f>
        <v>61153</v>
      </c>
      <c r="F49" s="218">
        <f>IFERROR(VLOOKUP($B49,MMWR_TRAD_AGG_DISTRICT_COMP[],F$1,0),"ERROR")</f>
        <v>11939</v>
      </c>
      <c r="G49" s="214">
        <f t="shared" si="0"/>
        <v>0.19523163213579056</v>
      </c>
      <c r="H49" s="218">
        <f>IFERROR(VLOOKUP($B49,MMWR_TRAD_AGG_DISTRICT_COMP[],H$1,0),"ERROR")</f>
        <v>72676</v>
      </c>
      <c r="I49" s="218">
        <f>IFERROR(VLOOKUP($B49,MMWR_TRAD_AGG_DISTRICT_COMP[],I$1,0),"ERROR")</f>
        <v>50719</v>
      </c>
      <c r="J49" s="214">
        <f t="shared" si="1"/>
        <v>0.69787825416918925</v>
      </c>
      <c r="K49" s="212">
        <f>IFERROR(VLOOKUP($B49,MMWR_TRAD_AGG_DISTRICT_COMP[],K$1,0),"ERROR")</f>
        <v>23492</v>
      </c>
      <c r="L49" s="212">
        <f>IFERROR(VLOOKUP($B49,MMWR_TRAD_AGG_DISTRICT_COMP[],L$1,0),"ERROR")</f>
        <v>18431</v>
      </c>
      <c r="M49" s="214">
        <f t="shared" si="2"/>
        <v>0.78456495828367101</v>
      </c>
      <c r="N49" s="212">
        <f>IFERROR(VLOOKUP($B49,MMWR_TRAD_AGG_DISTRICT_COMP[],N$1,0),"ERROR")</f>
        <v>19463</v>
      </c>
      <c r="O49" s="212">
        <f>IFERROR(VLOOKUP($B49,MMWR_TRAD_AGG_DISTRICT_COMP[],O$1,0),"ERROR")</f>
        <v>14745</v>
      </c>
      <c r="P49" s="214">
        <f t="shared" si="3"/>
        <v>0.75759132713353539</v>
      </c>
      <c r="Q49" s="212">
        <f>IFERROR(VLOOKUP($B49,MMWR_TRAD_AGG_DISTRICT_COMP[],Q$1,0),"ERROR")</f>
        <v>466</v>
      </c>
      <c r="R49" s="215">
        <f>IFERROR(VLOOKUP($B49,MMWR_TRAD_AGG_DISTRICT_COMP[],R$1,0),"ERROR")</f>
        <v>765</v>
      </c>
      <c r="S49" s="215">
        <f>IFERROR(VLOOKUP($B49,MMWR_APP_RO[],S$1,0),"ERROR")</f>
        <v>41953</v>
      </c>
      <c r="T49" s="28"/>
    </row>
    <row r="50" spans="1:20" x14ac:dyDescent="0.2">
      <c r="A50" s="28"/>
      <c r="B50" s="108" t="s">
        <v>31</v>
      </c>
      <c r="C50" s="219">
        <f>IFERROR(VLOOKUP($B50,MMWR_TRAD_AGG_RO_COMP[],C$1,0),"ERROR")</f>
        <v>743</v>
      </c>
      <c r="D50" s="220">
        <f>IFERROR(VLOOKUP($B50,MMWR_TRAD_AGG_RO_COMP[],D$1,0),"ERROR")</f>
        <v>157.6056527591</v>
      </c>
      <c r="E50" s="221">
        <f>IFERROR(VLOOKUP($B50,MMWR_TRAD_AGG_RO_COMP[],E$1,0),"ERROR")</f>
        <v>2694</v>
      </c>
      <c r="F50" s="222">
        <f>IFERROR(VLOOKUP($B50,MMWR_TRAD_AGG_RO_COMP[],F$1,0),"ERROR")</f>
        <v>508</v>
      </c>
      <c r="G50" s="223">
        <f t="shared" si="0"/>
        <v>0.18856718634001485</v>
      </c>
      <c r="H50" s="224">
        <f>IFERROR(VLOOKUP($B50,MMWR_TRAD_AGG_RO_COMP[],H$1,0),"ERROR")</f>
        <v>1182</v>
      </c>
      <c r="I50" s="222">
        <f>IFERROR(VLOOKUP($B50,MMWR_TRAD_AGG_RO_COMP[],I$1,0),"ERROR")</f>
        <v>456</v>
      </c>
      <c r="J50" s="223">
        <f t="shared" si="1"/>
        <v>0.38578680203045684</v>
      </c>
      <c r="K50" s="225">
        <f>IFERROR(VLOOKUP($B50,MMWR_TRAD_AGG_RO_COMP[],K$1,0),"ERROR")</f>
        <v>284</v>
      </c>
      <c r="L50" s="226">
        <f>IFERROR(VLOOKUP($B50,MMWR_TRAD_AGG_RO_COMP[],L$1,0),"ERROR")</f>
        <v>118</v>
      </c>
      <c r="M50" s="223">
        <f t="shared" si="2"/>
        <v>0.41549295774647887</v>
      </c>
      <c r="N50" s="225">
        <f>IFERROR(VLOOKUP($B50,MMWR_TRAD_AGG_RO_COMP[],N$1,0),"ERROR")</f>
        <v>408</v>
      </c>
      <c r="O50" s="226">
        <f>IFERROR(VLOOKUP($B50,MMWR_TRAD_AGG_RO_COMP[],O$1,0),"ERROR")</f>
        <v>273</v>
      </c>
      <c r="P50" s="223">
        <f t="shared" si="3"/>
        <v>0.66911764705882348</v>
      </c>
      <c r="Q50" s="227">
        <f>IFERROR(VLOOKUP($B50,MMWR_TRAD_AGG_RO_COMP[],Q$1,0),"ERROR")</f>
        <v>0</v>
      </c>
      <c r="R50" s="227">
        <f>IFERROR(VLOOKUP($B50,MMWR_TRAD_AGG_RO_COMP[],R$1,0),"ERROR")</f>
        <v>9</v>
      </c>
      <c r="S50" s="201">
        <f>IFERROR(VLOOKUP($B50,MMWR_APP_RO[],S$1,0),"ERROR")</f>
        <v>1643</v>
      </c>
      <c r="T50" s="28"/>
    </row>
    <row r="51" spans="1:20" x14ac:dyDescent="0.2">
      <c r="A51" s="28"/>
      <c r="B51" s="108" t="s">
        <v>32</v>
      </c>
      <c r="C51" s="219">
        <f>IFERROR(VLOOKUP($B51,MMWR_TRAD_AGG_RO_COMP[],C$1,0),"ERROR")</f>
        <v>1904</v>
      </c>
      <c r="D51" s="220">
        <f>IFERROR(VLOOKUP($B51,MMWR_TRAD_AGG_RO_COMP[],D$1,0),"ERROR")</f>
        <v>506.60031512609999</v>
      </c>
      <c r="E51" s="221">
        <f>IFERROR(VLOOKUP($B51,MMWR_TRAD_AGG_RO_COMP[],E$1,0),"ERROR")</f>
        <v>1073</v>
      </c>
      <c r="F51" s="222">
        <f>IFERROR(VLOOKUP($B51,MMWR_TRAD_AGG_RO_COMP[],F$1,0),"ERROR")</f>
        <v>263</v>
      </c>
      <c r="G51" s="223">
        <f t="shared" si="0"/>
        <v>0.24510717614165889</v>
      </c>
      <c r="H51" s="224">
        <f>IFERROR(VLOOKUP($B51,MMWR_TRAD_AGG_RO_COMP[],H$1,0),"ERROR")</f>
        <v>2560</v>
      </c>
      <c r="I51" s="222">
        <f>IFERROR(VLOOKUP($B51,MMWR_TRAD_AGG_RO_COMP[],I$1,0),"ERROR")</f>
        <v>2112</v>
      </c>
      <c r="J51" s="223">
        <f t="shared" si="1"/>
        <v>0.82499999999999996</v>
      </c>
      <c r="K51" s="225">
        <f>IFERROR(VLOOKUP($B51,MMWR_TRAD_AGG_RO_COMP[],K$1,0),"ERROR")</f>
        <v>2093</v>
      </c>
      <c r="L51" s="226">
        <f>IFERROR(VLOOKUP($B51,MMWR_TRAD_AGG_RO_COMP[],L$1,0),"ERROR")</f>
        <v>1828</v>
      </c>
      <c r="M51" s="223">
        <f t="shared" si="2"/>
        <v>0.87338748208313421</v>
      </c>
      <c r="N51" s="225">
        <f>IFERROR(VLOOKUP($B51,MMWR_TRAD_AGG_RO_COMP[],N$1,0),"ERROR")</f>
        <v>494</v>
      </c>
      <c r="O51" s="226">
        <f>IFERROR(VLOOKUP($B51,MMWR_TRAD_AGG_RO_COMP[],O$1,0),"ERROR")</f>
        <v>334</v>
      </c>
      <c r="P51" s="223">
        <f t="shared" si="3"/>
        <v>0.67611336032388669</v>
      </c>
      <c r="Q51" s="227">
        <f>IFERROR(VLOOKUP($B51,MMWR_TRAD_AGG_RO_COMP[],Q$1,0),"ERROR")</f>
        <v>0</v>
      </c>
      <c r="R51" s="227">
        <f>IFERROR(VLOOKUP($B51,MMWR_TRAD_AGG_RO_COMP[],R$1,0),"ERROR")</f>
        <v>4</v>
      </c>
      <c r="S51" s="201">
        <f>IFERROR(VLOOKUP($B51,MMWR_APP_RO[],S$1,0),"ERROR")</f>
        <v>231</v>
      </c>
      <c r="T51" s="28"/>
    </row>
    <row r="52" spans="1:20" x14ac:dyDescent="0.2">
      <c r="A52" s="28"/>
      <c r="B52" s="108" t="s">
        <v>34</v>
      </c>
      <c r="C52" s="219">
        <f>IFERROR(VLOOKUP($B52,MMWR_TRAD_AGG_RO_COMP[],C$1,0),"ERROR")</f>
        <v>337</v>
      </c>
      <c r="D52" s="220">
        <f>IFERROR(VLOOKUP($B52,MMWR_TRAD_AGG_RO_COMP[],D$1,0),"ERROR")</f>
        <v>75.261127596400001</v>
      </c>
      <c r="E52" s="221">
        <f>IFERROR(VLOOKUP($B52,MMWR_TRAD_AGG_RO_COMP[],E$1,0),"ERROR")</f>
        <v>1579</v>
      </c>
      <c r="F52" s="222">
        <f>IFERROR(VLOOKUP($B52,MMWR_TRAD_AGG_RO_COMP[],F$1,0),"ERROR")</f>
        <v>360</v>
      </c>
      <c r="G52" s="223">
        <f t="shared" si="0"/>
        <v>0.2279924002533249</v>
      </c>
      <c r="H52" s="224">
        <f>IFERROR(VLOOKUP($B52,MMWR_TRAD_AGG_RO_COMP[],H$1,0),"ERROR")</f>
        <v>505</v>
      </c>
      <c r="I52" s="222">
        <f>IFERROR(VLOOKUP($B52,MMWR_TRAD_AGG_RO_COMP[],I$1,0),"ERROR")</f>
        <v>59</v>
      </c>
      <c r="J52" s="223">
        <f t="shared" si="1"/>
        <v>0.11683168316831684</v>
      </c>
      <c r="K52" s="225">
        <f>IFERROR(VLOOKUP($B52,MMWR_TRAD_AGG_RO_COMP[],K$1,0),"ERROR")</f>
        <v>74</v>
      </c>
      <c r="L52" s="226">
        <f>IFERROR(VLOOKUP($B52,MMWR_TRAD_AGG_RO_COMP[],L$1,0),"ERROR")</f>
        <v>22</v>
      </c>
      <c r="M52" s="223">
        <f t="shared" si="2"/>
        <v>0.29729729729729731</v>
      </c>
      <c r="N52" s="225">
        <f>IFERROR(VLOOKUP($B52,MMWR_TRAD_AGG_RO_COMP[],N$1,0),"ERROR")</f>
        <v>153</v>
      </c>
      <c r="O52" s="226">
        <f>IFERROR(VLOOKUP($B52,MMWR_TRAD_AGG_RO_COMP[],O$1,0),"ERROR")</f>
        <v>84</v>
      </c>
      <c r="P52" s="223">
        <f t="shared" si="3"/>
        <v>0.5490196078431373</v>
      </c>
      <c r="Q52" s="227">
        <f>IFERROR(VLOOKUP($B52,MMWR_TRAD_AGG_RO_COMP[],Q$1,0),"ERROR")</f>
        <v>0</v>
      </c>
      <c r="R52" s="227">
        <f>IFERROR(VLOOKUP($B52,MMWR_TRAD_AGG_RO_COMP[],R$1,0),"ERROR")</f>
        <v>4</v>
      </c>
      <c r="S52" s="201">
        <f>IFERROR(VLOOKUP($B52,MMWR_APP_RO[],S$1,0),"ERROR")</f>
        <v>869</v>
      </c>
      <c r="T52" s="28"/>
    </row>
    <row r="53" spans="1:20" x14ac:dyDescent="0.2">
      <c r="A53" s="28"/>
      <c r="B53" s="108" t="s">
        <v>45</v>
      </c>
      <c r="C53" s="219">
        <f>IFERROR(VLOOKUP($B53,MMWR_TRAD_AGG_RO_COMP[],C$1,0),"ERROR")</f>
        <v>1471</v>
      </c>
      <c r="D53" s="220">
        <f>IFERROR(VLOOKUP($B53,MMWR_TRAD_AGG_RO_COMP[],D$1,0),"ERROR")</f>
        <v>266.89530931339999</v>
      </c>
      <c r="E53" s="221">
        <f>IFERROR(VLOOKUP($B53,MMWR_TRAD_AGG_RO_COMP[],E$1,0),"ERROR")</f>
        <v>2157</v>
      </c>
      <c r="F53" s="222">
        <f>IFERROR(VLOOKUP($B53,MMWR_TRAD_AGG_RO_COMP[],F$1,0),"ERROR")</f>
        <v>332</v>
      </c>
      <c r="G53" s="223">
        <f t="shared" si="0"/>
        <v>0.15391747797867408</v>
      </c>
      <c r="H53" s="224">
        <f>IFERROR(VLOOKUP($B53,MMWR_TRAD_AGG_RO_COMP[],H$1,0),"ERROR")</f>
        <v>1803</v>
      </c>
      <c r="I53" s="222">
        <f>IFERROR(VLOOKUP($B53,MMWR_TRAD_AGG_RO_COMP[],I$1,0),"ERROR")</f>
        <v>1043</v>
      </c>
      <c r="J53" s="223">
        <f t="shared" si="1"/>
        <v>0.57848031059345539</v>
      </c>
      <c r="K53" s="225">
        <f>IFERROR(VLOOKUP($B53,MMWR_TRAD_AGG_RO_COMP[],K$1,0),"ERROR")</f>
        <v>949</v>
      </c>
      <c r="L53" s="226">
        <f>IFERROR(VLOOKUP($B53,MMWR_TRAD_AGG_RO_COMP[],L$1,0),"ERROR")</f>
        <v>554</v>
      </c>
      <c r="M53" s="223">
        <f t="shared" si="2"/>
        <v>0.58377239199157005</v>
      </c>
      <c r="N53" s="225">
        <f>IFERROR(VLOOKUP($B53,MMWR_TRAD_AGG_RO_COMP[],N$1,0),"ERROR")</f>
        <v>195</v>
      </c>
      <c r="O53" s="226">
        <f>IFERROR(VLOOKUP($B53,MMWR_TRAD_AGG_RO_COMP[],O$1,0),"ERROR")</f>
        <v>121</v>
      </c>
      <c r="P53" s="223">
        <f t="shared" si="3"/>
        <v>0.62051282051282053</v>
      </c>
      <c r="Q53" s="227">
        <f>IFERROR(VLOOKUP($B53,MMWR_TRAD_AGG_RO_COMP[],Q$1,0),"ERROR")</f>
        <v>0</v>
      </c>
      <c r="R53" s="227">
        <f>IFERROR(VLOOKUP($B53,MMWR_TRAD_AGG_RO_COMP[],R$1,0),"ERROR")</f>
        <v>1</v>
      </c>
      <c r="S53" s="201">
        <f>IFERROR(VLOOKUP($B53,MMWR_APP_RO[],S$1,0),"ERROR")</f>
        <v>1275</v>
      </c>
      <c r="T53" s="28"/>
    </row>
    <row r="54" spans="1:20" x14ac:dyDescent="0.2">
      <c r="A54" s="28"/>
      <c r="B54" s="108" t="s">
        <v>52</v>
      </c>
      <c r="C54" s="219">
        <f>IFERROR(VLOOKUP($B54,MMWR_TRAD_AGG_RO_COMP[],C$1,0),"ERROR")</f>
        <v>6917</v>
      </c>
      <c r="D54" s="220">
        <f>IFERROR(VLOOKUP($B54,MMWR_TRAD_AGG_RO_COMP[],D$1,0),"ERROR")</f>
        <v>431.03079369670002</v>
      </c>
      <c r="E54" s="221">
        <f>IFERROR(VLOOKUP($B54,MMWR_TRAD_AGG_RO_COMP[],E$1,0),"ERROR")</f>
        <v>10176</v>
      </c>
      <c r="F54" s="222">
        <f>IFERROR(VLOOKUP($B54,MMWR_TRAD_AGG_RO_COMP[],F$1,0),"ERROR")</f>
        <v>2005</v>
      </c>
      <c r="G54" s="223">
        <f t="shared" si="0"/>
        <v>0.19703223270440251</v>
      </c>
      <c r="H54" s="224">
        <f>IFERROR(VLOOKUP($B54,MMWR_TRAD_AGG_RO_COMP[],H$1,0),"ERROR")</f>
        <v>8618</v>
      </c>
      <c r="I54" s="222">
        <f>IFERROR(VLOOKUP($B54,MMWR_TRAD_AGG_RO_COMP[],I$1,0),"ERROR")</f>
        <v>6462</v>
      </c>
      <c r="J54" s="223">
        <f t="shared" si="1"/>
        <v>0.74982594569505689</v>
      </c>
      <c r="K54" s="225">
        <f>IFERROR(VLOOKUP($B54,MMWR_TRAD_AGG_RO_COMP[],K$1,0),"ERROR")</f>
        <v>1049</v>
      </c>
      <c r="L54" s="226">
        <f>IFERROR(VLOOKUP($B54,MMWR_TRAD_AGG_RO_COMP[],L$1,0),"ERROR")</f>
        <v>894</v>
      </c>
      <c r="M54" s="223">
        <f t="shared" si="2"/>
        <v>0.85224022878932315</v>
      </c>
      <c r="N54" s="225">
        <f>IFERROR(VLOOKUP($B54,MMWR_TRAD_AGG_RO_COMP[],N$1,0),"ERROR")</f>
        <v>4058</v>
      </c>
      <c r="O54" s="226">
        <f>IFERROR(VLOOKUP($B54,MMWR_TRAD_AGG_RO_COMP[],O$1,0),"ERROR")</f>
        <v>3323</v>
      </c>
      <c r="P54" s="223">
        <f t="shared" si="3"/>
        <v>0.81887629374075899</v>
      </c>
      <c r="Q54" s="227">
        <f>IFERROR(VLOOKUP($B54,MMWR_TRAD_AGG_RO_COMP[],Q$1,0),"ERROR")</f>
        <v>5</v>
      </c>
      <c r="R54" s="227">
        <f>IFERROR(VLOOKUP($B54,MMWR_TRAD_AGG_RO_COMP[],R$1,0),"ERROR")</f>
        <v>33</v>
      </c>
      <c r="S54" s="201">
        <f>IFERROR(VLOOKUP($B54,MMWR_APP_RO[],S$1,0),"ERROR")</f>
        <v>4832</v>
      </c>
      <c r="T54" s="28"/>
    </row>
    <row r="55" spans="1:20" x14ac:dyDescent="0.2">
      <c r="A55" s="28"/>
      <c r="B55" s="108" t="s">
        <v>55</v>
      </c>
      <c r="C55" s="219">
        <f>IFERROR(VLOOKUP($B55,MMWR_TRAD_AGG_RO_COMP[],C$1,0),"ERROR")</f>
        <v>623</v>
      </c>
      <c r="D55" s="220">
        <f>IFERROR(VLOOKUP($B55,MMWR_TRAD_AGG_RO_COMP[],D$1,0),"ERROR")</f>
        <v>199.40609951850001</v>
      </c>
      <c r="E55" s="221">
        <f>IFERROR(VLOOKUP($B55,MMWR_TRAD_AGG_RO_COMP[],E$1,0),"ERROR")</f>
        <v>799</v>
      </c>
      <c r="F55" s="222">
        <f>IFERROR(VLOOKUP($B55,MMWR_TRAD_AGG_RO_COMP[],F$1,0),"ERROR")</f>
        <v>212</v>
      </c>
      <c r="G55" s="223">
        <f t="shared" si="0"/>
        <v>0.26533166458072593</v>
      </c>
      <c r="H55" s="224">
        <f>IFERROR(VLOOKUP($B55,MMWR_TRAD_AGG_RO_COMP[],H$1,0),"ERROR")</f>
        <v>791</v>
      </c>
      <c r="I55" s="222">
        <f>IFERROR(VLOOKUP($B55,MMWR_TRAD_AGG_RO_COMP[],I$1,0),"ERROR")</f>
        <v>393</v>
      </c>
      <c r="J55" s="223">
        <f t="shared" si="1"/>
        <v>0.4968394437420986</v>
      </c>
      <c r="K55" s="225">
        <f>IFERROR(VLOOKUP($B55,MMWR_TRAD_AGG_RO_COMP[],K$1,0),"ERROR")</f>
        <v>284</v>
      </c>
      <c r="L55" s="226">
        <f>IFERROR(VLOOKUP($B55,MMWR_TRAD_AGG_RO_COMP[],L$1,0),"ERROR")</f>
        <v>240</v>
      </c>
      <c r="M55" s="223">
        <f t="shared" si="2"/>
        <v>0.84507042253521125</v>
      </c>
      <c r="N55" s="225">
        <f>IFERROR(VLOOKUP($B55,MMWR_TRAD_AGG_RO_COMP[],N$1,0),"ERROR")</f>
        <v>218</v>
      </c>
      <c r="O55" s="226">
        <f>IFERROR(VLOOKUP($B55,MMWR_TRAD_AGG_RO_COMP[],O$1,0),"ERROR")</f>
        <v>157</v>
      </c>
      <c r="P55" s="223">
        <f t="shared" si="3"/>
        <v>0.72018348623853212</v>
      </c>
      <c r="Q55" s="227">
        <f>IFERROR(VLOOKUP($B55,MMWR_TRAD_AGG_RO_COMP[],Q$1,0),"ERROR")</f>
        <v>456</v>
      </c>
      <c r="R55" s="227">
        <f>IFERROR(VLOOKUP($B55,MMWR_TRAD_AGG_RO_COMP[],R$1,0),"ERROR")</f>
        <v>168</v>
      </c>
      <c r="S55" s="201">
        <f>IFERROR(VLOOKUP($B55,MMWR_APP_RO[],S$1,0),"ERROR")</f>
        <v>931</v>
      </c>
      <c r="T55" s="28"/>
    </row>
    <row r="56" spans="1:20" x14ac:dyDescent="0.2">
      <c r="A56" s="28"/>
      <c r="B56" s="108" t="s">
        <v>62</v>
      </c>
      <c r="C56" s="219">
        <f>IFERROR(VLOOKUP($B56,MMWR_TRAD_AGG_RO_COMP[],C$1,0),"ERROR")</f>
        <v>8925</v>
      </c>
      <c r="D56" s="220">
        <f>IFERROR(VLOOKUP($B56,MMWR_TRAD_AGG_RO_COMP[],D$1,0),"ERROR")</f>
        <v>462.85647058820001</v>
      </c>
      <c r="E56" s="221">
        <f>IFERROR(VLOOKUP($B56,MMWR_TRAD_AGG_RO_COMP[],E$1,0),"ERROR")</f>
        <v>11679</v>
      </c>
      <c r="F56" s="222">
        <f>IFERROR(VLOOKUP($B56,MMWR_TRAD_AGG_RO_COMP[],F$1,0),"ERROR")</f>
        <v>2599</v>
      </c>
      <c r="G56" s="223">
        <f t="shared" si="0"/>
        <v>0.22253617604246939</v>
      </c>
      <c r="H56" s="224">
        <f>IFERROR(VLOOKUP($B56,MMWR_TRAD_AGG_RO_COMP[],H$1,0),"ERROR")</f>
        <v>12137</v>
      </c>
      <c r="I56" s="222">
        <f>IFERROR(VLOOKUP($B56,MMWR_TRAD_AGG_RO_COMP[],I$1,0),"ERROR")</f>
        <v>9573</v>
      </c>
      <c r="J56" s="223">
        <f t="shared" si="1"/>
        <v>0.78874515942984258</v>
      </c>
      <c r="K56" s="225">
        <f>IFERROR(VLOOKUP($B56,MMWR_TRAD_AGG_RO_COMP[],K$1,0),"ERROR")</f>
        <v>3833</v>
      </c>
      <c r="L56" s="226">
        <f>IFERROR(VLOOKUP($B56,MMWR_TRAD_AGG_RO_COMP[],L$1,0),"ERROR")</f>
        <v>3497</v>
      </c>
      <c r="M56" s="223">
        <f t="shared" si="2"/>
        <v>0.91234020349595613</v>
      </c>
      <c r="N56" s="225">
        <f>IFERROR(VLOOKUP($B56,MMWR_TRAD_AGG_RO_COMP[],N$1,0),"ERROR")</f>
        <v>2608</v>
      </c>
      <c r="O56" s="226">
        <f>IFERROR(VLOOKUP($B56,MMWR_TRAD_AGG_RO_COMP[],O$1,0),"ERROR")</f>
        <v>2091</v>
      </c>
      <c r="P56" s="223">
        <f t="shared" si="3"/>
        <v>0.80176380368098155</v>
      </c>
      <c r="Q56" s="227">
        <f>IFERROR(VLOOKUP($B56,MMWR_TRAD_AGG_RO_COMP[],Q$1,0),"ERROR")</f>
        <v>0</v>
      </c>
      <c r="R56" s="227">
        <f>IFERROR(VLOOKUP($B56,MMWR_TRAD_AGG_RO_COMP[],R$1,0),"ERROR")</f>
        <v>43</v>
      </c>
      <c r="S56" s="201">
        <f>IFERROR(VLOOKUP($B56,MMWR_APP_RO[],S$1,0),"ERROR")</f>
        <v>8471</v>
      </c>
      <c r="T56" s="28"/>
    </row>
    <row r="57" spans="1:20" x14ac:dyDescent="0.2">
      <c r="A57" s="28"/>
      <c r="B57" s="108" t="s">
        <v>64</v>
      </c>
      <c r="C57" s="219">
        <f>IFERROR(VLOOKUP($B57,MMWR_TRAD_AGG_RO_COMP[],C$1,0),"ERROR")</f>
        <v>3183</v>
      </c>
      <c r="D57" s="220">
        <f>IFERROR(VLOOKUP($B57,MMWR_TRAD_AGG_RO_COMP[],D$1,0),"ERROR")</f>
        <v>238.04712535339999</v>
      </c>
      <c r="E57" s="221">
        <f>IFERROR(VLOOKUP($B57,MMWR_TRAD_AGG_RO_COMP[],E$1,0),"ERROR")</f>
        <v>4127</v>
      </c>
      <c r="F57" s="222">
        <f>IFERROR(VLOOKUP($B57,MMWR_TRAD_AGG_RO_COMP[],F$1,0),"ERROR")</f>
        <v>740</v>
      </c>
      <c r="G57" s="223">
        <f t="shared" si="0"/>
        <v>0.17930700266537436</v>
      </c>
      <c r="H57" s="224">
        <f>IFERROR(VLOOKUP($B57,MMWR_TRAD_AGG_RO_COMP[],H$1,0),"ERROR")</f>
        <v>4101</v>
      </c>
      <c r="I57" s="222">
        <f>IFERROR(VLOOKUP($B57,MMWR_TRAD_AGG_RO_COMP[],I$1,0),"ERROR")</f>
        <v>2051</v>
      </c>
      <c r="J57" s="223">
        <f t="shared" si="1"/>
        <v>0.50012192148256518</v>
      </c>
      <c r="K57" s="225">
        <f>IFERROR(VLOOKUP($B57,MMWR_TRAD_AGG_RO_COMP[],K$1,0),"ERROR")</f>
        <v>865</v>
      </c>
      <c r="L57" s="226">
        <f>IFERROR(VLOOKUP($B57,MMWR_TRAD_AGG_RO_COMP[],L$1,0),"ERROR")</f>
        <v>607</v>
      </c>
      <c r="M57" s="223">
        <f t="shared" si="2"/>
        <v>0.70173410404624281</v>
      </c>
      <c r="N57" s="225">
        <f>IFERROR(VLOOKUP($B57,MMWR_TRAD_AGG_RO_COMP[],N$1,0),"ERROR")</f>
        <v>1317</v>
      </c>
      <c r="O57" s="226">
        <f>IFERROR(VLOOKUP($B57,MMWR_TRAD_AGG_RO_COMP[],O$1,0),"ERROR")</f>
        <v>687</v>
      </c>
      <c r="P57" s="223">
        <f t="shared" si="3"/>
        <v>0.52164009111617315</v>
      </c>
      <c r="Q57" s="227">
        <f>IFERROR(VLOOKUP($B57,MMWR_TRAD_AGG_RO_COMP[],Q$1,0),"ERROR")</f>
        <v>0</v>
      </c>
      <c r="R57" s="227">
        <f>IFERROR(VLOOKUP($B57,MMWR_TRAD_AGG_RO_COMP[],R$1,0),"ERROR")</f>
        <v>73</v>
      </c>
      <c r="S57" s="201">
        <f>IFERROR(VLOOKUP($B57,MMWR_APP_RO[],S$1,0),"ERROR")</f>
        <v>6912</v>
      </c>
      <c r="T57" s="28"/>
    </row>
    <row r="58" spans="1:20" x14ac:dyDescent="0.2">
      <c r="A58" s="28"/>
      <c r="B58" s="108" t="s">
        <v>66</v>
      </c>
      <c r="C58" s="219">
        <f>IFERROR(VLOOKUP($B58,MMWR_TRAD_AGG_RO_COMP[],C$1,0),"ERROR")</f>
        <v>5797</v>
      </c>
      <c r="D58" s="220">
        <f>IFERROR(VLOOKUP($B58,MMWR_TRAD_AGG_RO_COMP[],D$1,0),"ERROR")</f>
        <v>471.9285837502</v>
      </c>
      <c r="E58" s="221">
        <f>IFERROR(VLOOKUP($B58,MMWR_TRAD_AGG_RO_COMP[],E$1,0),"ERROR")</f>
        <v>4588</v>
      </c>
      <c r="F58" s="222">
        <f>IFERROR(VLOOKUP($B58,MMWR_TRAD_AGG_RO_COMP[],F$1,0),"ERROR")</f>
        <v>886</v>
      </c>
      <c r="G58" s="223">
        <f t="shared" si="0"/>
        <v>0.19311246730601569</v>
      </c>
      <c r="H58" s="224">
        <f>IFERROR(VLOOKUP($B58,MMWR_TRAD_AGG_RO_COMP[],H$1,0),"ERROR")</f>
        <v>7305</v>
      </c>
      <c r="I58" s="222">
        <f>IFERROR(VLOOKUP($B58,MMWR_TRAD_AGG_RO_COMP[],I$1,0),"ERROR")</f>
        <v>5386</v>
      </c>
      <c r="J58" s="223">
        <f t="shared" si="1"/>
        <v>0.73730321697467494</v>
      </c>
      <c r="K58" s="225">
        <f>IFERROR(VLOOKUP($B58,MMWR_TRAD_AGG_RO_COMP[],K$1,0),"ERROR")</f>
        <v>2924</v>
      </c>
      <c r="L58" s="226">
        <f>IFERROR(VLOOKUP($B58,MMWR_TRAD_AGG_RO_COMP[],L$1,0),"ERROR")</f>
        <v>2708</v>
      </c>
      <c r="M58" s="223">
        <f t="shared" si="2"/>
        <v>0.9261285909712722</v>
      </c>
      <c r="N58" s="225">
        <f>IFERROR(VLOOKUP($B58,MMWR_TRAD_AGG_RO_COMP[],N$1,0),"ERROR")</f>
        <v>2139</v>
      </c>
      <c r="O58" s="226">
        <f>IFERROR(VLOOKUP($B58,MMWR_TRAD_AGG_RO_COMP[],O$1,0),"ERROR")</f>
        <v>1488</v>
      </c>
      <c r="P58" s="223">
        <f t="shared" si="3"/>
        <v>0.69565217391304346</v>
      </c>
      <c r="Q58" s="227">
        <f>IFERROR(VLOOKUP($B58,MMWR_TRAD_AGG_RO_COMP[],Q$1,0),"ERROR")</f>
        <v>0</v>
      </c>
      <c r="R58" s="227">
        <f>IFERROR(VLOOKUP($B58,MMWR_TRAD_AGG_RO_COMP[],R$1,0),"ERROR")</f>
        <v>93</v>
      </c>
      <c r="S58" s="201">
        <f>IFERROR(VLOOKUP($B58,MMWR_APP_RO[],S$1,0),"ERROR")</f>
        <v>4970</v>
      </c>
      <c r="T58" s="28"/>
    </row>
    <row r="59" spans="1:20" x14ac:dyDescent="0.2">
      <c r="A59" s="28"/>
      <c r="B59" s="108" t="s">
        <v>68</v>
      </c>
      <c r="C59" s="219">
        <f>IFERROR(VLOOKUP($B59,MMWR_TRAD_AGG_RO_COMP[],C$1,0),"ERROR")</f>
        <v>2803</v>
      </c>
      <c r="D59" s="220">
        <f>IFERROR(VLOOKUP($B59,MMWR_TRAD_AGG_RO_COMP[],D$1,0),"ERROR")</f>
        <v>446.4719942918</v>
      </c>
      <c r="E59" s="221">
        <f>IFERROR(VLOOKUP($B59,MMWR_TRAD_AGG_RO_COMP[],E$1,0),"ERROR")</f>
        <v>3812</v>
      </c>
      <c r="F59" s="222">
        <f>IFERROR(VLOOKUP($B59,MMWR_TRAD_AGG_RO_COMP[],F$1,0),"ERROR")</f>
        <v>976</v>
      </c>
      <c r="G59" s="223">
        <f t="shared" si="0"/>
        <v>0.25603357817418676</v>
      </c>
      <c r="H59" s="224">
        <f>IFERROR(VLOOKUP($B59,MMWR_TRAD_AGG_RO_COMP[],H$1,0),"ERROR")</f>
        <v>3595</v>
      </c>
      <c r="I59" s="222">
        <f>IFERROR(VLOOKUP($B59,MMWR_TRAD_AGG_RO_COMP[],I$1,0),"ERROR")</f>
        <v>2536</v>
      </c>
      <c r="J59" s="223">
        <f t="shared" si="1"/>
        <v>0.7054242002781641</v>
      </c>
      <c r="K59" s="225">
        <f>IFERROR(VLOOKUP($B59,MMWR_TRAD_AGG_RO_COMP[],K$1,0),"ERROR")</f>
        <v>653</v>
      </c>
      <c r="L59" s="226">
        <f>IFERROR(VLOOKUP($B59,MMWR_TRAD_AGG_RO_COMP[],L$1,0),"ERROR")</f>
        <v>526</v>
      </c>
      <c r="M59" s="223">
        <f t="shared" si="2"/>
        <v>0.80551301684532928</v>
      </c>
      <c r="N59" s="225">
        <f>IFERROR(VLOOKUP($B59,MMWR_TRAD_AGG_RO_COMP[],N$1,0),"ERROR")</f>
        <v>1217</v>
      </c>
      <c r="O59" s="226">
        <f>IFERROR(VLOOKUP($B59,MMWR_TRAD_AGG_RO_COMP[],O$1,0),"ERROR")</f>
        <v>981</v>
      </c>
      <c r="P59" s="223">
        <f t="shared" si="3"/>
        <v>0.80608052588331969</v>
      </c>
      <c r="Q59" s="227">
        <f>IFERROR(VLOOKUP($B59,MMWR_TRAD_AGG_RO_COMP[],Q$1,0),"ERROR")</f>
        <v>0</v>
      </c>
      <c r="R59" s="227">
        <f>IFERROR(VLOOKUP($B59,MMWR_TRAD_AGG_RO_COMP[],R$1,0),"ERROR")</f>
        <v>125</v>
      </c>
      <c r="S59" s="201">
        <f>IFERROR(VLOOKUP($B59,MMWR_APP_RO[],S$1,0),"ERROR")</f>
        <v>3081</v>
      </c>
      <c r="T59" s="28"/>
    </row>
    <row r="60" spans="1:20" x14ac:dyDescent="0.2">
      <c r="A60" s="28"/>
      <c r="B60" s="108" t="s">
        <v>71</v>
      </c>
      <c r="C60" s="219">
        <f>IFERROR(VLOOKUP($B60,MMWR_TRAD_AGG_RO_COMP[],C$1,0),"ERROR")</f>
        <v>5389</v>
      </c>
      <c r="D60" s="220">
        <f>IFERROR(VLOOKUP($B60,MMWR_TRAD_AGG_RO_COMP[],D$1,0),"ERROR")</f>
        <v>347.6715531639</v>
      </c>
      <c r="E60" s="221">
        <f>IFERROR(VLOOKUP($B60,MMWR_TRAD_AGG_RO_COMP[],E$1,0),"ERROR")</f>
        <v>10982</v>
      </c>
      <c r="F60" s="222">
        <f>IFERROR(VLOOKUP($B60,MMWR_TRAD_AGG_RO_COMP[],F$1,0),"ERROR")</f>
        <v>1890</v>
      </c>
      <c r="G60" s="223">
        <f t="shared" si="0"/>
        <v>0.17209979967219086</v>
      </c>
      <c r="H60" s="224">
        <f>IFERROR(VLOOKUP($B60,MMWR_TRAD_AGG_RO_COMP[],H$1,0),"ERROR")</f>
        <v>15309</v>
      </c>
      <c r="I60" s="222">
        <f>IFERROR(VLOOKUP($B60,MMWR_TRAD_AGG_RO_COMP[],I$1,0),"ERROR")</f>
        <v>10469</v>
      </c>
      <c r="J60" s="223">
        <f t="shared" si="1"/>
        <v>0.68384610359919007</v>
      </c>
      <c r="K60" s="225">
        <f>IFERROR(VLOOKUP($B60,MMWR_TRAD_AGG_RO_COMP[],K$1,0),"ERROR")</f>
        <v>6320</v>
      </c>
      <c r="L60" s="226">
        <f>IFERROR(VLOOKUP($B60,MMWR_TRAD_AGG_RO_COMP[],L$1,0),"ERROR")</f>
        <v>4415</v>
      </c>
      <c r="M60" s="223">
        <f t="shared" si="2"/>
        <v>0.69857594936708856</v>
      </c>
      <c r="N60" s="225">
        <f>IFERROR(VLOOKUP($B60,MMWR_TRAD_AGG_RO_COMP[],N$1,0),"ERROR")</f>
        <v>2416</v>
      </c>
      <c r="O60" s="226">
        <f>IFERROR(VLOOKUP($B60,MMWR_TRAD_AGG_RO_COMP[],O$1,0),"ERROR")</f>
        <v>1741</v>
      </c>
      <c r="P60" s="223">
        <f t="shared" si="3"/>
        <v>0.7206125827814569</v>
      </c>
      <c r="Q60" s="227">
        <f>IFERROR(VLOOKUP($B60,MMWR_TRAD_AGG_RO_COMP[],Q$1,0),"ERROR")</f>
        <v>0</v>
      </c>
      <c r="R60" s="227">
        <f>IFERROR(VLOOKUP($B60,MMWR_TRAD_AGG_RO_COMP[],R$1,0),"ERROR")</f>
        <v>60</v>
      </c>
      <c r="S60" s="201">
        <f>IFERROR(VLOOKUP($B60,MMWR_APP_RO[],S$1,0),"ERROR")</f>
        <v>4002</v>
      </c>
      <c r="T60" s="28"/>
    </row>
    <row r="61" spans="1:20" x14ac:dyDescent="0.2">
      <c r="A61" s="28"/>
      <c r="B61" s="116" t="s">
        <v>73</v>
      </c>
      <c r="C61" s="228">
        <f>IFERROR(VLOOKUP($B61,MMWR_TRAD_AGG_RO_COMP[],C$1,0),"ERROR")</f>
        <v>9953</v>
      </c>
      <c r="D61" s="229">
        <f>IFERROR(VLOOKUP($B61,MMWR_TRAD_AGG_RO_COMP[],D$1,0),"ERROR")</f>
        <v>391.88676780869997</v>
      </c>
      <c r="E61" s="230">
        <f>IFERROR(VLOOKUP($B61,MMWR_TRAD_AGG_RO_COMP[],E$1,0),"ERROR")</f>
        <v>7487</v>
      </c>
      <c r="F61" s="231">
        <f>IFERROR(VLOOKUP($B61,MMWR_TRAD_AGG_RO_COMP[],F$1,0),"ERROR")</f>
        <v>1168</v>
      </c>
      <c r="G61" s="232">
        <f t="shared" si="0"/>
        <v>0.15600373981568053</v>
      </c>
      <c r="H61" s="233">
        <f>IFERROR(VLOOKUP($B61,MMWR_TRAD_AGG_RO_COMP[],H$1,0),"ERROR")</f>
        <v>14770</v>
      </c>
      <c r="I61" s="231">
        <f>IFERROR(VLOOKUP($B61,MMWR_TRAD_AGG_RO_COMP[],I$1,0),"ERROR")</f>
        <v>10179</v>
      </c>
      <c r="J61" s="232">
        <f t="shared" si="1"/>
        <v>0.68916723087339204</v>
      </c>
      <c r="K61" s="234">
        <f>IFERROR(VLOOKUP($B61,MMWR_TRAD_AGG_RO_COMP[],K$1,0),"ERROR")</f>
        <v>4164</v>
      </c>
      <c r="L61" s="235">
        <f>IFERROR(VLOOKUP($B61,MMWR_TRAD_AGG_RO_COMP[],L$1,0),"ERROR")</f>
        <v>3022</v>
      </c>
      <c r="M61" s="232">
        <f t="shared" si="2"/>
        <v>0.72574447646493756</v>
      </c>
      <c r="N61" s="234">
        <f>IFERROR(VLOOKUP($B61,MMWR_TRAD_AGG_RO_COMP[],N$1,0),"ERROR")</f>
        <v>4240</v>
      </c>
      <c r="O61" s="235">
        <f>IFERROR(VLOOKUP($B61,MMWR_TRAD_AGG_RO_COMP[],O$1,0),"ERROR")</f>
        <v>3465</v>
      </c>
      <c r="P61" s="232">
        <f t="shared" si="3"/>
        <v>0.81721698113207553</v>
      </c>
      <c r="Q61" s="236">
        <f>IFERROR(VLOOKUP($B61,MMWR_TRAD_AGG_RO_COMP[],Q$1,0),"ERROR")</f>
        <v>5</v>
      </c>
      <c r="R61" s="236">
        <f>IFERROR(VLOOKUP($B61,MMWR_TRAD_AGG_RO_COMP[],R$1,0),"ERROR")</f>
        <v>152</v>
      </c>
      <c r="S61" s="201">
        <f>IFERROR(VLOOKUP($B61,MMWR_APP_RO[],S$1,0),"ERROR")</f>
        <v>4736</v>
      </c>
      <c r="T61" s="28"/>
    </row>
    <row r="62" spans="1:20" x14ac:dyDescent="0.2">
      <c r="A62" s="28"/>
      <c r="B62" s="101" t="s">
        <v>380</v>
      </c>
      <c r="C62" s="212">
        <f>IFERROR(VLOOKUP($B62,MMWR_TRAD_AGG_DISTRICT_COMP[],C$1,0),"ERROR")</f>
        <v>58940</v>
      </c>
      <c r="D62" s="197">
        <f>IFERROR(VLOOKUP($B62,MMWR_TRAD_AGG_DISTRICT_COMP[],D$1,0),"ERROR")</f>
        <v>360.89060061079999</v>
      </c>
      <c r="E62" s="213">
        <f>IFERROR(VLOOKUP($B62,MMWR_TRAD_AGG_DISTRICT_COMP[],E$1,0),"ERROR")</f>
        <v>71413</v>
      </c>
      <c r="F62" s="218">
        <f>IFERROR(VLOOKUP($B62,MMWR_TRAD_AGG_DISTRICT_COMP[],F$1,0),"ERROR")</f>
        <v>17295</v>
      </c>
      <c r="G62" s="214">
        <f t="shared" si="0"/>
        <v>0.2421827958494952</v>
      </c>
      <c r="H62" s="218">
        <f>IFERROR(VLOOKUP($B62,MMWR_TRAD_AGG_DISTRICT_COMP[],H$1,0),"ERROR")</f>
        <v>80348</v>
      </c>
      <c r="I62" s="218">
        <f>IFERROR(VLOOKUP($B62,MMWR_TRAD_AGG_DISTRICT_COMP[],I$1,0),"ERROR")</f>
        <v>54625</v>
      </c>
      <c r="J62" s="214">
        <f t="shared" si="1"/>
        <v>0.67985513018370092</v>
      </c>
      <c r="K62" s="212">
        <f>IFERROR(VLOOKUP($B62,MMWR_TRAD_AGG_DISTRICT_COMP[],K$1,0),"ERROR")</f>
        <v>26456</v>
      </c>
      <c r="L62" s="212">
        <f>IFERROR(VLOOKUP($B62,MMWR_TRAD_AGG_DISTRICT_COMP[],L$1,0),"ERROR")</f>
        <v>22034</v>
      </c>
      <c r="M62" s="214">
        <f t="shared" si="2"/>
        <v>0.83285455095252492</v>
      </c>
      <c r="N62" s="212">
        <f>IFERROR(VLOOKUP($B62,MMWR_TRAD_AGG_DISTRICT_COMP[],N$1,0),"ERROR")</f>
        <v>30253</v>
      </c>
      <c r="O62" s="212">
        <f>IFERROR(VLOOKUP($B62,MMWR_TRAD_AGG_DISTRICT_COMP[],O$1,0),"ERROR")</f>
        <v>23432</v>
      </c>
      <c r="P62" s="214">
        <f t="shared" si="3"/>
        <v>0.77453475688361484</v>
      </c>
      <c r="Q62" s="212">
        <f>IFERROR(VLOOKUP($B62,MMWR_TRAD_AGG_DISTRICT_COMP[],Q$1,0),"ERROR")</f>
        <v>165</v>
      </c>
      <c r="R62" s="215">
        <f>IFERROR(VLOOKUP($B62,MMWR_TRAD_AGG_DISTRICT_COMP[],R$1,0),"ERROR")</f>
        <v>1345</v>
      </c>
      <c r="S62" s="215">
        <f>IFERROR(VLOOKUP($B62,MMWR_APP_RO[],S$1,0),"ERROR")</f>
        <v>87039</v>
      </c>
      <c r="T62" s="28"/>
    </row>
    <row r="63" spans="1:20" x14ac:dyDescent="0.2">
      <c r="A63" s="28"/>
      <c r="B63" s="108" t="s">
        <v>25</v>
      </c>
      <c r="C63" s="219">
        <f>IFERROR(VLOOKUP($B63,MMWR_TRAD_AGG_RO_COMP[],C$1,0),"ERROR")</f>
        <v>11771</v>
      </c>
      <c r="D63" s="220">
        <f>IFERROR(VLOOKUP($B63,MMWR_TRAD_AGG_RO_COMP[],D$1,0),"ERROR")</f>
        <v>369.98377368109999</v>
      </c>
      <c r="E63" s="221">
        <f>IFERROR(VLOOKUP($B63,MMWR_TRAD_AGG_RO_COMP[],E$1,0),"ERROR")</f>
        <v>17437</v>
      </c>
      <c r="F63" s="222">
        <f>IFERROR(VLOOKUP($B63,MMWR_TRAD_AGG_RO_COMP[],F$1,0),"ERROR")</f>
        <v>4778</v>
      </c>
      <c r="G63" s="223">
        <f t="shared" si="0"/>
        <v>0.27401502552044504</v>
      </c>
      <c r="H63" s="224">
        <f>IFERROR(VLOOKUP($B63,MMWR_TRAD_AGG_RO_COMP[],H$1,0),"ERROR")</f>
        <v>17323</v>
      </c>
      <c r="I63" s="222">
        <f>IFERROR(VLOOKUP($B63,MMWR_TRAD_AGG_RO_COMP[],I$1,0),"ERROR")</f>
        <v>12098</v>
      </c>
      <c r="J63" s="223">
        <f t="shared" si="1"/>
        <v>0.69837787912024474</v>
      </c>
      <c r="K63" s="225">
        <f>IFERROR(VLOOKUP($B63,MMWR_TRAD_AGG_RO_COMP[],K$1,0),"ERROR")</f>
        <v>7577</v>
      </c>
      <c r="L63" s="226">
        <f>IFERROR(VLOOKUP($B63,MMWR_TRAD_AGG_RO_COMP[],L$1,0),"ERROR")</f>
        <v>5969</v>
      </c>
      <c r="M63" s="223">
        <f t="shared" si="2"/>
        <v>0.7877788042760987</v>
      </c>
      <c r="N63" s="225">
        <f>IFERROR(VLOOKUP($B63,MMWR_TRAD_AGG_RO_COMP[],N$1,0),"ERROR")</f>
        <v>10317</v>
      </c>
      <c r="O63" s="226">
        <f>IFERROR(VLOOKUP($B63,MMWR_TRAD_AGG_RO_COMP[],O$1,0),"ERROR")</f>
        <v>9286</v>
      </c>
      <c r="P63" s="223">
        <f t="shared" si="3"/>
        <v>0.9000678491809635</v>
      </c>
      <c r="Q63" s="227">
        <f>IFERROR(VLOOKUP($B63,MMWR_TRAD_AGG_RO_COMP[],Q$1,0),"ERROR")</f>
        <v>72</v>
      </c>
      <c r="R63" s="227">
        <f>IFERROR(VLOOKUP($B63,MMWR_TRAD_AGG_RO_COMP[],R$1,0),"ERROR")</f>
        <v>17</v>
      </c>
      <c r="S63" s="201">
        <f>IFERROR(VLOOKUP($B63,MMWR_APP_RO[],S$1,0),"ERROR")</f>
        <v>18107</v>
      </c>
      <c r="T63" s="28"/>
    </row>
    <row r="64" spans="1:20" x14ac:dyDescent="0.2">
      <c r="A64" s="28"/>
      <c r="B64" s="108" t="s">
        <v>39</v>
      </c>
      <c r="C64" s="219">
        <f>IFERROR(VLOOKUP($B64,MMWR_TRAD_AGG_RO_COMP[],C$1,0),"ERROR")</f>
        <v>8533</v>
      </c>
      <c r="D64" s="220">
        <f>IFERROR(VLOOKUP($B64,MMWR_TRAD_AGG_RO_COMP[],D$1,0),"ERROR")</f>
        <v>294.8376889722</v>
      </c>
      <c r="E64" s="221">
        <f>IFERROR(VLOOKUP($B64,MMWR_TRAD_AGG_RO_COMP[],E$1,0),"ERROR")</f>
        <v>9171</v>
      </c>
      <c r="F64" s="222">
        <f>IFERROR(VLOOKUP($B64,MMWR_TRAD_AGG_RO_COMP[],F$1,0),"ERROR")</f>
        <v>2505</v>
      </c>
      <c r="G64" s="223">
        <f t="shared" si="0"/>
        <v>0.27314360484134775</v>
      </c>
      <c r="H64" s="224">
        <f>IFERROR(VLOOKUP($B64,MMWR_TRAD_AGG_RO_COMP[],H$1,0),"ERROR")</f>
        <v>12314</v>
      </c>
      <c r="I64" s="222">
        <f>IFERROR(VLOOKUP($B64,MMWR_TRAD_AGG_RO_COMP[],I$1,0),"ERROR")</f>
        <v>8263</v>
      </c>
      <c r="J64" s="223">
        <f t="shared" si="1"/>
        <v>0.67102484976449572</v>
      </c>
      <c r="K64" s="225">
        <f>IFERROR(VLOOKUP($B64,MMWR_TRAD_AGG_RO_COMP[],K$1,0),"ERROR")</f>
        <v>2741</v>
      </c>
      <c r="L64" s="226">
        <f>IFERROR(VLOOKUP($B64,MMWR_TRAD_AGG_RO_COMP[],L$1,0),"ERROR")</f>
        <v>2151</v>
      </c>
      <c r="M64" s="223">
        <f t="shared" si="2"/>
        <v>0.78475009120758843</v>
      </c>
      <c r="N64" s="225">
        <f>IFERROR(VLOOKUP($B64,MMWR_TRAD_AGG_RO_COMP[],N$1,0),"ERROR")</f>
        <v>1503</v>
      </c>
      <c r="O64" s="226">
        <f>IFERROR(VLOOKUP($B64,MMWR_TRAD_AGG_RO_COMP[],O$1,0),"ERROR")</f>
        <v>968</v>
      </c>
      <c r="P64" s="223">
        <f t="shared" si="3"/>
        <v>0.64404524284763809</v>
      </c>
      <c r="Q64" s="227">
        <f>IFERROR(VLOOKUP($B64,MMWR_TRAD_AGG_RO_COMP[],Q$1,0),"ERROR")</f>
        <v>0</v>
      </c>
      <c r="R64" s="227">
        <f>IFERROR(VLOOKUP($B64,MMWR_TRAD_AGG_RO_COMP[],R$1,0),"ERROR")</f>
        <v>55</v>
      </c>
      <c r="S64" s="201">
        <f>IFERROR(VLOOKUP($B64,MMWR_APP_RO[],S$1,0),"ERROR")</f>
        <v>13060</v>
      </c>
      <c r="T64" s="28"/>
    </row>
    <row r="65" spans="1:20" x14ac:dyDescent="0.2">
      <c r="A65" s="28"/>
      <c r="B65" s="108" t="s">
        <v>53</v>
      </c>
      <c r="C65" s="219">
        <f>IFERROR(VLOOKUP($B65,MMWR_TRAD_AGG_RO_COMP[],C$1,0),"ERROR")</f>
        <v>7755</v>
      </c>
      <c r="D65" s="220">
        <f>IFERROR(VLOOKUP($B65,MMWR_TRAD_AGG_RO_COMP[],D$1,0),"ERROR")</f>
        <v>511.14364925849998</v>
      </c>
      <c r="E65" s="221">
        <f>IFERROR(VLOOKUP($B65,MMWR_TRAD_AGG_RO_COMP[],E$1,0),"ERROR")</f>
        <v>4086</v>
      </c>
      <c r="F65" s="222">
        <f>IFERROR(VLOOKUP($B65,MMWR_TRAD_AGG_RO_COMP[],F$1,0),"ERROR")</f>
        <v>877</v>
      </c>
      <c r="G65" s="223">
        <f t="shared" si="0"/>
        <v>0.21463534018600097</v>
      </c>
      <c r="H65" s="224">
        <f>IFERROR(VLOOKUP($B65,MMWR_TRAD_AGG_RO_COMP[],H$1,0),"ERROR")</f>
        <v>10474</v>
      </c>
      <c r="I65" s="222">
        <f>IFERROR(VLOOKUP($B65,MMWR_TRAD_AGG_RO_COMP[],I$1,0),"ERROR")</f>
        <v>8089</v>
      </c>
      <c r="J65" s="223">
        <f t="shared" si="1"/>
        <v>0.77229329768951693</v>
      </c>
      <c r="K65" s="225">
        <f>IFERROR(VLOOKUP($B65,MMWR_TRAD_AGG_RO_COMP[],K$1,0),"ERROR")</f>
        <v>3233</v>
      </c>
      <c r="L65" s="226">
        <f>IFERROR(VLOOKUP($B65,MMWR_TRAD_AGG_RO_COMP[],L$1,0),"ERROR")</f>
        <v>3035</v>
      </c>
      <c r="M65" s="223">
        <f t="shared" si="2"/>
        <v>0.93875657284256109</v>
      </c>
      <c r="N65" s="225">
        <f>IFERROR(VLOOKUP($B65,MMWR_TRAD_AGG_RO_COMP[],N$1,0),"ERROR")</f>
        <v>1545</v>
      </c>
      <c r="O65" s="226">
        <f>IFERROR(VLOOKUP($B65,MMWR_TRAD_AGG_RO_COMP[],O$1,0),"ERROR")</f>
        <v>985</v>
      </c>
      <c r="P65" s="223">
        <f t="shared" si="3"/>
        <v>0.63754045307443363</v>
      </c>
      <c r="Q65" s="227">
        <f>IFERROR(VLOOKUP($B65,MMWR_TRAD_AGG_RO_COMP[],Q$1,0),"ERROR")</f>
        <v>86</v>
      </c>
      <c r="R65" s="227">
        <f>IFERROR(VLOOKUP($B65,MMWR_TRAD_AGG_RO_COMP[],R$1,0),"ERROR")</f>
        <v>299</v>
      </c>
      <c r="S65" s="201">
        <f>IFERROR(VLOOKUP($B65,MMWR_APP_RO[],S$1,0),"ERROR")</f>
        <v>4549</v>
      </c>
      <c r="T65" s="28"/>
    </row>
    <row r="66" spans="1:20" x14ac:dyDescent="0.2">
      <c r="A66" s="28"/>
      <c r="B66" s="108" t="s">
        <v>57</v>
      </c>
      <c r="C66" s="219">
        <f>IFERROR(VLOOKUP($B66,MMWR_TRAD_AGG_RO_COMP[],C$1,0),"ERROR")</f>
        <v>11013</v>
      </c>
      <c r="D66" s="220">
        <f>IFERROR(VLOOKUP($B66,MMWR_TRAD_AGG_RO_COMP[],D$1,0),"ERROR")</f>
        <v>368.06819213659998</v>
      </c>
      <c r="E66" s="221">
        <f>IFERROR(VLOOKUP($B66,MMWR_TRAD_AGG_RO_COMP[],E$1,0),"ERROR")</f>
        <v>7444</v>
      </c>
      <c r="F66" s="222">
        <f>IFERROR(VLOOKUP($B66,MMWR_TRAD_AGG_RO_COMP[],F$1,0),"ERROR")</f>
        <v>1851</v>
      </c>
      <c r="G66" s="223">
        <f t="shared" si="0"/>
        <v>0.24865663621708758</v>
      </c>
      <c r="H66" s="224">
        <f>IFERROR(VLOOKUP($B66,MMWR_TRAD_AGG_RO_COMP[],H$1,0),"ERROR")</f>
        <v>13116</v>
      </c>
      <c r="I66" s="222">
        <f>IFERROR(VLOOKUP($B66,MMWR_TRAD_AGG_RO_COMP[],I$1,0),"ERROR")</f>
        <v>9311</v>
      </c>
      <c r="J66" s="223">
        <f t="shared" si="1"/>
        <v>0.70989630985056418</v>
      </c>
      <c r="K66" s="225">
        <f>IFERROR(VLOOKUP($B66,MMWR_TRAD_AGG_RO_COMP[],K$1,0),"ERROR")</f>
        <v>4243</v>
      </c>
      <c r="L66" s="226">
        <f>IFERROR(VLOOKUP($B66,MMWR_TRAD_AGG_RO_COMP[],L$1,0),"ERROR")</f>
        <v>3878</v>
      </c>
      <c r="M66" s="223">
        <f t="shared" si="2"/>
        <v>0.91397596040537354</v>
      </c>
      <c r="N66" s="225">
        <f>IFERROR(VLOOKUP($B66,MMWR_TRAD_AGG_RO_COMP[],N$1,0),"ERROR")</f>
        <v>1288</v>
      </c>
      <c r="O66" s="226">
        <f>IFERROR(VLOOKUP($B66,MMWR_TRAD_AGG_RO_COMP[],O$1,0),"ERROR")</f>
        <v>584</v>
      </c>
      <c r="P66" s="223">
        <f t="shared" si="3"/>
        <v>0.453416149068323</v>
      </c>
      <c r="Q66" s="227">
        <f>IFERROR(VLOOKUP($B66,MMWR_TRAD_AGG_RO_COMP[],Q$1,0),"ERROR")</f>
        <v>0</v>
      </c>
      <c r="R66" s="227">
        <f>IFERROR(VLOOKUP($B66,MMWR_TRAD_AGG_RO_COMP[],R$1,0),"ERROR")</f>
        <v>408</v>
      </c>
      <c r="S66" s="201">
        <f>IFERROR(VLOOKUP($B66,MMWR_APP_RO[],S$1,0),"ERROR")</f>
        <v>9567</v>
      </c>
      <c r="T66" s="28"/>
    </row>
    <row r="67" spans="1:20" x14ac:dyDescent="0.2">
      <c r="A67" s="28"/>
      <c r="B67" s="108" t="s">
        <v>58</v>
      </c>
      <c r="C67" s="219">
        <f>IFERROR(VLOOKUP($B67,MMWR_TRAD_AGG_RO_COMP[],C$1,0),"ERROR")</f>
        <v>3045</v>
      </c>
      <c r="D67" s="220">
        <f>IFERROR(VLOOKUP($B67,MMWR_TRAD_AGG_RO_COMP[],D$1,0),"ERROR")</f>
        <v>285.48341543510003</v>
      </c>
      <c r="E67" s="221">
        <f>IFERROR(VLOOKUP($B67,MMWR_TRAD_AGG_RO_COMP[],E$1,0),"ERROR")</f>
        <v>8740</v>
      </c>
      <c r="F67" s="222">
        <f>IFERROR(VLOOKUP($B67,MMWR_TRAD_AGG_RO_COMP[],F$1,0),"ERROR")</f>
        <v>1562</v>
      </c>
      <c r="G67" s="223">
        <f t="shared" si="0"/>
        <v>0.17871853546910754</v>
      </c>
      <c r="H67" s="224">
        <f>IFERROR(VLOOKUP($B67,MMWR_TRAD_AGG_RO_COMP[],H$1,0),"ERROR")</f>
        <v>5893</v>
      </c>
      <c r="I67" s="222">
        <f>IFERROR(VLOOKUP($B67,MMWR_TRAD_AGG_RO_COMP[],I$1,0),"ERROR")</f>
        <v>2790</v>
      </c>
      <c r="J67" s="223">
        <f t="shared" si="1"/>
        <v>0.47344306804683522</v>
      </c>
      <c r="K67" s="225">
        <f>IFERROR(VLOOKUP($B67,MMWR_TRAD_AGG_RO_COMP[],K$1,0),"ERROR")</f>
        <v>2913</v>
      </c>
      <c r="L67" s="226">
        <f>IFERROR(VLOOKUP($B67,MMWR_TRAD_AGG_RO_COMP[],L$1,0),"ERROR")</f>
        <v>2336</v>
      </c>
      <c r="M67" s="223">
        <f t="shared" si="2"/>
        <v>0.80192241675248888</v>
      </c>
      <c r="N67" s="225">
        <f>IFERROR(VLOOKUP($B67,MMWR_TRAD_AGG_RO_COMP[],N$1,0),"ERROR")</f>
        <v>1528</v>
      </c>
      <c r="O67" s="226">
        <f>IFERROR(VLOOKUP($B67,MMWR_TRAD_AGG_RO_COMP[],O$1,0),"ERROR")</f>
        <v>1143</v>
      </c>
      <c r="P67" s="223">
        <f t="shared" si="3"/>
        <v>0.74803664921465973</v>
      </c>
      <c r="Q67" s="227">
        <f>IFERROR(VLOOKUP($B67,MMWR_TRAD_AGG_RO_COMP[],Q$1,0),"ERROR")</f>
        <v>0</v>
      </c>
      <c r="R67" s="227">
        <f>IFERROR(VLOOKUP($B67,MMWR_TRAD_AGG_RO_COMP[],R$1,0),"ERROR")</f>
        <v>277</v>
      </c>
      <c r="S67" s="201">
        <f>IFERROR(VLOOKUP($B67,MMWR_APP_RO[],S$1,0),"ERROR")</f>
        <v>6837</v>
      </c>
      <c r="T67" s="28"/>
    </row>
    <row r="68" spans="1:20" x14ac:dyDescent="0.2">
      <c r="A68" s="28"/>
      <c r="B68" s="108" t="s">
        <v>72</v>
      </c>
      <c r="C68" s="219">
        <f>IFERROR(VLOOKUP($B68,MMWR_TRAD_AGG_RO_COMP[],C$1,0),"ERROR")</f>
        <v>851</v>
      </c>
      <c r="D68" s="220">
        <f>IFERROR(VLOOKUP($B68,MMWR_TRAD_AGG_RO_COMP[],D$1,0),"ERROR")</f>
        <v>264.7743830787</v>
      </c>
      <c r="E68" s="221">
        <f>IFERROR(VLOOKUP($B68,MMWR_TRAD_AGG_RO_COMP[],E$1,0),"ERROR")</f>
        <v>1965</v>
      </c>
      <c r="F68" s="222">
        <f>IFERROR(VLOOKUP($B68,MMWR_TRAD_AGG_RO_COMP[],F$1,0),"ERROR")</f>
        <v>520</v>
      </c>
      <c r="G68" s="223">
        <f t="shared" si="0"/>
        <v>0.26463104325699743</v>
      </c>
      <c r="H68" s="224">
        <f>IFERROR(VLOOKUP($B68,MMWR_TRAD_AGG_RO_COMP[],H$1,0),"ERROR")</f>
        <v>1927</v>
      </c>
      <c r="I68" s="222">
        <f>IFERROR(VLOOKUP($B68,MMWR_TRAD_AGG_RO_COMP[],I$1,0),"ERROR")</f>
        <v>1249</v>
      </c>
      <c r="J68" s="223">
        <f t="shared" si="1"/>
        <v>0.64815775817332644</v>
      </c>
      <c r="K68" s="225">
        <f>IFERROR(VLOOKUP($B68,MMWR_TRAD_AGG_RO_COMP[],K$1,0),"ERROR")</f>
        <v>868</v>
      </c>
      <c r="L68" s="226">
        <f>IFERROR(VLOOKUP($B68,MMWR_TRAD_AGG_RO_COMP[],L$1,0),"ERROR")</f>
        <v>793</v>
      </c>
      <c r="M68" s="223">
        <f t="shared" si="2"/>
        <v>0.91359447004608296</v>
      </c>
      <c r="N68" s="225">
        <f>IFERROR(VLOOKUP($B68,MMWR_TRAD_AGG_RO_COMP[],N$1,0),"ERROR")</f>
        <v>1259</v>
      </c>
      <c r="O68" s="226">
        <f>IFERROR(VLOOKUP($B68,MMWR_TRAD_AGG_RO_COMP[],O$1,0),"ERROR")</f>
        <v>1010</v>
      </c>
      <c r="P68" s="223">
        <f t="shared" si="3"/>
        <v>0.80222398729150124</v>
      </c>
      <c r="Q68" s="227">
        <f>IFERROR(VLOOKUP($B68,MMWR_TRAD_AGG_RO_COMP[],Q$1,0),"ERROR")</f>
        <v>0</v>
      </c>
      <c r="R68" s="227">
        <f>IFERROR(VLOOKUP($B68,MMWR_TRAD_AGG_RO_COMP[],R$1,0),"ERROR")</f>
        <v>2</v>
      </c>
      <c r="S68" s="201">
        <f>IFERROR(VLOOKUP($B68,MMWR_APP_RO[],S$1,0),"ERROR")</f>
        <v>4904</v>
      </c>
      <c r="T68" s="28"/>
    </row>
    <row r="69" spans="1:20" x14ac:dyDescent="0.2">
      <c r="A69" s="28"/>
      <c r="B69" s="116" t="s">
        <v>77</v>
      </c>
      <c r="C69" s="228">
        <f>IFERROR(VLOOKUP($B69,MMWR_TRAD_AGG_RO_COMP[],C$1,0),"ERROR")</f>
        <v>15972</v>
      </c>
      <c r="D69" s="229">
        <f>IFERROR(VLOOKUP($B69,MMWR_TRAD_AGG_RO_COMP[],D$1,0),"ERROR")</f>
        <v>331.07243926870001</v>
      </c>
      <c r="E69" s="230">
        <f>IFERROR(VLOOKUP($B69,MMWR_TRAD_AGG_RO_COMP[],E$1,0),"ERROR")</f>
        <v>22570</v>
      </c>
      <c r="F69" s="231">
        <f>IFERROR(VLOOKUP($B69,MMWR_TRAD_AGG_RO_COMP[],F$1,0),"ERROR")</f>
        <v>5202</v>
      </c>
      <c r="G69" s="232">
        <f t="shared" si="0"/>
        <v>0.23048294195835178</v>
      </c>
      <c r="H69" s="233">
        <f>IFERROR(VLOOKUP($B69,MMWR_TRAD_AGG_RO_COMP[],H$1,0),"ERROR")</f>
        <v>19301</v>
      </c>
      <c r="I69" s="231">
        <f>IFERROR(VLOOKUP($B69,MMWR_TRAD_AGG_RO_COMP[],I$1,0),"ERROR")</f>
        <v>12825</v>
      </c>
      <c r="J69" s="232">
        <f t="shared" si="1"/>
        <v>0.66447334335008545</v>
      </c>
      <c r="K69" s="234">
        <f>IFERROR(VLOOKUP($B69,MMWR_TRAD_AGG_RO_COMP[],K$1,0),"ERROR")</f>
        <v>4881</v>
      </c>
      <c r="L69" s="235">
        <f>IFERROR(VLOOKUP($B69,MMWR_TRAD_AGG_RO_COMP[],L$1,0),"ERROR")</f>
        <v>3872</v>
      </c>
      <c r="M69" s="232">
        <f t="shared" si="2"/>
        <v>0.79328006556033603</v>
      </c>
      <c r="N69" s="234">
        <f>IFERROR(VLOOKUP($B69,MMWR_TRAD_AGG_RO_COMP[],N$1,0),"ERROR")</f>
        <v>12813</v>
      </c>
      <c r="O69" s="235">
        <f>IFERROR(VLOOKUP($B69,MMWR_TRAD_AGG_RO_COMP[],O$1,0),"ERROR")</f>
        <v>9456</v>
      </c>
      <c r="P69" s="232">
        <f t="shared" si="3"/>
        <v>0.73800046827440879</v>
      </c>
      <c r="Q69" s="236">
        <f>IFERROR(VLOOKUP($B69,MMWR_TRAD_AGG_RO_COMP[],Q$1,0),"ERROR")</f>
        <v>7</v>
      </c>
      <c r="R69" s="236">
        <f>IFERROR(VLOOKUP($B69,MMWR_TRAD_AGG_RO_COMP[],R$1,0),"ERROR")</f>
        <v>287</v>
      </c>
      <c r="S69" s="201">
        <f>IFERROR(VLOOKUP($B69,MMWR_APP_RO[],S$1,0),"ERROR")</f>
        <v>30015</v>
      </c>
      <c r="T69" s="28"/>
    </row>
    <row r="70" spans="1:20" x14ac:dyDescent="0.2">
      <c r="A70" s="28"/>
      <c r="B70" s="101" t="s">
        <v>8</v>
      </c>
      <c r="C70" s="212">
        <f>IFERROR(VLOOKUP($B70,MMWR_TRAD_AGG_RO_COMP[],C$1,0),"ERROR")</f>
        <v>139</v>
      </c>
      <c r="D70" s="197">
        <f>IFERROR(VLOOKUP($B70,MMWR_TRAD_AGG_RO_COMP[],D$1,0),"ERROR")</f>
        <v>341.2086330935</v>
      </c>
      <c r="E70" s="213">
        <f>IFERROR(VLOOKUP($B70,MMWR_TRAD_AGG_RO_COMP[],E$1,0),"ERROR")</f>
        <v>351</v>
      </c>
      <c r="F70" s="218">
        <f>IFERROR(VLOOKUP($B70,MMWR_TRAD_AGG_RO_COMP[],F$1,0),"ERROR")</f>
        <v>11</v>
      </c>
      <c r="G70" s="214">
        <f>IFERROR(F70/E70,"0%")</f>
        <v>3.1339031339031341E-2</v>
      </c>
      <c r="H70" s="218">
        <f>IFERROR(VLOOKUP($B70,MMWR_TRAD_AGG_RO_COMP[],H$1,0),"ERROR")</f>
        <v>213</v>
      </c>
      <c r="I70" s="218">
        <f>IFERROR(VLOOKUP($B70,MMWR_TRAD_AGG_RO_COMP[],I$1,0),"ERROR")</f>
        <v>131</v>
      </c>
      <c r="J70" s="214">
        <f>IFERROR(I70/H70,"0%")</f>
        <v>0.61502347417840375</v>
      </c>
      <c r="K70" s="212">
        <f>IFERROR(VLOOKUP($B70,MMWR_TRAD_AGG_RO_COMP[],K$1,0),"ERROR")</f>
        <v>67</v>
      </c>
      <c r="L70" s="212">
        <f>IFERROR(VLOOKUP($B70,MMWR_TRAD_AGG_RO_COMP[],L$1,0),"ERROR")</f>
        <v>31</v>
      </c>
      <c r="M70" s="214">
        <f>IFERROR(L70/K70,"0%")</f>
        <v>0.46268656716417911</v>
      </c>
      <c r="N70" s="212">
        <f>IFERROR(VLOOKUP($B70,MMWR_TRAD_AGG_RO_COMP[],N$1,0),"ERROR")</f>
        <v>67055</v>
      </c>
      <c r="O70" s="212">
        <f>IFERROR(VLOOKUP($B70,MMWR_TRAD_AGG_RO_COMP[],O$1,0),"ERROR")</f>
        <v>37442</v>
      </c>
      <c r="P70" s="214">
        <f>IFERROR(O70/N70,"0%")</f>
        <v>0.5583774513459101</v>
      </c>
      <c r="Q70" s="212">
        <f>IFERROR(VLOOKUP($B70,MMWR_TRAD_AGG_RO_COMP[],Q$1,0),"ERROR")</f>
        <v>0</v>
      </c>
      <c r="R70" s="215">
        <f>IFERROR(VLOOKUP($B70,MMWR_TRAD_AGG_RO_COMP[],R$1,0),"ERROR")</f>
        <v>1</v>
      </c>
      <c r="S70" s="215">
        <f>IFERROR(VLOOKUP($B70,MMWR_APP_RO[],S$1,0),"ERROR")</f>
        <v>10627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3" t="s">
        <v>487</v>
      </c>
      <c r="D72" s="454"/>
      <c r="E72" s="454"/>
      <c r="F72" s="454"/>
      <c r="G72" s="454"/>
      <c r="H72" s="454"/>
      <c r="I72" s="454"/>
      <c r="J72" s="454"/>
      <c r="K72" s="454"/>
      <c r="L72" s="454"/>
      <c r="M72" s="454"/>
      <c r="N72" s="454"/>
      <c r="O72" s="454"/>
      <c r="P72" s="454"/>
      <c r="Q72" s="454"/>
      <c r="R72" s="454"/>
      <c r="S72" s="455"/>
      <c r="T72" s="28"/>
    </row>
    <row r="73" spans="1:20" x14ac:dyDescent="0.2">
      <c r="A73" s="25"/>
      <c r="B73" s="117"/>
      <c r="C73" s="456" t="s">
        <v>225</v>
      </c>
      <c r="D73" s="457"/>
      <c r="E73" s="458" t="s">
        <v>205</v>
      </c>
      <c r="F73" s="459"/>
      <c r="G73" s="460"/>
      <c r="H73" s="458" t="s">
        <v>7</v>
      </c>
      <c r="I73" s="459"/>
      <c r="J73" s="460"/>
      <c r="K73" s="458" t="s">
        <v>30</v>
      </c>
      <c r="L73" s="459"/>
      <c r="M73" s="460"/>
      <c r="N73" s="458" t="s">
        <v>8</v>
      </c>
      <c r="O73" s="459"/>
      <c r="P73" s="460"/>
      <c r="Q73" s="81" t="s">
        <v>9</v>
      </c>
      <c r="R73" s="82" t="s">
        <v>10</v>
      </c>
      <c r="S73" s="82" t="s">
        <v>11</v>
      </c>
      <c r="T73" s="28"/>
    </row>
    <row r="74" spans="1:20" ht="38.25" x14ac:dyDescent="0.2">
      <c r="A74" s="91"/>
      <c r="B74" s="118"/>
      <c r="C74" s="84" t="s">
        <v>12</v>
      </c>
      <c r="D74" s="85" t="s">
        <v>134</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488</v>
      </c>
      <c r="T74" s="28"/>
    </row>
    <row r="75" spans="1:20" x14ac:dyDescent="0.2">
      <c r="A75" s="25"/>
      <c r="B75" s="101" t="s">
        <v>462</v>
      </c>
      <c r="C75" s="237">
        <f>IFERROR(VLOOKUP($B75,MMWR_TRAD_AGG_RO_PEN[],C$1,0),"ERROR")</f>
        <v>25962</v>
      </c>
      <c r="D75" s="238">
        <f>IFERROR(VLOOKUP($B75,MMWR_TRAD_AGG_RO_PEN[],D$1,0),"ERROR")</f>
        <v>95.616824589800004</v>
      </c>
      <c r="E75" s="237">
        <f>IFERROR(VLOOKUP($B75,MMWR_TRAD_AGG_RO_PEN[],E$1,0),"ERROR")</f>
        <v>32544</v>
      </c>
      <c r="F75" s="237">
        <f>IFERROR(VLOOKUP($B75,MMWR_TRAD_AGG_RO_PEN[],F$1,0),"ERROR")</f>
        <v>4566</v>
      </c>
      <c r="G75" s="239">
        <f>IFERROR(F75/E75,"0%")</f>
        <v>0.1403023598820059</v>
      </c>
      <c r="H75" s="237">
        <f>IFERROR(VLOOKUP($B75,MMWR_TRAD_AGG_RO_PEN[],H$1,0),"ERROR")</f>
        <v>34764</v>
      </c>
      <c r="I75" s="237">
        <f>IFERROR(VLOOKUP($B75,MMWR_TRAD_AGG_RO_PEN[],I$1,0),"ERROR")</f>
        <v>8234</v>
      </c>
      <c r="J75" s="239">
        <f>IFERROR(I75/H75,"0%")</f>
        <v>0.23685421700609827</v>
      </c>
      <c r="K75" s="237">
        <f>IFERROR(VLOOKUP($B75,MMWR_TRAD_AGG_RO_PEN[],K$1,0),"ERROR")</f>
        <v>281</v>
      </c>
      <c r="L75" s="237">
        <f>IFERROR(VLOOKUP($B75,MMWR_TRAD_AGG_RO_PEN[],L$1,0),"ERROR")</f>
        <v>261</v>
      </c>
      <c r="M75" s="239">
        <f>IFERROR(L75/K75,"0%")</f>
        <v>0.92882562277580072</v>
      </c>
      <c r="N75" s="237">
        <f>IFERROR(VLOOKUP($B75,MMWR_TRAD_AGG_RO_PEN[],N$1,0),"ERROR")</f>
        <v>1883</v>
      </c>
      <c r="O75" s="237">
        <f>IFERROR(VLOOKUP($B75,MMWR_TRAD_AGG_RO_PEN[],O$1,0),"ERROR")</f>
        <v>511</v>
      </c>
      <c r="P75" s="239">
        <f>IFERROR(O75/N75,"0%")</f>
        <v>0.27137546468401486</v>
      </c>
      <c r="Q75" s="237">
        <f>IFERROR(VLOOKUP($B75,MMWR_TRAD_AGG_RO_PEN[],Q$1,0),"ERROR")</f>
        <v>11753</v>
      </c>
      <c r="R75" s="240">
        <f>IFERROR(VLOOKUP($B75,MMWR_TRAD_AGG_RO_PEN[],R$1,0),"ERROR")</f>
        <v>5958</v>
      </c>
      <c r="S75" s="240">
        <f>IFERROR(VLOOKUP($B75,MMWR_APP_RO[],S$1,0),"ERROR")</f>
        <v>5699</v>
      </c>
      <c r="T75" s="28"/>
    </row>
    <row r="76" spans="1:20" x14ac:dyDescent="0.2">
      <c r="A76" s="107"/>
      <c r="B76" s="122" t="s">
        <v>210</v>
      </c>
      <c r="C76" s="241">
        <f>IFERROR(VLOOKUP($B76,MMWR_TRAD_AGG_RO_PEN[],C$1,0),"ERROR")</f>
        <v>14819</v>
      </c>
      <c r="D76" s="242">
        <f>IFERROR(VLOOKUP($B76,MMWR_TRAD_AGG_RO_PEN[],D$1,0),"ERROR")</f>
        <v>107.8148997908</v>
      </c>
      <c r="E76" s="241">
        <f>IFERROR(VLOOKUP($B76,MMWR_TRAD_AGG_RO_PEN[],E$1,0),"ERROR")</f>
        <v>18358</v>
      </c>
      <c r="F76" s="241">
        <f>IFERROR(VLOOKUP($B76,MMWR_TRAD_AGG_RO_PEN[],F$1,0),"ERROR")</f>
        <v>3457</v>
      </c>
      <c r="G76" s="223">
        <f>IFERROR(F76/E76,"0%")</f>
        <v>0.18831027345026691</v>
      </c>
      <c r="H76" s="241">
        <f>IFERROR(VLOOKUP($B76,MMWR_TRAD_AGG_RO_PEN[],H$1,0),"ERROR")</f>
        <v>17415</v>
      </c>
      <c r="I76" s="241">
        <f>IFERROR(VLOOKUP($B76,MMWR_TRAD_AGG_RO_PEN[],I$1,0),"ERROR")</f>
        <v>5729</v>
      </c>
      <c r="J76" s="223">
        <f>IFERROR(I76/H76,"0%")</f>
        <v>0.32896927935687625</v>
      </c>
      <c r="K76" s="241">
        <f>IFERROR(VLOOKUP($B76,MMWR_TRAD_AGG_RO_PEN[],K$1,0),"ERROR")</f>
        <v>26</v>
      </c>
      <c r="L76" s="241">
        <f>IFERROR(VLOOKUP($B76,MMWR_TRAD_AGG_RO_PEN[],L$1,0),"ERROR")</f>
        <v>26</v>
      </c>
      <c r="M76" s="223">
        <f>IFERROR(L76/K76,"0%")</f>
        <v>1</v>
      </c>
      <c r="N76" s="241">
        <f>IFERROR(VLOOKUP($B76,MMWR_TRAD_AGG_RO_PEN[],N$1,0),"ERROR")</f>
        <v>869</v>
      </c>
      <c r="O76" s="241">
        <f>IFERROR(VLOOKUP($B76,MMWR_TRAD_AGG_RO_PEN[],O$1,0),"ERROR")</f>
        <v>197</v>
      </c>
      <c r="P76" s="223">
        <f>IFERROR(O76/N76,"0%")</f>
        <v>0.22669735327963175</v>
      </c>
      <c r="Q76" s="241">
        <f>IFERROR(VLOOKUP($B76,MMWR_TRAD_AGG_RO_PEN[],Q$1,0),"ERROR")</f>
        <v>2144</v>
      </c>
      <c r="R76" s="241">
        <f>IFERROR(VLOOKUP($B76,MMWR_TRAD_AGG_RO_PEN[],R$1,0),"ERROR")</f>
        <v>3540</v>
      </c>
      <c r="S76" s="243">
        <f>IFERROR(VLOOKUP($B76,MMWR_APP_RO[],S$1,0),"ERROR")</f>
        <v>2086</v>
      </c>
      <c r="T76" s="28"/>
    </row>
    <row r="77" spans="1:20" x14ac:dyDescent="0.2">
      <c r="A77" s="107"/>
      <c r="B77" s="122" t="s">
        <v>209</v>
      </c>
      <c r="C77" s="241">
        <f>IFERROR(VLOOKUP($B77,MMWR_TRAD_AGG_RO_PEN[],C$1,0),"ERROR")</f>
        <v>5670</v>
      </c>
      <c r="D77" s="242">
        <f>IFERROR(VLOOKUP($B77,MMWR_TRAD_AGG_RO_PEN[],D$1,0),"ERROR")</f>
        <v>72.619576719600005</v>
      </c>
      <c r="E77" s="241">
        <f>IFERROR(VLOOKUP($B77,MMWR_TRAD_AGG_RO_PEN[],E$1,0),"ERROR")</f>
        <v>7429</v>
      </c>
      <c r="F77" s="241">
        <f>IFERROR(VLOOKUP($B77,MMWR_TRAD_AGG_RO_PEN[],F$1,0),"ERROR")</f>
        <v>772</v>
      </c>
      <c r="G77" s="223">
        <f>IFERROR(F77/E77,"0%")</f>
        <v>0.10391708170682461</v>
      </c>
      <c r="H77" s="241">
        <f>IFERROR(VLOOKUP($B77,MMWR_TRAD_AGG_RO_PEN[],H$1,0),"ERROR")</f>
        <v>7441</v>
      </c>
      <c r="I77" s="241">
        <f>IFERROR(VLOOKUP($B77,MMWR_TRAD_AGG_RO_PEN[],I$1,0),"ERROR")</f>
        <v>705</v>
      </c>
      <c r="J77" s="223">
        <f>IFERROR(I77/H77,"0%")</f>
        <v>9.474532992877302E-2</v>
      </c>
      <c r="K77" s="241">
        <f>IFERROR(VLOOKUP($B77,MMWR_TRAD_AGG_RO_PEN[],K$1,0),"ERROR")</f>
        <v>3</v>
      </c>
      <c r="L77" s="241">
        <f>IFERROR(VLOOKUP($B77,MMWR_TRAD_AGG_RO_PEN[],L$1,0),"ERROR")</f>
        <v>2</v>
      </c>
      <c r="M77" s="223">
        <f>IFERROR(L77/K77,"0%")</f>
        <v>0.66666666666666663</v>
      </c>
      <c r="N77" s="241">
        <f>IFERROR(VLOOKUP($B77,MMWR_TRAD_AGG_RO_PEN[],N$1,0),"ERROR")</f>
        <v>592</v>
      </c>
      <c r="O77" s="241">
        <f>IFERROR(VLOOKUP($B77,MMWR_TRAD_AGG_RO_PEN[],O$1,0),"ERROR")</f>
        <v>124</v>
      </c>
      <c r="P77" s="223">
        <f>IFERROR(O77/N77,"0%")</f>
        <v>0.20945945945945946</v>
      </c>
      <c r="Q77" s="241">
        <f>IFERROR(VLOOKUP($B77,MMWR_TRAD_AGG_RO_PEN[],Q$1,0),"ERROR")</f>
        <v>1145</v>
      </c>
      <c r="R77" s="241">
        <f>IFERROR(VLOOKUP($B77,MMWR_TRAD_AGG_RO_PEN[],R$1,0),"ERROR")</f>
        <v>860</v>
      </c>
      <c r="S77" s="243">
        <f>IFERROR(VLOOKUP($B77,MMWR_APP_RO[],S$1,0),"ERROR")</f>
        <v>2420</v>
      </c>
      <c r="T77" s="28"/>
    </row>
    <row r="78" spans="1:20" x14ac:dyDescent="0.2">
      <c r="A78" s="107"/>
      <c r="B78" s="122" t="s">
        <v>212</v>
      </c>
      <c r="C78" s="241">
        <f>IFERROR(VLOOKUP($B78,MMWR_TRAD_AGG_RO_PEN[],C$1,0),"ERROR")</f>
        <v>5473</v>
      </c>
      <c r="D78" s="242">
        <f>IFERROR(VLOOKUP($B78,MMWR_TRAD_AGG_RO_PEN[],D$1,0),"ERROR")</f>
        <v>86.413667093000001</v>
      </c>
      <c r="E78" s="241">
        <f>IFERROR(VLOOKUP($B78,MMWR_TRAD_AGG_RO_PEN[],E$1,0),"ERROR")</f>
        <v>6386</v>
      </c>
      <c r="F78" s="241">
        <f>IFERROR(VLOOKUP($B78,MMWR_TRAD_AGG_RO_PEN[],F$1,0),"ERROR")</f>
        <v>198</v>
      </c>
      <c r="G78" s="223">
        <f>IFERROR(F78/E78,"0%")</f>
        <v>3.1005324146570624E-2</v>
      </c>
      <c r="H78" s="241">
        <f>IFERROR(VLOOKUP($B78,MMWR_TRAD_AGG_RO_PEN[],H$1,0),"ERROR")</f>
        <v>6789</v>
      </c>
      <c r="I78" s="241">
        <f>IFERROR(VLOOKUP($B78,MMWR_TRAD_AGG_RO_PEN[],I$1,0),"ERROR")</f>
        <v>477</v>
      </c>
      <c r="J78" s="223">
        <f>IFERROR(I78/H78,"0%")</f>
        <v>7.0260715863897483E-2</v>
      </c>
      <c r="K78" s="241">
        <f>IFERROR(VLOOKUP($B78,MMWR_TRAD_AGG_RO_PEN[],K$1,0),"ERROR")</f>
        <v>44</v>
      </c>
      <c r="L78" s="241">
        <f>IFERROR(VLOOKUP($B78,MMWR_TRAD_AGG_RO_PEN[],L$1,0),"ERROR")</f>
        <v>26</v>
      </c>
      <c r="M78" s="223">
        <f>IFERROR(L78/K78,"0%")</f>
        <v>0.59090909090909094</v>
      </c>
      <c r="N78" s="241">
        <f>IFERROR(VLOOKUP($B78,MMWR_TRAD_AGG_RO_PEN[],N$1,0),"ERROR")</f>
        <v>253</v>
      </c>
      <c r="O78" s="241">
        <f>IFERROR(VLOOKUP($B78,MMWR_TRAD_AGG_RO_PEN[],O$1,0),"ERROR")</f>
        <v>84</v>
      </c>
      <c r="P78" s="223">
        <f>IFERROR(O78/N78,"0%")</f>
        <v>0.33201581027667987</v>
      </c>
      <c r="Q78" s="241">
        <f>IFERROR(VLOOKUP($B78,MMWR_TRAD_AGG_RO_PEN[],Q$1,0),"ERROR")</f>
        <v>8458</v>
      </c>
      <c r="R78" s="241">
        <f>IFERROR(VLOOKUP($B78,MMWR_TRAD_AGG_RO_PEN[],R$1,0),"ERROR")</f>
        <v>1558</v>
      </c>
      <c r="S78" s="243">
        <f>IFERROR(VLOOKUP($B78,MMWR_APP_RO[],S$1,0),"ERROR")</f>
        <v>1193</v>
      </c>
      <c r="T78" s="28"/>
    </row>
    <row r="79" spans="1:20" x14ac:dyDescent="0.2">
      <c r="A79" s="92"/>
      <c r="B79" s="101" t="s">
        <v>224</v>
      </c>
      <c r="C79" s="218">
        <f>IFERROR(VLOOKUP($B79,MMWR_TRAD_AGG_RO_PEN[],C$1,0),"ERROR")</f>
        <v>0</v>
      </c>
      <c r="D79" s="189">
        <f>IFERROR(VLOOKUP($B79,MMWR_TRAD_AGG_RO_PEN[],D$1,0),"ERROR")</f>
        <v>0</v>
      </c>
      <c r="E79" s="218">
        <f>IFERROR(VLOOKUP($B79,MMWR_TRAD_AGG_RO_PEN[],E$1,0),"ERROR")</f>
        <v>371</v>
      </c>
      <c r="F79" s="218">
        <f>IFERROR(VLOOKUP($B79,MMWR_TRAD_AGG_RO_PEN[],F$1,0),"ERROR")</f>
        <v>139</v>
      </c>
      <c r="G79" s="214">
        <f>IFERROR(F79/E79,"0%")</f>
        <v>0.3746630727762803</v>
      </c>
      <c r="H79" s="218">
        <f>IFERROR(VLOOKUP($B79,MMWR_TRAD_AGG_RO_PEN[],H$1,0),"ERROR")</f>
        <v>3119</v>
      </c>
      <c r="I79" s="218">
        <f>IFERROR(VLOOKUP($B79,MMWR_TRAD_AGG_RO_PEN[],I$1,0),"ERROR")</f>
        <v>1323</v>
      </c>
      <c r="J79" s="214">
        <f>IFERROR(I79/H79,"0%")</f>
        <v>0.42417441487656299</v>
      </c>
      <c r="K79" s="218">
        <f>IFERROR(VLOOKUP($B79,MMWR_TRAD_AGG_RO_PEN[],K$1,0),"ERROR")</f>
        <v>208</v>
      </c>
      <c r="L79" s="218">
        <f>IFERROR(VLOOKUP($B79,MMWR_TRAD_AGG_RO_PEN[],L$1,0),"ERROR")</f>
        <v>207</v>
      </c>
      <c r="M79" s="214">
        <f>IFERROR(L79/K79,"0%")</f>
        <v>0.99519230769230771</v>
      </c>
      <c r="N79" s="218">
        <f>IFERROR(VLOOKUP($B79,MMWR_TRAD_AGG_RO_PEN[],N$1,0),"ERROR")</f>
        <v>169</v>
      </c>
      <c r="O79" s="218">
        <f>IFERROR(VLOOKUP($B79,MMWR_TRAD_AGG_RO_PEN[],O$1,0),"ERROR")</f>
        <v>106</v>
      </c>
      <c r="P79" s="214">
        <f>IFERROR(O79/N79,"0%")</f>
        <v>0.62721893491124259</v>
      </c>
      <c r="Q79" s="218">
        <f>IFERROR(VLOOKUP($B79,MMWR_TRAD_AGG_RO_PEN[],Q$1,0),"ERROR")</f>
        <v>6</v>
      </c>
      <c r="R79" s="244">
        <f>IFERROR(VLOOKUP($B79,MMWR_TRAD_AGG_RO_PEN[],R$1,0),"ERROR")</f>
        <v>0</v>
      </c>
      <c r="S79" s="244"/>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3" t="str">
        <f>UPPER("INVENTORY BY STATE "&amp;Transformation!B4)</f>
        <v>INVENTORY BY STATE AS OF: JUNE 04, 2016</v>
      </c>
      <c r="D2" s="454"/>
      <c r="E2" s="454"/>
      <c r="F2" s="454"/>
      <c r="G2" s="454"/>
      <c r="H2" s="454"/>
      <c r="I2" s="454"/>
      <c r="J2" s="454"/>
      <c r="K2" s="454"/>
      <c r="L2" s="454"/>
      <c r="M2" s="454"/>
      <c r="N2" s="454"/>
      <c r="O2" s="454"/>
      <c r="P2" s="454"/>
      <c r="Q2" s="454"/>
      <c r="R2" s="454"/>
      <c r="S2" s="455"/>
      <c r="T2" s="28"/>
    </row>
    <row r="3" spans="1:20" s="123" customFormat="1" x14ac:dyDescent="0.2">
      <c r="A3" s="25"/>
      <c r="B3" s="26"/>
      <c r="C3" s="461" t="s">
        <v>225</v>
      </c>
      <c r="D3" s="461"/>
      <c r="E3" s="458" t="s">
        <v>205</v>
      </c>
      <c r="F3" s="459"/>
      <c r="G3" s="460"/>
      <c r="H3" s="458" t="s">
        <v>7</v>
      </c>
      <c r="I3" s="459"/>
      <c r="J3" s="460"/>
      <c r="K3" s="458" t="s">
        <v>30</v>
      </c>
      <c r="L3" s="459"/>
      <c r="M3" s="460"/>
      <c r="N3" s="458" t="s">
        <v>8</v>
      </c>
      <c r="O3" s="459"/>
      <c r="P3" s="460"/>
      <c r="Q3" s="81" t="s">
        <v>9</v>
      </c>
      <c r="R3" s="82" t="s">
        <v>10</v>
      </c>
      <c r="S3" s="82" t="s">
        <v>11</v>
      </c>
      <c r="T3" s="28"/>
    </row>
    <row r="4" spans="1:20" s="123" customFormat="1" ht="38.25" x14ac:dyDescent="0.2">
      <c r="A4" s="83"/>
      <c r="B4" s="54"/>
      <c r="C4" s="84" t="s">
        <v>12</v>
      </c>
      <c r="D4" s="85" t="s">
        <v>134</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488</v>
      </c>
      <c r="T4" s="28"/>
    </row>
    <row r="5" spans="1:20" s="123" customFormat="1" ht="26.25" x14ac:dyDescent="0.4">
      <c r="A5" s="25"/>
      <c r="B5" s="124"/>
      <c r="C5" s="453" t="s">
        <v>486</v>
      </c>
      <c r="D5" s="454"/>
      <c r="E5" s="454"/>
      <c r="F5" s="454"/>
      <c r="G5" s="454"/>
      <c r="H5" s="454"/>
      <c r="I5" s="454"/>
      <c r="J5" s="454"/>
      <c r="K5" s="454"/>
      <c r="L5" s="454"/>
      <c r="M5" s="454"/>
      <c r="N5" s="454"/>
      <c r="O5" s="454"/>
      <c r="P5" s="454"/>
      <c r="Q5" s="454"/>
      <c r="R5" s="454"/>
      <c r="S5" s="455"/>
      <c r="T5" s="28"/>
    </row>
    <row r="6" spans="1:20" s="123" customFormat="1" x14ac:dyDescent="0.2">
      <c r="A6" s="92"/>
      <c r="B6" s="125" t="s">
        <v>461</v>
      </c>
      <c r="C6" s="94">
        <f>IFERROR(VLOOKUP($B6,MMWR_TRAD_AGG_ST_DISTRICT_COMP[],C$1,0),"ERROR")</f>
        <v>256421</v>
      </c>
      <c r="D6" s="95">
        <f>IFERROR(VLOOKUP($B6,MMWR_TRAD_AGG_ST_DISTRICT_COMP[],D$1,0),"ERROR")</f>
        <v>389.82102089919999</v>
      </c>
      <c r="E6" s="96">
        <f>IFERROR(VLOOKUP($B6,MMWR_TRAD_AGG_ST_DISTRICT_COMP[],E$1,0),"ERROR")</f>
        <v>330538</v>
      </c>
      <c r="F6" s="97">
        <f>IFERROR(VLOOKUP($B6,MMWR_TRAD_AGG_ST_DISTRICT_COMP[],F$1,0),"ERROR")</f>
        <v>72205</v>
      </c>
      <c r="G6" s="98">
        <f t="shared" ref="G6:G37" si="0">IFERROR(F6/E6,"0%")</f>
        <v>0.21844689566706399</v>
      </c>
      <c r="H6" s="96">
        <f>IFERROR(VLOOKUP($B6,MMWR_TRAD_AGG_ST_DISTRICT_COMP[],H$1,0),"ERROR")</f>
        <v>376798</v>
      </c>
      <c r="I6" s="97">
        <f>IFERROR(VLOOKUP($B6,MMWR_TRAD_AGG_ST_DISTRICT_COMP[],I$1,0),"ERROR")</f>
        <v>250973</v>
      </c>
      <c r="J6" s="99">
        <f t="shared" ref="J6:J37" si="1">IFERROR(I6/H6,"0%")</f>
        <v>0.66606776044458837</v>
      </c>
      <c r="K6" s="96">
        <f>IFERROR(VLOOKUP($B6,MMWR_TRAD_AGG_ST_DISTRICT_COMP[],K$1,0),"ERROR")</f>
        <v>127440</v>
      </c>
      <c r="L6" s="97">
        <f>IFERROR(VLOOKUP($B6,MMWR_TRAD_AGG_ST_DISTRICT_COMP[],L$1,0),"ERROR")</f>
        <v>100952</v>
      </c>
      <c r="M6" s="99">
        <f t="shared" ref="M6:M37" si="2">IFERROR(L6/K6,"0%")</f>
        <v>0.79215317011927178</v>
      </c>
      <c r="N6" s="96">
        <f>IFERROR(VLOOKUP($B6,MMWR_TRAD_AGG_ST_DISTRICT_COMP[],N$1,0),"ERROR")</f>
        <v>175938</v>
      </c>
      <c r="O6" s="97">
        <f>IFERROR(VLOOKUP($B6,MMWR_TRAD_AGG_ST_DISTRICT_COMP[],O$1,0),"ERROR")</f>
        <v>116283</v>
      </c>
      <c r="P6" s="99">
        <f t="shared" ref="P6:P37" si="3">IFERROR(O6/N6,"0%")</f>
        <v>0.66093169184599121</v>
      </c>
      <c r="Q6" s="100">
        <f>IFERROR(VLOOKUP($B6,MMWR_TRAD_AGG_ST_DISTRICT_COMP[],Q$1,0),"ERROR")</f>
        <v>24162</v>
      </c>
      <c r="R6" s="100">
        <f>IFERROR(VLOOKUP($B6,MMWR_TRAD_AGG_ST_DISTRICT_COMP[],R$1,0),"ERROR")</f>
        <v>4376</v>
      </c>
      <c r="S6" s="100">
        <f>S7+S23+S36+S46+S56+S64</f>
        <v>313056</v>
      </c>
      <c r="T6" s="28"/>
    </row>
    <row r="7" spans="1:20" s="123" customFormat="1" x14ac:dyDescent="0.2">
      <c r="A7" s="92"/>
      <c r="B7" s="126" t="s">
        <v>369</v>
      </c>
      <c r="C7" s="102">
        <f>IF(SUM(C8:C22)&lt;&gt;VLOOKUP($B7,MMWR_TRAD_AGG_ST_DISTRICT_COMP[],C$1,0),"ERROR",
VLOOKUP($B7,MMWR_TRAD_AGG_ST_DISTRICT_COMP[],C$1,0))</f>
        <v>63660</v>
      </c>
      <c r="D7" s="103">
        <f>IFERROR(VLOOKUP($B7,MMWR_TRAD_AGG_ST_DISTRICT_COMP[],D$1,0),"ERROR")</f>
        <v>417.58977379829997</v>
      </c>
      <c r="E7" s="102">
        <f>IF(SUM(E8:E22)&lt;&gt;VLOOKUP($B7,MMWR_TRAD_AGG_ST_DISTRICT_COMP[],E$1,0),"ERROR",
VLOOKUP($B7,MMWR_TRAD_AGG_ST_DISTRICT_COMP[],E$1,0))</f>
        <v>73009</v>
      </c>
      <c r="F7" s="102">
        <f>IFERROR(VLOOKUP($B7,MMWR_TRAD_AGG_ST_DISTRICT_COMP[],F$1,0),"ERROR")</f>
        <v>16898</v>
      </c>
      <c r="G7" s="104">
        <f t="shared" si="0"/>
        <v>0.23145091701023163</v>
      </c>
      <c r="H7" s="102">
        <f>IF(SUM(H8:H22)&lt;&gt;VLOOKUP($B7,MMWR_TRAD_AGG_ST_DISTRICT_COMP[],H$1,0),"ERROR",
VLOOKUP($B7,MMWR_TRAD_AGG_ST_DISTRICT_COMP[],H$1,0))</f>
        <v>90837</v>
      </c>
      <c r="I7" s="102">
        <f>IF(SUM(I8:I22)&lt;&gt;VLOOKUP($B7,MMWR_TRAD_AGG_ST_DISTRICT_COMP[],I$1,0),"ERROR",
VLOOKUP($B7,MMWR_TRAD_AGG_ST_DISTRICT_COMP[],I$1,0))</f>
        <v>61102</v>
      </c>
      <c r="J7" s="105">
        <f t="shared" si="1"/>
        <v>0.67265541574468557</v>
      </c>
      <c r="K7" s="102">
        <f>IF(SUM(K8:K22)&lt;&gt;VLOOKUP($B7,MMWR_TRAD_AGG_ST_DISTRICT_COMP[],K$1,0),"ERROR",
VLOOKUP($B7,MMWR_TRAD_AGG_ST_DISTRICT_COMP[],K$1,0))</f>
        <v>35670</v>
      </c>
      <c r="L7" s="102">
        <f>IF(SUM(L8:L22)&lt;&gt;VLOOKUP($B7,MMWR_TRAD_AGG_ST_DISTRICT_COMP[],L$1,0),"ERROR",
VLOOKUP($B7,MMWR_TRAD_AGG_ST_DISTRICT_COMP[],L$1,0))</f>
        <v>28919</v>
      </c>
      <c r="M7" s="105">
        <f t="shared" si="2"/>
        <v>0.81073731426969442</v>
      </c>
      <c r="N7" s="102">
        <f>IF(SUM(N8:N22)&lt;&gt;VLOOKUP($B7,MMWR_TRAD_AGG_ST_DISTRICT_COMP[],N$1,0),"ERROR",
VLOOKUP($B7,MMWR_TRAD_AGG_ST_DISTRICT_COMP[],N$1,0))</f>
        <v>40077</v>
      </c>
      <c r="O7" s="102">
        <f>IF(SUM(O8:O22)&lt;&gt;VLOOKUP($B7,MMWR_TRAD_AGG_ST_DISTRICT_COMP[],O$1,0),"ERROR",
VLOOKUP($B7,MMWR_TRAD_AGG_ST_DISTRICT_COMP[],O$1,0))</f>
        <v>27311</v>
      </c>
      <c r="P7" s="105">
        <f t="shared" si="3"/>
        <v>0.68146318337200884</v>
      </c>
      <c r="Q7" s="102">
        <f>IF(SUM(Q8:Q22)&lt;&gt;VLOOKUP($B7,MMWR_TRAD_AGG_ST_DISTRICT_COMP[],Q$1,0),"ERROR",
VLOOKUP($B7,MMWR_TRAD_AGG_ST_DISTRICT_COMP[],Q$1,0))</f>
        <v>9895</v>
      </c>
      <c r="R7" s="106">
        <f>IFERROR(VLOOKUP($B7,MMWR_TRAD_AGG_ST_DISTRICT_COMP[],R$1,0),"ERROR")</f>
        <v>140</v>
      </c>
      <c r="S7" s="106">
        <f>SUM(S8:S22)</f>
        <v>57312</v>
      </c>
      <c r="T7" s="28"/>
    </row>
    <row r="8" spans="1:20" s="123" customFormat="1" x14ac:dyDescent="0.2">
      <c r="A8" s="107"/>
      <c r="B8" s="127" t="s">
        <v>373</v>
      </c>
      <c r="C8" s="109">
        <f>IFERROR(VLOOKUP($B8,MMWR_TRAD_AGG_STATE_COMP[],C$1,0),"ERROR")</f>
        <v>756</v>
      </c>
      <c r="D8" s="110">
        <f>IFERROR(VLOOKUP($B8,MMWR_TRAD_AGG_STATE_COMP[],D$1,0),"ERROR")</f>
        <v>317.23280423279999</v>
      </c>
      <c r="E8" s="111">
        <f>IFERROR(VLOOKUP($B8,MMWR_TRAD_AGG_STATE_COMP[],E$1,0),"ERROR")</f>
        <v>1734</v>
      </c>
      <c r="F8" s="112">
        <f>IFERROR(VLOOKUP($B8,MMWR_TRAD_AGG_STATE_COMP[],F$1,0),"ERROR")</f>
        <v>358</v>
      </c>
      <c r="G8" s="113">
        <f t="shared" si="0"/>
        <v>0.20645905420991925</v>
      </c>
      <c r="H8" s="111">
        <f>IFERROR(VLOOKUP($B8,MMWR_TRAD_AGG_STATE_COMP[],H$1,0),"ERROR")</f>
        <v>1873</v>
      </c>
      <c r="I8" s="112">
        <f>IFERROR(VLOOKUP($B8,MMWR_TRAD_AGG_STATE_COMP[],I$1,0),"ERROR")</f>
        <v>960</v>
      </c>
      <c r="J8" s="114">
        <f t="shared" si="1"/>
        <v>0.51254671649759742</v>
      </c>
      <c r="K8" s="111">
        <f>IFERROR(VLOOKUP($B8,MMWR_TRAD_AGG_STATE_COMP[],K$1,0),"ERROR")</f>
        <v>643</v>
      </c>
      <c r="L8" s="112">
        <f>IFERROR(VLOOKUP($B8,MMWR_TRAD_AGG_STATE_COMP[],L$1,0),"ERROR")</f>
        <v>395</v>
      </c>
      <c r="M8" s="114">
        <f t="shared" si="2"/>
        <v>0.61430793157076202</v>
      </c>
      <c r="N8" s="111">
        <f>IFERROR(VLOOKUP($B8,MMWR_TRAD_AGG_STATE_COMP[],N$1,0),"ERROR")</f>
        <v>1125</v>
      </c>
      <c r="O8" s="112">
        <f>IFERROR(VLOOKUP($B8,MMWR_TRAD_AGG_STATE_COMP[],O$1,0),"ERROR")</f>
        <v>805</v>
      </c>
      <c r="P8" s="114">
        <f t="shared" si="3"/>
        <v>0.7155555555555555</v>
      </c>
      <c r="Q8" s="115">
        <f>IFERROR(VLOOKUP($B8,MMWR_TRAD_AGG_STATE_COMP[],Q$1,0),"ERROR")</f>
        <v>328</v>
      </c>
      <c r="R8" s="115">
        <f>IFERROR(VLOOKUP($B8,MMWR_TRAD_AGG_STATE_COMP[],R$1,0),"ERROR")</f>
        <v>5</v>
      </c>
      <c r="S8" s="115">
        <f>IFERROR(VLOOKUP($B8,MMWR_APP_STATE_COMP[],S$1,0),"ERROR")</f>
        <v>1323</v>
      </c>
      <c r="T8" s="28"/>
    </row>
    <row r="9" spans="1:20" s="123" customFormat="1" x14ac:dyDescent="0.2">
      <c r="A9" s="107"/>
      <c r="B9" s="127" t="s">
        <v>423</v>
      </c>
      <c r="C9" s="109">
        <f>IFERROR(VLOOKUP($B9,MMWR_TRAD_AGG_STATE_COMP[],C$1,0),"ERROR")</f>
        <v>760</v>
      </c>
      <c r="D9" s="110">
        <f>IFERROR(VLOOKUP($B9,MMWR_TRAD_AGG_STATE_COMP[],D$1,0),"ERROR")</f>
        <v>430.19868421050001</v>
      </c>
      <c r="E9" s="111">
        <f>IFERROR(VLOOKUP($B9,MMWR_TRAD_AGG_STATE_COMP[],E$1,0),"ERROR")</f>
        <v>928</v>
      </c>
      <c r="F9" s="112">
        <f>IFERROR(VLOOKUP($B9,MMWR_TRAD_AGG_STATE_COMP[],F$1,0),"ERROR")</f>
        <v>207</v>
      </c>
      <c r="G9" s="113">
        <f t="shared" si="0"/>
        <v>0.22306034482758622</v>
      </c>
      <c r="H9" s="111">
        <f>IFERROR(VLOOKUP($B9,MMWR_TRAD_AGG_STATE_COMP[],H$1,0),"ERROR")</f>
        <v>1008</v>
      </c>
      <c r="I9" s="112">
        <f>IFERROR(VLOOKUP($B9,MMWR_TRAD_AGG_STATE_COMP[],I$1,0),"ERROR")</f>
        <v>715</v>
      </c>
      <c r="J9" s="114">
        <f t="shared" si="1"/>
        <v>0.70932539682539686</v>
      </c>
      <c r="K9" s="111">
        <f>IFERROR(VLOOKUP($B9,MMWR_TRAD_AGG_STATE_COMP[],K$1,0),"ERROR")</f>
        <v>220</v>
      </c>
      <c r="L9" s="112">
        <f>IFERROR(VLOOKUP($B9,MMWR_TRAD_AGG_STATE_COMP[],L$1,0),"ERROR")</f>
        <v>175</v>
      </c>
      <c r="M9" s="114">
        <f t="shared" si="2"/>
        <v>0.79545454545454541</v>
      </c>
      <c r="N9" s="111">
        <f>IFERROR(VLOOKUP($B9,MMWR_TRAD_AGG_STATE_COMP[],N$1,0),"ERROR")</f>
        <v>370</v>
      </c>
      <c r="O9" s="112">
        <f>IFERROR(VLOOKUP($B9,MMWR_TRAD_AGG_STATE_COMP[],O$1,0),"ERROR")</f>
        <v>222</v>
      </c>
      <c r="P9" s="114">
        <f t="shared" si="3"/>
        <v>0.6</v>
      </c>
      <c r="Q9" s="115">
        <f>IFERROR(VLOOKUP($B9,MMWR_TRAD_AGG_STATE_COMP[],Q$1,0),"ERROR")</f>
        <v>87</v>
      </c>
      <c r="R9" s="115">
        <f>IFERROR(VLOOKUP($B9,MMWR_TRAD_AGG_STATE_COMP[],R$1,0),"ERROR")</f>
        <v>0</v>
      </c>
      <c r="S9" s="115">
        <f>IFERROR(VLOOKUP($B9,MMWR_APP_STATE_COMP[],S$1,0),"ERROR")</f>
        <v>632</v>
      </c>
      <c r="T9" s="28"/>
    </row>
    <row r="10" spans="1:20" s="123" customFormat="1" x14ac:dyDescent="0.2">
      <c r="A10" s="107"/>
      <c r="B10" s="127" t="s">
        <v>414</v>
      </c>
      <c r="C10" s="109">
        <f>IFERROR(VLOOKUP($B10,MMWR_TRAD_AGG_STATE_COMP[],C$1,0),"ERROR")</f>
        <v>479</v>
      </c>
      <c r="D10" s="110">
        <f>IFERROR(VLOOKUP($B10,MMWR_TRAD_AGG_STATE_COMP[],D$1,0),"ERROR")</f>
        <v>635.04801670150005</v>
      </c>
      <c r="E10" s="111">
        <f>IFERROR(VLOOKUP($B10,MMWR_TRAD_AGG_STATE_COMP[],E$1,0),"ERROR")</f>
        <v>453</v>
      </c>
      <c r="F10" s="112">
        <f>IFERROR(VLOOKUP($B10,MMWR_TRAD_AGG_STATE_COMP[],F$1,0),"ERROR")</f>
        <v>78</v>
      </c>
      <c r="G10" s="113">
        <f t="shared" si="0"/>
        <v>0.17218543046357615</v>
      </c>
      <c r="H10" s="111">
        <f>IFERROR(VLOOKUP($B10,MMWR_TRAD_AGG_STATE_COMP[],H$1,0),"ERROR")</f>
        <v>676</v>
      </c>
      <c r="I10" s="112">
        <f>IFERROR(VLOOKUP($B10,MMWR_TRAD_AGG_STATE_COMP[],I$1,0),"ERROR")</f>
        <v>471</v>
      </c>
      <c r="J10" s="114">
        <f t="shared" si="1"/>
        <v>0.69674556213017746</v>
      </c>
      <c r="K10" s="111">
        <f>IFERROR(VLOOKUP($B10,MMWR_TRAD_AGG_STATE_COMP[],K$1,0),"ERROR")</f>
        <v>216</v>
      </c>
      <c r="L10" s="112">
        <f>IFERROR(VLOOKUP($B10,MMWR_TRAD_AGG_STATE_COMP[],L$1,0),"ERROR")</f>
        <v>184</v>
      </c>
      <c r="M10" s="114">
        <f t="shared" si="2"/>
        <v>0.85185185185185186</v>
      </c>
      <c r="N10" s="111">
        <f>IFERROR(VLOOKUP($B10,MMWR_TRAD_AGG_STATE_COMP[],N$1,0),"ERROR")</f>
        <v>369</v>
      </c>
      <c r="O10" s="112">
        <f>IFERROR(VLOOKUP($B10,MMWR_TRAD_AGG_STATE_COMP[],O$1,0),"ERROR")</f>
        <v>270</v>
      </c>
      <c r="P10" s="114">
        <f t="shared" si="3"/>
        <v>0.73170731707317072</v>
      </c>
      <c r="Q10" s="115">
        <f>IFERROR(VLOOKUP($B10,MMWR_TRAD_AGG_STATE_COMP[],Q$1,0),"ERROR")</f>
        <v>36</v>
      </c>
      <c r="R10" s="115">
        <f>IFERROR(VLOOKUP($B10,MMWR_TRAD_AGG_STATE_COMP[],R$1,0),"ERROR")</f>
        <v>0</v>
      </c>
      <c r="S10" s="115">
        <f>IFERROR(VLOOKUP($B10,MMWR_APP_STATE_COMP[],S$1,0),"ERROR")</f>
        <v>593</v>
      </c>
      <c r="T10" s="28"/>
    </row>
    <row r="11" spans="1:20" s="123" customFormat="1" x14ac:dyDescent="0.2">
      <c r="A11" s="107"/>
      <c r="B11" s="127" t="s">
        <v>416</v>
      </c>
      <c r="C11" s="109">
        <f>IFERROR(VLOOKUP($B11,MMWR_TRAD_AGG_STATE_COMP[],C$1,0),"ERROR")</f>
        <v>1087</v>
      </c>
      <c r="D11" s="110">
        <f>IFERROR(VLOOKUP($B11,MMWR_TRAD_AGG_STATE_COMP[],D$1,0),"ERROR")</f>
        <v>330.63293468260002</v>
      </c>
      <c r="E11" s="111">
        <f>IFERROR(VLOOKUP($B11,MMWR_TRAD_AGG_STATE_COMP[],E$1,0),"ERROR")</f>
        <v>1207</v>
      </c>
      <c r="F11" s="112">
        <f>IFERROR(VLOOKUP($B11,MMWR_TRAD_AGG_STATE_COMP[],F$1,0),"ERROR")</f>
        <v>190</v>
      </c>
      <c r="G11" s="113">
        <f t="shared" si="0"/>
        <v>0.15741507870753935</v>
      </c>
      <c r="H11" s="111">
        <f>IFERROR(VLOOKUP($B11,MMWR_TRAD_AGG_STATE_COMP[],H$1,0),"ERROR")</f>
        <v>1754</v>
      </c>
      <c r="I11" s="112">
        <f>IFERROR(VLOOKUP($B11,MMWR_TRAD_AGG_STATE_COMP[],I$1,0),"ERROR")</f>
        <v>1007</v>
      </c>
      <c r="J11" s="114">
        <f t="shared" si="1"/>
        <v>0.57411630558722915</v>
      </c>
      <c r="K11" s="111">
        <f>IFERROR(VLOOKUP($B11,MMWR_TRAD_AGG_STATE_COMP[],K$1,0),"ERROR")</f>
        <v>966</v>
      </c>
      <c r="L11" s="112">
        <f>IFERROR(VLOOKUP($B11,MMWR_TRAD_AGG_STATE_COMP[],L$1,0),"ERROR")</f>
        <v>757</v>
      </c>
      <c r="M11" s="114">
        <f t="shared" si="2"/>
        <v>0.78364389233954457</v>
      </c>
      <c r="N11" s="111">
        <f>IFERROR(VLOOKUP($B11,MMWR_TRAD_AGG_STATE_COMP[],N$1,0),"ERROR")</f>
        <v>456</v>
      </c>
      <c r="O11" s="112">
        <f>IFERROR(VLOOKUP($B11,MMWR_TRAD_AGG_STATE_COMP[],O$1,0),"ERROR")</f>
        <v>269</v>
      </c>
      <c r="P11" s="114">
        <f t="shared" si="3"/>
        <v>0.58991228070175439</v>
      </c>
      <c r="Q11" s="115">
        <f>IFERROR(VLOOKUP($B11,MMWR_TRAD_AGG_STATE_COMP[],Q$1,0),"ERROR")</f>
        <v>389</v>
      </c>
      <c r="R11" s="115">
        <f>IFERROR(VLOOKUP($B11,MMWR_TRAD_AGG_STATE_COMP[],R$1,0),"ERROR")</f>
        <v>2</v>
      </c>
      <c r="S11" s="115">
        <f>IFERROR(VLOOKUP($B11,MMWR_APP_STATE_COMP[],S$1,0),"ERROR")</f>
        <v>458</v>
      </c>
      <c r="T11" s="28"/>
    </row>
    <row r="12" spans="1:20" s="123" customFormat="1" x14ac:dyDescent="0.2">
      <c r="A12" s="107"/>
      <c r="B12" s="127" t="s">
        <v>376</v>
      </c>
      <c r="C12" s="109">
        <f>IFERROR(VLOOKUP($B12,MMWR_TRAD_AGG_STATE_COMP[],C$1,0),"ERROR")</f>
        <v>8873</v>
      </c>
      <c r="D12" s="110">
        <f>IFERROR(VLOOKUP($B12,MMWR_TRAD_AGG_STATE_COMP[],D$1,0),"ERROR")</f>
        <v>662.61027837259996</v>
      </c>
      <c r="E12" s="111">
        <f>IFERROR(VLOOKUP($B12,MMWR_TRAD_AGG_STATE_COMP[],E$1,0),"ERROR")</f>
        <v>5924</v>
      </c>
      <c r="F12" s="112">
        <f>IFERROR(VLOOKUP($B12,MMWR_TRAD_AGG_STATE_COMP[],F$1,0),"ERROR")</f>
        <v>1448</v>
      </c>
      <c r="G12" s="113">
        <f t="shared" si="0"/>
        <v>0.24442943956785956</v>
      </c>
      <c r="H12" s="111">
        <f>IFERROR(VLOOKUP($B12,MMWR_TRAD_AGG_STATE_COMP[],H$1,0),"ERROR")</f>
        <v>11513</v>
      </c>
      <c r="I12" s="112">
        <f>IFERROR(VLOOKUP($B12,MMWR_TRAD_AGG_STATE_COMP[],I$1,0),"ERROR")</f>
        <v>8877</v>
      </c>
      <c r="J12" s="114">
        <f t="shared" si="1"/>
        <v>0.77104143142534531</v>
      </c>
      <c r="K12" s="111">
        <f>IFERROR(VLOOKUP($B12,MMWR_TRAD_AGG_STATE_COMP[],K$1,0),"ERROR")</f>
        <v>4306</v>
      </c>
      <c r="L12" s="112">
        <f>IFERROR(VLOOKUP($B12,MMWR_TRAD_AGG_STATE_COMP[],L$1,0),"ERROR")</f>
        <v>3709</v>
      </c>
      <c r="M12" s="114">
        <f t="shared" si="2"/>
        <v>0.86135624709707381</v>
      </c>
      <c r="N12" s="111">
        <f>IFERROR(VLOOKUP($B12,MMWR_TRAD_AGG_STATE_COMP[],N$1,0),"ERROR")</f>
        <v>3233</v>
      </c>
      <c r="O12" s="112">
        <f>IFERROR(VLOOKUP($B12,MMWR_TRAD_AGG_STATE_COMP[],O$1,0),"ERROR")</f>
        <v>2248</v>
      </c>
      <c r="P12" s="114">
        <f t="shared" si="3"/>
        <v>0.6953294154036499</v>
      </c>
      <c r="Q12" s="115">
        <f>IFERROR(VLOOKUP($B12,MMWR_TRAD_AGG_STATE_COMP[],Q$1,0),"ERROR")</f>
        <v>496</v>
      </c>
      <c r="R12" s="115">
        <f>IFERROR(VLOOKUP($B12,MMWR_TRAD_AGG_STATE_COMP[],R$1,0),"ERROR")</f>
        <v>6</v>
      </c>
      <c r="S12" s="115">
        <f>IFERROR(VLOOKUP($B12,MMWR_APP_STATE_COMP[],S$1,0),"ERROR")</f>
        <v>5750</v>
      </c>
      <c r="T12" s="28"/>
    </row>
    <row r="13" spans="1:20" s="123" customFormat="1" x14ac:dyDescent="0.2">
      <c r="A13" s="107"/>
      <c r="B13" s="127" t="s">
        <v>371</v>
      </c>
      <c r="C13" s="109">
        <f>IFERROR(VLOOKUP($B13,MMWR_TRAD_AGG_STATE_COMP[],C$1,0),"ERROR")</f>
        <v>3916</v>
      </c>
      <c r="D13" s="110">
        <f>IFERROR(VLOOKUP($B13,MMWR_TRAD_AGG_STATE_COMP[],D$1,0),"ERROR")</f>
        <v>585.83963227779998</v>
      </c>
      <c r="E13" s="111">
        <f>IFERROR(VLOOKUP($B13,MMWR_TRAD_AGG_STATE_COMP[],E$1,0),"ERROR")</f>
        <v>4332</v>
      </c>
      <c r="F13" s="112">
        <f>IFERROR(VLOOKUP($B13,MMWR_TRAD_AGG_STATE_COMP[],F$1,0),"ERROR")</f>
        <v>968</v>
      </c>
      <c r="G13" s="113">
        <f t="shared" si="0"/>
        <v>0.2234533702677747</v>
      </c>
      <c r="H13" s="111">
        <f>IFERROR(VLOOKUP($B13,MMWR_TRAD_AGG_STATE_COMP[],H$1,0),"ERROR")</f>
        <v>5878</v>
      </c>
      <c r="I13" s="112">
        <f>IFERROR(VLOOKUP($B13,MMWR_TRAD_AGG_STATE_COMP[],I$1,0),"ERROR")</f>
        <v>4255</v>
      </c>
      <c r="J13" s="114">
        <f t="shared" si="1"/>
        <v>0.72388567539979587</v>
      </c>
      <c r="K13" s="111">
        <f>IFERROR(VLOOKUP($B13,MMWR_TRAD_AGG_STATE_COMP[],K$1,0),"ERROR")</f>
        <v>2810</v>
      </c>
      <c r="L13" s="112">
        <f>IFERROR(VLOOKUP($B13,MMWR_TRAD_AGG_STATE_COMP[],L$1,0),"ERROR")</f>
        <v>2283</v>
      </c>
      <c r="M13" s="114">
        <f t="shared" si="2"/>
        <v>0.81245551601423482</v>
      </c>
      <c r="N13" s="111">
        <f>IFERROR(VLOOKUP($B13,MMWR_TRAD_AGG_STATE_COMP[],N$1,0),"ERROR")</f>
        <v>1381</v>
      </c>
      <c r="O13" s="112">
        <f>IFERROR(VLOOKUP($B13,MMWR_TRAD_AGG_STATE_COMP[],O$1,0),"ERROR")</f>
        <v>1053</v>
      </c>
      <c r="P13" s="114">
        <f t="shared" si="3"/>
        <v>0.76249094858797972</v>
      </c>
      <c r="Q13" s="115">
        <f>IFERROR(VLOOKUP($B13,MMWR_TRAD_AGG_STATE_COMP[],Q$1,0),"ERROR")</f>
        <v>835</v>
      </c>
      <c r="R13" s="115">
        <f>IFERROR(VLOOKUP($B13,MMWR_TRAD_AGG_STATE_COMP[],R$1,0),"ERROR")</f>
        <v>12</v>
      </c>
      <c r="S13" s="115">
        <f>IFERROR(VLOOKUP($B13,MMWR_APP_STATE_COMP[],S$1,0),"ERROR")</f>
        <v>3399</v>
      </c>
      <c r="T13" s="28"/>
    </row>
    <row r="14" spans="1:20" s="123" customFormat="1" x14ac:dyDescent="0.2">
      <c r="A14" s="107"/>
      <c r="B14" s="127" t="s">
        <v>415</v>
      </c>
      <c r="C14" s="109">
        <f>IFERROR(VLOOKUP($B14,MMWR_TRAD_AGG_STATE_COMP[],C$1,0),"ERROR")</f>
        <v>1106</v>
      </c>
      <c r="D14" s="110">
        <f>IFERROR(VLOOKUP($B14,MMWR_TRAD_AGG_STATE_COMP[],D$1,0),"ERROR")</f>
        <v>294.8291139241</v>
      </c>
      <c r="E14" s="111">
        <f>IFERROR(VLOOKUP($B14,MMWR_TRAD_AGG_STATE_COMP[],E$1,0),"ERROR")</f>
        <v>1223</v>
      </c>
      <c r="F14" s="112">
        <f>IFERROR(VLOOKUP($B14,MMWR_TRAD_AGG_STATE_COMP[],F$1,0),"ERROR")</f>
        <v>188</v>
      </c>
      <c r="G14" s="113">
        <f t="shared" si="0"/>
        <v>0.15372035977105478</v>
      </c>
      <c r="H14" s="111">
        <f>IFERROR(VLOOKUP($B14,MMWR_TRAD_AGG_STATE_COMP[],H$1,0),"ERROR")</f>
        <v>1686</v>
      </c>
      <c r="I14" s="112">
        <f>IFERROR(VLOOKUP($B14,MMWR_TRAD_AGG_STATE_COMP[],I$1,0),"ERROR")</f>
        <v>1046</v>
      </c>
      <c r="J14" s="114">
        <f t="shared" si="1"/>
        <v>0.62040332147093713</v>
      </c>
      <c r="K14" s="111">
        <f>IFERROR(VLOOKUP($B14,MMWR_TRAD_AGG_STATE_COMP[],K$1,0),"ERROR")</f>
        <v>355</v>
      </c>
      <c r="L14" s="112">
        <f>IFERROR(VLOOKUP($B14,MMWR_TRAD_AGG_STATE_COMP[],L$1,0),"ERROR")</f>
        <v>260</v>
      </c>
      <c r="M14" s="114">
        <f t="shared" si="2"/>
        <v>0.73239436619718312</v>
      </c>
      <c r="N14" s="111">
        <f>IFERROR(VLOOKUP($B14,MMWR_TRAD_AGG_STATE_COMP[],N$1,0),"ERROR")</f>
        <v>319</v>
      </c>
      <c r="O14" s="112">
        <f>IFERROR(VLOOKUP($B14,MMWR_TRAD_AGG_STATE_COMP[],O$1,0),"ERROR")</f>
        <v>179</v>
      </c>
      <c r="P14" s="114">
        <f t="shared" si="3"/>
        <v>0.56112852664576807</v>
      </c>
      <c r="Q14" s="115">
        <f>IFERROR(VLOOKUP($B14,MMWR_TRAD_AGG_STATE_COMP[],Q$1,0),"ERROR")</f>
        <v>199</v>
      </c>
      <c r="R14" s="115">
        <f>IFERROR(VLOOKUP($B14,MMWR_TRAD_AGG_STATE_COMP[],R$1,0),"ERROR")</f>
        <v>4</v>
      </c>
      <c r="S14" s="115">
        <f>IFERROR(VLOOKUP($B14,MMWR_APP_STATE_COMP[],S$1,0),"ERROR")</f>
        <v>620</v>
      </c>
      <c r="T14" s="28"/>
    </row>
    <row r="15" spans="1:20" s="123" customFormat="1" x14ac:dyDescent="0.2">
      <c r="A15" s="107"/>
      <c r="B15" s="127" t="s">
        <v>374</v>
      </c>
      <c r="C15" s="109">
        <f>IFERROR(VLOOKUP($B15,MMWR_TRAD_AGG_STATE_COMP[],C$1,0),"ERROR")</f>
        <v>1812</v>
      </c>
      <c r="D15" s="110">
        <f>IFERROR(VLOOKUP($B15,MMWR_TRAD_AGG_STATE_COMP[],D$1,0),"ERROR")</f>
        <v>387.63024282560002</v>
      </c>
      <c r="E15" s="111">
        <f>IFERROR(VLOOKUP($B15,MMWR_TRAD_AGG_STATE_COMP[],E$1,0),"ERROR")</f>
        <v>4470</v>
      </c>
      <c r="F15" s="112">
        <f>IFERROR(VLOOKUP($B15,MMWR_TRAD_AGG_STATE_COMP[],F$1,0),"ERROR")</f>
        <v>1126</v>
      </c>
      <c r="G15" s="113">
        <f t="shared" si="0"/>
        <v>0.25190156599552571</v>
      </c>
      <c r="H15" s="111">
        <f>IFERROR(VLOOKUP($B15,MMWR_TRAD_AGG_STATE_COMP[],H$1,0),"ERROR")</f>
        <v>3419</v>
      </c>
      <c r="I15" s="112">
        <f>IFERROR(VLOOKUP($B15,MMWR_TRAD_AGG_STATE_COMP[],I$1,0),"ERROR")</f>
        <v>1966</v>
      </c>
      <c r="J15" s="114">
        <f t="shared" si="1"/>
        <v>0.57502193623866626</v>
      </c>
      <c r="K15" s="111">
        <f>IFERROR(VLOOKUP($B15,MMWR_TRAD_AGG_STATE_COMP[],K$1,0),"ERROR")</f>
        <v>1412</v>
      </c>
      <c r="L15" s="112">
        <f>IFERROR(VLOOKUP($B15,MMWR_TRAD_AGG_STATE_COMP[],L$1,0),"ERROR")</f>
        <v>1165</v>
      </c>
      <c r="M15" s="114">
        <f t="shared" si="2"/>
        <v>0.82507082152974509</v>
      </c>
      <c r="N15" s="111">
        <f>IFERROR(VLOOKUP($B15,MMWR_TRAD_AGG_STATE_COMP[],N$1,0),"ERROR")</f>
        <v>2520</v>
      </c>
      <c r="O15" s="112">
        <f>IFERROR(VLOOKUP($B15,MMWR_TRAD_AGG_STATE_COMP[],O$1,0),"ERROR")</f>
        <v>1732</v>
      </c>
      <c r="P15" s="114">
        <f t="shared" si="3"/>
        <v>0.6873015873015873</v>
      </c>
      <c r="Q15" s="115">
        <f>IFERROR(VLOOKUP($B15,MMWR_TRAD_AGG_STATE_COMP[],Q$1,0),"ERROR")</f>
        <v>829</v>
      </c>
      <c r="R15" s="115">
        <f>IFERROR(VLOOKUP($B15,MMWR_TRAD_AGG_STATE_COMP[],R$1,0),"ERROR")</f>
        <v>5</v>
      </c>
      <c r="S15" s="115">
        <f>IFERROR(VLOOKUP($B15,MMWR_APP_STATE_COMP[],S$1,0),"ERROR")</f>
        <v>3956</v>
      </c>
      <c r="T15" s="28"/>
    </row>
    <row r="16" spans="1:20" s="123" customFormat="1" x14ac:dyDescent="0.2">
      <c r="A16" s="107"/>
      <c r="B16" s="127" t="s">
        <v>60</v>
      </c>
      <c r="C16" s="109">
        <f>IFERROR(VLOOKUP($B16,MMWR_TRAD_AGG_STATE_COMP[],C$1,0),"ERROR")</f>
        <v>3726</v>
      </c>
      <c r="D16" s="110">
        <f>IFERROR(VLOOKUP($B16,MMWR_TRAD_AGG_STATE_COMP[],D$1,0),"ERROR")</f>
        <v>314.9165324745</v>
      </c>
      <c r="E16" s="111">
        <f>IFERROR(VLOOKUP($B16,MMWR_TRAD_AGG_STATE_COMP[],E$1,0),"ERROR")</f>
        <v>9270</v>
      </c>
      <c r="F16" s="112">
        <f>IFERROR(VLOOKUP($B16,MMWR_TRAD_AGG_STATE_COMP[],F$1,0),"ERROR")</f>
        <v>2253</v>
      </c>
      <c r="G16" s="113">
        <f t="shared" si="0"/>
        <v>0.243042071197411</v>
      </c>
      <c r="H16" s="111">
        <f>IFERROR(VLOOKUP($B16,MMWR_TRAD_AGG_STATE_COMP[],H$1,0),"ERROR")</f>
        <v>7250</v>
      </c>
      <c r="I16" s="112">
        <f>IFERROR(VLOOKUP($B16,MMWR_TRAD_AGG_STATE_COMP[],I$1,0),"ERROR")</f>
        <v>4047</v>
      </c>
      <c r="J16" s="114">
        <f t="shared" si="1"/>
        <v>0.55820689655172417</v>
      </c>
      <c r="K16" s="111">
        <f>IFERROR(VLOOKUP($B16,MMWR_TRAD_AGG_STATE_COMP[],K$1,0),"ERROR")</f>
        <v>3677</v>
      </c>
      <c r="L16" s="112">
        <f>IFERROR(VLOOKUP($B16,MMWR_TRAD_AGG_STATE_COMP[],L$1,0),"ERROR")</f>
        <v>2947</v>
      </c>
      <c r="M16" s="114">
        <f t="shared" si="2"/>
        <v>0.80146858852325265</v>
      </c>
      <c r="N16" s="111">
        <f>IFERROR(VLOOKUP($B16,MMWR_TRAD_AGG_STATE_COMP[],N$1,0),"ERROR")</f>
        <v>6191</v>
      </c>
      <c r="O16" s="112">
        <f>IFERROR(VLOOKUP($B16,MMWR_TRAD_AGG_STATE_COMP[],O$1,0),"ERROR")</f>
        <v>3004</v>
      </c>
      <c r="P16" s="114">
        <f t="shared" si="3"/>
        <v>0.48522048134388629</v>
      </c>
      <c r="Q16" s="115">
        <f>IFERROR(VLOOKUP($B16,MMWR_TRAD_AGG_STATE_COMP[],Q$1,0),"ERROR")</f>
        <v>1799</v>
      </c>
      <c r="R16" s="115">
        <f>IFERROR(VLOOKUP($B16,MMWR_TRAD_AGG_STATE_COMP[],R$1,0),"ERROR")</f>
        <v>11</v>
      </c>
      <c r="S16" s="115">
        <f>IFERROR(VLOOKUP($B16,MMWR_APP_STATE_COMP[],S$1,0),"ERROR")</f>
        <v>5409</v>
      </c>
      <c r="T16" s="28"/>
    </row>
    <row r="17" spans="1:20" s="123" customFormat="1" x14ac:dyDescent="0.2">
      <c r="A17" s="107"/>
      <c r="B17" s="127" t="s">
        <v>382</v>
      </c>
      <c r="C17" s="109">
        <f>IFERROR(VLOOKUP($B17,MMWR_TRAD_AGG_STATE_COMP[],C$1,0),"ERROR")</f>
        <v>14715</v>
      </c>
      <c r="D17" s="110">
        <f>IFERROR(VLOOKUP($B17,MMWR_TRAD_AGG_STATE_COMP[],D$1,0),"ERROR")</f>
        <v>306.02759089360001</v>
      </c>
      <c r="E17" s="111">
        <f>IFERROR(VLOOKUP($B17,MMWR_TRAD_AGG_STATE_COMP[],E$1,0),"ERROR")</f>
        <v>17471</v>
      </c>
      <c r="F17" s="112">
        <f>IFERROR(VLOOKUP($B17,MMWR_TRAD_AGG_STATE_COMP[],F$1,0),"ERROR")</f>
        <v>4434</v>
      </c>
      <c r="G17" s="113">
        <f t="shared" si="0"/>
        <v>0.25379199816839332</v>
      </c>
      <c r="H17" s="111">
        <f>IFERROR(VLOOKUP($B17,MMWR_TRAD_AGG_STATE_COMP[],H$1,0),"ERROR")</f>
        <v>19292</v>
      </c>
      <c r="I17" s="112">
        <f>IFERROR(VLOOKUP($B17,MMWR_TRAD_AGG_STATE_COMP[],I$1,0),"ERROR")</f>
        <v>13086</v>
      </c>
      <c r="J17" s="114">
        <f t="shared" si="1"/>
        <v>0.67831225378395188</v>
      </c>
      <c r="K17" s="111">
        <f>IFERROR(VLOOKUP($B17,MMWR_TRAD_AGG_STATE_COMP[],K$1,0),"ERROR")</f>
        <v>9255</v>
      </c>
      <c r="L17" s="112">
        <f>IFERROR(VLOOKUP($B17,MMWR_TRAD_AGG_STATE_COMP[],L$1,0),"ERROR")</f>
        <v>7324</v>
      </c>
      <c r="M17" s="114">
        <f t="shared" si="2"/>
        <v>0.79135602377093461</v>
      </c>
      <c r="N17" s="111">
        <f>IFERROR(VLOOKUP($B17,MMWR_TRAD_AGG_STATE_COMP[],N$1,0),"ERROR")</f>
        <v>7723</v>
      </c>
      <c r="O17" s="112">
        <f>IFERROR(VLOOKUP($B17,MMWR_TRAD_AGG_STATE_COMP[],O$1,0),"ERROR")</f>
        <v>5261</v>
      </c>
      <c r="P17" s="114">
        <f t="shared" si="3"/>
        <v>0.68121196426259223</v>
      </c>
      <c r="Q17" s="115">
        <f>IFERROR(VLOOKUP($B17,MMWR_TRAD_AGG_STATE_COMP[],Q$1,0),"ERROR")</f>
        <v>1347</v>
      </c>
      <c r="R17" s="115">
        <f>IFERROR(VLOOKUP($B17,MMWR_TRAD_AGG_STATE_COMP[],R$1,0),"ERROR")</f>
        <v>44</v>
      </c>
      <c r="S17" s="115">
        <f>IFERROR(VLOOKUP($B17,MMWR_APP_STATE_COMP[],S$1,0),"ERROR")</f>
        <v>9604</v>
      </c>
      <c r="T17" s="28"/>
    </row>
    <row r="18" spans="1:20" s="123" customFormat="1" x14ac:dyDescent="0.2">
      <c r="A18" s="107"/>
      <c r="B18" s="127" t="s">
        <v>375</v>
      </c>
      <c r="C18" s="109">
        <f>IFERROR(VLOOKUP($B18,MMWR_TRAD_AGG_STATE_COMP[],C$1,0),"ERROR")</f>
        <v>6206</v>
      </c>
      <c r="D18" s="110">
        <f>IFERROR(VLOOKUP($B18,MMWR_TRAD_AGG_STATE_COMP[],D$1,0),"ERROR")</f>
        <v>460.9827586207</v>
      </c>
      <c r="E18" s="111">
        <f>IFERROR(VLOOKUP($B18,MMWR_TRAD_AGG_STATE_COMP[],E$1,0),"ERROR")</f>
        <v>10123</v>
      </c>
      <c r="F18" s="112">
        <f>IFERROR(VLOOKUP($B18,MMWR_TRAD_AGG_STATE_COMP[],F$1,0),"ERROR")</f>
        <v>2657</v>
      </c>
      <c r="G18" s="113">
        <f t="shared" si="0"/>
        <v>0.26247159932826236</v>
      </c>
      <c r="H18" s="111">
        <f>IFERROR(VLOOKUP($B18,MMWR_TRAD_AGG_STATE_COMP[],H$1,0),"ERROR")</f>
        <v>9866</v>
      </c>
      <c r="I18" s="112">
        <f>IFERROR(VLOOKUP($B18,MMWR_TRAD_AGG_STATE_COMP[],I$1,0),"ERROR")</f>
        <v>7272</v>
      </c>
      <c r="J18" s="114">
        <f t="shared" si="1"/>
        <v>0.73707682951550779</v>
      </c>
      <c r="K18" s="111">
        <f>IFERROR(VLOOKUP($B18,MMWR_TRAD_AGG_STATE_COMP[],K$1,0),"ERROR")</f>
        <v>1875</v>
      </c>
      <c r="L18" s="112">
        <f>IFERROR(VLOOKUP($B18,MMWR_TRAD_AGG_STATE_COMP[],L$1,0),"ERROR")</f>
        <v>1505</v>
      </c>
      <c r="M18" s="114">
        <f t="shared" si="2"/>
        <v>0.80266666666666664</v>
      </c>
      <c r="N18" s="111">
        <f>IFERROR(VLOOKUP($B18,MMWR_TRAD_AGG_STATE_COMP[],N$1,0),"ERROR")</f>
        <v>6600</v>
      </c>
      <c r="O18" s="112">
        <f>IFERROR(VLOOKUP($B18,MMWR_TRAD_AGG_STATE_COMP[],O$1,0),"ERROR")</f>
        <v>5248</v>
      </c>
      <c r="P18" s="114">
        <f t="shared" si="3"/>
        <v>0.79515151515151516</v>
      </c>
      <c r="Q18" s="115">
        <f>IFERROR(VLOOKUP($B18,MMWR_TRAD_AGG_STATE_COMP[],Q$1,0),"ERROR")</f>
        <v>1745</v>
      </c>
      <c r="R18" s="115">
        <f>IFERROR(VLOOKUP($B18,MMWR_TRAD_AGG_STATE_COMP[],R$1,0),"ERROR")</f>
        <v>15</v>
      </c>
      <c r="S18" s="115">
        <f>IFERROR(VLOOKUP($B18,MMWR_APP_STATE_COMP[],S$1,0),"ERROR")</f>
        <v>7446</v>
      </c>
      <c r="T18" s="28"/>
    </row>
    <row r="19" spans="1:20" s="123" customFormat="1" x14ac:dyDescent="0.2">
      <c r="A19" s="107"/>
      <c r="B19" s="127" t="s">
        <v>372</v>
      </c>
      <c r="C19" s="109">
        <f>IFERROR(VLOOKUP($B19,MMWR_TRAD_AGG_STATE_COMP[],C$1,0),"ERROR")</f>
        <v>266</v>
      </c>
      <c r="D19" s="110">
        <f>IFERROR(VLOOKUP($B19,MMWR_TRAD_AGG_STATE_COMP[],D$1,0),"ERROR")</f>
        <v>280.35338345859998</v>
      </c>
      <c r="E19" s="111">
        <f>IFERROR(VLOOKUP($B19,MMWR_TRAD_AGG_STATE_COMP[],E$1,0),"ERROR")</f>
        <v>900</v>
      </c>
      <c r="F19" s="112">
        <f>IFERROR(VLOOKUP($B19,MMWR_TRAD_AGG_STATE_COMP[],F$1,0),"ERROR")</f>
        <v>176</v>
      </c>
      <c r="G19" s="113">
        <f t="shared" si="0"/>
        <v>0.19555555555555557</v>
      </c>
      <c r="H19" s="111">
        <f>IFERROR(VLOOKUP($B19,MMWR_TRAD_AGG_STATE_COMP[],H$1,0),"ERROR")</f>
        <v>539</v>
      </c>
      <c r="I19" s="112">
        <f>IFERROR(VLOOKUP($B19,MMWR_TRAD_AGG_STATE_COMP[],I$1,0),"ERROR")</f>
        <v>237</v>
      </c>
      <c r="J19" s="114">
        <f t="shared" si="1"/>
        <v>0.43970315398886828</v>
      </c>
      <c r="K19" s="111">
        <f>IFERROR(VLOOKUP($B19,MMWR_TRAD_AGG_STATE_COMP[],K$1,0),"ERROR")</f>
        <v>219</v>
      </c>
      <c r="L19" s="112">
        <f>IFERROR(VLOOKUP($B19,MMWR_TRAD_AGG_STATE_COMP[],L$1,0),"ERROR")</f>
        <v>174</v>
      </c>
      <c r="M19" s="114">
        <f t="shared" si="2"/>
        <v>0.79452054794520544</v>
      </c>
      <c r="N19" s="111">
        <f>IFERROR(VLOOKUP($B19,MMWR_TRAD_AGG_STATE_COMP[],N$1,0),"ERROR")</f>
        <v>228</v>
      </c>
      <c r="O19" s="112">
        <f>IFERROR(VLOOKUP($B19,MMWR_TRAD_AGG_STATE_COMP[],O$1,0),"ERROR")</f>
        <v>126</v>
      </c>
      <c r="P19" s="114">
        <f t="shared" si="3"/>
        <v>0.55263157894736847</v>
      </c>
      <c r="Q19" s="115">
        <f>IFERROR(VLOOKUP($B19,MMWR_TRAD_AGG_STATE_COMP[],Q$1,0),"ERROR")</f>
        <v>214</v>
      </c>
      <c r="R19" s="115">
        <f>IFERROR(VLOOKUP($B19,MMWR_TRAD_AGG_STATE_COMP[],R$1,0),"ERROR")</f>
        <v>3</v>
      </c>
      <c r="S19" s="115">
        <f>IFERROR(VLOOKUP($B19,MMWR_APP_STATE_COMP[],S$1,0),"ERROR")</f>
        <v>282</v>
      </c>
      <c r="T19" s="28"/>
    </row>
    <row r="20" spans="1:20" s="123" customFormat="1" x14ac:dyDescent="0.2">
      <c r="A20" s="107"/>
      <c r="B20" s="127" t="s">
        <v>417</v>
      </c>
      <c r="C20" s="109">
        <f>IFERROR(VLOOKUP($B20,MMWR_TRAD_AGG_STATE_COMP[],C$1,0),"ERROR")</f>
        <v>480</v>
      </c>
      <c r="D20" s="110">
        <f>IFERROR(VLOOKUP($B20,MMWR_TRAD_AGG_STATE_COMP[],D$1,0),"ERROR")</f>
        <v>373.99583333330003</v>
      </c>
      <c r="E20" s="111">
        <f>IFERROR(VLOOKUP($B20,MMWR_TRAD_AGG_STATE_COMP[],E$1,0),"ERROR")</f>
        <v>519</v>
      </c>
      <c r="F20" s="112">
        <f>IFERROR(VLOOKUP($B20,MMWR_TRAD_AGG_STATE_COMP[],F$1,0),"ERROR")</f>
        <v>149</v>
      </c>
      <c r="G20" s="113">
        <f t="shared" si="0"/>
        <v>0.28709055876685935</v>
      </c>
      <c r="H20" s="111">
        <f>IFERROR(VLOOKUP($B20,MMWR_TRAD_AGG_STATE_COMP[],H$1,0),"ERROR")</f>
        <v>840</v>
      </c>
      <c r="I20" s="112">
        <f>IFERROR(VLOOKUP($B20,MMWR_TRAD_AGG_STATE_COMP[],I$1,0),"ERROR")</f>
        <v>502</v>
      </c>
      <c r="J20" s="114">
        <f t="shared" si="1"/>
        <v>0.59761904761904761</v>
      </c>
      <c r="K20" s="111">
        <f>IFERROR(VLOOKUP($B20,MMWR_TRAD_AGG_STATE_COMP[],K$1,0),"ERROR")</f>
        <v>225</v>
      </c>
      <c r="L20" s="112">
        <f>IFERROR(VLOOKUP($B20,MMWR_TRAD_AGG_STATE_COMP[],L$1,0),"ERROR")</f>
        <v>146</v>
      </c>
      <c r="M20" s="114">
        <f t="shared" si="2"/>
        <v>0.64888888888888885</v>
      </c>
      <c r="N20" s="111">
        <f>IFERROR(VLOOKUP($B20,MMWR_TRAD_AGG_STATE_COMP[],N$1,0),"ERROR")</f>
        <v>189</v>
      </c>
      <c r="O20" s="112">
        <f>IFERROR(VLOOKUP($B20,MMWR_TRAD_AGG_STATE_COMP[],O$1,0),"ERROR")</f>
        <v>87</v>
      </c>
      <c r="P20" s="114">
        <f t="shared" si="3"/>
        <v>0.46031746031746029</v>
      </c>
      <c r="Q20" s="115">
        <f>IFERROR(VLOOKUP($B20,MMWR_TRAD_AGG_STATE_COMP[],Q$1,0),"ERROR")</f>
        <v>70</v>
      </c>
      <c r="R20" s="115">
        <f>IFERROR(VLOOKUP($B20,MMWR_TRAD_AGG_STATE_COMP[],R$1,0),"ERROR")</f>
        <v>1</v>
      </c>
      <c r="S20" s="115">
        <f>IFERROR(VLOOKUP($B20,MMWR_APP_STATE_COMP[],S$1,0),"ERROR")</f>
        <v>110</v>
      </c>
      <c r="T20" s="28"/>
    </row>
    <row r="21" spans="1:20" s="123" customFormat="1" x14ac:dyDescent="0.2">
      <c r="A21" s="107"/>
      <c r="B21" s="127" t="s">
        <v>378</v>
      </c>
      <c r="C21" s="109">
        <f>IFERROR(VLOOKUP($B21,MMWR_TRAD_AGG_STATE_COMP[],C$1,0),"ERROR")</f>
        <v>17426</v>
      </c>
      <c r="D21" s="110">
        <f>IFERROR(VLOOKUP($B21,MMWR_TRAD_AGG_STATE_COMP[],D$1,0),"ERROR")</f>
        <v>385.4271203948</v>
      </c>
      <c r="E21" s="111">
        <f>IFERROR(VLOOKUP($B21,MMWR_TRAD_AGG_STATE_COMP[],E$1,0),"ERROR")</f>
        <v>11770</v>
      </c>
      <c r="F21" s="112">
        <f>IFERROR(VLOOKUP($B21,MMWR_TRAD_AGG_STATE_COMP[],F$1,0),"ERROR")</f>
        <v>2178</v>
      </c>
      <c r="G21" s="113">
        <f t="shared" si="0"/>
        <v>0.18504672897196262</v>
      </c>
      <c r="H21" s="111">
        <f>IFERROR(VLOOKUP($B21,MMWR_TRAD_AGG_STATE_COMP[],H$1,0),"ERROR")</f>
        <v>22026</v>
      </c>
      <c r="I21" s="112">
        <f>IFERROR(VLOOKUP($B21,MMWR_TRAD_AGG_STATE_COMP[],I$1,0),"ERROR")</f>
        <v>14471</v>
      </c>
      <c r="J21" s="114">
        <f t="shared" si="1"/>
        <v>0.65699627712703168</v>
      </c>
      <c r="K21" s="111">
        <f>IFERROR(VLOOKUP($B21,MMWR_TRAD_AGG_STATE_COMP[],K$1,0),"ERROR")</f>
        <v>9026</v>
      </c>
      <c r="L21" s="112">
        <f>IFERROR(VLOOKUP($B21,MMWR_TRAD_AGG_STATE_COMP[],L$1,0),"ERROR")</f>
        <v>7562</v>
      </c>
      <c r="M21" s="114">
        <f t="shared" si="2"/>
        <v>0.83780190560602708</v>
      </c>
      <c r="N21" s="111">
        <f>IFERROR(VLOOKUP($B21,MMWR_TRAD_AGG_STATE_COMP[],N$1,0),"ERROR")</f>
        <v>7893</v>
      </c>
      <c r="O21" s="112">
        <f>IFERROR(VLOOKUP($B21,MMWR_TRAD_AGG_STATE_COMP[],O$1,0),"ERROR")</f>
        <v>5797</v>
      </c>
      <c r="P21" s="114">
        <f t="shared" si="3"/>
        <v>0.73444824528062835</v>
      </c>
      <c r="Q21" s="115">
        <f>IFERROR(VLOOKUP($B21,MMWR_TRAD_AGG_STATE_COMP[],Q$1,0),"ERROR")</f>
        <v>1139</v>
      </c>
      <c r="R21" s="115">
        <f>IFERROR(VLOOKUP($B21,MMWR_TRAD_AGG_STATE_COMP[],R$1,0),"ERROR")</f>
        <v>21</v>
      </c>
      <c r="S21" s="115">
        <f>IFERROR(VLOOKUP($B21,MMWR_APP_STATE_COMP[],S$1,0),"ERROR")</f>
        <v>15304</v>
      </c>
      <c r="T21" s="28"/>
    </row>
    <row r="22" spans="1:20" s="123" customFormat="1" x14ac:dyDescent="0.2">
      <c r="A22" s="107"/>
      <c r="B22" s="127" t="s">
        <v>379</v>
      </c>
      <c r="C22" s="109">
        <f>IFERROR(VLOOKUP($B22,MMWR_TRAD_AGG_STATE_COMP[],C$1,0),"ERROR")</f>
        <v>2052</v>
      </c>
      <c r="D22" s="110">
        <f>IFERROR(VLOOKUP($B22,MMWR_TRAD_AGG_STATE_COMP[],D$1,0),"ERROR")</f>
        <v>313.57943469790001</v>
      </c>
      <c r="E22" s="111">
        <f>IFERROR(VLOOKUP($B22,MMWR_TRAD_AGG_STATE_COMP[],E$1,0),"ERROR")</f>
        <v>2685</v>
      </c>
      <c r="F22" s="112">
        <f>IFERROR(VLOOKUP($B22,MMWR_TRAD_AGG_STATE_COMP[],F$1,0),"ERROR")</f>
        <v>488</v>
      </c>
      <c r="G22" s="113">
        <f t="shared" si="0"/>
        <v>0.18175046554934823</v>
      </c>
      <c r="H22" s="111">
        <f>IFERROR(VLOOKUP($B22,MMWR_TRAD_AGG_STATE_COMP[],H$1,0),"ERROR")</f>
        <v>3217</v>
      </c>
      <c r="I22" s="112">
        <f>IFERROR(VLOOKUP($B22,MMWR_TRAD_AGG_STATE_COMP[],I$1,0),"ERROR")</f>
        <v>2190</v>
      </c>
      <c r="J22" s="114">
        <f t="shared" si="1"/>
        <v>0.68075847062480577</v>
      </c>
      <c r="K22" s="111">
        <f>IFERROR(VLOOKUP($B22,MMWR_TRAD_AGG_STATE_COMP[],K$1,0),"ERROR")</f>
        <v>465</v>
      </c>
      <c r="L22" s="112">
        <f>IFERROR(VLOOKUP($B22,MMWR_TRAD_AGG_STATE_COMP[],L$1,0),"ERROR")</f>
        <v>333</v>
      </c>
      <c r="M22" s="114">
        <f t="shared" si="2"/>
        <v>0.71612903225806457</v>
      </c>
      <c r="N22" s="111">
        <f>IFERROR(VLOOKUP($B22,MMWR_TRAD_AGG_STATE_COMP[],N$1,0),"ERROR")</f>
        <v>1480</v>
      </c>
      <c r="O22" s="112">
        <f>IFERROR(VLOOKUP($B22,MMWR_TRAD_AGG_STATE_COMP[],O$1,0),"ERROR")</f>
        <v>1010</v>
      </c>
      <c r="P22" s="114">
        <f t="shared" si="3"/>
        <v>0.68243243243243246</v>
      </c>
      <c r="Q22" s="115">
        <f>IFERROR(VLOOKUP($B22,MMWR_TRAD_AGG_STATE_COMP[],Q$1,0),"ERROR")</f>
        <v>382</v>
      </c>
      <c r="R22" s="115">
        <f>IFERROR(VLOOKUP($B22,MMWR_TRAD_AGG_STATE_COMP[],R$1,0),"ERROR")</f>
        <v>11</v>
      </c>
      <c r="S22" s="115">
        <f>IFERROR(VLOOKUP($B22,MMWR_APP_STATE_COMP[],S$1,0),"ERROR")</f>
        <v>2426</v>
      </c>
      <c r="T22" s="28"/>
    </row>
    <row r="23" spans="1:20" s="123" customFormat="1" x14ac:dyDescent="0.2">
      <c r="A23" s="107"/>
      <c r="B23" s="126" t="s">
        <v>390</v>
      </c>
      <c r="C23" s="102">
        <f>IF(SUM(C24:C35)&lt;&gt;VLOOKUP($B23,MMWR_TRAD_AGG_ST_DISTRICT_COMP[],C$1,0),"ERROR",
VLOOKUP($B23,MMWR_TRAD_AGG_ST_DISTRICT_COMP[],C$1,0))</f>
        <v>31738</v>
      </c>
      <c r="D23" s="103">
        <f>IFERROR(VLOOKUP($B23,MMWR_TRAD_AGG_ST_DISTRICT_COMP[],D$1,0),"ERROR")</f>
        <v>381.44429390639999</v>
      </c>
      <c r="E23" s="102">
        <f>IF(SUM(E24:E35)&lt;&gt;VLOOKUP($B23,MMWR_TRAD_AGG_ST_DISTRICT_COMP[],E$1,0),"ERROR",
VLOOKUP($B23,MMWR_TRAD_AGG_ST_DISTRICT_COMP[],E$1,0))</f>
        <v>50615</v>
      </c>
      <c r="F23" s="102">
        <f>IF(SUM(F24:F35)&lt;&gt;VLOOKUP($B23,MMWR_TRAD_AGG_ST_DISTRICT_COMP[],F$1,0),"ERROR",
VLOOKUP($B23,MMWR_TRAD_AGG_ST_DISTRICT_COMP[],F$1,0))</f>
        <v>9977</v>
      </c>
      <c r="G23" s="104">
        <f t="shared" si="0"/>
        <v>0.19711547960090883</v>
      </c>
      <c r="H23" s="102">
        <f>IF(SUM(H24:H35)&lt;&gt;VLOOKUP($B23,MMWR_TRAD_AGG_ST_DISTRICT_COMP[],H$1,0),"ERROR",
VLOOKUP($B23,MMWR_TRAD_AGG_ST_DISTRICT_COMP[],H$1,0))</f>
        <v>50779</v>
      </c>
      <c r="I23" s="102">
        <f>IF(SUM(I24:I35)&lt;&gt;VLOOKUP($B23,MMWR_TRAD_AGG_ST_DISTRICT_COMP[],I$1,0),"ERROR",
VLOOKUP($B23,MMWR_TRAD_AGG_ST_DISTRICT_COMP[],I$1,0))</f>
        <v>30876</v>
      </c>
      <c r="J23" s="105">
        <f t="shared" si="1"/>
        <v>0.60804663345083598</v>
      </c>
      <c r="K23" s="102">
        <f>IF(SUM(K24:K35)&lt;&gt;VLOOKUP($B23,MMWR_TRAD_AGG_ST_DISTRICT_COMP[],K$1,0),"ERROR",
VLOOKUP($B23,MMWR_TRAD_AGG_ST_DISTRICT_COMP[],K$1,0))</f>
        <v>17191</v>
      </c>
      <c r="L23" s="102">
        <f>IF(SUM(L24:L35)&lt;&gt;VLOOKUP($B23,MMWR_TRAD_AGG_ST_DISTRICT_COMP[],L$1,0),"ERROR",
VLOOKUP($B23,MMWR_TRAD_AGG_ST_DISTRICT_COMP[],L$1,0))</f>
        <v>13914</v>
      </c>
      <c r="M23" s="105">
        <f t="shared" si="2"/>
        <v>0.80937699959281018</v>
      </c>
      <c r="N23" s="102">
        <f>IF(SUM(N24:N35)&lt;&gt;VLOOKUP($B23,MMWR_TRAD_AGG_ST_DISTRICT_COMP[],N$1,0),"ERROR",
VLOOKUP($B23,MMWR_TRAD_AGG_ST_DISTRICT_COMP[],N$1,0))</f>
        <v>24107</v>
      </c>
      <c r="O23" s="102">
        <f>IF(SUM(O24:O35)&lt;&gt;VLOOKUP($B23,MMWR_TRAD_AGG_ST_DISTRICT_COMP[],O$1,0),"ERROR",
VLOOKUP($B23,MMWR_TRAD_AGG_ST_DISTRICT_COMP[],O$1,0))</f>
        <v>15218</v>
      </c>
      <c r="P23" s="105">
        <f t="shared" si="3"/>
        <v>0.63126892603808027</v>
      </c>
      <c r="Q23" s="102">
        <f>IF(SUM(Q24:Q35)&lt;&gt;VLOOKUP($B23,MMWR_TRAD_AGG_ST_DISTRICT_COMP[],Q$1,0),"ERROR",
VLOOKUP($B23,MMWR_TRAD_AGG_ST_DISTRICT_COMP[],Q$1,0))</f>
        <v>5516</v>
      </c>
      <c r="R23" s="102">
        <f>IF(SUM(R24:R35)&lt;&gt;VLOOKUP($B23,MMWR_TRAD_AGG_ST_DISTRICT_COMP[],R$1,0),"ERROR",
VLOOKUP($B23,MMWR_TRAD_AGG_ST_DISTRICT_COMP[],R$1,0))</f>
        <v>1099</v>
      </c>
      <c r="S23" s="106">
        <f>SUM(S24:S35)</f>
        <v>51553</v>
      </c>
      <c r="T23" s="28"/>
    </row>
    <row r="24" spans="1:20" s="123" customFormat="1" x14ac:dyDescent="0.2">
      <c r="A24" s="92"/>
      <c r="B24" s="127" t="s">
        <v>394</v>
      </c>
      <c r="C24" s="109">
        <f>IFERROR(VLOOKUP($B24,MMWR_TRAD_AGG_STATE_COMP[],C$1,0),"ERROR")</f>
        <v>5640</v>
      </c>
      <c r="D24" s="110">
        <f>IFERROR(VLOOKUP($B24,MMWR_TRAD_AGG_STATE_COMP[],D$1,0),"ERROR")</f>
        <v>474.5056737589</v>
      </c>
      <c r="E24" s="111">
        <f>IFERROR(VLOOKUP($B24,MMWR_TRAD_AGG_STATE_COMP[],E$1,0),"ERROR")</f>
        <v>7257</v>
      </c>
      <c r="F24" s="112">
        <f>IFERROR(VLOOKUP($B24,MMWR_TRAD_AGG_STATE_COMP[],F$1,0),"ERROR")</f>
        <v>1618</v>
      </c>
      <c r="G24" s="113">
        <f t="shared" si="0"/>
        <v>0.22295714482568554</v>
      </c>
      <c r="H24" s="111">
        <f>IFERROR(VLOOKUP($B24,MMWR_TRAD_AGG_STATE_COMP[],H$1,0),"ERROR")</f>
        <v>8200</v>
      </c>
      <c r="I24" s="112">
        <f>IFERROR(VLOOKUP($B24,MMWR_TRAD_AGG_STATE_COMP[],I$1,0),"ERROR")</f>
        <v>5507</v>
      </c>
      <c r="J24" s="114">
        <f t="shared" si="1"/>
        <v>0.67158536585365858</v>
      </c>
      <c r="K24" s="111">
        <f>IFERROR(VLOOKUP($B24,MMWR_TRAD_AGG_STATE_COMP[],K$1,0),"ERROR")</f>
        <v>2398</v>
      </c>
      <c r="L24" s="112">
        <f>IFERROR(VLOOKUP($B24,MMWR_TRAD_AGG_STATE_COMP[],L$1,0),"ERROR")</f>
        <v>2108</v>
      </c>
      <c r="M24" s="114">
        <f t="shared" si="2"/>
        <v>0.87906588824020016</v>
      </c>
      <c r="N24" s="111">
        <f>IFERROR(VLOOKUP($B24,MMWR_TRAD_AGG_STATE_COMP[],N$1,0),"ERROR")</f>
        <v>3409</v>
      </c>
      <c r="O24" s="112">
        <f>IFERROR(VLOOKUP($B24,MMWR_TRAD_AGG_STATE_COMP[],O$1,0),"ERROR")</f>
        <v>2028</v>
      </c>
      <c r="P24" s="114">
        <f t="shared" si="3"/>
        <v>0.59489586388970372</v>
      </c>
      <c r="Q24" s="115">
        <f>IFERROR(VLOOKUP($B24,MMWR_TRAD_AGG_STATE_COMP[],Q$1,0),"ERROR")</f>
        <v>1011</v>
      </c>
      <c r="R24" s="115">
        <f>IFERROR(VLOOKUP($B24,MMWR_TRAD_AGG_STATE_COMP[],R$1,0),"ERROR")</f>
        <v>216</v>
      </c>
      <c r="S24" s="115">
        <f>IFERROR(VLOOKUP($B24,MMWR_APP_STATE_COMP[],S$1,0),"ERROR")</f>
        <v>8423</v>
      </c>
      <c r="T24" s="28"/>
    </row>
    <row r="25" spans="1:20" s="123" customFormat="1" x14ac:dyDescent="0.2">
      <c r="A25" s="107"/>
      <c r="B25" s="127" t="s">
        <v>392</v>
      </c>
      <c r="C25" s="109">
        <f>IFERROR(VLOOKUP($B25,MMWR_TRAD_AGG_STATE_COMP[],C$1,0),"ERROR")</f>
        <v>5276</v>
      </c>
      <c r="D25" s="110">
        <f>IFERROR(VLOOKUP($B25,MMWR_TRAD_AGG_STATE_COMP[],D$1,0),"ERROR")</f>
        <v>631.46777862019997</v>
      </c>
      <c r="E25" s="111">
        <f>IFERROR(VLOOKUP($B25,MMWR_TRAD_AGG_STATE_COMP[],E$1,0),"ERROR")</f>
        <v>4801</v>
      </c>
      <c r="F25" s="112">
        <f>IFERROR(VLOOKUP($B25,MMWR_TRAD_AGG_STATE_COMP[],F$1,0),"ERROR")</f>
        <v>886</v>
      </c>
      <c r="G25" s="113">
        <f t="shared" si="0"/>
        <v>0.18454488648198292</v>
      </c>
      <c r="H25" s="111">
        <f>IFERROR(VLOOKUP($B25,MMWR_TRAD_AGG_STATE_COMP[],H$1,0),"ERROR")</f>
        <v>8496</v>
      </c>
      <c r="I25" s="112">
        <f>IFERROR(VLOOKUP($B25,MMWR_TRAD_AGG_STATE_COMP[],I$1,0),"ERROR")</f>
        <v>6472</v>
      </c>
      <c r="J25" s="114">
        <f t="shared" si="1"/>
        <v>0.76177024482109224</v>
      </c>
      <c r="K25" s="111">
        <f>IFERROR(VLOOKUP($B25,MMWR_TRAD_AGG_STATE_COMP[],K$1,0),"ERROR")</f>
        <v>2902</v>
      </c>
      <c r="L25" s="112">
        <f>IFERROR(VLOOKUP($B25,MMWR_TRAD_AGG_STATE_COMP[],L$1,0),"ERROR")</f>
        <v>2515</v>
      </c>
      <c r="M25" s="114">
        <f t="shared" si="2"/>
        <v>0.8666436940041351</v>
      </c>
      <c r="N25" s="111">
        <f>IFERROR(VLOOKUP($B25,MMWR_TRAD_AGG_STATE_COMP[],N$1,0),"ERROR")</f>
        <v>3030</v>
      </c>
      <c r="O25" s="112">
        <f>IFERROR(VLOOKUP($B25,MMWR_TRAD_AGG_STATE_COMP[],O$1,0),"ERROR")</f>
        <v>2255</v>
      </c>
      <c r="P25" s="114">
        <f t="shared" si="3"/>
        <v>0.74422442244224418</v>
      </c>
      <c r="Q25" s="115">
        <f>IFERROR(VLOOKUP($B25,MMWR_TRAD_AGG_STATE_COMP[],Q$1,0),"ERROR")</f>
        <v>769</v>
      </c>
      <c r="R25" s="115">
        <f>IFERROR(VLOOKUP($B25,MMWR_TRAD_AGG_STATE_COMP[],R$1,0),"ERROR")</f>
        <v>227</v>
      </c>
      <c r="S25" s="115">
        <f>IFERROR(VLOOKUP($B25,MMWR_APP_STATE_COMP[],S$1,0),"ERROR")</f>
        <v>8192</v>
      </c>
      <c r="T25" s="28"/>
    </row>
    <row r="26" spans="1:20" s="123" customFormat="1" x14ac:dyDescent="0.2">
      <c r="A26" s="107"/>
      <c r="B26" s="127" t="s">
        <v>399</v>
      </c>
      <c r="C26" s="109">
        <f>IFERROR(VLOOKUP($B26,MMWR_TRAD_AGG_STATE_COMP[],C$1,0),"ERROR")</f>
        <v>911</v>
      </c>
      <c r="D26" s="110">
        <f>IFERROR(VLOOKUP($B26,MMWR_TRAD_AGG_STATE_COMP[],D$1,0),"ERROR")</f>
        <v>215.04171240400001</v>
      </c>
      <c r="E26" s="111">
        <f>IFERROR(VLOOKUP($B26,MMWR_TRAD_AGG_STATE_COMP[],E$1,0),"ERROR")</f>
        <v>2465</v>
      </c>
      <c r="F26" s="112">
        <f>IFERROR(VLOOKUP($B26,MMWR_TRAD_AGG_STATE_COMP[],F$1,0),"ERROR")</f>
        <v>395</v>
      </c>
      <c r="G26" s="113">
        <f t="shared" si="0"/>
        <v>0.16024340770791076</v>
      </c>
      <c r="H26" s="111">
        <f>IFERROR(VLOOKUP($B26,MMWR_TRAD_AGG_STATE_COMP[],H$1,0),"ERROR")</f>
        <v>1332</v>
      </c>
      <c r="I26" s="112">
        <f>IFERROR(VLOOKUP($B26,MMWR_TRAD_AGG_STATE_COMP[],I$1,0),"ERROR")</f>
        <v>506</v>
      </c>
      <c r="J26" s="114">
        <f t="shared" si="1"/>
        <v>0.37987987987987987</v>
      </c>
      <c r="K26" s="111">
        <f>IFERROR(VLOOKUP($B26,MMWR_TRAD_AGG_STATE_COMP[],K$1,0),"ERROR")</f>
        <v>316</v>
      </c>
      <c r="L26" s="112">
        <f>IFERROR(VLOOKUP($B26,MMWR_TRAD_AGG_STATE_COMP[],L$1,0),"ERROR")</f>
        <v>207</v>
      </c>
      <c r="M26" s="114">
        <f t="shared" si="2"/>
        <v>0.65506329113924056</v>
      </c>
      <c r="N26" s="111">
        <f>IFERROR(VLOOKUP($B26,MMWR_TRAD_AGG_STATE_COMP[],N$1,0),"ERROR")</f>
        <v>527</v>
      </c>
      <c r="O26" s="112">
        <f>IFERROR(VLOOKUP($B26,MMWR_TRAD_AGG_STATE_COMP[],O$1,0),"ERROR")</f>
        <v>296</v>
      </c>
      <c r="P26" s="114">
        <f t="shared" si="3"/>
        <v>0.56166982922201136</v>
      </c>
      <c r="Q26" s="115">
        <f>IFERROR(VLOOKUP($B26,MMWR_TRAD_AGG_STATE_COMP[],Q$1,0),"ERROR")</f>
        <v>3</v>
      </c>
      <c r="R26" s="115">
        <f>IFERROR(VLOOKUP($B26,MMWR_TRAD_AGG_STATE_COMP[],R$1,0),"ERROR")</f>
        <v>9</v>
      </c>
      <c r="S26" s="115">
        <f>IFERROR(VLOOKUP($B26,MMWR_APP_STATE_COMP[],S$1,0),"ERROR")</f>
        <v>1499</v>
      </c>
      <c r="T26" s="28"/>
    </row>
    <row r="27" spans="1:20" s="123" customFormat="1" x14ac:dyDescent="0.2">
      <c r="A27" s="107"/>
      <c r="B27" s="127" t="s">
        <v>422</v>
      </c>
      <c r="C27" s="109">
        <f>IFERROR(VLOOKUP($B27,MMWR_TRAD_AGG_STATE_COMP[],C$1,0),"ERROR")</f>
        <v>1704</v>
      </c>
      <c r="D27" s="110">
        <f>IFERROR(VLOOKUP($B27,MMWR_TRAD_AGG_STATE_COMP[],D$1,0),"ERROR")</f>
        <v>230.83215962439999</v>
      </c>
      <c r="E27" s="111">
        <f>IFERROR(VLOOKUP($B27,MMWR_TRAD_AGG_STATE_COMP[],E$1,0),"ERROR")</f>
        <v>2286</v>
      </c>
      <c r="F27" s="112">
        <f>IFERROR(VLOOKUP($B27,MMWR_TRAD_AGG_STATE_COMP[],F$1,0),"ERROR")</f>
        <v>348</v>
      </c>
      <c r="G27" s="113">
        <f t="shared" si="0"/>
        <v>0.15223097112860892</v>
      </c>
      <c r="H27" s="111">
        <f>IFERROR(VLOOKUP($B27,MMWR_TRAD_AGG_STATE_COMP[],H$1,0),"ERROR")</f>
        <v>2473</v>
      </c>
      <c r="I27" s="112">
        <f>IFERROR(VLOOKUP($B27,MMWR_TRAD_AGG_STATE_COMP[],I$1,0),"ERROR")</f>
        <v>1257</v>
      </c>
      <c r="J27" s="114">
        <f t="shared" si="1"/>
        <v>0.50828952689041651</v>
      </c>
      <c r="K27" s="111">
        <f>IFERROR(VLOOKUP($B27,MMWR_TRAD_AGG_STATE_COMP[],K$1,0),"ERROR")</f>
        <v>1040</v>
      </c>
      <c r="L27" s="112">
        <f>IFERROR(VLOOKUP($B27,MMWR_TRAD_AGG_STATE_COMP[],L$1,0),"ERROR")</f>
        <v>613</v>
      </c>
      <c r="M27" s="114">
        <f t="shared" si="2"/>
        <v>0.58942307692307694</v>
      </c>
      <c r="N27" s="111">
        <f>IFERROR(VLOOKUP($B27,MMWR_TRAD_AGG_STATE_COMP[],N$1,0),"ERROR")</f>
        <v>821</v>
      </c>
      <c r="O27" s="112">
        <f>IFERROR(VLOOKUP($B27,MMWR_TRAD_AGG_STATE_COMP[],O$1,0),"ERROR")</f>
        <v>445</v>
      </c>
      <c r="P27" s="114">
        <f t="shared" si="3"/>
        <v>0.54202192448233866</v>
      </c>
      <c r="Q27" s="115">
        <f>IFERROR(VLOOKUP($B27,MMWR_TRAD_AGG_STATE_COMP[],Q$1,0),"ERROR")</f>
        <v>5</v>
      </c>
      <c r="R27" s="115">
        <f>IFERROR(VLOOKUP($B27,MMWR_TRAD_AGG_STATE_COMP[],R$1,0),"ERROR")</f>
        <v>13</v>
      </c>
      <c r="S27" s="115">
        <f>IFERROR(VLOOKUP($B27,MMWR_APP_STATE_COMP[],S$1,0),"ERROR")</f>
        <v>1358</v>
      </c>
      <c r="T27" s="28"/>
    </row>
    <row r="28" spans="1:20" s="123" customFormat="1" x14ac:dyDescent="0.2">
      <c r="A28" s="107"/>
      <c r="B28" s="127" t="s">
        <v>395</v>
      </c>
      <c r="C28" s="109">
        <f>IFERROR(VLOOKUP($B28,MMWR_TRAD_AGG_STATE_COMP[],C$1,0),"ERROR")</f>
        <v>3604</v>
      </c>
      <c r="D28" s="110">
        <f>IFERROR(VLOOKUP($B28,MMWR_TRAD_AGG_STATE_COMP[],D$1,0),"ERROR")</f>
        <v>349.9209211987</v>
      </c>
      <c r="E28" s="111">
        <f>IFERROR(VLOOKUP($B28,MMWR_TRAD_AGG_STATE_COMP[],E$1,0),"ERROR")</f>
        <v>7890</v>
      </c>
      <c r="F28" s="112">
        <f>IFERROR(VLOOKUP($B28,MMWR_TRAD_AGG_STATE_COMP[],F$1,0),"ERROR")</f>
        <v>2113</v>
      </c>
      <c r="G28" s="113">
        <f t="shared" si="0"/>
        <v>0.26780735107731307</v>
      </c>
      <c r="H28" s="111">
        <f>IFERROR(VLOOKUP($B28,MMWR_TRAD_AGG_STATE_COMP[],H$1,0),"ERROR")</f>
        <v>6728</v>
      </c>
      <c r="I28" s="112">
        <f>IFERROR(VLOOKUP($B28,MMWR_TRAD_AGG_STATE_COMP[],I$1,0),"ERROR")</f>
        <v>4235</v>
      </c>
      <c r="J28" s="114">
        <f t="shared" si="1"/>
        <v>0.62945897740784784</v>
      </c>
      <c r="K28" s="111">
        <f>IFERROR(VLOOKUP($B28,MMWR_TRAD_AGG_STATE_COMP[],K$1,0),"ERROR")</f>
        <v>1786</v>
      </c>
      <c r="L28" s="112">
        <f>IFERROR(VLOOKUP($B28,MMWR_TRAD_AGG_STATE_COMP[],L$1,0),"ERROR")</f>
        <v>1435</v>
      </c>
      <c r="M28" s="114">
        <f t="shared" si="2"/>
        <v>0.80347144456886899</v>
      </c>
      <c r="N28" s="111">
        <f>IFERROR(VLOOKUP($B28,MMWR_TRAD_AGG_STATE_COMP[],N$1,0),"ERROR")</f>
        <v>3152</v>
      </c>
      <c r="O28" s="112">
        <f>IFERROR(VLOOKUP($B28,MMWR_TRAD_AGG_STATE_COMP[],O$1,0),"ERROR")</f>
        <v>1456</v>
      </c>
      <c r="P28" s="114">
        <f t="shared" si="3"/>
        <v>0.46192893401015228</v>
      </c>
      <c r="Q28" s="115">
        <f>IFERROR(VLOOKUP($B28,MMWR_TRAD_AGG_STATE_COMP[],Q$1,0),"ERROR")</f>
        <v>1037</v>
      </c>
      <c r="R28" s="115">
        <f>IFERROR(VLOOKUP($B28,MMWR_TRAD_AGG_STATE_COMP[],R$1,0),"ERROR")</f>
        <v>221</v>
      </c>
      <c r="S28" s="115">
        <f>IFERROR(VLOOKUP($B28,MMWR_APP_STATE_COMP[],S$1,0),"ERROR")</f>
        <v>5467</v>
      </c>
      <c r="T28" s="28"/>
    </row>
    <row r="29" spans="1:20" s="123" customFormat="1" x14ac:dyDescent="0.2">
      <c r="A29" s="107"/>
      <c r="B29" s="127" t="s">
        <v>401</v>
      </c>
      <c r="C29" s="109">
        <f>IFERROR(VLOOKUP($B29,MMWR_TRAD_AGG_STATE_COMP[],C$1,0),"ERROR")</f>
        <v>1577</v>
      </c>
      <c r="D29" s="110">
        <f>IFERROR(VLOOKUP($B29,MMWR_TRAD_AGG_STATE_COMP[],D$1,0),"ERROR")</f>
        <v>193.33164235890001</v>
      </c>
      <c r="E29" s="111">
        <f>IFERROR(VLOOKUP($B29,MMWR_TRAD_AGG_STATE_COMP[],E$1,0),"ERROR")</f>
        <v>4616</v>
      </c>
      <c r="F29" s="112">
        <f>IFERROR(VLOOKUP($B29,MMWR_TRAD_AGG_STATE_COMP[],F$1,0),"ERROR")</f>
        <v>707</v>
      </c>
      <c r="G29" s="113">
        <f t="shared" si="0"/>
        <v>0.15316291161178511</v>
      </c>
      <c r="H29" s="111">
        <f>IFERROR(VLOOKUP($B29,MMWR_TRAD_AGG_STATE_COMP[],H$1,0),"ERROR")</f>
        <v>2613</v>
      </c>
      <c r="I29" s="112">
        <f>IFERROR(VLOOKUP($B29,MMWR_TRAD_AGG_STATE_COMP[],I$1,0),"ERROR")</f>
        <v>1079</v>
      </c>
      <c r="J29" s="114">
        <f t="shared" si="1"/>
        <v>0.41293532338308458</v>
      </c>
      <c r="K29" s="111">
        <f>IFERROR(VLOOKUP($B29,MMWR_TRAD_AGG_STATE_COMP[],K$1,0),"ERROR")</f>
        <v>890</v>
      </c>
      <c r="L29" s="112">
        <f>IFERROR(VLOOKUP($B29,MMWR_TRAD_AGG_STATE_COMP[],L$1,0),"ERROR")</f>
        <v>545</v>
      </c>
      <c r="M29" s="114">
        <f t="shared" si="2"/>
        <v>0.61235955056179781</v>
      </c>
      <c r="N29" s="111">
        <f>IFERROR(VLOOKUP($B29,MMWR_TRAD_AGG_STATE_COMP[],N$1,0),"ERROR")</f>
        <v>1230</v>
      </c>
      <c r="O29" s="112">
        <f>IFERROR(VLOOKUP($B29,MMWR_TRAD_AGG_STATE_COMP[],O$1,0),"ERROR")</f>
        <v>747</v>
      </c>
      <c r="P29" s="114">
        <f t="shared" si="3"/>
        <v>0.60731707317073169</v>
      </c>
      <c r="Q29" s="115">
        <f>IFERROR(VLOOKUP($B29,MMWR_TRAD_AGG_STATE_COMP[],Q$1,0),"ERROR")</f>
        <v>6</v>
      </c>
      <c r="R29" s="115">
        <f>IFERROR(VLOOKUP($B29,MMWR_TRAD_AGG_STATE_COMP[],R$1,0),"ERROR")</f>
        <v>4</v>
      </c>
      <c r="S29" s="115">
        <f>IFERROR(VLOOKUP($B29,MMWR_APP_STATE_COMP[],S$1,0),"ERROR")</f>
        <v>2285</v>
      </c>
      <c r="T29" s="28"/>
    </row>
    <row r="30" spans="1:20" s="123" customFormat="1" x14ac:dyDescent="0.2">
      <c r="A30" s="107"/>
      <c r="B30" s="127" t="s">
        <v>397</v>
      </c>
      <c r="C30" s="109">
        <f>IFERROR(VLOOKUP($B30,MMWR_TRAD_AGG_STATE_COMP[],C$1,0),"ERROR")</f>
        <v>3753</v>
      </c>
      <c r="D30" s="110">
        <f>IFERROR(VLOOKUP($B30,MMWR_TRAD_AGG_STATE_COMP[],D$1,0),"ERROR")</f>
        <v>247.92006394879999</v>
      </c>
      <c r="E30" s="111">
        <f>IFERROR(VLOOKUP($B30,MMWR_TRAD_AGG_STATE_COMP[],E$1,0),"ERROR")</f>
        <v>5864</v>
      </c>
      <c r="F30" s="112">
        <f>IFERROR(VLOOKUP($B30,MMWR_TRAD_AGG_STATE_COMP[],F$1,0),"ERROR")</f>
        <v>1155</v>
      </c>
      <c r="G30" s="113">
        <f t="shared" si="0"/>
        <v>0.19696452933151432</v>
      </c>
      <c r="H30" s="111">
        <f>IFERROR(VLOOKUP($B30,MMWR_TRAD_AGG_STATE_COMP[],H$1,0),"ERROR")</f>
        <v>5926</v>
      </c>
      <c r="I30" s="112">
        <f>IFERROR(VLOOKUP($B30,MMWR_TRAD_AGG_STATE_COMP[],I$1,0),"ERROR")</f>
        <v>3251</v>
      </c>
      <c r="J30" s="114">
        <f t="shared" si="1"/>
        <v>0.54859939250759371</v>
      </c>
      <c r="K30" s="111">
        <f>IFERROR(VLOOKUP($B30,MMWR_TRAD_AGG_STATE_COMP[],K$1,0),"ERROR")</f>
        <v>2506</v>
      </c>
      <c r="L30" s="112">
        <f>IFERROR(VLOOKUP($B30,MMWR_TRAD_AGG_STATE_COMP[],L$1,0),"ERROR")</f>
        <v>2118</v>
      </c>
      <c r="M30" s="114">
        <f t="shared" si="2"/>
        <v>0.84517158818834792</v>
      </c>
      <c r="N30" s="111">
        <f>IFERROR(VLOOKUP($B30,MMWR_TRAD_AGG_STATE_COMP[],N$1,0),"ERROR")</f>
        <v>5555</v>
      </c>
      <c r="O30" s="112">
        <f>IFERROR(VLOOKUP($B30,MMWR_TRAD_AGG_STATE_COMP[],O$1,0),"ERROR")</f>
        <v>3823</v>
      </c>
      <c r="P30" s="114">
        <f t="shared" si="3"/>
        <v>0.68820882088208823</v>
      </c>
      <c r="Q30" s="115">
        <f>IFERROR(VLOOKUP($B30,MMWR_TRAD_AGG_STATE_COMP[],Q$1,0),"ERROR")</f>
        <v>968</v>
      </c>
      <c r="R30" s="115">
        <f>IFERROR(VLOOKUP($B30,MMWR_TRAD_AGG_STATE_COMP[],R$1,0),"ERROR")</f>
        <v>52</v>
      </c>
      <c r="S30" s="115">
        <f>IFERROR(VLOOKUP($B30,MMWR_APP_STATE_COMP[],S$1,0),"ERROR")</f>
        <v>6430</v>
      </c>
      <c r="T30" s="28"/>
    </row>
    <row r="31" spans="1:20" s="123" customFormat="1" x14ac:dyDescent="0.2">
      <c r="A31" s="107"/>
      <c r="B31" s="127" t="s">
        <v>400</v>
      </c>
      <c r="C31" s="109">
        <f>IFERROR(VLOOKUP($B31,MMWR_TRAD_AGG_STATE_COMP[],C$1,0),"ERROR")</f>
        <v>791</v>
      </c>
      <c r="D31" s="110">
        <f>IFERROR(VLOOKUP($B31,MMWR_TRAD_AGG_STATE_COMP[],D$1,0),"ERROR")</f>
        <v>209.93678887479999</v>
      </c>
      <c r="E31" s="111">
        <f>IFERROR(VLOOKUP($B31,MMWR_TRAD_AGG_STATE_COMP[],E$1,0),"ERROR")</f>
        <v>1821</v>
      </c>
      <c r="F31" s="112">
        <f>IFERROR(VLOOKUP($B31,MMWR_TRAD_AGG_STATE_COMP[],F$1,0),"ERROR")</f>
        <v>251</v>
      </c>
      <c r="G31" s="113">
        <f t="shared" si="0"/>
        <v>0.13783635365183966</v>
      </c>
      <c r="H31" s="111">
        <f>IFERROR(VLOOKUP($B31,MMWR_TRAD_AGG_STATE_COMP[],H$1,0),"ERROR")</f>
        <v>1424</v>
      </c>
      <c r="I31" s="112">
        <f>IFERROR(VLOOKUP($B31,MMWR_TRAD_AGG_STATE_COMP[],I$1,0),"ERROR")</f>
        <v>648</v>
      </c>
      <c r="J31" s="114">
        <f t="shared" si="1"/>
        <v>0.4550561797752809</v>
      </c>
      <c r="K31" s="111">
        <f>IFERROR(VLOOKUP($B31,MMWR_TRAD_AGG_STATE_COMP[],K$1,0),"ERROR")</f>
        <v>765</v>
      </c>
      <c r="L31" s="112">
        <f>IFERROR(VLOOKUP($B31,MMWR_TRAD_AGG_STATE_COMP[],L$1,0),"ERROR")</f>
        <v>543</v>
      </c>
      <c r="M31" s="114">
        <f t="shared" si="2"/>
        <v>0.70980392156862748</v>
      </c>
      <c r="N31" s="111">
        <f>IFERROR(VLOOKUP($B31,MMWR_TRAD_AGG_STATE_COMP[],N$1,0),"ERROR")</f>
        <v>675</v>
      </c>
      <c r="O31" s="112">
        <f>IFERROR(VLOOKUP($B31,MMWR_TRAD_AGG_STATE_COMP[],O$1,0),"ERROR")</f>
        <v>350</v>
      </c>
      <c r="P31" s="114">
        <f t="shared" si="3"/>
        <v>0.51851851851851849</v>
      </c>
      <c r="Q31" s="115">
        <f>IFERROR(VLOOKUP($B31,MMWR_TRAD_AGG_STATE_COMP[],Q$1,0),"ERROR")</f>
        <v>2</v>
      </c>
      <c r="R31" s="115">
        <f>IFERROR(VLOOKUP($B31,MMWR_TRAD_AGG_STATE_COMP[],R$1,0),"ERROR")</f>
        <v>15</v>
      </c>
      <c r="S31" s="115">
        <f>IFERROR(VLOOKUP($B31,MMWR_APP_STATE_COMP[],S$1,0),"ERROR")</f>
        <v>1043</v>
      </c>
      <c r="T31" s="28"/>
    </row>
    <row r="32" spans="1:20" s="123" customFormat="1" x14ac:dyDescent="0.2">
      <c r="A32" s="107"/>
      <c r="B32" s="127" t="s">
        <v>419</v>
      </c>
      <c r="C32" s="109">
        <f>IFERROR(VLOOKUP($B32,MMWR_TRAD_AGG_STATE_COMP[],C$1,0),"ERROR")</f>
        <v>178</v>
      </c>
      <c r="D32" s="110">
        <f>IFERROR(VLOOKUP($B32,MMWR_TRAD_AGG_STATE_COMP[],D$1,0),"ERROR")</f>
        <v>204.77528089890001</v>
      </c>
      <c r="E32" s="111">
        <f>IFERROR(VLOOKUP($B32,MMWR_TRAD_AGG_STATE_COMP[],E$1,0),"ERROR")</f>
        <v>583</v>
      </c>
      <c r="F32" s="112">
        <f>IFERROR(VLOOKUP($B32,MMWR_TRAD_AGG_STATE_COMP[],F$1,0),"ERROR")</f>
        <v>107</v>
      </c>
      <c r="G32" s="113">
        <f t="shared" si="0"/>
        <v>0.18353344768439109</v>
      </c>
      <c r="H32" s="111">
        <f>IFERROR(VLOOKUP($B32,MMWR_TRAD_AGG_STATE_COMP[],H$1,0),"ERROR")</f>
        <v>363</v>
      </c>
      <c r="I32" s="112">
        <f>IFERROR(VLOOKUP($B32,MMWR_TRAD_AGG_STATE_COMP[],I$1,0),"ERROR")</f>
        <v>107</v>
      </c>
      <c r="J32" s="114">
        <f t="shared" si="1"/>
        <v>0.29476584022038566</v>
      </c>
      <c r="K32" s="111">
        <f>IFERROR(VLOOKUP($B32,MMWR_TRAD_AGG_STATE_COMP[],K$1,0),"ERROR")</f>
        <v>129</v>
      </c>
      <c r="L32" s="112">
        <f>IFERROR(VLOOKUP($B32,MMWR_TRAD_AGG_STATE_COMP[],L$1,0),"ERROR")</f>
        <v>68</v>
      </c>
      <c r="M32" s="114">
        <f t="shared" si="2"/>
        <v>0.52713178294573648</v>
      </c>
      <c r="N32" s="111">
        <f>IFERROR(VLOOKUP($B32,MMWR_TRAD_AGG_STATE_COMP[],N$1,0),"ERROR")</f>
        <v>167</v>
      </c>
      <c r="O32" s="112">
        <f>IFERROR(VLOOKUP($B32,MMWR_TRAD_AGG_STATE_COMP[],O$1,0),"ERROR")</f>
        <v>98</v>
      </c>
      <c r="P32" s="114">
        <f t="shared" si="3"/>
        <v>0.58682634730538918</v>
      </c>
      <c r="Q32" s="115">
        <f>IFERROR(VLOOKUP($B32,MMWR_TRAD_AGG_STATE_COMP[],Q$1,0),"ERROR")</f>
        <v>1</v>
      </c>
      <c r="R32" s="115">
        <f>IFERROR(VLOOKUP($B32,MMWR_TRAD_AGG_STATE_COMP[],R$1,0),"ERROR")</f>
        <v>2</v>
      </c>
      <c r="S32" s="115">
        <f>IFERROR(VLOOKUP($B32,MMWR_APP_STATE_COMP[],S$1,0),"ERROR")</f>
        <v>481</v>
      </c>
      <c r="T32" s="28"/>
    </row>
    <row r="33" spans="1:20" s="123" customFormat="1" x14ac:dyDescent="0.2">
      <c r="A33" s="107"/>
      <c r="B33" s="127" t="s">
        <v>391</v>
      </c>
      <c r="C33" s="109">
        <f>IFERROR(VLOOKUP($B33,MMWR_TRAD_AGG_STATE_COMP[],C$1,0),"ERROR")</f>
        <v>4824</v>
      </c>
      <c r="D33" s="110">
        <f>IFERROR(VLOOKUP($B33,MMWR_TRAD_AGG_STATE_COMP[],D$1,0),"ERROR")</f>
        <v>413.63951077939998</v>
      </c>
      <c r="E33" s="111">
        <f>IFERROR(VLOOKUP($B33,MMWR_TRAD_AGG_STATE_COMP[],E$1,0),"ERROR")</f>
        <v>8328</v>
      </c>
      <c r="F33" s="112">
        <f>IFERROR(VLOOKUP($B33,MMWR_TRAD_AGG_STATE_COMP[],F$1,0),"ERROR")</f>
        <v>1620</v>
      </c>
      <c r="G33" s="113">
        <f t="shared" si="0"/>
        <v>0.19452449567723343</v>
      </c>
      <c r="H33" s="111">
        <f>IFERROR(VLOOKUP($B33,MMWR_TRAD_AGG_STATE_COMP[],H$1,0),"ERROR")</f>
        <v>8421</v>
      </c>
      <c r="I33" s="112">
        <f>IFERROR(VLOOKUP($B33,MMWR_TRAD_AGG_STATE_COMP[],I$1,0),"ERROR")</f>
        <v>5190</v>
      </c>
      <c r="J33" s="114">
        <f t="shared" si="1"/>
        <v>0.61631635197719981</v>
      </c>
      <c r="K33" s="111">
        <f>IFERROR(VLOOKUP($B33,MMWR_TRAD_AGG_STATE_COMP[],K$1,0),"ERROR")</f>
        <v>3180</v>
      </c>
      <c r="L33" s="112">
        <f>IFERROR(VLOOKUP($B33,MMWR_TRAD_AGG_STATE_COMP[],L$1,0),"ERROR")</f>
        <v>2822</v>
      </c>
      <c r="M33" s="114">
        <f t="shared" si="2"/>
        <v>0.88742138364779877</v>
      </c>
      <c r="N33" s="111">
        <f>IFERROR(VLOOKUP($B33,MMWR_TRAD_AGG_STATE_COMP[],N$1,0),"ERROR")</f>
        <v>4261</v>
      </c>
      <c r="O33" s="112">
        <f>IFERROR(VLOOKUP($B33,MMWR_TRAD_AGG_STATE_COMP[],O$1,0),"ERROR")</f>
        <v>3011</v>
      </c>
      <c r="P33" s="114">
        <f t="shared" si="3"/>
        <v>0.70664163341938513</v>
      </c>
      <c r="Q33" s="115">
        <f>IFERROR(VLOOKUP($B33,MMWR_TRAD_AGG_STATE_COMP[],Q$1,0),"ERROR")</f>
        <v>1123</v>
      </c>
      <c r="R33" s="115">
        <f>IFERROR(VLOOKUP($B33,MMWR_TRAD_AGG_STATE_COMP[],R$1,0),"ERROR")</f>
        <v>333</v>
      </c>
      <c r="S33" s="115">
        <f>IFERROR(VLOOKUP($B33,MMWR_APP_STATE_COMP[],S$1,0),"ERROR")</f>
        <v>12939</v>
      </c>
      <c r="T33" s="28"/>
    </row>
    <row r="34" spans="1:20" s="123" customFormat="1" x14ac:dyDescent="0.2">
      <c r="A34" s="107"/>
      <c r="B34" s="127" t="s">
        <v>420</v>
      </c>
      <c r="C34" s="109">
        <f>IFERROR(VLOOKUP($B34,MMWR_TRAD_AGG_STATE_COMP[],C$1,0),"ERROR")</f>
        <v>286</v>
      </c>
      <c r="D34" s="110">
        <f>IFERROR(VLOOKUP($B34,MMWR_TRAD_AGG_STATE_COMP[],D$1,0),"ERROR")</f>
        <v>187.47202797200001</v>
      </c>
      <c r="E34" s="111">
        <f>IFERROR(VLOOKUP($B34,MMWR_TRAD_AGG_STATE_COMP[],E$1,0),"ERROR")</f>
        <v>1032</v>
      </c>
      <c r="F34" s="112">
        <f>IFERROR(VLOOKUP($B34,MMWR_TRAD_AGG_STATE_COMP[],F$1,0),"ERROR")</f>
        <v>258</v>
      </c>
      <c r="G34" s="113">
        <f t="shared" si="0"/>
        <v>0.25</v>
      </c>
      <c r="H34" s="111">
        <f>IFERROR(VLOOKUP($B34,MMWR_TRAD_AGG_STATE_COMP[],H$1,0),"ERROR")</f>
        <v>491</v>
      </c>
      <c r="I34" s="112">
        <f>IFERROR(VLOOKUP($B34,MMWR_TRAD_AGG_STATE_COMP[],I$1,0),"ERROR")</f>
        <v>169</v>
      </c>
      <c r="J34" s="114">
        <f t="shared" si="1"/>
        <v>0.34419551934826886</v>
      </c>
      <c r="K34" s="111">
        <f>IFERROR(VLOOKUP($B34,MMWR_TRAD_AGG_STATE_COMP[],K$1,0),"ERROR")</f>
        <v>285</v>
      </c>
      <c r="L34" s="112">
        <f>IFERROR(VLOOKUP($B34,MMWR_TRAD_AGG_STATE_COMP[],L$1,0),"ERROR")</f>
        <v>149</v>
      </c>
      <c r="M34" s="114">
        <f t="shared" si="2"/>
        <v>0.52280701754385961</v>
      </c>
      <c r="N34" s="111">
        <f>IFERROR(VLOOKUP($B34,MMWR_TRAD_AGG_STATE_COMP[],N$1,0),"ERROR")</f>
        <v>167</v>
      </c>
      <c r="O34" s="112">
        <f>IFERROR(VLOOKUP($B34,MMWR_TRAD_AGG_STATE_COMP[],O$1,0),"ERROR")</f>
        <v>92</v>
      </c>
      <c r="P34" s="114">
        <f t="shared" si="3"/>
        <v>0.55089820359281438</v>
      </c>
      <c r="Q34" s="115">
        <f>IFERROR(VLOOKUP($B34,MMWR_TRAD_AGG_STATE_COMP[],Q$1,0),"ERROR")</f>
        <v>3</v>
      </c>
      <c r="R34" s="115">
        <f>IFERROR(VLOOKUP($B34,MMWR_TRAD_AGG_STATE_COMP[],R$1,0),"ERROR")</f>
        <v>0</v>
      </c>
      <c r="S34" s="115">
        <f>IFERROR(VLOOKUP($B34,MMWR_APP_STATE_COMP[],S$1,0),"ERROR")</f>
        <v>188</v>
      </c>
      <c r="T34" s="28"/>
    </row>
    <row r="35" spans="1:20" s="123" customFormat="1" x14ac:dyDescent="0.2">
      <c r="A35" s="107"/>
      <c r="B35" s="127" t="s">
        <v>396</v>
      </c>
      <c r="C35" s="109">
        <f>IFERROR(VLOOKUP($B35,MMWR_TRAD_AGG_STATE_COMP[],C$1,0),"ERROR")</f>
        <v>3194</v>
      </c>
      <c r="D35" s="110">
        <f>IFERROR(VLOOKUP($B35,MMWR_TRAD_AGG_STATE_COMP[],D$1,0),"ERROR")</f>
        <v>238.33281152160001</v>
      </c>
      <c r="E35" s="111">
        <f>IFERROR(VLOOKUP($B35,MMWR_TRAD_AGG_STATE_COMP[],E$1,0),"ERROR")</f>
        <v>3672</v>
      </c>
      <c r="F35" s="112">
        <f>IFERROR(VLOOKUP($B35,MMWR_TRAD_AGG_STATE_COMP[],F$1,0),"ERROR")</f>
        <v>519</v>
      </c>
      <c r="G35" s="113">
        <f t="shared" si="0"/>
        <v>0.14133986928104575</v>
      </c>
      <c r="H35" s="111">
        <f>IFERROR(VLOOKUP($B35,MMWR_TRAD_AGG_STATE_COMP[],H$1,0),"ERROR")</f>
        <v>4312</v>
      </c>
      <c r="I35" s="112">
        <f>IFERROR(VLOOKUP($B35,MMWR_TRAD_AGG_STATE_COMP[],I$1,0),"ERROR")</f>
        <v>2455</v>
      </c>
      <c r="J35" s="114">
        <f t="shared" si="1"/>
        <v>0.56934137291280151</v>
      </c>
      <c r="K35" s="111">
        <f>IFERROR(VLOOKUP($B35,MMWR_TRAD_AGG_STATE_COMP[],K$1,0),"ERROR")</f>
        <v>994</v>
      </c>
      <c r="L35" s="112">
        <f>IFERROR(VLOOKUP($B35,MMWR_TRAD_AGG_STATE_COMP[],L$1,0),"ERROR")</f>
        <v>791</v>
      </c>
      <c r="M35" s="114">
        <f t="shared" si="2"/>
        <v>0.79577464788732399</v>
      </c>
      <c r="N35" s="111">
        <f>IFERROR(VLOOKUP($B35,MMWR_TRAD_AGG_STATE_COMP[],N$1,0),"ERROR")</f>
        <v>1113</v>
      </c>
      <c r="O35" s="112">
        <f>IFERROR(VLOOKUP($B35,MMWR_TRAD_AGG_STATE_COMP[],O$1,0),"ERROR")</f>
        <v>617</v>
      </c>
      <c r="P35" s="114">
        <f t="shared" si="3"/>
        <v>0.55435759209344115</v>
      </c>
      <c r="Q35" s="115">
        <f>IFERROR(VLOOKUP($B35,MMWR_TRAD_AGG_STATE_COMP[],Q$1,0),"ERROR")</f>
        <v>588</v>
      </c>
      <c r="R35" s="115">
        <f>IFERROR(VLOOKUP($B35,MMWR_TRAD_AGG_STATE_COMP[],R$1,0),"ERROR")</f>
        <v>7</v>
      </c>
      <c r="S35" s="115">
        <f>IFERROR(VLOOKUP($B35,MMWR_APP_STATE_COMP[],S$1,0),"ERROR")</f>
        <v>3248</v>
      </c>
      <c r="T35" s="28"/>
    </row>
    <row r="36" spans="1:20" s="123" customFormat="1" x14ac:dyDescent="0.2">
      <c r="A36" s="28"/>
      <c r="B36" s="126" t="s">
        <v>385</v>
      </c>
      <c r="C36" s="102">
        <f>IF(SUM(C37:C45)&lt;&gt;VLOOKUP($B36,MMWR_TRAD_AGG_ST_DISTRICT_COMP[],C$1,0),"ERROR",
VLOOKUP($B36,MMWR_TRAD_AGG_ST_DISTRICT_COMP[],C$1,0))</f>
        <v>45295</v>
      </c>
      <c r="D36" s="103">
        <f>IFERROR(VLOOKUP($B36,MMWR_TRAD_AGG_ST_DISTRICT_COMP[],D$1,0),"ERROR")</f>
        <v>371.52354564519999</v>
      </c>
      <c r="E36" s="102">
        <f>IFERROR(VLOOKUP($B36,MMWR_TRAD_AGG_ST_DISTRICT_COMP[],E$1,0),"ERROR")</f>
        <v>64537</v>
      </c>
      <c r="F36" s="102">
        <f>IFERROR(VLOOKUP($B36,MMWR_TRAD_AGG_ST_DISTRICT_COMP[],F$1,0),"ERROR")</f>
        <v>13405</v>
      </c>
      <c r="G36" s="104">
        <f t="shared" si="0"/>
        <v>0.20771030571610083</v>
      </c>
      <c r="H36" s="102">
        <f>IFERROR(VLOOKUP($B36,MMWR_TRAD_AGG_ST_DISTRICT_COMP[],H$1,0),"ERROR")</f>
        <v>66046</v>
      </c>
      <c r="I36" s="102">
        <f>IFERROR(VLOOKUP($B36,MMWR_TRAD_AGG_ST_DISTRICT_COMP[],I$1,0),"ERROR")</f>
        <v>42196</v>
      </c>
      <c r="J36" s="105">
        <f t="shared" si="1"/>
        <v>0.6388880477243134</v>
      </c>
      <c r="K36" s="102">
        <f>IFERROR(VLOOKUP($B36,MMWR_TRAD_AGG_ST_DISTRICT_COMP[],K$1,0),"ERROR")</f>
        <v>20101</v>
      </c>
      <c r="L36" s="102">
        <f>IFERROR(VLOOKUP($B36,MMWR_TRAD_AGG_ST_DISTRICT_COMP[],L$1,0),"ERROR")</f>
        <v>14604</v>
      </c>
      <c r="M36" s="105">
        <f t="shared" si="2"/>
        <v>0.72653101835729561</v>
      </c>
      <c r="N36" s="102">
        <f>IFERROR(VLOOKUP($B36,MMWR_TRAD_AGG_ST_DISTRICT_COMP[],N$1,0),"ERROR")</f>
        <v>31201</v>
      </c>
      <c r="O36" s="102">
        <f>IFERROR(VLOOKUP($B36,MMWR_TRAD_AGG_ST_DISTRICT_COMP[],O$1,0),"ERROR")</f>
        <v>17961</v>
      </c>
      <c r="P36" s="105">
        <f t="shared" si="3"/>
        <v>0.57565462645428034</v>
      </c>
      <c r="Q36" s="102">
        <f>IFERROR(VLOOKUP($B36,MMWR_TRAD_AGG_ST_DISTRICT_COMP[],Q$1,0),"ERROR")</f>
        <v>1308</v>
      </c>
      <c r="R36" s="106">
        <f>IFERROR(VLOOKUP($B36,MMWR_TRAD_AGG_ST_DISTRICT_COMP[],R$1,0),"ERROR")</f>
        <v>1104</v>
      </c>
      <c r="S36" s="106">
        <f>SUM(S37:S45)</f>
        <v>70592</v>
      </c>
      <c r="T36" s="28"/>
    </row>
    <row r="37" spans="1:20" s="123" customFormat="1" x14ac:dyDescent="0.2">
      <c r="A37" s="28"/>
      <c r="B37" s="127" t="s">
        <v>411</v>
      </c>
      <c r="C37" s="109">
        <f>IFERROR(VLOOKUP($B37,MMWR_TRAD_AGG_STATE_COMP[],C$1,0),"ERROR")</f>
        <v>3675</v>
      </c>
      <c r="D37" s="110">
        <f>IFERROR(VLOOKUP($B37,MMWR_TRAD_AGG_STATE_COMP[],D$1,0),"ERROR")</f>
        <v>330.17115646259998</v>
      </c>
      <c r="E37" s="111">
        <f>IFERROR(VLOOKUP($B37,MMWR_TRAD_AGG_STATE_COMP[],E$1,0),"ERROR")</f>
        <v>3336</v>
      </c>
      <c r="F37" s="112">
        <f>IFERROR(VLOOKUP($B37,MMWR_TRAD_AGG_STATE_COMP[],F$1,0),"ERROR")</f>
        <v>570</v>
      </c>
      <c r="G37" s="113">
        <f t="shared" si="0"/>
        <v>0.17086330935251798</v>
      </c>
      <c r="H37" s="111">
        <f>IFERROR(VLOOKUP($B37,MMWR_TRAD_AGG_STATE_COMP[],H$1,0),"ERROR")</f>
        <v>5174</v>
      </c>
      <c r="I37" s="112">
        <f>IFERROR(VLOOKUP($B37,MMWR_TRAD_AGG_STATE_COMP[],I$1,0),"ERROR")</f>
        <v>3009</v>
      </c>
      <c r="J37" s="114">
        <f t="shared" si="1"/>
        <v>0.58156165442597607</v>
      </c>
      <c r="K37" s="111">
        <f>IFERROR(VLOOKUP($B37,MMWR_TRAD_AGG_STATE_COMP[],K$1,0),"ERROR")</f>
        <v>1843</v>
      </c>
      <c r="L37" s="112">
        <f>IFERROR(VLOOKUP($B37,MMWR_TRAD_AGG_STATE_COMP[],L$1,0),"ERROR")</f>
        <v>1492</v>
      </c>
      <c r="M37" s="114">
        <f t="shared" si="2"/>
        <v>0.80954964731416168</v>
      </c>
      <c r="N37" s="111">
        <f>IFERROR(VLOOKUP($B37,MMWR_TRAD_AGG_STATE_COMP[],N$1,0),"ERROR")</f>
        <v>2605</v>
      </c>
      <c r="O37" s="112">
        <f>IFERROR(VLOOKUP($B37,MMWR_TRAD_AGG_STATE_COMP[],O$1,0),"ERROR")</f>
        <v>1571</v>
      </c>
      <c r="P37" s="114">
        <f t="shared" si="3"/>
        <v>0.60307101727447221</v>
      </c>
      <c r="Q37" s="115">
        <f>IFERROR(VLOOKUP($B37,MMWR_TRAD_AGG_STATE_COMP[],Q$1,0),"ERROR")</f>
        <v>438</v>
      </c>
      <c r="R37" s="115">
        <f>IFERROR(VLOOKUP($B37,MMWR_TRAD_AGG_STATE_COMP[],R$1,0),"ERROR")</f>
        <v>100</v>
      </c>
      <c r="S37" s="115">
        <f>IFERROR(VLOOKUP($B37,MMWR_APP_STATE_COMP[],S$1,0),"ERROR")</f>
        <v>5320</v>
      </c>
      <c r="T37" s="28"/>
    </row>
    <row r="38" spans="1:20" s="123" customFormat="1" x14ac:dyDescent="0.2">
      <c r="A38" s="28"/>
      <c r="B38" s="127" t="s">
        <v>403</v>
      </c>
      <c r="C38" s="109">
        <f>IFERROR(VLOOKUP($B38,MMWR_TRAD_AGG_STATE_COMP[],C$1,0),"ERROR")</f>
        <v>6083</v>
      </c>
      <c r="D38" s="110">
        <f>IFERROR(VLOOKUP($B38,MMWR_TRAD_AGG_STATE_COMP[],D$1,0),"ERROR")</f>
        <v>418.38780207129997</v>
      </c>
      <c r="E38" s="111">
        <f>IFERROR(VLOOKUP($B38,MMWR_TRAD_AGG_STATE_COMP[],E$1,0),"ERROR")</f>
        <v>6255</v>
      </c>
      <c r="F38" s="112">
        <f>IFERROR(VLOOKUP($B38,MMWR_TRAD_AGG_STATE_COMP[],F$1,0),"ERROR")</f>
        <v>1418</v>
      </c>
      <c r="G38" s="113">
        <f t="shared" ref="G38:G64" si="4">IFERROR(F38/E38,"0%")</f>
        <v>0.22669864108713031</v>
      </c>
      <c r="H38" s="111">
        <f>IFERROR(VLOOKUP($B38,MMWR_TRAD_AGG_STATE_COMP[],H$1,0),"ERROR")</f>
        <v>9081</v>
      </c>
      <c r="I38" s="112">
        <f>IFERROR(VLOOKUP($B38,MMWR_TRAD_AGG_STATE_COMP[],I$1,0),"ERROR")</f>
        <v>6169</v>
      </c>
      <c r="J38" s="114">
        <f t="shared" ref="J38:J64" si="5">IFERROR(I38/H38,"0%")</f>
        <v>0.67933047021253168</v>
      </c>
      <c r="K38" s="111">
        <f>IFERROR(VLOOKUP($B38,MMWR_TRAD_AGG_STATE_COMP[],K$1,0),"ERROR")</f>
        <v>3482</v>
      </c>
      <c r="L38" s="112">
        <f>IFERROR(VLOOKUP($B38,MMWR_TRAD_AGG_STATE_COMP[],L$1,0),"ERROR")</f>
        <v>2795</v>
      </c>
      <c r="M38" s="114">
        <f t="shared" ref="M38:M64" si="6">IFERROR(L38/K38,"0%")</f>
        <v>0.8026995979322229</v>
      </c>
      <c r="N38" s="111">
        <f>IFERROR(VLOOKUP($B38,MMWR_TRAD_AGG_STATE_COMP[],N$1,0),"ERROR")</f>
        <v>1840</v>
      </c>
      <c r="O38" s="112">
        <f>IFERROR(VLOOKUP($B38,MMWR_TRAD_AGG_STATE_COMP[],O$1,0),"ERROR")</f>
        <v>1164</v>
      </c>
      <c r="P38" s="114">
        <f t="shared" ref="P38:P64" si="7">IFERROR(O38/N38,"0%")</f>
        <v>0.63260869565217392</v>
      </c>
      <c r="Q38" s="115">
        <f>IFERROR(VLOOKUP($B38,MMWR_TRAD_AGG_STATE_COMP[],Q$1,0),"ERROR")</f>
        <v>7</v>
      </c>
      <c r="R38" s="115">
        <f>IFERROR(VLOOKUP($B38,MMWR_TRAD_AGG_STATE_COMP[],R$1,0),"ERROR")</f>
        <v>57</v>
      </c>
      <c r="S38" s="115">
        <f>IFERROR(VLOOKUP($B38,MMWR_APP_STATE_COMP[],S$1,0),"ERROR")</f>
        <v>6708</v>
      </c>
      <c r="T38" s="28"/>
    </row>
    <row r="39" spans="1:20" s="123" customFormat="1" x14ac:dyDescent="0.2">
      <c r="A39" s="28"/>
      <c r="B39" s="127" t="s">
        <v>387</v>
      </c>
      <c r="C39" s="109">
        <f>IFERROR(VLOOKUP($B39,MMWR_TRAD_AGG_STATE_COMP[],C$1,0),"ERROR")</f>
        <v>4252</v>
      </c>
      <c r="D39" s="110">
        <f>IFERROR(VLOOKUP($B39,MMWR_TRAD_AGG_STATE_COMP[],D$1,0),"ERROR")</f>
        <v>445.57902163689999</v>
      </c>
      <c r="E39" s="111">
        <f>IFERROR(VLOOKUP($B39,MMWR_TRAD_AGG_STATE_COMP[],E$1,0),"ERROR")</f>
        <v>5584</v>
      </c>
      <c r="F39" s="112">
        <f>IFERROR(VLOOKUP($B39,MMWR_TRAD_AGG_STATE_COMP[],F$1,0),"ERROR")</f>
        <v>1153</v>
      </c>
      <c r="G39" s="113">
        <f t="shared" si="4"/>
        <v>0.20648280802292263</v>
      </c>
      <c r="H39" s="111">
        <f>IFERROR(VLOOKUP($B39,MMWR_TRAD_AGG_STATE_COMP[],H$1,0),"ERROR")</f>
        <v>6443</v>
      </c>
      <c r="I39" s="112">
        <f>IFERROR(VLOOKUP($B39,MMWR_TRAD_AGG_STATE_COMP[],I$1,0),"ERROR")</f>
        <v>4346</v>
      </c>
      <c r="J39" s="114">
        <f t="shared" si="5"/>
        <v>0.67453049821511724</v>
      </c>
      <c r="K39" s="111">
        <f>IFERROR(VLOOKUP($B39,MMWR_TRAD_AGG_STATE_COMP[],K$1,0),"ERROR")</f>
        <v>1556</v>
      </c>
      <c r="L39" s="112">
        <f>IFERROR(VLOOKUP($B39,MMWR_TRAD_AGG_STATE_COMP[],L$1,0),"ERROR")</f>
        <v>1097</v>
      </c>
      <c r="M39" s="114">
        <f t="shared" si="6"/>
        <v>0.70501285347043707</v>
      </c>
      <c r="N39" s="111">
        <f>IFERROR(VLOOKUP($B39,MMWR_TRAD_AGG_STATE_COMP[],N$1,0),"ERROR")</f>
        <v>2894</v>
      </c>
      <c r="O39" s="112">
        <f>IFERROR(VLOOKUP($B39,MMWR_TRAD_AGG_STATE_COMP[],O$1,0),"ERROR")</f>
        <v>1855</v>
      </c>
      <c r="P39" s="114">
        <f t="shared" si="7"/>
        <v>0.64098134070490675</v>
      </c>
      <c r="Q39" s="115">
        <f>IFERROR(VLOOKUP($B39,MMWR_TRAD_AGG_STATE_COMP[],Q$1,0),"ERROR")</f>
        <v>319</v>
      </c>
      <c r="R39" s="115">
        <f>IFERROR(VLOOKUP($B39,MMWR_TRAD_AGG_STATE_COMP[],R$1,0),"ERROR")</f>
        <v>267</v>
      </c>
      <c r="S39" s="115">
        <f>IFERROR(VLOOKUP($B39,MMWR_APP_STATE_COMP[],S$1,0),"ERROR")</f>
        <v>6044</v>
      </c>
      <c r="T39" s="28"/>
    </row>
    <row r="40" spans="1:20" s="123" customFormat="1" x14ac:dyDescent="0.2">
      <c r="A40" s="28"/>
      <c r="B40" s="127" t="s">
        <v>389</v>
      </c>
      <c r="C40" s="109">
        <f>IFERROR(VLOOKUP($B40,MMWR_TRAD_AGG_STATE_COMP[],C$1,0),"ERROR")</f>
        <v>3834</v>
      </c>
      <c r="D40" s="110">
        <f>IFERROR(VLOOKUP($B40,MMWR_TRAD_AGG_STATE_COMP[],D$1,0),"ERROR")</f>
        <v>416.63641105890002</v>
      </c>
      <c r="E40" s="111">
        <f>IFERROR(VLOOKUP($B40,MMWR_TRAD_AGG_STATE_COMP[],E$1,0),"ERROR")</f>
        <v>4710</v>
      </c>
      <c r="F40" s="112">
        <f>IFERROR(VLOOKUP($B40,MMWR_TRAD_AGG_STATE_COMP[],F$1,0),"ERROR")</f>
        <v>1417</v>
      </c>
      <c r="G40" s="113">
        <f t="shared" si="4"/>
        <v>0.3008492569002123</v>
      </c>
      <c r="H40" s="111">
        <f>IFERROR(VLOOKUP($B40,MMWR_TRAD_AGG_STATE_COMP[],H$1,0),"ERROR")</f>
        <v>6097</v>
      </c>
      <c r="I40" s="112">
        <f>IFERROR(VLOOKUP($B40,MMWR_TRAD_AGG_STATE_COMP[],I$1,0),"ERROR")</f>
        <v>4692</v>
      </c>
      <c r="J40" s="114">
        <f t="shared" si="5"/>
        <v>0.76955879940954564</v>
      </c>
      <c r="K40" s="111">
        <f>IFERROR(VLOOKUP($B40,MMWR_TRAD_AGG_STATE_COMP[],K$1,0),"ERROR")</f>
        <v>1768</v>
      </c>
      <c r="L40" s="112">
        <f>IFERROR(VLOOKUP($B40,MMWR_TRAD_AGG_STATE_COMP[],L$1,0),"ERROR")</f>
        <v>1310</v>
      </c>
      <c r="M40" s="114">
        <f t="shared" si="6"/>
        <v>0.74095022624434392</v>
      </c>
      <c r="N40" s="111">
        <f>IFERROR(VLOOKUP($B40,MMWR_TRAD_AGG_STATE_COMP[],N$1,0),"ERROR")</f>
        <v>1734</v>
      </c>
      <c r="O40" s="112">
        <f>IFERROR(VLOOKUP($B40,MMWR_TRAD_AGG_STATE_COMP[],O$1,0),"ERROR")</f>
        <v>1156</v>
      </c>
      <c r="P40" s="114">
        <f t="shared" si="7"/>
        <v>0.66666666666666663</v>
      </c>
      <c r="Q40" s="115">
        <f>IFERROR(VLOOKUP($B40,MMWR_TRAD_AGG_STATE_COMP[],Q$1,0),"ERROR")</f>
        <v>512</v>
      </c>
      <c r="R40" s="115">
        <f>IFERROR(VLOOKUP($B40,MMWR_TRAD_AGG_STATE_COMP[],R$1,0),"ERROR")</f>
        <v>217</v>
      </c>
      <c r="S40" s="115">
        <f>IFERROR(VLOOKUP($B40,MMWR_APP_STATE_COMP[],S$1,0),"ERROR")</f>
        <v>4901</v>
      </c>
      <c r="T40" s="28"/>
    </row>
    <row r="41" spans="1:20" s="123" customFormat="1" x14ac:dyDescent="0.2">
      <c r="A41" s="28"/>
      <c r="B41" s="127" t="s">
        <v>418</v>
      </c>
      <c r="C41" s="109">
        <f>IFERROR(VLOOKUP($B41,MMWR_TRAD_AGG_STATE_COMP[],C$1,0),"ERROR")</f>
        <v>426</v>
      </c>
      <c r="D41" s="110">
        <f>IFERROR(VLOOKUP($B41,MMWR_TRAD_AGG_STATE_COMP[],D$1,0),"ERROR")</f>
        <v>313.12206572769998</v>
      </c>
      <c r="E41" s="111">
        <f>IFERROR(VLOOKUP($B41,MMWR_TRAD_AGG_STATE_COMP[],E$1,0),"ERROR")</f>
        <v>697</v>
      </c>
      <c r="F41" s="112">
        <f>IFERROR(VLOOKUP($B41,MMWR_TRAD_AGG_STATE_COMP[],F$1,0),"ERROR")</f>
        <v>58</v>
      </c>
      <c r="G41" s="113">
        <f t="shared" si="4"/>
        <v>8.3213773314203723E-2</v>
      </c>
      <c r="H41" s="111">
        <f>IFERROR(VLOOKUP($B41,MMWR_TRAD_AGG_STATE_COMP[],H$1,0),"ERROR")</f>
        <v>699</v>
      </c>
      <c r="I41" s="112">
        <f>IFERROR(VLOOKUP($B41,MMWR_TRAD_AGG_STATE_COMP[],I$1,0),"ERROR")</f>
        <v>348</v>
      </c>
      <c r="J41" s="114">
        <f t="shared" si="5"/>
        <v>0.4978540772532189</v>
      </c>
      <c r="K41" s="111">
        <f>IFERROR(VLOOKUP($B41,MMWR_TRAD_AGG_STATE_COMP[],K$1,0),"ERROR")</f>
        <v>365</v>
      </c>
      <c r="L41" s="112">
        <f>IFERROR(VLOOKUP($B41,MMWR_TRAD_AGG_STATE_COMP[],L$1,0),"ERROR")</f>
        <v>249</v>
      </c>
      <c r="M41" s="114">
        <f t="shared" si="6"/>
        <v>0.68219178082191778</v>
      </c>
      <c r="N41" s="111">
        <f>IFERROR(VLOOKUP($B41,MMWR_TRAD_AGG_STATE_COMP[],N$1,0),"ERROR")</f>
        <v>431</v>
      </c>
      <c r="O41" s="112">
        <f>IFERROR(VLOOKUP($B41,MMWR_TRAD_AGG_STATE_COMP[],O$1,0),"ERROR")</f>
        <v>232</v>
      </c>
      <c r="P41" s="114">
        <f t="shared" si="7"/>
        <v>0.53828306264501158</v>
      </c>
      <c r="Q41" s="115">
        <f>IFERROR(VLOOKUP($B41,MMWR_TRAD_AGG_STATE_COMP[],Q$1,0),"ERROR")</f>
        <v>0</v>
      </c>
      <c r="R41" s="115">
        <f>IFERROR(VLOOKUP($B41,MMWR_TRAD_AGG_STATE_COMP[],R$1,0),"ERROR")</f>
        <v>5</v>
      </c>
      <c r="S41" s="115">
        <f>IFERROR(VLOOKUP($B41,MMWR_APP_STATE_COMP[],S$1,0),"ERROR")</f>
        <v>305</v>
      </c>
      <c r="T41" s="28"/>
    </row>
    <row r="42" spans="1:20" s="123" customFormat="1" x14ac:dyDescent="0.2">
      <c r="A42" s="28"/>
      <c r="B42" s="127" t="s">
        <v>412</v>
      </c>
      <c r="C42" s="109">
        <f>IFERROR(VLOOKUP($B42,MMWR_TRAD_AGG_STATE_COMP[],C$1,0),"ERROR")</f>
        <v>1888</v>
      </c>
      <c r="D42" s="110">
        <f>IFERROR(VLOOKUP($B42,MMWR_TRAD_AGG_STATE_COMP[],D$1,0),"ERROR")</f>
        <v>169.8776483051</v>
      </c>
      <c r="E42" s="111">
        <f>IFERROR(VLOOKUP($B42,MMWR_TRAD_AGG_STATE_COMP[],E$1,0),"ERROR")</f>
        <v>5515</v>
      </c>
      <c r="F42" s="112">
        <f>IFERROR(VLOOKUP($B42,MMWR_TRAD_AGG_STATE_COMP[],F$1,0),"ERROR")</f>
        <v>670</v>
      </c>
      <c r="G42" s="113">
        <f t="shared" si="4"/>
        <v>0.1214868540344515</v>
      </c>
      <c r="H42" s="111">
        <f>IFERROR(VLOOKUP($B42,MMWR_TRAD_AGG_STATE_COMP[],H$1,0),"ERROR")</f>
        <v>3029</v>
      </c>
      <c r="I42" s="112">
        <f>IFERROR(VLOOKUP($B42,MMWR_TRAD_AGG_STATE_COMP[],I$1,0),"ERROR")</f>
        <v>836</v>
      </c>
      <c r="J42" s="114">
        <f t="shared" si="5"/>
        <v>0.27599867943215584</v>
      </c>
      <c r="K42" s="111">
        <f>IFERROR(VLOOKUP($B42,MMWR_TRAD_AGG_STATE_COMP[],K$1,0),"ERROR")</f>
        <v>1113</v>
      </c>
      <c r="L42" s="112">
        <f>IFERROR(VLOOKUP($B42,MMWR_TRAD_AGG_STATE_COMP[],L$1,0),"ERROR")</f>
        <v>557</v>
      </c>
      <c r="M42" s="114">
        <f t="shared" si="6"/>
        <v>0.50044923629829285</v>
      </c>
      <c r="N42" s="111">
        <f>IFERROR(VLOOKUP($B42,MMWR_TRAD_AGG_STATE_COMP[],N$1,0),"ERROR")</f>
        <v>2973</v>
      </c>
      <c r="O42" s="112">
        <f>IFERROR(VLOOKUP($B42,MMWR_TRAD_AGG_STATE_COMP[],O$1,0),"ERROR")</f>
        <v>1731</v>
      </c>
      <c r="P42" s="114">
        <f t="shared" si="7"/>
        <v>0.58224016145307766</v>
      </c>
      <c r="Q42" s="115">
        <f>IFERROR(VLOOKUP($B42,MMWR_TRAD_AGG_STATE_COMP[],Q$1,0),"ERROR")</f>
        <v>10</v>
      </c>
      <c r="R42" s="115">
        <f>IFERROR(VLOOKUP($B42,MMWR_TRAD_AGG_STATE_COMP[],R$1,0),"ERROR")</f>
        <v>27</v>
      </c>
      <c r="S42" s="115">
        <f>IFERROR(VLOOKUP($B42,MMWR_APP_STATE_COMP[],S$1,0),"ERROR")</f>
        <v>4435</v>
      </c>
      <c r="T42" s="28"/>
    </row>
    <row r="43" spans="1:20" s="123" customFormat="1" x14ac:dyDescent="0.2">
      <c r="A43" s="28"/>
      <c r="B43" s="127" t="s">
        <v>410</v>
      </c>
      <c r="C43" s="109">
        <f>IFERROR(VLOOKUP($B43,MMWR_TRAD_AGG_STATE_COMP[],C$1,0),"ERROR")</f>
        <v>23893</v>
      </c>
      <c r="D43" s="110">
        <f>IFERROR(VLOOKUP($B43,MMWR_TRAD_AGG_STATE_COMP[],D$1,0),"ERROR")</f>
        <v>365.1628928975</v>
      </c>
      <c r="E43" s="111">
        <f>IFERROR(VLOOKUP($B43,MMWR_TRAD_AGG_STATE_COMP[],E$1,0),"ERROR")</f>
        <v>35657</v>
      </c>
      <c r="F43" s="112">
        <f>IFERROR(VLOOKUP($B43,MMWR_TRAD_AGG_STATE_COMP[],F$1,0),"ERROR")</f>
        <v>7459</v>
      </c>
      <c r="G43" s="113">
        <f t="shared" si="4"/>
        <v>0.2091875368090417</v>
      </c>
      <c r="H43" s="111">
        <f>IFERROR(VLOOKUP($B43,MMWR_TRAD_AGG_STATE_COMP[],H$1,0),"ERROR")</f>
        <v>33532</v>
      </c>
      <c r="I43" s="112">
        <f>IFERROR(VLOOKUP($B43,MMWR_TRAD_AGG_STATE_COMP[],I$1,0),"ERROR")</f>
        <v>21647</v>
      </c>
      <c r="J43" s="114">
        <f t="shared" si="5"/>
        <v>0.64556244781104621</v>
      </c>
      <c r="K43" s="111">
        <f>IFERROR(VLOOKUP($B43,MMWR_TRAD_AGG_STATE_COMP[],K$1,0),"ERROR")</f>
        <v>9359</v>
      </c>
      <c r="L43" s="112">
        <f>IFERROR(VLOOKUP($B43,MMWR_TRAD_AGG_STATE_COMP[],L$1,0),"ERROR")</f>
        <v>6702</v>
      </c>
      <c r="M43" s="114">
        <f t="shared" si="6"/>
        <v>0.71610214766534885</v>
      </c>
      <c r="N43" s="111">
        <f>IFERROR(VLOOKUP($B43,MMWR_TRAD_AGG_STATE_COMP[],N$1,0),"ERROR")</f>
        <v>17978</v>
      </c>
      <c r="O43" s="112">
        <f>IFERROR(VLOOKUP($B43,MMWR_TRAD_AGG_STATE_COMP[],O$1,0),"ERROR")</f>
        <v>9828</v>
      </c>
      <c r="P43" s="114">
        <f t="shared" si="7"/>
        <v>0.5466681499610635</v>
      </c>
      <c r="Q43" s="115">
        <f>IFERROR(VLOOKUP($B43,MMWR_TRAD_AGG_STATE_COMP[],Q$1,0),"ERROR")</f>
        <v>20</v>
      </c>
      <c r="R43" s="115">
        <f>IFERROR(VLOOKUP($B43,MMWR_TRAD_AGG_STATE_COMP[],R$1,0),"ERROR")</f>
        <v>427</v>
      </c>
      <c r="S43" s="115">
        <f>IFERROR(VLOOKUP($B43,MMWR_APP_STATE_COMP[],S$1,0),"ERROR")</f>
        <v>42071</v>
      </c>
      <c r="T43" s="28"/>
    </row>
    <row r="44" spans="1:20" s="123" customFormat="1" x14ac:dyDescent="0.2">
      <c r="A44" s="28"/>
      <c r="B44" s="127" t="s">
        <v>406</v>
      </c>
      <c r="C44" s="109">
        <f>IFERROR(VLOOKUP($B44,MMWR_TRAD_AGG_STATE_COMP[],C$1,0),"ERROR")</f>
        <v>904</v>
      </c>
      <c r="D44" s="110">
        <f>IFERROR(VLOOKUP($B44,MMWR_TRAD_AGG_STATE_COMP[],D$1,0),"ERROR")</f>
        <v>295.66261061950001</v>
      </c>
      <c r="E44" s="111">
        <f>IFERROR(VLOOKUP($B44,MMWR_TRAD_AGG_STATE_COMP[],E$1,0),"ERROR")</f>
        <v>2108</v>
      </c>
      <c r="F44" s="112">
        <f>IFERROR(VLOOKUP($B44,MMWR_TRAD_AGG_STATE_COMP[],F$1,0),"ERROR")</f>
        <v>560</v>
      </c>
      <c r="G44" s="113">
        <f t="shared" si="4"/>
        <v>0.26565464895635671</v>
      </c>
      <c r="H44" s="111">
        <f>IFERROR(VLOOKUP($B44,MMWR_TRAD_AGG_STATE_COMP[],H$1,0),"ERROR")</f>
        <v>1365</v>
      </c>
      <c r="I44" s="112">
        <f>IFERROR(VLOOKUP($B44,MMWR_TRAD_AGG_STATE_COMP[],I$1,0),"ERROR")</f>
        <v>769</v>
      </c>
      <c r="J44" s="114">
        <f t="shared" si="5"/>
        <v>0.56336996336996337</v>
      </c>
      <c r="K44" s="111">
        <f>IFERROR(VLOOKUP($B44,MMWR_TRAD_AGG_STATE_COMP[],K$1,0),"ERROR")</f>
        <v>414</v>
      </c>
      <c r="L44" s="112">
        <f>IFERROR(VLOOKUP($B44,MMWR_TRAD_AGG_STATE_COMP[],L$1,0),"ERROR")</f>
        <v>287</v>
      </c>
      <c r="M44" s="114">
        <f t="shared" si="6"/>
        <v>0.69323671497584538</v>
      </c>
      <c r="N44" s="111">
        <f>IFERROR(VLOOKUP($B44,MMWR_TRAD_AGG_STATE_COMP[],N$1,0),"ERROR")</f>
        <v>556</v>
      </c>
      <c r="O44" s="112">
        <f>IFERROR(VLOOKUP($B44,MMWR_TRAD_AGG_STATE_COMP[],O$1,0),"ERROR")</f>
        <v>310</v>
      </c>
      <c r="P44" s="114">
        <f t="shared" si="7"/>
        <v>0.55755395683453235</v>
      </c>
      <c r="Q44" s="115">
        <f>IFERROR(VLOOKUP($B44,MMWR_TRAD_AGG_STATE_COMP[],Q$1,0),"ERROR")</f>
        <v>0</v>
      </c>
      <c r="R44" s="115">
        <f>IFERROR(VLOOKUP($B44,MMWR_TRAD_AGG_STATE_COMP[],R$1,0),"ERROR")</f>
        <v>3</v>
      </c>
      <c r="S44" s="115">
        <f>IFERROR(VLOOKUP($B44,MMWR_APP_STATE_COMP[],S$1,0),"ERROR")</f>
        <v>567</v>
      </c>
      <c r="T44" s="28"/>
    </row>
    <row r="45" spans="1:20" s="123" customFormat="1" x14ac:dyDescent="0.2">
      <c r="A45" s="28"/>
      <c r="B45" s="127" t="s">
        <v>421</v>
      </c>
      <c r="C45" s="109">
        <f>IFERROR(VLOOKUP($B45,MMWR_TRAD_AGG_STATE_COMP[],C$1,0),"ERROR")</f>
        <v>340</v>
      </c>
      <c r="D45" s="110">
        <f>IFERROR(VLOOKUP($B45,MMWR_TRAD_AGG_STATE_COMP[],D$1,0),"ERROR")</f>
        <v>386.78235294119997</v>
      </c>
      <c r="E45" s="111">
        <f>IFERROR(VLOOKUP($B45,MMWR_TRAD_AGG_STATE_COMP[],E$1,0),"ERROR")</f>
        <v>675</v>
      </c>
      <c r="F45" s="112">
        <f>IFERROR(VLOOKUP($B45,MMWR_TRAD_AGG_STATE_COMP[],F$1,0),"ERROR")</f>
        <v>100</v>
      </c>
      <c r="G45" s="113">
        <f t="shared" si="4"/>
        <v>0.14814814814814814</v>
      </c>
      <c r="H45" s="111">
        <f>IFERROR(VLOOKUP($B45,MMWR_TRAD_AGG_STATE_COMP[],H$1,0),"ERROR")</f>
        <v>626</v>
      </c>
      <c r="I45" s="112">
        <f>IFERROR(VLOOKUP($B45,MMWR_TRAD_AGG_STATE_COMP[],I$1,0),"ERROR")</f>
        <v>380</v>
      </c>
      <c r="J45" s="114">
        <f t="shared" si="5"/>
        <v>0.60702875399361023</v>
      </c>
      <c r="K45" s="111">
        <f>IFERROR(VLOOKUP($B45,MMWR_TRAD_AGG_STATE_COMP[],K$1,0),"ERROR")</f>
        <v>201</v>
      </c>
      <c r="L45" s="112">
        <f>IFERROR(VLOOKUP($B45,MMWR_TRAD_AGG_STATE_COMP[],L$1,0),"ERROR")</f>
        <v>115</v>
      </c>
      <c r="M45" s="114">
        <f t="shared" si="6"/>
        <v>0.57213930348258701</v>
      </c>
      <c r="N45" s="111">
        <f>IFERROR(VLOOKUP($B45,MMWR_TRAD_AGG_STATE_COMP[],N$1,0),"ERROR")</f>
        <v>190</v>
      </c>
      <c r="O45" s="112">
        <f>IFERROR(VLOOKUP($B45,MMWR_TRAD_AGG_STATE_COMP[],O$1,0),"ERROR")</f>
        <v>114</v>
      </c>
      <c r="P45" s="114">
        <f t="shared" si="7"/>
        <v>0.6</v>
      </c>
      <c r="Q45" s="115">
        <f>IFERROR(VLOOKUP($B45,MMWR_TRAD_AGG_STATE_COMP[],Q$1,0),"ERROR")</f>
        <v>2</v>
      </c>
      <c r="R45" s="115">
        <f>IFERROR(VLOOKUP($B45,MMWR_TRAD_AGG_STATE_COMP[],R$1,0),"ERROR")</f>
        <v>1</v>
      </c>
      <c r="S45" s="115">
        <f>IFERROR(VLOOKUP($B45,MMWR_APP_STATE_COMP[],S$1,0),"ERROR")</f>
        <v>241</v>
      </c>
      <c r="T45" s="28"/>
    </row>
    <row r="46" spans="1:20" s="123" customFormat="1" x14ac:dyDescent="0.2">
      <c r="A46" s="28"/>
      <c r="B46" s="126" t="s">
        <v>404</v>
      </c>
      <c r="C46" s="102">
        <f>IFERROR(VLOOKUP($B46,MMWR_TRAD_AGG_ST_DISTRICT_COMP[],C$1,0),"ERROR")</f>
        <v>48923</v>
      </c>
      <c r="D46" s="103">
        <f>IFERROR(VLOOKUP($B46,MMWR_TRAD_AGG_ST_DISTRICT_COMP[],D$1,0),"ERROR")</f>
        <v>406.58265028720001</v>
      </c>
      <c r="E46" s="102">
        <f>IFERROR(VLOOKUP($B46,MMWR_TRAD_AGG_ST_DISTRICT_COMP[],E$1,0),"ERROR")</f>
        <v>60466</v>
      </c>
      <c r="F46" s="102">
        <f>IFERROR(VLOOKUP($B46,MMWR_TRAD_AGG_ST_DISTRICT_COMP[],F$1,0),"ERROR")</f>
        <v>12008</v>
      </c>
      <c r="G46" s="104">
        <f t="shared" si="4"/>
        <v>0.19859094367082328</v>
      </c>
      <c r="H46" s="102">
        <f>IFERROR(VLOOKUP($B46,MMWR_TRAD_AGG_ST_DISTRICT_COMP[],H$1,0),"ERROR")</f>
        <v>73282</v>
      </c>
      <c r="I46" s="102">
        <f>IFERROR(VLOOKUP($B46,MMWR_TRAD_AGG_ST_DISTRICT_COMP[],I$1,0),"ERROR")</f>
        <v>51306</v>
      </c>
      <c r="J46" s="105">
        <f t="shared" si="5"/>
        <v>0.70011735487568572</v>
      </c>
      <c r="K46" s="102">
        <f>IFERROR(VLOOKUP($B46,MMWR_TRAD_AGG_ST_DISTRICT_COMP[],K$1,0),"ERROR")</f>
        <v>23316</v>
      </c>
      <c r="L46" s="102">
        <f>IFERROR(VLOOKUP($B46,MMWR_TRAD_AGG_ST_DISTRICT_COMP[],L$1,0),"ERROR")</f>
        <v>18257</v>
      </c>
      <c r="M46" s="105">
        <f t="shared" si="6"/>
        <v>0.78302453250986448</v>
      </c>
      <c r="N46" s="102">
        <f>IFERROR(VLOOKUP($B46,MMWR_TRAD_AGG_ST_DISTRICT_COMP[],N$1,0),"ERROR")</f>
        <v>32492</v>
      </c>
      <c r="O46" s="102">
        <f>IFERROR(VLOOKUP($B46,MMWR_TRAD_AGG_ST_DISTRICT_COMP[],O$1,0),"ERROR")</f>
        <v>22168</v>
      </c>
      <c r="P46" s="105">
        <f t="shared" si="7"/>
        <v>0.68226024867659729</v>
      </c>
      <c r="Q46" s="102">
        <f>IFERROR(VLOOKUP($B46,MMWR_TRAD_AGG_ST_DISTRICT_COMP[],Q$1,0),"ERROR")</f>
        <v>95</v>
      </c>
      <c r="R46" s="106">
        <f>IFERROR(VLOOKUP($B46,MMWR_TRAD_AGG_ST_DISTRICT_COMP[],R$1,0),"ERROR")</f>
        <v>625</v>
      </c>
      <c r="S46" s="106">
        <f>SUM(S47:S55)</f>
        <v>42758</v>
      </c>
      <c r="T46" s="28"/>
    </row>
    <row r="47" spans="1:20" s="123" customFormat="1" x14ac:dyDescent="0.2">
      <c r="A47" s="28"/>
      <c r="B47" s="127" t="s">
        <v>424</v>
      </c>
      <c r="C47" s="109">
        <f>IFERROR(VLOOKUP($B47,MMWR_TRAD_AGG_STATE_COMP[],C$1,0),"ERROR")</f>
        <v>1782</v>
      </c>
      <c r="D47" s="110">
        <f>IFERROR(VLOOKUP($B47,MMWR_TRAD_AGG_STATE_COMP[],D$1,0),"ERROR")</f>
        <v>492.94107744109999</v>
      </c>
      <c r="E47" s="111">
        <f>IFERROR(VLOOKUP($B47,MMWR_TRAD_AGG_STATE_COMP[],E$1,0),"ERROR")</f>
        <v>1107</v>
      </c>
      <c r="F47" s="112">
        <f>IFERROR(VLOOKUP($B47,MMWR_TRAD_AGG_STATE_COMP[],F$1,0),"ERROR")</f>
        <v>274</v>
      </c>
      <c r="G47" s="113">
        <f t="shared" si="4"/>
        <v>0.24751580849141824</v>
      </c>
      <c r="H47" s="111">
        <f>IFERROR(VLOOKUP($B47,MMWR_TRAD_AGG_STATE_COMP[],H$1,0),"ERROR")</f>
        <v>2521</v>
      </c>
      <c r="I47" s="112">
        <f>IFERROR(VLOOKUP($B47,MMWR_TRAD_AGG_STATE_COMP[],I$1,0),"ERROR")</f>
        <v>2012</v>
      </c>
      <c r="J47" s="114">
        <f t="shared" si="5"/>
        <v>0.79809599365331219</v>
      </c>
      <c r="K47" s="111">
        <f>IFERROR(VLOOKUP($B47,MMWR_TRAD_AGG_STATE_COMP[],K$1,0),"ERROR")</f>
        <v>1858</v>
      </c>
      <c r="L47" s="112">
        <f>IFERROR(VLOOKUP($B47,MMWR_TRAD_AGG_STATE_COMP[],L$1,0),"ERROR")</f>
        <v>1574</v>
      </c>
      <c r="M47" s="114">
        <f t="shared" si="6"/>
        <v>0.84714747039827776</v>
      </c>
      <c r="N47" s="111">
        <f>IFERROR(VLOOKUP($B47,MMWR_TRAD_AGG_STATE_COMP[],N$1,0),"ERROR")</f>
        <v>681</v>
      </c>
      <c r="O47" s="112">
        <f>IFERROR(VLOOKUP($B47,MMWR_TRAD_AGG_STATE_COMP[],O$1,0),"ERROR")</f>
        <v>429</v>
      </c>
      <c r="P47" s="114">
        <f t="shared" si="7"/>
        <v>0.62995594713656389</v>
      </c>
      <c r="Q47" s="115">
        <f>IFERROR(VLOOKUP($B47,MMWR_TRAD_AGG_STATE_COMP[],Q$1,0),"ERROR")</f>
        <v>0</v>
      </c>
      <c r="R47" s="115">
        <f>IFERROR(VLOOKUP($B47,MMWR_TRAD_AGG_STATE_COMP[],R$1,0),"ERROR")</f>
        <v>3</v>
      </c>
      <c r="S47" s="115">
        <f>IFERROR(VLOOKUP($B47,MMWR_APP_STATE_COMP[],S$1,0),"ERROR")</f>
        <v>280</v>
      </c>
      <c r="T47" s="28"/>
    </row>
    <row r="48" spans="1:20" s="123" customFormat="1" x14ac:dyDescent="0.2">
      <c r="A48" s="28"/>
      <c r="B48" s="127" t="s">
        <v>426</v>
      </c>
      <c r="C48" s="109">
        <f>IFERROR(VLOOKUP($B48,MMWR_TRAD_AGG_STATE_COMP[],C$1,0),"ERROR")</f>
        <v>4162</v>
      </c>
      <c r="D48" s="110">
        <f>IFERROR(VLOOKUP($B48,MMWR_TRAD_AGG_STATE_COMP[],D$1,0),"ERROR")</f>
        <v>289.91590581449998</v>
      </c>
      <c r="E48" s="111">
        <f>IFERROR(VLOOKUP($B48,MMWR_TRAD_AGG_STATE_COMP[],E$1,0),"ERROR")</f>
        <v>5248</v>
      </c>
      <c r="F48" s="112">
        <f>IFERROR(VLOOKUP($B48,MMWR_TRAD_AGG_STATE_COMP[],F$1,0),"ERROR")</f>
        <v>1004</v>
      </c>
      <c r="G48" s="113">
        <f t="shared" si="4"/>
        <v>0.1913109756097561</v>
      </c>
      <c r="H48" s="111">
        <f>IFERROR(VLOOKUP($B48,MMWR_TRAD_AGG_STATE_COMP[],H$1,0),"ERROR")</f>
        <v>6079</v>
      </c>
      <c r="I48" s="112">
        <f>IFERROR(VLOOKUP($B48,MMWR_TRAD_AGG_STATE_COMP[],I$1,0),"ERROR")</f>
        <v>3630</v>
      </c>
      <c r="J48" s="114">
        <f t="shared" si="5"/>
        <v>0.59713768711959203</v>
      </c>
      <c r="K48" s="111">
        <f>IFERROR(VLOOKUP($B48,MMWR_TRAD_AGG_STATE_COMP[],K$1,0),"ERROR")</f>
        <v>1496</v>
      </c>
      <c r="L48" s="112">
        <f>IFERROR(VLOOKUP($B48,MMWR_TRAD_AGG_STATE_COMP[],L$1,0),"ERROR")</f>
        <v>1086</v>
      </c>
      <c r="M48" s="114">
        <f t="shared" si="6"/>
        <v>0.72593582887700536</v>
      </c>
      <c r="N48" s="111">
        <f>IFERROR(VLOOKUP($B48,MMWR_TRAD_AGG_STATE_COMP[],N$1,0),"ERROR")</f>
        <v>2813</v>
      </c>
      <c r="O48" s="112">
        <f>IFERROR(VLOOKUP($B48,MMWR_TRAD_AGG_STATE_COMP[],O$1,0),"ERROR")</f>
        <v>1612</v>
      </c>
      <c r="P48" s="114">
        <f t="shared" si="7"/>
        <v>0.57305367934589402</v>
      </c>
      <c r="Q48" s="115">
        <f>IFERROR(VLOOKUP($B48,MMWR_TRAD_AGG_STATE_COMP[],Q$1,0),"ERROR")</f>
        <v>7</v>
      </c>
      <c r="R48" s="115">
        <f>IFERROR(VLOOKUP($B48,MMWR_TRAD_AGG_STATE_COMP[],R$1,0),"ERROR")</f>
        <v>83</v>
      </c>
      <c r="S48" s="115">
        <f>IFERROR(VLOOKUP($B48,MMWR_APP_STATE_COMP[],S$1,0),"ERROR")</f>
        <v>7146</v>
      </c>
      <c r="T48" s="28"/>
    </row>
    <row r="49" spans="1:20" s="123" customFormat="1" x14ac:dyDescent="0.2">
      <c r="A49" s="28"/>
      <c r="B49" s="127" t="s">
        <v>407</v>
      </c>
      <c r="C49" s="109">
        <f>IFERROR(VLOOKUP($B49,MMWR_TRAD_AGG_STATE_COMP[],C$1,0),"ERROR")</f>
        <v>21720</v>
      </c>
      <c r="D49" s="110">
        <f>IFERROR(VLOOKUP($B49,MMWR_TRAD_AGG_STATE_COMP[],D$1,0),"ERROR")</f>
        <v>422.3676335175</v>
      </c>
      <c r="E49" s="111">
        <f>IFERROR(VLOOKUP($B49,MMWR_TRAD_AGG_STATE_COMP[],E$1,0),"ERROR")</f>
        <v>32343</v>
      </c>
      <c r="F49" s="112">
        <f>IFERROR(VLOOKUP($B49,MMWR_TRAD_AGG_STATE_COMP[],F$1,0),"ERROR")</f>
        <v>6443</v>
      </c>
      <c r="G49" s="113">
        <f t="shared" si="4"/>
        <v>0.19920848406146616</v>
      </c>
      <c r="H49" s="111">
        <f>IFERROR(VLOOKUP($B49,MMWR_TRAD_AGG_STATE_COMP[],H$1,0),"ERROR")</f>
        <v>33740</v>
      </c>
      <c r="I49" s="112">
        <f>IFERROR(VLOOKUP($B49,MMWR_TRAD_AGG_STATE_COMP[],I$1,0),"ERROR")</f>
        <v>24111</v>
      </c>
      <c r="J49" s="114">
        <f t="shared" si="5"/>
        <v>0.71461173681090695</v>
      </c>
      <c r="K49" s="111">
        <f>IFERROR(VLOOKUP($B49,MMWR_TRAD_AGG_STATE_COMP[],K$1,0),"ERROR")</f>
        <v>10177</v>
      </c>
      <c r="L49" s="112">
        <f>IFERROR(VLOOKUP($B49,MMWR_TRAD_AGG_STATE_COMP[],L$1,0),"ERROR")</f>
        <v>8197</v>
      </c>
      <c r="M49" s="114">
        <f t="shared" si="6"/>
        <v>0.80544364744030661</v>
      </c>
      <c r="N49" s="111">
        <f>IFERROR(VLOOKUP($B49,MMWR_TRAD_AGG_STATE_COMP[],N$1,0),"ERROR")</f>
        <v>15602</v>
      </c>
      <c r="O49" s="112">
        <f>IFERROR(VLOOKUP($B49,MMWR_TRAD_AGG_STATE_COMP[],O$1,0),"ERROR")</f>
        <v>10834</v>
      </c>
      <c r="P49" s="114">
        <f t="shared" si="7"/>
        <v>0.69439815408280992</v>
      </c>
      <c r="Q49" s="115">
        <f>IFERROR(VLOOKUP($B49,MMWR_TRAD_AGG_STATE_COMP[],Q$1,0),"ERROR")</f>
        <v>56</v>
      </c>
      <c r="R49" s="115">
        <f>IFERROR(VLOOKUP($B49,MMWR_TRAD_AGG_STATE_COMP[],R$1,0),"ERROR")</f>
        <v>154</v>
      </c>
      <c r="S49" s="115">
        <f>IFERROR(VLOOKUP($B49,MMWR_APP_STATE_COMP[],S$1,0),"ERROR")</f>
        <v>18334</v>
      </c>
      <c r="T49" s="28"/>
    </row>
    <row r="50" spans="1:20" s="123" customFormat="1" x14ac:dyDescent="0.2">
      <c r="A50" s="28"/>
      <c r="B50" s="127" t="s">
        <v>428</v>
      </c>
      <c r="C50" s="109">
        <f>IFERROR(VLOOKUP($B50,MMWR_TRAD_AGG_STATE_COMP[],C$1,0),"ERROR")</f>
        <v>1284</v>
      </c>
      <c r="D50" s="110">
        <f>IFERROR(VLOOKUP($B50,MMWR_TRAD_AGG_STATE_COMP[],D$1,0),"ERROR")</f>
        <v>313.94314641739999</v>
      </c>
      <c r="E50" s="111">
        <f>IFERROR(VLOOKUP($B50,MMWR_TRAD_AGG_STATE_COMP[],E$1,0),"ERROR")</f>
        <v>1786</v>
      </c>
      <c r="F50" s="112">
        <f>IFERROR(VLOOKUP($B50,MMWR_TRAD_AGG_STATE_COMP[],F$1,0),"ERROR")</f>
        <v>280</v>
      </c>
      <c r="G50" s="113">
        <f t="shared" si="4"/>
        <v>0.15677491601343785</v>
      </c>
      <c r="H50" s="111">
        <f>IFERROR(VLOOKUP($B50,MMWR_TRAD_AGG_STATE_COMP[],H$1,0),"ERROR")</f>
        <v>1828</v>
      </c>
      <c r="I50" s="112">
        <f>IFERROR(VLOOKUP($B50,MMWR_TRAD_AGG_STATE_COMP[],I$1,0),"ERROR")</f>
        <v>1165</v>
      </c>
      <c r="J50" s="114">
        <f t="shared" si="5"/>
        <v>0.63730853391684905</v>
      </c>
      <c r="K50" s="111">
        <f>IFERROR(VLOOKUP($B50,MMWR_TRAD_AGG_STATE_COMP[],K$1,0),"ERROR")</f>
        <v>1008</v>
      </c>
      <c r="L50" s="112">
        <f>IFERROR(VLOOKUP($B50,MMWR_TRAD_AGG_STATE_COMP[],L$1,0),"ERROR")</f>
        <v>588</v>
      </c>
      <c r="M50" s="114">
        <f t="shared" si="6"/>
        <v>0.58333333333333337</v>
      </c>
      <c r="N50" s="111">
        <f>IFERROR(VLOOKUP($B50,MMWR_TRAD_AGG_STATE_COMP[],N$1,0),"ERROR")</f>
        <v>630</v>
      </c>
      <c r="O50" s="112">
        <f>IFERROR(VLOOKUP($B50,MMWR_TRAD_AGG_STATE_COMP[],O$1,0),"ERROR")</f>
        <v>399</v>
      </c>
      <c r="P50" s="114">
        <f t="shared" si="7"/>
        <v>0.6333333333333333</v>
      </c>
      <c r="Q50" s="115">
        <f>IFERROR(VLOOKUP($B50,MMWR_TRAD_AGG_STATE_COMP[],Q$1,0),"ERROR")</f>
        <v>3</v>
      </c>
      <c r="R50" s="115">
        <f>IFERROR(VLOOKUP($B50,MMWR_TRAD_AGG_STATE_COMP[],R$1,0),"ERROR")</f>
        <v>5</v>
      </c>
      <c r="S50" s="115">
        <f>IFERROR(VLOOKUP($B50,MMWR_APP_STATE_COMP[],S$1,0),"ERROR")</f>
        <v>1102</v>
      </c>
      <c r="T50" s="28"/>
    </row>
    <row r="51" spans="1:20" s="123" customFormat="1" x14ac:dyDescent="0.2">
      <c r="A51" s="28"/>
      <c r="B51" s="127" t="s">
        <v>408</v>
      </c>
      <c r="C51" s="109">
        <f>IFERROR(VLOOKUP($B51,MMWR_TRAD_AGG_STATE_COMP[],C$1,0),"ERROR")</f>
        <v>620</v>
      </c>
      <c r="D51" s="110">
        <f>IFERROR(VLOOKUP($B51,MMWR_TRAD_AGG_STATE_COMP[],D$1,0),"ERROR")</f>
        <v>236.0177419355</v>
      </c>
      <c r="E51" s="111">
        <f>IFERROR(VLOOKUP($B51,MMWR_TRAD_AGG_STATE_COMP[],E$1,0),"ERROR")</f>
        <v>1715</v>
      </c>
      <c r="F51" s="112">
        <f>IFERROR(VLOOKUP($B51,MMWR_TRAD_AGG_STATE_COMP[],F$1,0),"ERROR")</f>
        <v>406</v>
      </c>
      <c r="G51" s="113">
        <f t="shared" si="4"/>
        <v>0.23673469387755103</v>
      </c>
      <c r="H51" s="111">
        <f>IFERROR(VLOOKUP($B51,MMWR_TRAD_AGG_STATE_COMP[],H$1,0),"ERROR")</f>
        <v>909</v>
      </c>
      <c r="I51" s="112">
        <f>IFERROR(VLOOKUP($B51,MMWR_TRAD_AGG_STATE_COMP[],I$1,0),"ERROR")</f>
        <v>407</v>
      </c>
      <c r="J51" s="114">
        <f t="shared" si="5"/>
        <v>0.44774477447744776</v>
      </c>
      <c r="K51" s="111">
        <f>IFERROR(VLOOKUP($B51,MMWR_TRAD_AGG_STATE_COMP[],K$1,0),"ERROR")</f>
        <v>259</v>
      </c>
      <c r="L51" s="112">
        <f>IFERROR(VLOOKUP($B51,MMWR_TRAD_AGG_STATE_COMP[],L$1,0),"ERROR")</f>
        <v>170</v>
      </c>
      <c r="M51" s="114">
        <f t="shared" si="6"/>
        <v>0.65637065637065639</v>
      </c>
      <c r="N51" s="111">
        <f>IFERROR(VLOOKUP($B51,MMWR_TRAD_AGG_STATE_COMP[],N$1,0),"ERROR")</f>
        <v>490</v>
      </c>
      <c r="O51" s="112">
        <f>IFERROR(VLOOKUP($B51,MMWR_TRAD_AGG_STATE_COMP[],O$1,0),"ERROR")</f>
        <v>277</v>
      </c>
      <c r="P51" s="114">
        <f t="shared" si="7"/>
        <v>0.5653061224489796</v>
      </c>
      <c r="Q51" s="115">
        <f>IFERROR(VLOOKUP($B51,MMWR_TRAD_AGG_STATE_COMP[],Q$1,0),"ERROR")</f>
        <v>1</v>
      </c>
      <c r="R51" s="115">
        <f>IFERROR(VLOOKUP($B51,MMWR_TRAD_AGG_STATE_COMP[],R$1,0),"ERROR")</f>
        <v>5</v>
      </c>
      <c r="S51" s="115">
        <f>IFERROR(VLOOKUP($B51,MMWR_APP_STATE_COMP[],S$1,0),"ERROR")</f>
        <v>940</v>
      </c>
      <c r="T51" s="28"/>
    </row>
    <row r="52" spans="1:20" s="123" customFormat="1" x14ac:dyDescent="0.2">
      <c r="A52" s="28"/>
      <c r="B52" s="127" t="s">
        <v>413</v>
      </c>
      <c r="C52" s="109">
        <f>IFERROR(VLOOKUP($B52,MMWR_TRAD_AGG_STATE_COMP[],C$1,0),"ERROR")</f>
        <v>3110</v>
      </c>
      <c r="D52" s="110">
        <f>IFERROR(VLOOKUP($B52,MMWR_TRAD_AGG_STATE_COMP[],D$1,0),"ERROR")</f>
        <v>443.86527331190001</v>
      </c>
      <c r="E52" s="111">
        <f>IFERROR(VLOOKUP($B52,MMWR_TRAD_AGG_STATE_COMP[],E$1,0),"ERROR")</f>
        <v>4047</v>
      </c>
      <c r="F52" s="112">
        <f>IFERROR(VLOOKUP($B52,MMWR_TRAD_AGG_STATE_COMP[],F$1,0),"ERROR")</f>
        <v>1031</v>
      </c>
      <c r="G52" s="113">
        <f t="shared" si="4"/>
        <v>0.25475660983444526</v>
      </c>
      <c r="H52" s="111">
        <f>IFERROR(VLOOKUP($B52,MMWR_TRAD_AGG_STATE_COMP[],H$1,0),"ERROR")</f>
        <v>4335</v>
      </c>
      <c r="I52" s="112">
        <f>IFERROR(VLOOKUP($B52,MMWR_TRAD_AGG_STATE_COMP[],I$1,0),"ERROR")</f>
        <v>3089</v>
      </c>
      <c r="J52" s="114">
        <f t="shared" si="5"/>
        <v>0.71257208765859281</v>
      </c>
      <c r="K52" s="111">
        <f>IFERROR(VLOOKUP($B52,MMWR_TRAD_AGG_STATE_COMP[],K$1,0),"ERROR")</f>
        <v>1053</v>
      </c>
      <c r="L52" s="112">
        <f>IFERROR(VLOOKUP($B52,MMWR_TRAD_AGG_STATE_COMP[],L$1,0),"ERROR")</f>
        <v>858</v>
      </c>
      <c r="M52" s="114">
        <f t="shared" si="6"/>
        <v>0.81481481481481477</v>
      </c>
      <c r="N52" s="111">
        <f>IFERROR(VLOOKUP($B52,MMWR_TRAD_AGG_STATE_COMP[],N$1,0),"ERROR")</f>
        <v>2017</v>
      </c>
      <c r="O52" s="112">
        <f>IFERROR(VLOOKUP($B52,MMWR_TRAD_AGG_STATE_COMP[],O$1,0),"ERROR")</f>
        <v>1470</v>
      </c>
      <c r="P52" s="114">
        <f t="shared" si="7"/>
        <v>0.7288051561725335</v>
      </c>
      <c r="Q52" s="115">
        <f>IFERROR(VLOOKUP($B52,MMWR_TRAD_AGG_STATE_COMP[],Q$1,0),"ERROR")</f>
        <v>4</v>
      </c>
      <c r="R52" s="115">
        <f>IFERROR(VLOOKUP($B52,MMWR_TRAD_AGG_STATE_COMP[],R$1,0),"ERROR")</f>
        <v>129</v>
      </c>
      <c r="S52" s="115">
        <f>IFERROR(VLOOKUP($B52,MMWR_APP_STATE_COMP[],S$1,0),"ERROR")</f>
        <v>3131</v>
      </c>
      <c r="T52" s="28"/>
    </row>
    <row r="53" spans="1:20" s="123" customFormat="1" x14ac:dyDescent="0.2">
      <c r="A53" s="28"/>
      <c r="B53" s="127" t="s">
        <v>405</v>
      </c>
      <c r="C53" s="109">
        <f>IFERROR(VLOOKUP($B53,MMWR_TRAD_AGG_STATE_COMP[],C$1,0),"ERROR")</f>
        <v>1004</v>
      </c>
      <c r="D53" s="110">
        <f>IFERROR(VLOOKUP($B53,MMWR_TRAD_AGG_STATE_COMP[],D$1,0),"ERROR")</f>
        <v>264.79183266929999</v>
      </c>
      <c r="E53" s="111">
        <f>IFERROR(VLOOKUP($B53,MMWR_TRAD_AGG_STATE_COMP[],E$1,0),"ERROR")</f>
        <v>2537</v>
      </c>
      <c r="F53" s="112">
        <f>IFERROR(VLOOKUP($B53,MMWR_TRAD_AGG_STATE_COMP[],F$1,0),"ERROR")</f>
        <v>508</v>
      </c>
      <c r="G53" s="113">
        <f t="shared" si="4"/>
        <v>0.20023649980291683</v>
      </c>
      <c r="H53" s="111">
        <f>IFERROR(VLOOKUP($B53,MMWR_TRAD_AGG_STATE_COMP[],H$1,0),"ERROR")</f>
        <v>1716</v>
      </c>
      <c r="I53" s="112">
        <f>IFERROR(VLOOKUP($B53,MMWR_TRAD_AGG_STATE_COMP[],I$1,0),"ERROR")</f>
        <v>883</v>
      </c>
      <c r="J53" s="114">
        <f t="shared" si="5"/>
        <v>0.51456876456876455</v>
      </c>
      <c r="K53" s="111">
        <f>IFERROR(VLOOKUP($B53,MMWR_TRAD_AGG_STATE_COMP[],K$1,0),"ERROR")</f>
        <v>544</v>
      </c>
      <c r="L53" s="112">
        <f>IFERROR(VLOOKUP($B53,MMWR_TRAD_AGG_STATE_COMP[],L$1,0),"ERROR")</f>
        <v>328</v>
      </c>
      <c r="M53" s="114">
        <f t="shared" si="6"/>
        <v>0.6029411764705882</v>
      </c>
      <c r="N53" s="111">
        <f>IFERROR(VLOOKUP($B53,MMWR_TRAD_AGG_STATE_COMP[],N$1,0),"ERROR")</f>
        <v>983</v>
      </c>
      <c r="O53" s="112">
        <f>IFERROR(VLOOKUP($B53,MMWR_TRAD_AGG_STATE_COMP[],O$1,0),"ERROR")</f>
        <v>580</v>
      </c>
      <c r="P53" s="114">
        <f t="shared" si="7"/>
        <v>0.59003051881993895</v>
      </c>
      <c r="Q53" s="115">
        <f>IFERROR(VLOOKUP($B53,MMWR_TRAD_AGG_STATE_COMP[],Q$1,0),"ERROR")</f>
        <v>6</v>
      </c>
      <c r="R53" s="115">
        <f>IFERROR(VLOOKUP($B53,MMWR_TRAD_AGG_STATE_COMP[],R$1,0),"ERROR")</f>
        <v>11</v>
      </c>
      <c r="S53" s="115">
        <f>IFERROR(VLOOKUP($B53,MMWR_APP_STATE_COMP[],S$1,0),"ERROR")</f>
        <v>1768</v>
      </c>
      <c r="T53" s="28"/>
    </row>
    <row r="54" spans="1:20" s="123" customFormat="1" x14ac:dyDescent="0.2">
      <c r="A54" s="28"/>
      <c r="B54" s="127" t="s">
        <v>409</v>
      </c>
      <c r="C54" s="109">
        <f>IFERROR(VLOOKUP($B54,MMWR_TRAD_AGG_STATE_COMP[],C$1,0),"ERROR")</f>
        <v>5868</v>
      </c>
      <c r="D54" s="110">
        <f>IFERROR(VLOOKUP($B54,MMWR_TRAD_AGG_STATE_COMP[],D$1,0),"ERROR")</f>
        <v>473.7218813906</v>
      </c>
      <c r="E54" s="111">
        <f>IFERROR(VLOOKUP($B54,MMWR_TRAD_AGG_STATE_COMP[],E$1,0),"ERROR")</f>
        <v>4696</v>
      </c>
      <c r="F54" s="112">
        <f>IFERROR(VLOOKUP($B54,MMWR_TRAD_AGG_STATE_COMP[],F$1,0),"ERROR")</f>
        <v>941</v>
      </c>
      <c r="G54" s="113">
        <f t="shared" si="4"/>
        <v>0.20038330494037479</v>
      </c>
      <c r="H54" s="111">
        <f>IFERROR(VLOOKUP($B54,MMWR_TRAD_AGG_STATE_COMP[],H$1,0),"ERROR")</f>
        <v>8300</v>
      </c>
      <c r="I54" s="112">
        <f>IFERROR(VLOOKUP($B54,MMWR_TRAD_AGG_STATE_COMP[],I$1,0),"ERROR")</f>
        <v>6174</v>
      </c>
      <c r="J54" s="114">
        <f t="shared" si="5"/>
        <v>0.74385542168674701</v>
      </c>
      <c r="K54" s="111">
        <f>IFERROR(VLOOKUP($B54,MMWR_TRAD_AGG_STATE_COMP[],K$1,0),"ERROR")</f>
        <v>3035</v>
      </c>
      <c r="L54" s="112">
        <f>IFERROR(VLOOKUP($B54,MMWR_TRAD_AGG_STATE_COMP[],L$1,0),"ERROR")</f>
        <v>2711</v>
      </c>
      <c r="M54" s="114">
        <f t="shared" si="6"/>
        <v>0.89324546952224049</v>
      </c>
      <c r="N54" s="111">
        <f>IFERROR(VLOOKUP($B54,MMWR_TRAD_AGG_STATE_COMP[],N$1,0),"ERROR")</f>
        <v>3207</v>
      </c>
      <c r="O54" s="112">
        <f>IFERROR(VLOOKUP($B54,MMWR_TRAD_AGG_STATE_COMP[],O$1,0),"ERROR")</f>
        <v>2140</v>
      </c>
      <c r="P54" s="114">
        <f t="shared" si="7"/>
        <v>0.66729030246336141</v>
      </c>
      <c r="Q54" s="115">
        <f>IFERROR(VLOOKUP($B54,MMWR_TRAD_AGG_STATE_COMP[],Q$1,0),"ERROR")</f>
        <v>6</v>
      </c>
      <c r="R54" s="115">
        <f>IFERROR(VLOOKUP($B54,MMWR_TRAD_AGG_STATE_COMP[],R$1,0),"ERROR")</f>
        <v>93</v>
      </c>
      <c r="S54" s="115">
        <f>IFERROR(VLOOKUP($B54,MMWR_APP_STATE_COMP[],S$1,0),"ERROR")</f>
        <v>5040</v>
      </c>
      <c r="T54" s="28"/>
    </row>
    <row r="55" spans="1:20" s="123" customFormat="1" x14ac:dyDescent="0.2">
      <c r="A55" s="28"/>
      <c r="B55" s="127" t="s">
        <v>80</v>
      </c>
      <c r="C55" s="109">
        <f>IFERROR(VLOOKUP($B55,MMWR_TRAD_AGG_STATE_COMP[],C$1,0),"ERROR")</f>
        <v>9373</v>
      </c>
      <c r="D55" s="110">
        <f>IFERROR(VLOOKUP($B55,MMWR_TRAD_AGG_STATE_COMP[],D$1,0),"ERROR")</f>
        <v>390.14840499309997</v>
      </c>
      <c r="E55" s="111">
        <f>IFERROR(VLOOKUP($B55,MMWR_TRAD_AGG_STATE_COMP[],E$1,0),"ERROR")</f>
        <v>6987</v>
      </c>
      <c r="F55" s="112">
        <f>IFERROR(VLOOKUP($B55,MMWR_TRAD_AGG_STATE_COMP[],F$1,0),"ERROR")</f>
        <v>1121</v>
      </c>
      <c r="G55" s="113">
        <f t="shared" si="4"/>
        <v>0.1604408186632317</v>
      </c>
      <c r="H55" s="111">
        <f>IFERROR(VLOOKUP($B55,MMWR_TRAD_AGG_STATE_COMP[],H$1,0),"ERROR")</f>
        <v>13854</v>
      </c>
      <c r="I55" s="112">
        <f>IFERROR(VLOOKUP($B55,MMWR_TRAD_AGG_STATE_COMP[],I$1,0),"ERROR")</f>
        <v>9835</v>
      </c>
      <c r="J55" s="114">
        <f t="shared" si="5"/>
        <v>0.70990327703190415</v>
      </c>
      <c r="K55" s="111">
        <f>IFERROR(VLOOKUP($B55,MMWR_TRAD_AGG_STATE_COMP[],K$1,0),"ERROR")</f>
        <v>3886</v>
      </c>
      <c r="L55" s="112">
        <f>IFERROR(VLOOKUP($B55,MMWR_TRAD_AGG_STATE_COMP[],L$1,0),"ERROR")</f>
        <v>2745</v>
      </c>
      <c r="M55" s="114">
        <f t="shared" si="6"/>
        <v>0.70638188368502319</v>
      </c>
      <c r="N55" s="111">
        <f>IFERROR(VLOOKUP($B55,MMWR_TRAD_AGG_STATE_COMP[],N$1,0),"ERROR")</f>
        <v>6069</v>
      </c>
      <c r="O55" s="112">
        <f>IFERROR(VLOOKUP($B55,MMWR_TRAD_AGG_STATE_COMP[],O$1,0),"ERROR")</f>
        <v>4427</v>
      </c>
      <c r="P55" s="114">
        <f t="shared" si="7"/>
        <v>0.72944471906409625</v>
      </c>
      <c r="Q55" s="115">
        <f>IFERROR(VLOOKUP($B55,MMWR_TRAD_AGG_STATE_COMP[],Q$1,0),"ERROR")</f>
        <v>12</v>
      </c>
      <c r="R55" s="115">
        <f>IFERROR(VLOOKUP($B55,MMWR_TRAD_AGG_STATE_COMP[],R$1,0),"ERROR")</f>
        <v>142</v>
      </c>
      <c r="S55" s="115">
        <f>IFERROR(VLOOKUP($B55,MMWR_APP_STATE_COMP[],S$1,0),"ERROR")</f>
        <v>5017</v>
      </c>
      <c r="T55" s="28"/>
    </row>
    <row r="56" spans="1:20" s="123" customFormat="1" x14ac:dyDescent="0.2">
      <c r="A56" s="28"/>
      <c r="B56" s="126" t="s">
        <v>380</v>
      </c>
      <c r="C56" s="102">
        <f>IFERROR(VLOOKUP($B56,MMWR_TRAD_AGG_ST_DISTRICT_COMP[],C$1,0),"ERROR")</f>
        <v>63406</v>
      </c>
      <c r="D56" s="103">
        <f>IFERROR(VLOOKUP($B56,MMWR_TRAD_AGG_ST_DISTRICT_COMP[],D$1,0),"ERROR")</f>
        <v>368.07369964989999</v>
      </c>
      <c r="E56" s="102">
        <f>IFERROR(VLOOKUP($B56,MMWR_TRAD_AGG_ST_DISTRICT_COMP[],E$1,0),"ERROR")</f>
        <v>77355</v>
      </c>
      <c r="F56" s="102">
        <f>IFERROR(VLOOKUP($B56,MMWR_TRAD_AGG_ST_DISTRICT_COMP[],F$1,0),"ERROR")</f>
        <v>17990</v>
      </c>
      <c r="G56" s="104">
        <f t="shared" si="4"/>
        <v>0.23256415228492017</v>
      </c>
      <c r="H56" s="102">
        <f>IFERROR(VLOOKUP($B56,MMWR_TRAD_AGG_ST_DISTRICT_COMP[],H$1,0),"ERROR")</f>
        <v>91146</v>
      </c>
      <c r="I56" s="102">
        <f>IFERROR(VLOOKUP($B56,MMWR_TRAD_AGG_ST_DISTRICT_COMP[],I$1,0),"ERROR")</f>
        <v>62360</v>
      </c>
      <c r="J56" s="105">
        <f t="shared" si="5"/>
        <v>0.68417703464770807</v>
      </c>
      <c r="K56" s="102">
        <f>IFERROR(VLOOKUP($B56,MMWR_TRAD_AGG_ST_DISTRICT_COMP[],K$1,0),"ERROR")</f>
        <v>29760</v>
      </c>
      <c r="L56" s="102">
        <f>IFERROR(VLOOKUP($B56,MMWR_TRAD_AGG_ST_DISTRICT_COMP[],L$1,0),"ERROR")</f>
        <v>24285</v>
      </c>
      <c r="M56" s="105">
        <f t="shared" si="6"/>
        <v>0.81602822580645162</v>
      </c>
      <c r="N56" s="102">
        <f>IFERROR(VLOOKUP($B56,MMWR_TRAD_AGG_ST_DISTRICT_COMP[],N$1,0),"ERROR")</f>
        <v>46863</v>
      </c>
      <c r="O56" s="102">
        <f>IFERROR(VLOOKUP($B56,MMWR_TRAD_AGG_ST_DISTRICT_COMP[],O$1,0),"ERROR")</f>
        <v>32820</v>
      </c>
      <c r="P56" s="105">
        <f t="shared" si="7"/>
        <v>0.70033928685743552</v>
      </c>
      <c r="Q56" s="102">
        <f>IFERROR(VLOOKUP($B56,MMWR_TRAD_AGG_ST_DISTRICT_COMP[],Q$1,0),"ERROR")</f>
        <v>6858</v>
      </c>
      <c r="R56" s="106">
        <f>IFERROR(VLOOKUP($B56,MMWR_TRAD_AGG_ST_DISTRICT_COMP[],R$1,0),"ERROR")</f>
        <v>1248</v>
      </c>
      <c r="S56" s="106">
        <f>SUM(S57:S63)</f>
        <v>90498</v>
      </c>
      <c r="T56" s="28"/>
    </row>
    <row r="57" spans="1:20" s="123" customFormat="1" x14ac:dyDescent="0.2">
      <c r="A57" s="28"/>
      <c r="B57" s="127" t="s">
        <v>388</v>
      </c>
      <c r="C57" s="109">
        <f>IFERROR(VLOOKUP($B57,MMWR_TRAD_AGG_STATE_COMP[],C$1,0),"ERROR")</f>
        <v>11470</v>
      </c>
      <c r="D57" s="110">
        <f>IFERROR(VLOOKUP($B57,MMWR_TRAD_AGG_STATE_COMP[],D$1,0),"ERROR")</f>
        <v>371.38108108109998</v>
      </c>
      <c r="E57" s="111">
        <f>IFERROR(VLOOKUP($B57,MMWR_TRAD_AGG_STATE_COMP[],E$1,0),"ERROR")</f>
        <v>8013</v>
      </c>
      <c r="F57" s="112">
        <f>IFERROR(VLOOKUP($B57,MMWR_TRAD_AGG_STATE_COMP[],F$1,0),"ERROR")</f>
        <v>1873</v>
      </c>
      <c r="G57" s="113">
        <f t="shared" si="4"/>
        <v>0.23374516410832397</v>
      </c>
      <c r="H57" s="111">
        <f>IFERROR(VLOOKUP($B57,MMWR_TRAD_AGG_STATE_COMP[],H$1,0),"ERROR")</f>
        <v>15264</v>
      </c>
      <c r="I57" s="112">
        <f>IFERROR(VLOOKUP($B57,MMWR_TRAD_AGG_STATE_COMP[],I$1,0),"ERROR")</f>
        <v>10833</v>
      </c>
      <c r="J57" s="114">
        <f t="shared" si="5"/>
        <v>0.70970911949685533</v>
      </c>
      <c r="K57" s="111">
        <f>IFERROR(VLOOKUP($B57,MMWR_TRAD_AGG_STATE_COMP[],K$1,0),"ERROR")</f>
        <v>4967</v>
      </c>
      <c r="L57" s="112">
        <f>IFERROR(VLOOKUP($B57,MMWR_TRAD_AGG_STATE_COMP[],L$1,0),"ERROR")</f>
        <v>4284</v>
      </c>
      <c r="M57" s="114">
        <f t="shared" si="6"/>
        <v>0.86249245017112941</v>
      </c>
      <c r="N57" s="111">
        <f>IFERROR(VLOOKUP($B57,MMWR_TRAD_AGG_STATE_COMP[],N$1,0),"ERROR")</f>
        <v>3186</v>
      </c>
      <c r="O57" s="112">
        <f>IFERROR(VLOOKUP($B57,MMWR_TRAD_AGG_STATE_COMP[],O$1,0),"ERROR")</f>
        <v>1914</v>
      </c>
      <c r="P57" s="114">
        <f t="shared" si="7"/>
        <v>0.60075329566854996</v>
      </c>
      <c r="Q57" s="115">
        <f>IFERROR(VLOOKUP($B57,MMWR_TRAD_AGG_STATE_COMP[],Q$1,0),"ERROR")</f>
        <v>569</v>
      </c>
      <c r="R57" s="115">
        <f>IFERROR(VLOOKUP($B57,MMWR_TRAD_AGG_STATE_COMP[],R$1,0),"ERROR")</f>
        <v>403</v>
      </c>
      <c r="S57" s="115">
        <f>IFERROR(VLOOKUP($B57,MMWR_APP_STATE_COMP[],S$1,0),"ERROR")</f>
        <v>10120</v>
      </c>
      <c r="T57" s="28"/>
    </row>
    <row r="58" spans="1:20" s="123" customFormat="1" x14ac:dyDescent="0.2">
      <c r="A58" s="28"/>
      <c r="B58" s="127" t="s">
        <v>425</v>
      </c>
      <c r="C58" s="109">
        <f>IFERROR(VLOOKUP($B58,MMWR_TRAD_AGG_STATE_COMP[],C$1,0),"ERROR")</f>
        <v>19121</v>
      </c>
      <c r="D58" s="110">
        <f>IFERROR(VLOOKUP($B58,MMWR_TRAD_AGG_STATE_COMP[],D$1,0),"ERROR")</f>
        <v>342.059045029</v>
      </c>
      <c r="E58" s="111">
        <f>IFERROR(VLOOKUP($B58,MMWR_TRAD_AGG_STATE_COMP[],E$1,0),"ERROR")</f>
        <v>25325</v>
      </c>
      <c r="F58" s="112">
        <f>IFERROR(VLOOKUP($B58,MMWR_TRAD_AGG_STATE_COMP[],F$1,0),"ERROR")</f>
        <v>5686</v>
      </c>
      <c r="G58" s="113">
        <f t="shared" si="4"/>
        <v>0.22452122408687067</v>
      </c>
      <c r="H58" s="111">
        <f>IFERROR(VLOOKUP($B58,MMWR_TRAD_AGG_STATE_COMP[],H$1,0),"ERROR")</f>
        <v>25987</v>
      </c>
      <c r="I58" s="112">
        <f>IFERROR(VLOOKUP($B58,MMWR_TRAD_AGG_STATE_COMP[],I$1,0),"ERROR")</f>
        <v>17415</v>
      </c>
      <c r="J58" s="114">
        <f t="shared" si="5"/>
        <v>0.67014276368953707</v>
      </c>
      <c r="K58" s="111">
        <f>IFERROR(VLOOKUP($B58,MMWR_TRAD_AGG_STATE_COMP[],K$1,0),"ERROR")</f>
        <v>7632</v>
      </c>
      <c r="L58" s="112">
        <f>IFERROR(VLOOKUP($B58,MMWR_TRAD_AGG_STATE_COMP[],L$1,0),"ERROR")</f>
        <v>5928</v>
      </c>
      <c r="M58" s="114">
        <f t="shared" si="6"/>
        <v>0.77672955974842772</v>
      </c>
      <c r="N58" s="111">
        <f>IFERROR(VLOOKUP($B58,MMWR_TRAD_AGG_STATE_COMP[],N$1,0),"ERROR")</f>
        <v>18684</v>
      </c>
      <c r="O58" s="112">
        <f>IFERROR(VLOOKUP($B58,MMWR_TRAD_AGG_STATE_COMP[],O$1,0),"ERROR")</f>
        <v>12884</v>
      </c>
      <c r="P58" s="114">
        <f t="shared" si="7"/>
        <v>0.68957396703061447</v>
      </c>
      <c r="Q58" s="115">
        <f>IFERROR(VLOOKUP($B58,MMWR_TRAD_AGG_STATE_COMP[],Q$1,0),"ERROR")</f>
        <v>2439</v>
      </c>
      <c r="R58" s="115">
        <f>IFERROR(VLOOKUP($B58,MMWR_TRAD_AGG_STATE_COMP[],R$1,0),"ERROR")</f>
        <v>311</v>
      </c>
      <c r="S58" s="115">
        <f>IFERROR(VLOOKUP($B58,MMWR_APP_STATE_COMP[],S$1,0),"ERROR")</f>
        <v>31878</v>
      </c>
      <c r="T58" s="28"/>
    </row>
    <row r="59" spans="1:20" s="123" customFormat="1" x14ac:dyDescent="0.2">
      <c r="A59" s="28"/>
      <c r="B59" s="127" t="s">
        <v>381</v>
      </c>
      <c r="C59" s="109">
        <f>IFERROR(VLOOKUP($B59,MMWR_TRAD_AGG_STATE_COMP[],C$1,0),"ERROR")</f>
        <v>13723</v>
      </c>
      <c r="D59" s="110">
        <f>IFERROR(VLOOKUP($B59,MMWR_TRAD_AGG_STATE_COMP[],D$1,0),"ERROR")</f>
        <v>365.19835312980001</v>
      </c>
      <c r="E59" s="111">
        <f>IFERROR(VLOOKUP($B59,MMWR_TRAD_AGG_STATE_COMP[],E$1,0),"ERROR")</f>
        <v>19552</v>
      </c>
      <c r="F59" s="112">
        <f>IFERROR(VLOOKUP($B59,MMWR_TRAD_AGG_STATE_COMP[],F$1,0),"ERROR")</f>
        <v>5067</v>
      </c>
      <c r="G59" s="113">
        <f t="shared" si="4"/>
        <v>0.25915507364975449</v>
      </c>
      <c r="H59" s="111">
        <f>IFERROR(VLOOKUP($B59,MMWR_TRAD_AGG_STATE_COMP[],H$1,0),"ERROR")</f>
        <v>20116</v>
      </c>
      <c r="I59" s="112">
        <f>IFERROR(VLOOKUP($B59,MMWR_TRAD_AGG_STATE_COMP[],I$1,0),"ERROR")</f>
        <v>13787</v>
      </c>
      <c r="J59" s="114">
        <f t="shared" si="5"/>
        <v>0.6853748260091469</v>
      </c>
      <c r="K59" s="111">
        <f>IFERROR(VLOOKUP($B59,MMWR_TRAD_AGG_STATE_COMP[],K$1,0),"ERROR")</f>
        <v>8114</v>
      </c>
      <c r="L59" s="112">
        <f>IFERROR(VLOOKUP($B59,MMWR_TRAD_AGG_STATE_COMP[],L$1,0),"ERROR")</f>
        <v>6634</v>
      </c>
      <c r="M59" s="114">
        <f t="shared" si="6"/>
        <v>0.81759921123983237</v>
      </c>
      <c r="N59" s="111">
        <f>IFERROR(VLOOKUP($B59,MMWR_TRAD_AGG_STATE_COMP[],N$1,0),"ERROR")</f>
        <v>13812</v>
      </c>
      <c r="O59" s="112">
        <f>IFERROR(VLOOKUP($B59,MMWR_TRAD_AGG_STATE_COMP[],O$1,0),"ERROR")</f>
        <v>10875</v>
      </c>
      <c r="P59" s="114">
        <f t="shared" si="7"/>
        <v>0.78735881841876632</v>
      </c>
      <c r="Q59" s="115">
        <f>IFERROR(VLOOKUP($B59,MMWR_TRAD_AGG_STATE_COMP[],Q$1,0),"ERROR")</f>
        <v>1230</v>
      </c>
      <c r="R59" s="115">
        <f>IFERROR(VLOOKUP($B59,MMWR_TRAD_AGG_STATE_COMP[],R$1,0),"ERROR")</f>
        <v>35</v>
      </c>
      <c r="S59" s="115">
        <f>IFERROR(VLOOKUP($B59,MMWR_APP_STATE_COMP[],S$1,0),"ERROR")</f>
        <v>19296</v>
      </c>
      <c r="T59" s="28"/>
    </row>
    <row r="60" spans="1:20" s="123" customFormat="1" x14ac:dyDescent="0.2">
      <c r="A60" s="28"/>
      <c r="B60" s="127" t="s">
        <v>393</v>
      </c>
      <c r="C60" s="109">
        <f>IFERROR(VLOOKUP($B60,MMWR_TRAD_AGG_STATE_COMP[],C$1,0),"ERROR")</f>
        <v>6077</v>
      </c>
      <c r="D60" s="110">
        <f>IFERROR(VLOOKUP($B60,MMWR_TRAD_AGG_STATE_COMP[],D$1,0),"ERROR")</f>
        <v>557.31907191050004</v>
      </c>
      <c r="E60" s="111">
        <f>IFERROR(VLOOKUP($B60,MMWR_TRAD_AGG_STATE_COMP[],E$1,0),"ERROR")</f>
        <v>3698</v>
      </c>
      <c r="F60" s="112">
        <f>IFERROR(VLOOKUP($B60,MMWR_TRAD_AGG_STATE_COMP[],F$1,0),"ERROR")</f>
        <v>513</v>
      </c>
      <c r="G60" s="113">
        <f t="shared" si="4"/>
        <v>0.13872363439697133</v>
      </c>
      <c r="H60" s="111">
        <f>IFERROR(VLOOKUP($B60,MMWR_TRAD_AGG_STATE_COMP[],H$1,0),"ERROR")</f>
        <v>8391</v>
      </c>
      <c r="I60" s="112">
        <f>IFERROR(VLOOKUP($B60,MMWR_TRAD_AGG_STATE_COMP[],I$1,0),"ERROR")</f>
        <v>6538</v>
      </c>
      <c r="J60" s="114">
        <f t="shared" si="5"/>
        <v>0.77916815635800263</v>
      </c>
      <c r="K60" s="111">
        <f>IFERROR(VLOOKUP($B60,MMWR_TRAD_AGG_STATE_COMP[],K$1,0),"ERROR")</f>
        <v>2315</v>
      </c>
      <c r="L60" s="112">
        <f>IFERROR(VLOOKUP($B60,MMWR_TRAD_AGG_STATE_COMP[],L$1,0),"ERROR")</f>
        <v>2024</v>
      </c>
      <c r="M60" s="114">
        <f t="shared" si="6"/>
        <v>0.8742980561555076</v>
      </c>
      <c r="N60" s="111">
        <f>IFERROR(VLOOKUP($B60,MMWR_TRAD_AGG_STATE_COMP[],N$1,0),"ERROR")</f>
        <v>2108</v>
      </c>
      <c r="O60" s="112">
        <f>IFERROR(VLOOKUP($B60,MMWR_TRAD_AGG_STATE_COMP[],O$1,0),"ERROR")</f>
        <v>1328</v>
      </c>
      <c r="P60" s="114">
        <f t="shared" si="7"/>
        <v>0.62998102466793171</v>
      </c>
      <c r="Q60" s="115">
        <f>IFERROR(VLOOKUP($B60,MMWR_TRAD_AGG_STATE_COMP[],Q$1,0),"ERROR")</f>
        <v>669</v>
      </c>
      <c r="R60" s="115">
        <f>IFERROR(VLOOKUP($B60,MMWR_TRAD_AGG_STATE_COMP[],R$1,0),"ERROR")</f>
        <v>156</v>
      </c>
      <c r="S60" s="115">
        <f>IFERROR(VLOOKUP($B60,MMWR_APP_STATE_COMP[],S$1,0),"ERROR")</f>
        <v>3335</v>
      </c>
      <c r="T60" s="28"/>
    </row>
    <row r="61" spans="1:20" s="123" customFormat="1" x14ac:dyDescent="0.2">
      <c r="A61" s="28"/>
      <c r="B61" s="127" t="s">
        <v>427</v>
      </c>
      <c r="C61" s="109">
        <f>IFERROR(VLOOKUP($B61,MMWR_TRAD_AGG_STATE_COMP[],C$1,0),"ERROR")</f>
        <v>1225</v>
      </c>
      <c r="D61" s="110">
        <f>IFERROR(VLOOKUP($B61,MMWR_TRAD_AGG_STATE_COMP[],D$1,0),"ERROR")</f>
        <v>270.43836734690001</v>
      </c>
      <c r="E61" s="111">
        <f>IFERROR(VLOOKUP($B61,MMWR_TRAD_AGG_STATE_COMP[],E$1,0),"ERROR")</f>
        <v>2161</v>
      </c>
      <c r="F61" s="112">
        <f>IFERROR(VLOOKUP($B61,MMWR_TRAD_AGG_STATE_COMP[],F$1,0),"ERROR")</f>
        <v>565</v>
      </c>
      <c r="G61" s="113">
        <f t="shared" si="4"/>
        <v>0.26145303100416473</v>
      </c>
      <c r="H61" s="111">
        <f>IFERROR(VLOOKUP($B61,MMWR_TRAD_AGG_STATE_COMP[],H$1,0),"ERROR")</f>
        <v>3309</v>
      </c>
      <c r="I61" s="112">
        <f>IFERROR(VLOOKUP($B61,MMWR_TRAD_AGG_STATE_COMP[],I$1,0),"ERROR")</f>
        <v>2420</v>
      </c>
      <c r="J61" s="114">
        <f t="shared" si="5"/>
        <v>0.73133877304321548</v>
      </c>
      <c r="K61" s="111">
        <f>IFERROR(VLOOKUP($B61,MMWR_TRAD_AGG_STATE_COMP[],K$1,0),"ERROR")</f>
        <v>1003</v>
      </c>
      <c r="L61" s="112">
        <f>IFERROR(VLOOKUP($B61,MMWR_TRAD_AGG_STATE_COMP[],L$1,0),"ERROR")</f>
        <v>873</v>
      </c>
      <c r="M61" s="114">
        <f t="shared" si="6"/>
        <v>0.87038883349950147</v>
      </c>
      <c r="N61" s="111">
        <f>IFERROR(VLOOKUP($B61,MMWR_TRAD_AGG_STATE_COMP[],N$1,0),"ERROR")</f>
        <v>2083</v>
      </c>
      <c r="O61" s="112">
        <f>IFERROR(VLOOKUP($B61,MMWR_TRAD_AGG_STATE_COMP[],O$1,0),"ERROR")</f>
        <v>1425</v>
      </c>
      <c r="P61" s="114">
        <f t="shared" si="7"/>
        <v>0.68410945751320207</v>
      </c>
      <c r="Q61" s="115">
        <f>IFERROR(VLOOKUP($B61,MMWR_TRAD_AGG_STATE_COMP[],Q$1,0),"ERROR")</f>
        <v>436</v>
      </c>
      <c r="R61" s="115">
        <f>IFERROR(VLOOKUP($B61,MMWR_TRAD_AGG_STATE_COMP[],R$1,0),"ERROR")</f>
        <v>2</v>
      </c>
      <c r="S61" s="115">
        <f>IFERROR(VLOOKUP($B61,MMWR_APP_STATE_COMP[],S$1,0),"ERROR")</f>
        <v>5072</v>
      </c>
      <c r="T61" s="28"/>
    </row>
    <row r="62" spans="1:20" s="123" customFormat="1" x14ac:dyDescent="0.2">
      <c r="A62" s="28"/>
      <c r="B62" s="127" t="s">
        <v>383</v>
      </c>
      <c r="C62" s="109">
        <f>IFERROR(VLOOKUP($B62,MMWR_TRAD_AGG_STATE_COMP[],C$1,0),"ERROR")</f>
        <v>7794</v>
      </c>
      <c r="D62" s="110">
        <f>IFERROR(VLOOKUP($B62,MMWR_TRAD_AGG_STATE_COMP[],D$1,0),"ERROR")</f>
        <v>335.3736207339</v>
      </c>
      <c r="E62" s="111">
        <f>IFERROR(VLOOKUP($B62,MMWR_TRAD_AGG_STATE_COMP[],E$1,0),"ERROR")</f>
        <v>9600</v>
      </c>
      <c r="F62" s="112">
        <f>IFERROR(VLOOKUP($B62,MMWR_TRAD_AGG_STATE_COMP[],F$1,0),"ERROR")</f>
        <v>2644</v>
      </c>
      <c r="G62" s="113">
        <f t="shared" si="4"/>
        <v>0.27541666666666664</v>
      </c>
      <c r="H62" s="111">
        <f>IFERROR(VLOOKUP($B62,MMWR_TRAD_AGG_STATE_COMP[],H$1,0),"ERROR")</f>
        <v>11004</v>
      </c>
      <c r="I62" s="112">
        <f>IFERROR(VLOOKUP($B62,MMWR_TRAD_AGG_STATE_COMP[],I$1,0),"ERROR")</f>
        <v>7609</v>
      </c>
      <c r="J62" s="114">
        <f t="shared" si="5"/>
        <v>0.69147582697201015</v>
      </c>
      <c r="K62" s="111">
        <f>IFERROR(VLOOKUP($B62,MMWR_TRAD_AGG_STATE_COMP[],K$1,0),"ERROR")</f>
        <v>2895</v>
      </c>
      <c r="L62" s="112">
        <f>IFERROR(VLOOKUP($B62,MMWR_TRAD_AGG_STATE_COMP[],L$1,0),"ERROR")</f>
        <v>2207</v>
      </c>
      <c r="M62" s="114">
        <f t="shared" si="6"/>
        <v>0.76234887737478407</v>
      </c>
      <c r="N62" s="111">
        <f>IFERROR(VLOOKUP($B62,MMWR_TRAD_AGG_STATE_COMP[],N$1,0),"ERROR")</f>
        <v>3839</v>
      </c>
      <c r="O62" s="112">
        <f>IFERROR(VLOOKUP($B62,MMWR_TRAD_AGG_STATE_COMP[],O$1,0),"ERROR")</f>
        <v>2429</v>
      </c>
      <c r="P62" s="114">
        <f t="shared" si="7"/>
        <v>0.63271685334722583</v>
      </c>
      <c r="Q62" s="115">
        <f>IFERROR(VLOOKUP($B62,MMWR_TRAD_AGG_STATE_COMP[],Q$1,0),"ERROR")</f>
        <v>756</v>
      </c>
      <c r="R62" s="115">
        <f>IFERROR(VLOOKUP($B62,MMWR_TRAD_AGG_STATE_COMP[],R$1,0),"ERROR")</f>
        <v>59</v>
      </c>
      <c r="S62" s="115">
        <f>IFERROR(VLOOKUP($B62,MMWR_APP_STATE_COMP[],S$1,0),"ERROR")</f>
        <v>13361</v>
      </c>
      <c r="T62" s="28"/>
    </row>
    <row r="63" spans="1:20" s="123" customFormat="1" x14ac:dyDescent="0.2">
      <c r="A63" s="28"/>
      <c r="B63" s="127" t="s">
        <v>384</v>
      </c>
      <c r="C63" s="109">
        <f>IFERROR(VLOOKUP($B63,MMWR_TRAD_AGG_STATE_COMP[],C$1,0),"ERROR")</f>
        <v>3996</v>
      </c>
      <c r="D63" s="110">
        <f>IFERROR(VLOOKUP($B63,MMWR_TRAD_AGG_STATE_COMP[],D$1,0),"ERROR")</f>
        <v>298.84759759759999</v>
      </c>
      <c r="E63" s="111">
        <f>IFERROR(VLOOKUP($B63,MMWR_TRAD_AGG_STATE_COMP[],E$1,0),"ERROR")</f>
        <v>9006</v>
      </c>
      <c r="F63" s="112">
        <f>IFERROR(VLOOKUP($B63,MMWR_TRAD_AGG_STATE_COMP[],F$1,0),"ERROR")</f>
        <v>1642</v>
      </c>
      <c r="G63" s="113">
        <f t="shared" si="4"/>
        <v>0.18232289584721298</v>
      </c>
      <c r="H63" s="111">
        <f>IFERROR(VLOOKUP($B63,MMWR_TRAD_AGG_STATE_COMP[],H$1,0),"ERROR")</f>
        <v>7075</v>
      </c>
      <c r="I63" s="112">
        <f>IFERROR(VLOOKUP($B63,MMWR_TRAD_AGG_STATE_COMP[],I$1,0),"ERROR")</f>
        <v>3758</v>
      </c>
      <c r="J63" s="114">
        <f t="shared" si="5"/>
        <v>0.53116607773851587</v>
      </c>
      <c r="K63" s="111">
        <f>IFERROR(VLOOKUP($B63,MMWR_TRAD_AGG_STATE_COMP[],K$1,0),"ERROR")</f>
        <v>2834</v>
      </c>
      <c r="L63" s="112">
        <f>IFERROR(VLOOKUP($B63,MMWR_TRAD_AGG_STATE_COMP[],L$1,0),"ERROR")</f>
        <v>2335</v>
      </c>
      <c r="M63" s="114">
        <f t="shared" si="6"/>
        <v>0.82392378263937893</v>
      </c>
      <c r="N63" s="111">
        <f>IFERROR(VLOOKUP($B63,MMWR_TRAD_AGG_STATE_COMP[],N$1,0),"ERROR")</f>
        <v>3151</v>
      </c>
      <c r="O63" s="112">
        <f>IFERROR(VLOOKUP($B63,MMWR_TRAD_AGG_STATE_COMP[],O$1,0),"ERROR")</f>
        <v>1965</v>
      </c>
      <c r="P63" s="114">
        <f t="shared" si="7"/>
        <v>0.62361155188828943</v>
      </c>
      <c r="Q63" s="115">
        <f>IFERROR(VLOOKUP($B63,MMWR_TRAD_AGG_STATE_COMP[],Q$1,0),"ERROR")</f>
        <v>759</v>
      </c>
      <c r="R63" s="115">
        <f>IFERROR(VLOOKUP($B63,MMWR_TRAD_AGG_STATE_COMP[],R$1,0),"ERROR")</f>
        <v>282</v>
      </c>
      <c r="S63" s="115">
        <f>IFERROR(VLOOKUP($B63,MMWR_APP_STATE_COMP[],S$1,0),"ERROR")</f>
        <v>7436</v>
      </c>
      <c r="T63" s="28"/>
    </row>
    <row r="64" spans="1:20" s="123" customFormat="1" x14ac:dyDescent="0.2">
      <c r="A64" s="28"/>
      <c r="B64" s="128" t="s">
        <v>8</v>
      </c>
      <c r="C64" s="102">
        <f>IFERROR(VLOOKUP($B64,MMWR_TRAD_AGG_ST_DISTRICT_COMP[],C$1,0),"ERROR")</f>
        <v>3399</v>
      </c>
      <c r="D64" s="103">
        <f>IFERROR(VLOOKUP($B64,MMWR_TRAD_AGG_ST_DISTRICT_COMP[],D$1,0),"ERROR")</f>
        <v>356.21329802880001</v>
      </c>
      <c r="E64" s="102">
        <f>IFERROR(VLOOKUP($B64,MMWR_TRAD_AGG_ST_DISTRICT_COMP[],E$1,0),"ERROR")</f>
        <v>4556</v>
      </c>
      <c r="F64" s="102">
        <f>IFERROR(VLOOKUP($B64,MMWR_TRAD_AGG_ST_DISTRICT_COMP[],F$1,0),"ERROR")</f>
        <v>1927</v>
      </c>
      <c r="G64" s="104">
        <f t="shared" si="4"/>
        <v>0.42295873573309922</v>
      </c>
      <c r="H64" s="102">
        <f>IFERROR(VLOOKUP($B64,MMWR_TRAD_AGG_ST_DISTRICT_COMP[],H$1,0),"ERROR")</f>
        <v>4708</v>
      </c>
      <c r="I64" s="102">
        <f>IFERROR(VLOOKUP($B64,MMWR_TRAD_AGG_ST_DISTRICT_COMP[],I$1,0),"ERROR")</f>
        <v>3133</v>
      </c>
      <c r="J64" s="105">
        <f t="shared" si="5"/>
        <v>0.66546304163126591</v>
      </c>
      <c r="K64" s="102">
        <f>IFERROR(VLOOKUP($B64,MMWR_TRAD_AGG_ST_DISTRICT_COMP[],K$1,0),"ERROR")</f>
        <v>1402</v>
      </c>
      <c r="L64" s="102">
        <f>IFERROR(VLOOKUP($B64,MMWR_TRAD_AGG_ST_DISTRICT_COMP[],L$1,0),"ERROR")</f>
        <v>973</v>
      </c>
      <c r="M64" s="105">
        <f t="shared" si="6"/>
        <v>0.69400855920114124</v>
      </c>
      <c r="N64" s="102">
        <f>IFERROR(VLOOKUP($B64,MMWR_TRAD_AGG_ST_DISTRICT_COMP[],N$1,0),"ERROR")</f>
        <v>1198</v>
      </c>
      <c r="O64" s="102">
        <f>IFERROR(VLOOKUP($B64,MMWR_TRAD_AGG_ST_DISTRICT_COMP[],O$1,0),"ERROR")</f>
        <v>805</v>
      </c>
      <c r="P64" s="105">
        <f t="shared" si="7"/>
        <v>0.67195325542570949</v>
      </c>
      <c r="Q64" s="102">
        <f>IFERROR(VLOOKUP($B64,MMWR_TRAD_AGG_ST_DISTRICT_COMP[],Q$1,0),"ERROR")</f>
        <v>490</v>
      </c>
      <c r="R64" s="106">
        <f>IFERROR(VLOOKUP($B64,MMWR_TRAD_AGG_ST_DISTRICT_COMP[],R$1,0),"ERROR")</f>
        <v>160</v>
      </c>
      <c r="S64" s="106">
        <f>IFERROR(VLOOKUP($B64,MMWR_APP_STATE_COMP[],S$1,0),"ERROR")</f>
        <v>343</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3" t="s">
        <v>487</v>
      </c>
      <c r="D66" s="454"/>
      <c r="E66" s="454"/>
      <c r="F66" s="454"/>
      <c r="G66" s="454"/>
      <c r="H66" s="454"/>
      <c r="I66" s="454"/>
      <c r="J66" s="454"/>
      <c r="K66" s="454"/>
      <c r="L66" s="454"/>
      <c r="M66" s="454"/>
      <c r="N66" s="454"/>
      <c r="O66" s="454"/>
      <c r="P66" s="454"/>
      <c r="Q66" s="454"/>
      <c r="R66" s="454"/>
      <c r="S66" s="455"/>
      <c r="T66" s="28"/>
    </row>
    <row r="67" spans="1:20" s="123" customFormat="1" x14ac:dyDescent="0.2">
      <c r="A67" s="28"/>
      <c r="B67" s="26"/>
      <c r="C67" s="461" t="s">
        <v>225</v>
      </c>
      <c r="D67" s="461"/>
      <c r="E67" s="458" t="s">
        <v>205</v>
      </c>
      <c r="F67" s="459"/>
      <c r="G67" s="460"/>
      <c r="H67" s="458" t="s">
        <v>7</v>
      </c>
      <c r="I67" s="459"/>
      <c r="J67" s="460"/>
      <c r="K67" s="458" t="s">
        <v>30</v>
      </c>
      <c r="L67" s="459"/>
      <c r="M67" s="460"/>
      <c r="N67" s="458" t="s">
        <v>8</v>
      </c>
      <c r="O67" s="459"/>
      <c r="P67" s="460"/>
      <c r="Q67" s="81" t="s">
        <v>9</v>
      </c>
      <c r="R67" s="82" t="s">
        <v>10</v>
      </c>
      <c r="S67" s="82" t="s">
        <v>11</v>
      </c>
      <c r="T67" s="28"/>
    </row>
    <row r="68" spans="1:20" s="123" customFormat="1" ht="38.25" x14ac:dyDescent="0.2">
      <c r="A68" s="28"/>
      <c r="B68" s="54"/>
      <c r="C68" s="84" t="s">
        <v>12</v>
      </c>
      <c r="D68" s="85" t="s">
        <v>134</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488</v>
      </c>
      <c r="T68" s="28"/>
    </row>
    <row r="69" spans="1:20" s="123" customFormat="1" x14ac:dyDescent="0.2">
      <c r="A69" s="28"/>
      <c r="B69" s="129" t="s">
        <v>462</v>
      </c>
      <c r="C69" s="119">
        <f>IFERROR(VLOOKUP($B69,MMWR_TRAD_AGG_RO_PEN[],C$1,0),"ERROR")</f>
        <v>25962</v>
      </c>
      <c r="D69" s="120">
        <f>IFERROR(VLOOKUP($B69,MMWR_TRAD_AGG_RO_PEN[],D$1,0),"ERROR")</f>
        <v>95.616824589800004</v>
      </c>
      <c r="E69" s="119">
        <f>IFERROR(VLOOKUP($B69,MMWR_TRAD_AGG_RO_PEN[],E$1,0),"ERROR")</f>
        <v>32544</v>
      </c>
      <c r="F69" s="119">
        <f>IFERROR(VLOOKUP($B69,MMWR_TRAD_AGG_RO_PEN[],F$1,0),"ERROR")</f>
        <v>4566</v>
      </c>
      <c r="G69" s="98">
        <f t="shared" ref="G69:G100" si="8">IFERROR(F69/E69,"0%")</f>
        <v>0.1403023598820059</v>
      </c>
      <c r="H69" s="119">
        <f>IFERROR(VLOOKUP($B69,MMWR_TRAD_AGG_RO_PEN[],H$1,0),"ERROR")</f>
        <v>34764</v>
      </c>
      <c r="I69" s="119">
        <f>IFERROR(VLOOKUP($B69,MMWR_TRAD_AGG_RO_PEN[],I$1,0),"ERROR")</f>
        <v>8234</v>
      </c>
      <c r="J69" s="98">
        <f t="shared" ref="J69:J100" si="9">IFERROR(I69/H69,"0%")</f>
        <v>0.23685421700609827</v>
      </c>
      <c r="K69" s="119">
        <f>IFERROR(VLOOKUP($B69,MMWR_TRAD_AGG_RO_PEN[],K$1,0),"ERROR")</f>
        <v>281</v>
      </c>
      <c r="L69" s="119">
        <f>IFERROR(VLOOKUP($B69,MMWR_TRAD_AGG_RO_PEN[],L$1,0),"ERROR")</f>
        <v>261</v>
      </c>
      <c r="M69" s="98">
        <f t="shared" ref="M69:M100" si="10">IFERROR(L69/K69,"0%")</f>
        <v>0.92882562277580072</v>
      </c>
      <c r="N69" s="119">
        <f>IFERROR(VLOOKUP($B69,MMWR_TRAD_AGG_RO_PEN[],N$1,0),"ERROR")</f>
        <v>1883</v>
      </c>
      <c r="O69" s="119">
        <f>IFERROR(VLOOKUP($B69,MMWR_TRAD_AGG_RO_PEN[],O$1,0),"ERROR")</f>
        <v>511</v>
      </c>
      <c r="P69" s="98">
        <f t="shared" ref="P69:P100" si="11">IFERROR(O69/N69,"0%")</f>
        <v>0.27137546468401486</v>
      </c>
      <c r="Q69" s="119">
        <f>IFERROR(VLOOKUP($B69,MMWR_TRAD_AGG_RO_PEN[],Q$1,0),"ERROR")</f>
        <v>11753</v>
      </c>
      <c r="R69" s="121">
        <f>IFERROR(VLOOKUP($B69,MMWR_TRAD_AGG_RO_PEN[],R$1,0),"ERROR")</f>
        <v>5958</v>
      </c>
      <c r="S69" s="121">
        <f>S70+S86+S99+S109+S119+S127</f>
        <v>5663</v>
      </c>
      <c r="T69" s="28"/>
    </row>
    <row r="70" spans="1:20" s="123" customFormat="1" x14ac:dyDescent="0.2">
      <c r="A70" s="28"/>
      <c r="B70" s="126" t="s">
        <v>369</v>
      </c>
      <c r="C70" s="102">
        <f>IFERROR(VLOOKUP($B70,MMWR_TRAD_AGG_ST_DISTRICT_PEN[],C$1,0),"ERROR")</f>
        <v>7619</v>
      </c>
      <c r="D70" s="103">
        <f>IFERROR(VLOOKUP($B70,MMWR_TRAD_AGG_ST_DISTRICT_PEN[],D$1,0),"ERROR")</f>
        <v>106.6174038588</v>
      </c>
      <c r="E70" s="102">
        <f>IFERROR(VLOOKUP($B70,MMWR_TRAD_AGG_ST_DISTRICT_PEN[],E$1,0),"ERROR")</f>
        <v>11046</v>
      </c>
      <c r="F70" s="102">
        <f>IFERROR(VLOOKUP($B70,MMWR_TRAD_AGG_ST_DISTRICT_PEN[],F$1,0),"ERROR")</f>
        <v>2096</v>
      </c>
      <c r="G70" s="104">
        <f t="shared" si="8"/>
        <v>0.18975194640593882</v>
      </c>
      <c r="H70" s="102">
        <f>IFERROR(VLOOKUP($B70,MMWR_TRAD_AGG_ST_DISTRICT_PEN[],H$1,0),"ERROR")</f>
        <v>10058</v>
      </c>
      <c r="I70" s="102">
        <f>IFERROR(VLOOKUP($B70,MMWR_TRAD_AGG_ST_DISTRICT_PEN[],I$1,0),"ERROR")</f>
        <v>3320</v>
      </c>
      <c r="J70" s="104">
        <f t="shared" si="9"/>
        <v>0.33008550407635712</v>
      </c>
      <c r="K70" s="102">
        <f>IFERROR(VLOOKUP($B70,MMWR_TRAD_AGG_ST_DISTRICT_PEN[],K$1,0),"ERROR")</f>
        <v>181</v>
      </c>
      <c r="L70" s="102">
        <f>IFERROR(VLOOKUP($B70,MMWR_TRAD_AGG_ST_DISTRICT_PEN[],L$1,0),"ERROR")</f>
        <v>177</v>
      </c>
      <c r="M70" s="104">
        <f t="shared" si="10"/>
        <v>0.97790055248618779</v>
      </c>
      <c r="N70" s="102">
        <f>IFERROR(VLOOKUP($B70,MMWR_TRAD_AGG_ST_DISTRICT_PEN[],N$1,0),"ERROR")</f>
        <v>556</v>
      </c>
      <c r="O70" s="102">
        <f>IFERROR(VLOOKUP($B70,MMWR_TRAD_AGG_ST_DISTRICT_PEN[],O$1,0),"ERROR")</f>
        <v>152</v>
      </c>
      <c r="P70" s="104">
        <f t="shared" si="11"/>
        <v>0.2733812949640288</v>
      </c>
      <c r="Q70" s="102">
        <f>IFERROR(VLOOKUP($B70,MMWR_TRAD_AGG_ST_DISTRICT_PEN[],Q$1,0),"ERROR")</f>
        <v>1203</v>
      </c>
      <c r="R70" s="106">
        <f>IFERROR(VLOOKUP($B70,MMWR_TRAD_AGG_ST_DISTRICT_PEN[],R$1,0),"ERROR")</f>
        <v>2026</v>
      </c>
      <c r="S70" s="106">
        <f>IFERROR(VLOOKUP($B70,MMWR_APP_STATE_PEN[],S$1,0),"ERROR")</f>
        <v>1119</v>
      </c>
      <c r="T70" s="28"/>
    </row>
    <row r="71" spans="1:20" s="123" customFormat="1" x14ac:dyDescent="0.2">
      <c r="A71" s="28"/>
      <c r="B71" s="127" t="s">
        <v>373</v>
      </c>
      <c r="C71" s="109">
        <f>IFERROR(VLOOKUP($B71,MMWR_TRAD_AGG_STATE_PEN[],C$1,0),"ERROR")</f>
        <v>208</v>
      </c>
      <c r="D71" s="110">
        <f>IFERROR(VLOOKUP($B71,MMWR_TRAD_AGG_STATE_PEN[],D$1,0),"ERROR")</f>
        <v>106.0769230769</v>
      </c>
      <c r="E71" s="111">
        <f>IFERROR(VLOOKUP($B71,MMWR_TRAD_AGG_STATE_PEN[],E$1,0),"ERROR")</f>
        <v>378</v>
      </c>
      <c r="F71" s="112">
        <f>IFERROR(VLOOKUP($B71,MMWR_TRAD_AGG_STATE_PEN[],F$1,0),"ERROR")</f>
        <v>57</v>
      </c>
      <c r="G71" s="113">
        <f t="shared" si="8"/>
        <v>0.15079365079365079</v>
      </c>
      <c r="H71" s="111">
        <f>IFERROR(VLOOKUP($B71,MMWR_TRAD_AGG_STATE_PEN[],H$1,0),"ERROR")</f>
        <v>278</v>
      </c>
      <c r="I71" s="112">
        <f>IFERROR(VLOOKUP($B71,MMWR_TRAD_AGG_STATE_PEN[],I$1,0),"ERROR")</f>
        <v>89</v>
      </c>
      <c r="J71" s="114">
        <f t="shared" si="9"/>
        <v>0.32014388489208634</v>
      </c>
      <c r="K71" s="111">
        <f>IFERROR(VLOOKUP($B71,MMWR_TRAD_AGG_STATE_PEN[],K$1,0),"ERROR")</f>
        <v>1</v>
      </c>
      <c r="L71" s="112">
        <f>IFERROR(VLOOKUP($B71,MMWR_TRAD_AGG_STATE_PEN[],L$1,0),"ERROR")</f>
        <v>0</v>
      </c>
      <c r="M71" s="114">
        <f t="shared" si="10"/>
        <v>0</v>
      </c>
      <c r="N71" s="111">
        <f>IFERROR(VLOOKUP($B71,MMWR_TRAD_AGG_STATE_PEN[],N$1,0),"ERROR")</f>
        <v>22</v>
      </c>
      <c r="O71" s="112">
        <f>IFERROR(VLOOKUP($B71,MMWR_TRAD_AGG_STATE_PEN[],O$1,0),"ERROR")</f>
        <v>2</v>
      </c>
      <c r="P71" s="114">
        <f t="shared" si="11"/>
        <v>9.0909090909090912E-2</v>
      </c>
      <c r="Q71" s="115">
        <f>IFERROR(VLOOKUP($B71,MMWR_TRAD_AGG_STATE_PEN[],Q$1,0),"ERROR")</f>
        <v>28</v>
      </c>
      <c r="R71" s="115">
        <f>IFERROR(VLOOKUP($B71,MMWR_TRAD_AGG_STATE_PEN[],R$1,0),"ERROR")</f>
        <v>48</v>
      </c>
      <c r="S71" s="115">
        <f>IFERROR(VLOOKUP($B71,MMWR_APP_STATE_PEN[],S$1,0),"ERROR")</f>
        <v>38</v>
      </c>
      <c r="T71" s="28"/>
    </row>
    <row r="72" spans="1:20" s="123" customFormat="1" x14ac:dyDescent="0.2">
      <c r="A72" s="28"/>
      <c r="B72" s="127" t="s">
        <v>423</v>
      </c>
      <c r="C72" s="109">
        <f>IFERROR(VLOOKUP($B72,MMWR_TRAD_AGG_STATE_PEN[],C$1,0),"ERROR")</f>
        <v>64</v>
      </c>
      <c r="D72" s="110">
        <f>IFERROR(VLOOKUP($B72,MMWR_TRAD_AGG_STATE_PEN[],D$1,0),"ERROR")</f>
        <v>116.046875</v>
      </c>
      <c r="E72" s="111">
        <f>IFERROR(VLOOKUP($B72,MMWR_TRAD_AGG_STATE_PEN[],E$1,0),"ERROR")</f>
        <v>86</v>
      </c>
      <c r="F72" s="112">
        <f>IFERROR(VLOOKUP($B72,MMWR_TRAD_AGG_STATE_PEN[],F$1,0),"ERROR")</f>
        <v>23</v>
      </c>
      <c r="G72" s="113">
        <f t="shared" si="8"/>
        <v>0.26744186046511625</v>
      </c>
      <c r="H72" s="111">
        <f>IFERROR(VLOOKUP($B72,MMWR_TRAD_AGG_STATE_PEN[],H$1,0),"ERROR")</f>
        <v>86</v>
      </c>
      <c r="I72" s="112">
        <f>IFERROR(VLOOKUP($B72,MMWR_TRAD_AGG_STATE_PEN[],I$1,0),"ERROR")</f>
        <v>33</v>
      </c>
      <c r="J72" s="114">
        <f t="shared" si="9"/>
        <v>0.38372093023255816</v>
      </c>
      <c r="K72" s="111">
        <f>IFERROR(VLOOKUP($B72,MMWR_TRAD_AGG_STATE_PEN[],K$1,0),"ERROR")</f>
        <v>2</v>
      </c>
      <c r="L72" s="112">
        <f>IFERROR(VLOOKUP($B72,MMWR_TRAD_AGG_STATE_PEN[],L$1,0),"ERROR")</f>
        <v>2</v>
      </c>
      <c r="M72" s="114">
        <f t="shared" si="10"/>
        <v>1</v>
      </c>
      <c r="N72" s="111">
        <f>IFERROR(VLOOKUP($B72,MMWR_TRAD_AGG_STATE_PEN[],N$1,0),"ERROR")</f>
        <v>8</v>
      </c>
      <c r="O72" s="112">
        <f>IFERROR(VLOOKUP($B72,MMWR_TRAD_AGG_STATE_PEN[],O$1,0),"ERROR")</f>
        <v>1</v>
      </c>
      <c r="P72" s="114">
        <f t="shared" si="11"/>
        <v>0.125</v>
      </c>
      <c r="Q72" s="115">
        <f>IFERROR(VLOOKUP($B72,MMWR_TRAD_AGG_STATE_PEN[],Q$1,0),"ERROR")</f>
        <v>15</v>
      </c>
      <c r="R72" s="115">
        <f>IFERROR(VLOOKUP($B72,MMWR_TRAD_AGG_STATE_PEN[],R$1,0),"ERROR")</f>
        <v>13</v>
      </c>
      <c r="S72" s="115">
        <f>IFERROR(VLOOKUP($B72,MMWR_APP_STATE_PEN[],S$1,0),"ERROR")</f>
        <v>16</v>
      </c>
      <c r="T72" s="28"/>
    </row>
    <row r="73" spans="1:20" s="123" customFormat="1" x14ac:dyDescent="0.2">
      <c r="A73" s="28"/>
      <c r="B73" s="127" t="s">
        <v>414</v>
      </c>
      <c r="C73" s="109">
        <f>IFERROR(VLOOKUP($B73,MMWR_TRAD_AGG_STATE_PEN[],C$1,0),"ERROR")</f>
        <v>42</v>
      </c>
      <c r="D73" s="110">
        <f>IFERROR(VLOOKUP($B73,MMWR_TRAD_AGG_STATE_PEN[],D$1,0),"ERROR")</f>
        <v>104</v>
      </c>
      <c r="E73" s="111">
        <f>IFERROR(VLOOKUP($B73,MMWR_TRAD_AGG_STATE_PEN[],E$1,0),"ERROR")</f>
        <v>56</v>
      </c>
      <c r="F73" s="112">
        <f>IFERROR(VLOOKUP($B73,MMWR_TRAD_AGG_STATE_PEN[],F$1,0),"ERROR")</f>
        <v>9</v>
      </c>
      <c r="G73" s="113">
        <f t="shared" si="8"/>
        <v>0.16071428571428573</v>
      </c>
      <c r="H73" s="111">
        <f>IFERROR(VLOOKUP($B73,MMWR_TRAD_AGG_STATE_PEN[],H$1,0),"ERROR")</f>
        <v>58</v>
      </c>
      <c r="I73" s="112">
        <f>IFERROR(VLOOKUP($B73,MMWR_TRAD_AGG_STATE_PEN[],I$1,0),"ERROR")</f>
        <v>20</v>
      </c>
      <c r="J73" s="114">
        <f t="shared" si="9"/>
        <v>0.34482758620689657</v>
      </c>
      <c r="K73" s="111">
        <f>IFERROR(VLOOKUP($B73,MMWR_TRAD_AGG_STATE_PEN[],K$1,0),"ERROR")</f>
        <v>2</v>
      </c>
      <c r="L73" s="112">
        <f>IFERROR(VLOOKUP($B73,MMWR_TRAD_AGG_STATE_PEN[],L$1,0),"ERROR")</f>
        <v>2</v>
      </c>
      <c r="M73" s="114">
        <f t="shared" si="10"/>
        <v>1</v>
      </c>
      <c r="N73" s="111">
        <f>IFERROR(VLOOKUP($B73,MMWR_TRAD_AGG_STATE_PEN[],N$1,0),"ERROR")</f>
        <v>0</v>
      </c>
      <c r="O73" s="112">
        <f>IFERROR(VLOOKUP($B73,MMWR_TRAD_AGG_STATE_PEN[],O$1,0),"ERROR")</f>
        <v>0</v>
      </c>
      <c r="P73" s="114" t="str">
        <f t="shared" si="11"/>
        <v>0%</v>
      </c>
      <c r="Q73" s="115">
        <f>IFERROR(VLOOKUP($B73,MMWR_TRAD_AGG_STATE_PEN[],Q$1,0),"ERROR")</f>
        <v>7</v>
      </c>
      <c r="R73" s="115">
        <f>IFERROR(VLOOKUP($B73,MMWR_TRAD_AGG_STATE_PEN[],R$1,0),"ERROR")</f>
        <v>17</v>
      </c>
      <c r="S73" s="115">
        <f>IFERROR(VLOOKUP($B73,MMWR_APP_STATE_PEN[],S$1,0),"ERROR")</f>
        <v>10</v>
      </c>
      <c r="T73" s="28"/>
    </row>
    <row r="74" spans="1:20" s="123" customFormat="1" x14ac:dyDescent="0.2">
      <c r="A74" s="28"/>
      <c r="B74" s="127" t="s">
        <v>416</v>
      </c>
      <c r="C74" s="109">
        <f>IFERROR(VLOOKUP($B74,MMWR_TRAD_AGG_STATE_PEN[],C$1,0),"ERROR")</f>
        <v>123</v>
      </c>
      <c r="D74" s="110">
        <f>IFERROR(VLOOKUP($B74,MMWR_TRAD_AGG_STATE_PEN[],D$1,0),"ERROR")</f>
        <v>120.14634146340001</v>
      </c>
      <c r="E74" s="111">
        <f>IFERROR(VLOOKUP($B74,MMWR_TRAD_AGG_STATE_PEN[],E$1,0),"ERROR")</f>
        <v>142</v>
      </c>
      <c r="F74" s="112">
        <f>IFERROR(VLOOKUP($B74,MMWR_TRAD_AGG_STATE_PEN[],F$1,0),"ERROR")</f>
        <v>34</v>
      </c>
      <c r="G74" s="113">
        <f t="shared" si="8"/>
        <v>0.23943661971830985</v>
      </c>
      <c r="H74" s="111">
        <f>IFERROR(VLOOKUP($B74,MMWR_TRAD_AGG_STATE_PEN[],H$1,0),"ERROR")</f>
        <v>155</v>
      </c>
      <c r="I74" s="112">
        <f>IFERROR(VLOOKUP($B74,MMWR_TRAD_AGG_STATE_PEN[],I$1,0),"ERROR")</f>
        <v>62</v>
      </c>
      <c r="J74" s="114">
        <f t="shared" si="9"/>
        <v>0.4</v>
      </c>
      <c r="K74" s="111">
        <f>IFERROR(VLOOKUP($B74,MMWR_TRAD_AGG_STATE_PEN[],K$1,0),"ERROR")</f>
        <v>1</v>
      </c>
      <c r="L74" s="112">
        <f>IFERROR(VLOOKUP($B74,MMWR_TRAD_AGG_STATE_PEN[],L$1,0),"ERROR")</f>
        <v>1</v>
      </c>
      <c r="M74" s="114">
        <f t="shared" si="10"/>
        <v>1</v>
      </c>
      <c r="N74" s="111">
        <f>IFERROR(VLOOKUP($B74,MMWR_TRAD_AGG_STATE_PEN[],N$1,0),"ERROR")</f>
        <v>13</v>
      </c>
      <c r="O74" s="112">
        <f>IFERROR(VLOOKUP($B74,MMWR_TRAD_AGG_STATE_PEN[],O$1,0),"ERROR")</f>
        <v>4</v>
      </c>
      <c r="P74" s="114">
        <f t="shared" si="11"/>
        <v>0.30769230769230771</v>
      </c>
      <c r="Q74" s="115">
        <f>IFERROR(VLOOKUP($B74,MMWR_TRAD_AGG_STATE_PEN[],Q$1,0),"ERROR")</f>
        <v>34</v>
      </c>
      <c r="R74" s="115">
        <f>IFERROR(VLOOKUP($B74,MMWR_TRAD_AGG_STATE_PEN[],R$1,0),"ERROR")</f>
        <v>28</v>
      </c>
      <c r="S74" s="115">
        <f>IFERROR(VLOOKUP($B74,MMWR_APP_STATE_PEN[],S$1,0),"ERROR")</f>
        <v>22</v>
      </c>
      <c r="T74" s="28"/>
    </row>
    <row r="75" spans="1:20" s="123" customFormat="1" x14ac:dyDescent="0.2">
      <c r="A75" s="28"/>
      <c r="B75" s="127" t="s">
        <v>376</v>
      </c>
      <c r="C75" s="109">
        <f>IFERROR(VLOOKUP($B75,MMWR_TRAD_AGG_STATE_PEN[],C$1,0),"ERROR")</f>
        <v>346</v>
      </c>
      <c r="D75" s="110">
        <f>IFERROR(VLOOKUP($B75,MMWR_TRAD_AGG_STATE_PEN[],D$1,0),"ERROR")</f>
        <v>108.1502890173</v>
      </c>
      <c r="E75" s="111">
        <f>IFERROR(VLOOKUP($B75,MMWR_TRAD_AGG_STATE_PEN[],E$1,0),"ERROR")</f>
        <v>636</v>
      </c>
      <c r="F75" s="112">
        <f>IFERROR(VLOOKUP($B75,MMWR_TRAD_AGG_STATE_PEN[],F$1,0),"ERROR")</f>
        <v>123</v>
      </c>
      <c r="G75" s="113">
        <f t="shared" si="8"/>
        <v>0.19339622641509435</v>
      </c>
      <c r="H75" s="111">
        <f>IFERROR(VLOOKUP($B75,MMWR_TRAD_AGG_STATE_PEN[],H$1,0),"ERROR")</f>
        <v>484</v>
      </c>
      <c r="I75" s="112">
        <f>IFERROR(VLOOKUP($B75,MMWR_TRAD_AGG_STATE_PEN[],I$1,0),"ERROR")</f>
        <v>174</v>
      </c>
      <c r="J75" s="114">
        <f t="shared" si="9"/>
        <v>0.35950413223140498</v>
      </c>
      <c r="K75" s="111">
        <f>IFERROR(VLOOKUP($B75,MMWR_TRAD_AGG_STATE_PEN[],K$1,0),"ERROR")</f>
        <v>8</v>
      </c>
      <c r="L75" s="112">
        <f>IFERROR(VLOOKUP($B75,MMWR_TRAD_AGG_STATE_PEN[],L$1,0),"ERROR")</f>
        <v>8</v>
      </c>
      <c r="M75" s="114">
        <f t="shared" si="10"/>
        <v>1</v>
      </c>
      <c r="N75" s="111">
        <f>IFERROR(VLOOKUP($B75,MMWR_TRAD_AGG_STATE_PEN[],N$1,0),"ERROR")</f>
        <v>34</v>
      </c>
      <c r="O75" s="112">
        <f>IFERROR(VLOOKUP($B75,MMWR_TRAD_AGG_STATE_PEN[],O$1,0),"ERROR")</f>
        <v>11</v>
      </c>
      <c r="P75" s="114">
        <f t="shared" si="11"/>
        <v>0.3235294117647059</v>
      </c>
      <c r="Q75" s="115">
        <f>IFERROR(VLOOKUP($B75,MMWR_TRAD_AGG_STATE_PEN[],Q$1,0),"ERROR")</f>
        <v>80</v>
      </c>
      <c r="R75" s="115">
        <f>IFERROR(VLOOKUP($B75,MMWR_TRAD_AGG_STATE_PEN[],R$1,0),"ERROR")</f>
        <v>144</v>
      </c>
      <c r="S75" s="115">
        <f>IFERROR(VLOOKUP($B75,MMWR_APP_STATE_PEN[],S$1,0),"ERROR")</f>
        <v>65</v>
      </c>
      <c r="T75" s="28"/>
    </row>
    <row r="76" spans="1:20" s="123" customFormat="1" x14ac:dyDescent="0.2">
      <c r="A76" s="28"/>
      <c r="B76" s="127" t="s">
        <v>371</v>
      </c>
      <c r="C76" s="109">
        <f>IFERROR(VLOOKUP($B76,MMWR_TRAD_AGG_STATE_PEN[],C$1,0),"ERROR")</f>
        <v>397</v>
      </c>
      <c r="D76" s="110">
        <f>IFERROR(VLOOKUP($B76,MMWR_TRAD_AGG_STATE_PEN[],D$1,0),"ERROR")</f>
        <v>105.879093199</v>
      </c>
      <c r="E76" s="111">
        <f>IFERROR(VLOOKUP($B76,MMWR_TRAD_AGG_STATE_PEN[],E$1,0),"ERROR")</f>
        <v>629</v>
      </c>
      <c r="F76" s="112">
        <f>IFERROR(VLOOKUP($B76,MMWR_TRAD_AGG_STATE_PEN[],F$1,0),"ERROR")</f>
        <v>139</v>
      </c>
      <c r="G76" s="113">
        <f t="shared" si="8"/>
        <v>0.22098569157392686</v>
      </c>
      <c r="H76" s="111">
        <f>IFERROR(VLOOKUP($B76,MMWR_TRAD_AGG_STATE_PEN[],H$1,0),"ERROR")</f>
        <v>530</v>
      </c>
      <c r="I76" s="112">
        <f>IFERROR(VLOOKUP($B76,MMWR_TRAD_AGG_STATE_PEN[],I$1,0),"ERROR")</f>
        <v>166</v>
      </c>
      <c r="J76" s="114">
        <f t="shared" si="9"/>
        <v>0.31320754716981131</v>
      </c>
      <c r="K76" s="111">
        <f>IFERROR(VLOOKUP($B76,MMWR_TRAD_AGG_STATE_PEN[],K$1,0),"ERROR")</f>
        <v>3</v>
      </c>
      <c r="L76" s="112">
        <f>IFERROR(VLOOKUP($B76,MMWR_TRAD_AGG_STATE_PEN[],L$1,0),"ERROR")</f>
        <v>3</v>
      </c>
      <c r="M76" s="114">
        <f t="shared" si="10"/>
        <v>1</v>
      </c>
      <c r="N76" s="111">
        <f>IFERROR(VLOOKUP($B76,MMWR_TRAD_AGG_STATE_PEN[],N$1,0),"ERROR")</f>
        <v>42</v>
      </c>
      <c r="O76" s="112">
        <f>IFERROR(VLOOKUP($B76,MMWR_TRAD_AGG_STATE_PEN[],O$1,0),"ERROR")</f>
        <v>8</v>
      </c>
      <c r="P76" s="114">
        <f t="shared" si="11"/>
        <v>0.19047619047619047</v>
      </c>
      <c r="Q76" s="115">
        <f>IFERROR(VLOOKUP($B76,MMWR_TRAD_AGG_STATE_PEN[],Q$1,0),"ERROR")</f>
        <v>66</v>
      </c>
      <c r="R76" s="115">
        <f>IFERROR(VLOOKUP($B76,MMWR_TRAD_AGG_STATE_PEN[],R$1,0),"ERROR")</f>
        <v>143</v>
      </c>
      <c r="S76" s="115">
        <f>IFERROR(VLOOKUP($B76,MMWR_APP_STATE_PEN[],S$1,0),"ERROR")</f>
        <v>77</v>
      </c>
      <c r="T76" s="28"/>
    </row>
    <row r="77" spans="1:20" s="123" customFormat="1" x14ac:dyDescent="0.2">
      <c r="A77" s="28"/>
      <c r="B77" s="127" t="s">
        <v>415</v>
      </c>
      <c r="C77" s="109">
        <f>IFERROR(VLOOKUP($B77,MMWR_TRAD_AGG_STATE_PEN[],C$1,0),"ERROR")</f>
        <v>132</v>
      </c>
      <c r="D77" s="110">
        <f>IFERROR(VLOOKUP($B77,MMWR_TRAD_AGG_STATE_PEN[],D$1,0),"ERROR")</f>
        <v>89.121212121200003</v>
      </c>
      <c r="E77" s="111">
        <f>IFERROR(VLOOKUP($B77,MMWR_TRAD_AGG_STATE_PEN[],E$1,0),"ERROR")</f>
        <v>177</v>
      </c>
      <c r="F77" s="112">
        <f>IFERROR(VLOOKUP($B77,MMWR_TRAD_AGG_STATE_PEN[],F$1,0),"ERROR")</f>
        <v>30</v>
      </c>
      <c r="G77" s="113">
        <f t="shared" si="8"/>
        <v>0.16949152542372881</v>
      </c>
      <c r="H77" s="111">
        <f>IFERROR(VLOOKUP($B77,MMWR_TRAD_AGG_STATE_PEN[],H$1,0),"ERROR")</f>
        <v>165</v>
      </c>
      <c r="I77" s="112">
        <f>IFERROR(VLOOKUP($B77,MMWR_TRAD_AGG_STATE_PEN[],I$1,0),"ERROR")</f>
        <v>40</v>
      </c>
      <c r="J77" s="114">
        <f t="shared" si="9"/>
        <v>0.24242424242424243</v>
      </c>
      <c r="K77" s="111">
        <f>IFERROR(VLOOKUP($B77,MMWR_TRAD_AGG_STATE_PEN[],K$1,0),"ERROR")</f>
        <v>0</v>
      </c>
      <c r="L77" s="112">
        <f>IFERROR(VLOOKUP($B77,MMWR_TRAD_AGG_STATE_PEN[],L$1,0),"ERROR")</f>
        <v>0</v>
      </c>
      <c r="M77" s="114" t="str">
        <f t="shared" si="10"/>
        <v>0%</v>
      </c>
      <c r="N77" s="111">
        <f>IFERROR(VLOOKUP($B77,MMWR_TRAD_AGG_STATE_PEN[],N$1,0),"ERROR")</f>
        <v>4</v>
      </c>
      <c r="O77" s="112">
        <f>IFERROR(VLOOKUP($B77,MMWR_TRAD_AGG_STATE_PEN[],O$1,0),"ERROR")</f>
        <v>2</v>
      </c>
      <c r="P77" s="114">
        <f t="shared" si="11"/>
        <v>0.5</v>
      </c>
      <c r="Q77" s="115">
        <f>IFERROR(VLOOKUP($B77,MMWR_TRAD_AGG_STATE_PEN[],Q$1,0),"ERROR")</f>
        <v>10</v>
      </c>
      <c r="R77" s="115">
        <f>IFERROR(VLOOKUP($B77,MMWR_TRAD_AGG_STATE_PEN[],R$1,0),"ERROR")</f>
        <v>22</v>
      </c>
      <c r="S77" s="115">
        <f>IFERROR(VLOOKUP($B77,MMWR_APP_STATE_PEN[],S$1,0),"ERROR")</f>
        <v>10</v>
      </c>
      <c r="T77" s="28"/>
    </row>
    <row r="78" spans="1:20" s="123" customFormat="1" x14ac:dyDescent="0.2">
      <c r="A78" s="28"/>
      <c r="B78" s="127" t="s">
        <v>374</v>
      </c>
      <c r="C78" s="109">
        <f>IFERROR(VLOOKUP($B78,MMWR_TRAD_AGG_STATE_PEN[],C$1,0),"ERROR")</f>
        <v>488</v>
      </c>
      <c r="D78" s="110">
        <f>IFERROR(VLOOKUP($B78,MMWR_TRAD_AGG_STATE_PEN[],D$1,0),"ERROR")</f>
        <v>102.6926229508</v>
      </c>
      <c r="E78" s="111">
        <f>IFERROR(VLOOKUP($B78,MMWR_TRAD_AGG_STATE_PEN[],E$1,0),"ERROR")</f>
        <v>789</v>
      </c>
      <c r="F78" s="112">
        <f>IFERROR(VLOOKUP($B78,MMWR_TRAD_AGG_STATE_PEN[],F$1,0),"ERROR")</f>
        <v>154</v>
      </c>
      <c r="G78" s="113">
        <f t="shared" si="8"/>
        <v>0.19518377693282637</v>
      </c>
      <c r="H78" s="111">
        <f>IFERROR(VLOOKUP($B78,MMWR_TRAD_AGG_STATE_PEN[],H$1,0),"ERROR")</f>
        <v>654</v>
      </c>
      <c r="I78" s="112">
        <f>IFERROR(VLOOKUP($B78,MMWR_TRAD_AGG_STATE_PEN[],I$1,0),"ERROR")</f>
        <v>187</v>
      </c>
      <c r="J78" s="114">
        <f t="shared" si="9"/>
        <v>0.28593272171253825</v>
      </c>
      <c r="K78" s="111">
        <f>IFERROR(VLOOKUP($B78,MMWR_TRAD_AGG_STATE_PEN[],K$1,0),"ERROR")</f>
        <v>1</v>
      </c>
      <c r="L78" s="112">
        <f>IFERROR(VLOOKUP($B78,MMWR_TRAD_AGG_STATE_PEN[],L$1,0),"ERROR")</f>
        <v>1</v>
      </c>
      <c r="M78" s="114">
        <f t="shared" si="10"/>
        <v>1</v>
      </c>
      <c r="N78" s="111">
        <f>IFERROR(VLOOKUP($B78,MMWR_TRAD_AGG_STATE_PEN[],N$1,0),"ERROR")</f>
        <v>45</v>
      </c>
      <c r="O78" s="112">
        <f>IFERROR(VLOOKUP($B78,MMWR_TRAD_AGG_STATE_PEN[],O$1,0),"ERROR")</f>
        <v>13</v>
      </c>
      <c r="P78" s="114">
        <f t="shared" si="11"/>
        <v>0.28888888888888886</v>
      </c>
      <c r="Q78" s="115">
        <f>IFERROR(VLOOKUP($B78,MMWR_TRAD_AGG_STATE_PEN[],Q$1,0),"ERROR")</f>
        <v>79</v>
      </c>
      <c r="R78" s="115">
        <f>IFERROR(VLOOKUP($B78,MMWR_TRAD_AGG_STATE_PEN[],R$1,0),"ERROR")</f>
        <v>161</v>
      </c>
      <c r="S78" s="115">
        <f>IFERROR(VLOOKUP($B78,MMWR_APP_STATE_PEN[],S$1,0),"ERROR")</f>
        <v>150</v>
      </c>
      <c r="T78" s="28"/>
    </row>
    <row r="79" spans="1:20" s="123" customFormat="1" x14ac:dyDescent="0.2">
      <c r="A79" s="28"/>
      <c r="B79" s="127" t="s">
        <v>60</v>
      </c>
      <c r="C79" s="109">
        <f>IFERROR(VLOOKUP($B79,MMWR_TRAD_AGG_STATE_PEN[],C$1,0),"ERROR")</f>
        <v>1157</v>
      </c>
      <c r="D79" s="110">
        <f>IFERROR(VLOOKUP($B79,MMWR_TRAD_AGG_STATE_PEN[],D$1,0),"ERROR")</f>
        <v>107.1391529818</v>
      </c>
      <c r="E79" s="111">
        <f>IFERROR(VLOOKUP($B79,MMWR_TRAD_AGG_STATE_PEN[],E$1,0),"ERROR")</f>
        <v>2294</v>
      </c>
      <c r="F79" s="112">
        <f>IFERROR(VLOOKUP($B79,MMWR_TRAD_AGG_STATE_PEN[],F$1,0),"ERROR")</f>
        <v>484</v>
      </c>
      <c r="G79" s="113">
        <f t="shared" si="8"/>
        <v>0.2109851787271142</v>
      </c>
      <c r="H79" s="111">
        <f>IFERROR(VLOOKUP($B79,MMWR_TRAD_AGG_STATE_PEN[],H$1,0),"ERROR")</f>
        <v>1599</v>
      </c>
      <c r="I79" s="112">
        <f>IFERROR(VLOOKUP($B79,MMWR_TRAD_AGG_STATE_PEN[],I$1,0),"ERROR")</f>
        <v>538</v>
      </c>
      <c r="J79" s="114">
        <f t="shared" si="9"/>
        <v>0.33646028767979985</v>
      </c>
      <c r="K79" s="111">
        <f>IFERROR(VLOOKUP($B79,MMWR_TRAD_AGG_STATE_PEN[],K$1,0),"ERROR")</f>
        <v>9</v>
      </c>
      <c r="L79" s="112">
        <f>IFERROR(VLOOKUP($B79,MMWR_TRAD_AGG_STATE_PEN[],L$1,0),"ERROR")</f>
        <v>8</v>
      </c>
      <c r="M79" s="114">
        <f t="shared" si="10"/>
        <v>0.88888888888888884</v>
      </c>
      <c r="N79" s="111">
        <f>IFERROR(VLOOKUP($B79,MMWR_TRAD_AGG_STATE_PEN[],N$1,0),"ERROR")</f>
        <v>59</v>
      </c>
      <c r="O79" s="112">
        <f>IFERROR(VLOOKUP($B79,MMWR_TRAD_AGG_STATE_PEN[],O$1,0),"ERROR")</f>
        <v>20</v>
      </c>
      <c r="P79" s="114">
        <f t="shared" si="11"/>
        <v>0.33898305084745761</v>
      </c>
      <c r="Q79" s="115">
        <f>IFERROR(VLOOKUP($B79,MMWR_TRAD_AGG_STATE_PEN[],Q$1,0),"ERROR")</f>
        <v>196</v>
      </c>
      <c r="R79" s="115">
        <f>IFERROR(VLOOKUP($B79,MMWR_TRAD_AGG_STATE_PEN[],R$1,0),"ERROR")</f>
        <v>291</v>
      </c>
      <c r="S79" s="115">
        <f>IFERROR(VLOOKUP($B79,MMWR_APP_STATE_PEN[],S$1,0),"ERROR")</f>
        <v>162</v>
      </c>
      <c r="T79" s="28"/>
    </row>
    <row r="80" spans="1:20" s="123" customFormat="1" x14ac:dyDescent="0.2">
      <c r="A80" s="28"/>
      <c r="B80" s="127" t="s">
        <v>382</v>
      </c>
      <c r="C80" s="109">
        <f>IFERROR(VLOOKUP($B80,MMWR_TRAD_AGG_STATE_PEN[],C$1,0),"ERROR")</f>
        <v>1709</v>
      </c>
      <c r="D80" s="110">
        <f>IFERROR(VLOOKUP($B80,MMWR_TRAD_AGG_STATE_PEN[],D$1,0),"ERROR")</f>
        <v>107.0345231129</v>
      </c>
      <c r="E80" s="111">
        <f>IFERROR(VLOOKUP($B80,MMWR_TRAD_AGG_STATE_PEN[],E$1,0),"ERROR")</f>
        <v>1574</v>
      </c>
      <c r="F80" s="112">
        <f>IFERROR(VLOOKUP($B80,MMWR_TRAD_AGG_STATE_PEN[],F$1,0),"ERROR")</f>
        <v>270</v>
      </c>
      <c r="G80" s="113">
        <f t="shared" si="8"/>
        <v>0.17153748411689962</v>
      </c>
      <c r="H80" s="111">
        <f>IFERROR(VLOOKUP($B80,MMWR_TRAD_AGG_STATE_PEN[],H$1,0),"ERROR")</f>
        <v>2060</v>
      </c>
      <c r="I80" s="112">
        <f>IFERROR(VLOOKUP($B80,MMWR_TRAD_AGG_STATE_PEN[],I$1,0),"ERROR")</f>
        <v>691</v>
      </c>
      <c r="J80" s="114">
        <f t="shared" si="9"/>
        <v>0.33543689320388348</v>
      </c>
      <c r="K80" s="111">
        <f>IFERROR(VLOOKUP($B80,MMWR_TRAD_AGG_STATE_PEN[],K$1,0),"ERROR")</f>
        <v>19</v>
      </c>
      <c r="L80" s="112">
        <f>IFERROR(VLOOKUP($B80,MMWR_TRAD_AGG_STATE_PEN[],L$1,0),"ERROR")</f>
        <v>18</v>
      </c>
      <c r="M80" s="114">
        <f t="shared" si="10"/>
        <v>0.94736842105263153</v>
      </c>
      <c r="N80" s="111">
        <f>IFERROR(VLOOKUP($B80,MMWR_TRAD_AGG_STATE_PEN[],N$1,0),"ERROR")</f>
        <v>109</v>
      </c>
      <c r="O80" s="112">
        <f>IFERROR(VLOOKUP($B80,MMWR_TRAD_AGG_STATE_PEN[],O$1,0),"ERROR")</f>
        <v>42</v>
      </c>
      <c r="P80" s="114">
        <f t="shared" si="11"/>
        <v>0.38532110091743121</v>
      </c>
      <c r="Q80" s="115">
        <f>IFERROR(VLOOKUP($B80,MMWR_TRAD_AGG_STATE_PEN[],Q$1,0),"ERROR")</f>
        <v>249</v>
      </c>
      <c r="R80" s="115">
        <f>IFERROR(VLOOKUP($B80,MMWR_TRAD_AGG_STATE_PEN[],R$1,0),"ERROR")</f>
        <v>377</v>
      </c>
      <c r="S80" s="115">
        <f>IFERROR(VLOOKUP($B80,MMWR_APP_STATE_PEN[],S$1,0),"ERROR")</f>
        <v>174</v>
      </c>
      <c r="T80" s="28"/>
    </row>
    <row r="81" spans="1:20" s="123" customFormat="1" x14ac:dyDescent="0.2">
      <c r="A81" s="28"/>
      <c r="B81" s="127" t="s">
        <v>375</v>
      </c>
      <c r="C81" s="109">
        <f>IFERROR(VLOOKUP($B81,MMWR_TRAD_AGG_STATE_PEN[],C$1,0),"ERROR")</f>
        <v>1642</v>
      </c>
      <c r="D81" s="110">
        <f>IFERROR(VLOOKUP($B81,MMWR_TRAD_AGG_STATE_PEN[],D$1,0),"ERROR")</f>
        <v>106.42874543240001</v>
      </c>
      <c r="E81" s="111">
        <f>IFERROR(VLOOKUP($B81,MMWR_TRAD_AGG_STATE_PEN[],E$1,0),"ERROR")</f>
        <v>2837</v>
      </c>
      <c r="F81" s="112">
        <f>IFERROR(VLOOKUP($B81,MMWR_TRAD_AGG_STATE_PEN[],F$1,0),"ERROR")</f>
        <v>528</v>
      </c>
      <c r="G81" s="113">
        <f t="shared" si="8"/>
        <v>0.18611209023616496</v>
      </c>
      <c r="H81" s="111">
        <f>IFERROR(VLOOKUP($B81,MMWR_TRAD_AGG_STATE_PEN[],H$1,0),"ERROR")</f>
        <v>2247</v>
      </c>
      <c r="I81" s="112">
        <f>IFERROR(VLOOKUP($B81,MMWR_TRAD_AGG_STATE_PEN[],I$1,0),"ERROR")</f>
        <v>749</v>
      </c>
      <c r="J81" s="114">
        <f t="shared" si="9"/>
        <v>0.33333333333333331</v>
      </c>
      <c r="K81" s="111">
        <f>IFERROR(VLOOKUP($B81,MMWR_TRAD_AGG_STATE_PEN[],K$1,0),"ERROR")</f>
        <v>1</v>
      </c>
      <c r="L81" s="112">
        <f>IFERROR(VLOOKUP($B81,MMWR_TRAD_AGG_STATE_PEN[],L$1,0),"ERROR")</f>
        <v>1</v>
      </c>
      <c r="M81" s="114">
        <f t="shared" si="10"/>
        <v>1</v>
      </c>
      <c r="N81" s="111">
        <f>IFERROR(VLOOKUP($B81,MMWR_TRAD_AGG_STATE_PEN[],N$1,0),"ERROR")</f>
        <v>121</v>
      </c>
      <c r="O81" s="112">
        <f>IFERROR(VLOOKUP($B81,MMWR_TRAD_AGG_STATE_PEN[],O$1,0),"ERROR")</f>
        <v>17</v>
      </c>
      <c r="P81" s="114">
        <f t="shared" si="11"/>
        <v>0.14049586776859505</v>
      </c>
      <c r="Q81" s="115">
        <f>IFERROR(VLOOKUP($B81,MMWR_TRAD_AGG_STATE_PEN[],Q$1,0),"ERROR")</f>
        <v>173</v>
      </c>
      <c r="R81" s="115">
        <f>IFERROR(VLOOKUP($B81,MMWR_TRAD_AGG_STATE_PEN[],R$1,0),"ERROR")</f>
        <v>401</v>
      </c>
      <c r="S81" s="115">
        <f>IFERROR(VLOOKUP($B81,MMWR_APP_STATE_PEN[],S$1,0),"ERROR")</f>
        <v>185</v>
      </c>
      <c r="T81" s="28"/>
    </row>
    <row r="82" spans="1:20" s="123" customFormat="1" x14ac:dyDescent="0.2">
      <c r="A82" s="28"/>
      <c r="B82" s="127" t="s">
        <v>372</v>
      </c>
      <c r="C82" s="109">
        <f>IFERROR(VLOOKUP($B82,MMWR_TRAD_AGG_STATE_PEN[],C$1,0),"ERROR")</f>
        <v>93</v>
      </c>
      <c r="D82" s="110">
        <f>IFERROR(VLOOKUP($B82,MMWR_TRAD_AGG_STATE_PEN[],D$1,0),"ERROR")</f>
        <v>119.72043010749999</v>
      </c>
      <c r="E82" s="111">
        <f>IFERROR(VLOOKUP($B82,MMWR_TRAD_AGG_STATE_PEN[],E$1,0),"ERROR")</f>
        <v>177</v>
      </c>
      <c r="F82" s="112">
        <f>IFERROR(VLOOKUP($B82,MMWR_TRAD_AGG_STATE_PEN[],F$1,0),"ERROR")</f>
        <v>32</v>
      </c>
      <c r="G82" s="113">
        <f t="shared" si="8"/>
        <v>0.1807909604519774</v>
      </c>
      <c r="H82" s="111">
        <f>IFERROR(VLOOKUP($B82,MMWR_TRAD_AGG_STATE_PEN[],H$1,0),"ERROR")</f>
        <v>114</v>
      </c>
      <c r="I82" s="112">
        <f>IFERROR(VLOOKUP($B82,MMWR_TRAD_AGG_STATE_PEN[],I$1,0),"ERROR")</f>
        <v>46</v>
      </c>
      <c r="J82" s="114">
        <f t="shared" si="9"/>
        <v>0.40350877192982454</v>
      </c>
      <c r="K82" s="111">
        <f>IFERROR(VLOOKUP($B82,MMWR_TRAD_AGG_STATE_PEN[],K$1,0),"ERROR")</f>
        <v>0</v>
      </c>
      <c r="L82" s="112">
        <f>IFERROR(VLOOKUP($B82,MMWR_TRAD_AGG_STATE_PEN[],L$1,0),"ERROR")</f>
        <v>0</v>
      </c>
      <c r="M82" s="114" t="str">
        <f t="shared" si="10"/>
        <v>0%</v>
      </c>
      <c r="N82" s="111">
        <f>IFERROR(VLOOKUP($B82,MMWR_TRAD_AGG_STATE_PEN[],N$1,0),"ERROR")</f>
        <v>19</v>
      </c>
      <c r="O82" s="112">
        <f>IFERROR(VLOOKUP($B82,MMWR_TRAD_AGG_STATE_PEN[],O$1,0),"ERROR")</f>
        <v>5</v>
      </c>
      <c r="P82" s="114">
        <f t="shared" si="11"/>
        <v>0.26315789473684209</v>
      </c>
      <c r="Q82" s="115">
        <f>IFERROR(VLOOKUP($B82,MMWR_TRAD_AGG_STATE_PEN[],Q$1,0),"ERROR")</f>
        <v>8</v>
      </c>
      <c r="R82" s="115">
        <f>IFERROR(VLOOKUP($B82,MMWR_TRAD_AGG_STATE_PEN[],R$1,0),"ERROR")</f>
        <v>20</v>
      </c>
      <c r="S82" s="115">
        <f>IFERROR(VLOOKUP($B82,MMWR_APP_STATE_PEN[],S$1,0),"ERROR")</f>
        <v>17</v>
      </c>
      <c r="T82" s="28"/>
    </row>
    <row r="83" spans="1:20" s="123" customFormat="1" x14ac:dyDescent="0.2">
      <c r="A83" s="28"/>
      <c r="B83" s="127" t="s">
        <v>417</v>
      </c>
      <c r="C83" s="109">
        <f>IFERROR(VLOOKUP($B83,MMWR_TRAD_AGG_STATE_PEN[],C$1,0),"ERROR")</f>
        <v>42</v>
      </c>
      <c r="D83" s="110">
        <f>IFERROR(VLOOKUP($B83,MMWR_TRAD_AGG_STATE_PEN[],D$1,0),"ERROR")</f>
        <v>95.761904761899999</v>
      </c>
      <c r="E83" s="111">
        <f>IFERROR(VLOOKUP($B83,MMWR_TRAD_AGG_STATE_PEN[],E$1,0),"ERROR")</f>
        <v>53</v>
      </c>
      <c r="F83" s="112">
        <f>IFERROR(VLOOKUP($B83,MMWR_TRAD_AGG_STATE_PEN[],F$1,0),"ERROR")</f>
        <v>9</v>
      </c>
      <c r="G83" s="113">
        <f t="shared" si="8"/>
        <v>0.16981132075471697</v>
      </c>
      <c r="H83" s="111">
        <f>IFERROR(VLOOKUP($B83,MMWR_TRAD_AGG_STATE_PEN[],H$1,0),"ERROR")</f>
        <v>51</v>
      </c>
      <c r="I83" s="112">
        <f>IFERROR(VLOOKUP($B83,MMWR_TRAD_AGG_STATE_PEN[],I$1,0),"ERROR")</f>
        <v>13</v>
      </c>
      <c r="J83" s="114">
        <f t="shared" si="9"/>
        <v>0.25490196078431371</v>
      </c>
      <c r="K83" s="111">
        <f>IFERROR(VLOOKUP($B83,MMWR_TRAD_AGG_STATE_PEN[],K$1,0),"ERROR")</f>
        <v>0</v>
      </c>
      <c r="L83" s="112">
        <f>IFERROR(VLOOKUP($B83,MMWR_TRAD_AGG_STATE_PEN[],L$1,0),"ERROR")</f>
        <v>0</v>
      </c>
      <c r="M83" s="114" t="str">
        <f t="shared" si="10"/>
        <v>0%</v>
      </c>
      <c r="N83" s="111">
        <f>IFERROR(VLOOKUP($B83,MMWR_TRAD_AGG_STATE_PEN[],N$1,0),"ERROR")</f>
        <v>3</v>
      </c>
      <c r="O83" s="112">
        <f>IFERROR(VLOOKUP($B83,MMWR_TRAD_AGG_STATE_PEN[],O$1,0),"ERROR")</f>
        <v>1</v>
      </c>
      <c r="P83" s="114">
        <f t="shared" si="11"/>
        <v>0.33333333333333331</v>
      </c>
      <c r="Q83" s="115">
        <f>IFERROR(VLOOKUP($B83,MMWR_TRAD_AGG_STATE_PEN[],Q$1,0),"ERROR")</f>
        <v>5</v>
      </c>
      <c r="R83" s="115">
        <f>IFERROR(VLOOKUP($B83,MMWR_TRAD_AGG_STATE_PEN[],R$1,0),"ERROR")</f>
        <v>8</v>
      </c>
      <c r="S83" s="115">
        <f>IFERROR(VLOOKUP($B83,MMWR_APP_STATE_PEN[],S$1,0),"ERROR")</f>
        <v>9</v>
      </c>
      <c r="T83" s="28"/>
    </row>
    <row r="84" spans="1:20" s="123" customFormat="1" x14ac:dyDescent="0.2">
      <c r="A84" s="28"/>
      <c r="B84" s="127" t="s">
        <v>378</v>
      </c>
      <c r="C84" s="109">
        <f>IFERROR(VLOOKUP($B84,MMWR_TRAD_AGG_STATE_PEN[],C$1,0),"ERROR")</f>
        <v>869</v>
      </c>
      <c r="D84" s="110">
        <f>IFERROR(VLOOKUP($B84,MMWR_TRAD_AGG_STATE_PEN[],D$1,0),"ERROR")</f>
        <v>108.5120828539</v>
      </c>
      <c r="E84" s="111">
        <f>IFERROR(VLOOKUP($B84,MMWR_TRAD_AGG_STATE_PEN[],E$1,0),"ERROR")</f>
        <v>955</v>
      </c>
      <c r="F84" s="112">
        <f>IFERROR(VLOOKUP($B84,MMWR_TRAD_AGG_STATE_PEN[],F$1,0),"ERROR")</f>
        <v>146</v>
      </c>
      <c r="G84" s="113">
        <f t="shared" si="8"/>
        <v>0.15287958115183245</v>
      </c>
      <c r="H84" s="111">
        <f>IFERROR(VLOOKUP($B84,MMWR_TRAD_AGG_STATE_PEN[],H$1,0),"ERROR")</f>
        <v>1178</v>
      </c>
      <c r="I84" s="112">
        <f>IFERROR(VLOOKUP($B84,MMWR_TRAD_AGG_STATE_PEN[],I$1,0),"ERROR")</f>
        <v>396</v>
      </c>
      <c r="J84" s="114">
        <f t="shared" si="9"/>
        <v>0.33616298811544992</v>
      </c>
      <c r="K84" s="111">
        <f>IFERROR(VLOOKUP($B84,MMWR_TRAD_AGG_STATE_PEN[],K$1,0),"ERROR")</f>
        <v>134</v>
      </c>
      <c r="L84" s="112">
        <f>IFERROR(VLOOKUP($B84,MMWR_TRAD_AGG_STATE_PEN[],L$1,0),"ERROR")</f>
        <v>133</v>
      </c>
      <c r="M84" s="114">
        <f t="shared" si="10"/>
        <v>0.9925373134328358</v>
      </c>
      <c r="N84" s="111">
        <f>IFERROR(VLOOKUP($B84,MMWR_TRAD_AGG_STATE_PEN[],N$1,0),"ERROR")</f>
        <v>56</v>
      </c>
      <c r="O84" s="112">
        <f>IFERROR(VLOOKUP($B84,MMWR_TRAD_AGG_STATE_PEN[],O$1,0),"ERROR")</f>
        <v>19</v>
      </c>
      <c r="P84" s="114">
        <f t="shared" si="11"/>
        <v>0.3392857142857143</v>
      </c>
      <c r="Q84" s="115">
        <f>IFERROR(VLOOKUP($B84,MMWR_TRAD_AGG_STATE_PEN[],Q$1,0),"ERROR")</f>
        <v>198</v>
      </c>
      <c r="R84" s="115">
        <f>IFERROR(VLOOKUP($B84,MMWR_TRAD_AGG_STATE_PEN[],R$1,0),"ERROR")</f>
        <v>276</v>
      </c>
      <c r="S84" s="115">
        <f>IFERROR(VLOOKUP($B84,MMWR_APP_STATE_PEN[],S$1,0),"ERROR")</f>
        <v>133</v>
      </c>
      <c r="T84" s="28"/>
    </row>
    <row r="85" spans="1:20" s="123" customFormat="1" x14ac:dyDescent="0.2">
      <c r="A85" s="28"/>
      <c r="B85" s="127" t="s">
        <v>379</v>
      </c>
      <c r="C85" s="109">
        <f>IFERROR(VLOOKUP($B85,MMWR_TRAD_AGG_STATE_PEN[],C$1,0),"ERROR")</f>
        <v>307</v>
      </c>
      <c r="D85" s="110">
        <f>IFERROR(VLOOKUP($B85,MMWR_TRAD_AGG_STATE_PEN[],D$1,0),"ERROR")</f>
        <v>101.8175895765</v>
      </c>
      <c r="E85" s="111">
        <f>IFERROR(VLOOKUP($B85,MMWR_TRAD_AGG_STATE_PEN[],E$1,0),"ERROR")</f>
        <v>263</v>
      </c>
      <c r="F85" s="112">
        <f>IFERROR(VLOOKUP($B85,MMWR_TRAD_AGG_STATE_PEN[],F$1,0),"ERROR")</f>
        <v>58</v>
      </c>
      <c r="G85" s="113">
        <f t="shared" si="8"/>
        <v>0.22053231939163498</v>
      </c>
      <c r="H85" s="111">
        <f>IFERROR(VLOOKUP($B85,MMWR_TRAD_AGG_STATE_PEN[],H$1,0),"ERROR")</f>
        <v>399</v>
      </c>
      <c r="I85" s="112">
        <f>IFERROR(VLOOKUP($B85,MMWR_TRAD_AGG_STATE_PEN[],I$1,0),"ERROR")</f>
        <v>116</v>
      </c>
      <c r="J85" s="114">
        <f t="shared" si="9"/>
        <v>0.2907268170426065</v>
      </c>
      <c r="K85" s="111">
        <f>IFERROR(VLOOKUP($B85,MMWR_TRAD_AGG_STATE_PEN[],K$1,0),"ERROR")</f>
        <v>0</v>
      </c>
      <c r="L85" s="112">
        <f>IFERROR(VLOOKUP($B85,MMWR_TRAD_AGG_STATE_PEN[],L$1,0),"ERROR")</f>
        <v>0</v>
      </c>
      <c r="M85" s="114" t="str">
        <f t="shared" si="10"/>
        <v>0%</v>
      </c>
      <c r="N85" s="111">
        <f>IFERROR(VLOOKUP($B85,MMWR_TRAD_AGG_STATE_PEN[],N$1,0),"ERROR")</f>
        <v>21</v>
      </c>
      <c r="O85" s="112">
        <f>IFERROR(VLOOKUP($B85,MMWR_TRAD_AGG_STATE_PEN[],O$1,0),"ERROR")</f>
        <v>7</v>
      </c>
      <c r="P85" s="114">
        <f t="shared" si="11"/>
        <v>0.33333333333333331</v>
      </c>
      <c r="Q85" s="115">
        <f>IFERROR(VLOOKUP($B85,MMWR_TRAD_AGG_STATE_PEN[],Q$1,0),"ERROR")</f>
        <v>55</v>
      </c>
      <c r="R85" s="115">
        <f>IFERROR(VLOOKUP($B85,MMWR_TRAD_AGG_STATE_PEN[],R$1,0),"ERROR")</f>
        <v>77</v>
      </c>
      <c r="S85" s="115">
        <f>IFERROR(VLOOKUP($B85,MMWR_APP_STATE_PEN[],S$1,0),"ERROR")</f>
        <v>51</v>
      </c>
      <c r="T85" s="28"/>
    </row>
    <row r="86" spans="1:20" s="123" customFormat="1" x14ac:dyDescent="0.2">
      <c r="A86" s="28"/>
      <c r="B86" s="126" t="s">
        <v>390</v>
      </c>
      <c r="C86" s="102">
        <f>IFERROR(VLOOKUP($B86,MMWR_TRAD_AGG_ST_DISTRICT_PEN[],C$1,0),"ERROR")</f>
        <v>3965</v>
      </c>
      <c r="D86" s="103">
        <f>IFERROR(VLOOKUP($B86,MMWR_TRAD_AGG_ST_DISTRICT_PEN[],D$1,0),"ERROR")</f>
        <v>76.862042875200004</v>
      </c>
      <c r="E86" s="102">
        <f>IFERROR(VLOOKUP($B86,MMWR_TRAD_AGG_ST_DISTRICT_PEN[],E$1,0),"ERROR")</f>
        <v>5497</v>
      </c>
      <c r="F86" s="102">
        <f>IFERROR(VLOOKUP($B86,MMWR_TRAD_AGG_ST_DISTRICT_PEN[],F$1,0),"ERROR")</f>
        <v>523</v>
      </c>
      <c r="G86" s="104">
        <f t="shared" si="8"/>
        <v>9.5142805166454431E-2</v>
      </c>
      <c r="H86" s="102">
        <f>IFERROR(VLOOKUP($B86,MMWR_TRAD_AGG_ST_DISTRICT_PEN[],H$1,0),"ERROR")</f>
        <v>5364</v>
      </c>
      <c r="I86" s="102">
        <f>IFERROR(VLOOKUP($B86,MMWR_TRAD_AGG_ST_DISTRICT_PEN[],I$1,0),"ERROR")</f>
        <v>556</v>
      </c>
      <c r="J86" s="104">
        <f t="shared" si="9"/>
        <v>0.10365398956002983</v>
      </c>
      <c r="K86" s="102">
        <f>IFERROR(VLOOKUP($B86,MMWR_TRAD_AGG_ST_DISTRICT_PEN[],K$1,0),"ERROR")</f>
        <v>15</v>
      </c>
      <c r="L86" s="102">
        <f>IFERROR(VLOOKUP($B86,MMWR_TRAD_AGG_ST_DISTRICT_PEN[],L$1,0),"ERROR")</f>
        <v>11</v>
      </c>
      <c r="M86" s="104">
        <f t="shared" si="10"/>
        <v>0.73333333333333328</v>
      </c>
      <c r="N86" s="102">
        <f>IFERROR(VLOOKUP($B86,MMWR_TRAD_AGG_ST_DISTRICT_PEN[],N$1,0),"ERROR")</f>
        <v>373</v>
      </c>
      <c r="O86" s="102">
        <f>IFERROR(VLOOKUP($B86,MMWR_TRAD_AGG_ST_DISTRICT_PEN[],O$1,0),"ERROR")</f>
        <v>90</v>
      </c>
      <c r="P86" s="104">
        <f t="shared" si="11"/>
        <v>0.24128686327077747</v>
      </c>
      <c r="Q86" s="102">
        <f>IFERROR(VLOOKUP($B86,MMWR_TRAD_AGG_ST_DISTRICT_PEN[],Q$1,0),"ERROR")</f>
        <v>2373</v>
      </c>
      <c r="R86" s="106">
        <f>IFERROR(VLOOKUP($B86,MMWR_TRAD_AGG_ST_DISTRICT_PEN[],R$1,0),"ERROR")</f>
        <v>669</v>
      </c>
      <c r="S86" s="106">
        <f>IFERROR(VLOOKUP($B86,MMWR_APP_STATE_PEN[],S$1,0),"ERROR")</f>
        <v>1431</v>
      </c>
      <c r="T86" s="28"/>
    </row>
    <row r="87" spans="1:20" s="123" customFormat="1" x14ac:dyDescent="0.2">
      <c r="A87" s="28"/>
      <c r="B87" s="127" t="s">
        <v>394</v>
      </c>
      <c r="C87" s="109">
        <f>IFERROR(VLOOKUP($B87,MMWR_TRAD_AGG_STATE_PEN[],C$1,0),"ERROR")</f>
        <v>545</v>
      </c>
      <c r="D87" s="110">
        <f>IFERROR(VLOOKUP($B87,MMWR_TRAD_AGG_STATE_PEN[],D$1,0),"ERROR")</f>
        <v>91.794495412800003</v>
      </c>
      <c r="E87" s="111">
        <f>IFERROR(VLOOKUP($B87,MMWR_TRAD_AGG_STATE_PEN[],E$1,0),"ERROR")</f>
        <v>794</v>
      </c>
      <c r="F87" s="112">
        <f>IFERROR(VLOOKUP($B87,MMWR_TRAD_AGG_STATE_PEN[],F$1,0),"ERROR")</f>
        <v>90</v>
      </c>
      <c r="G87" s="113">
        <f t="shared" si="8"/>
        <v>0.11335012594458438</v>
      </c>
      <c r="H87" s="111">
        <f>IFERROR(VLOOKUP($B87,MMWR_TRAD_AGG_STATE_PEN[],H$1,0),"ERROR")</f>
        <v>703</v>
      </c>
      <c r="I87" s="112">
        <f>IFERROR(VLOOKUP($B87,MMWR_TRAD_AGG_STATE_PEN[],I$1,0),"ERROR")</f>
        <v>90</v>
      </c>
      <c r="J87" s="114">
        <f t="shared" si="9"/>
        <v>0.12802275960170698</v>
      </c>
      <c r="K87" s="111">
        <f>IFERROR(VLOOKUP($B87,MMWR_TRAD_AGG_STATE_PEN[],K$1,0),"ERROR")</f>
        <v>1</v>
      </c>
      <c r="L87" s="112">
        <f>IFERROR(VLOOKUP($B87,MMWR_TRAD_AGG_STATE_PEN[],L$1,0),"ERROR")</f>
        <v>0</v>
      </c>
      <c r="M87" s="114">
        <f t="shared" si="10"/>
        <v>0</v>
      </c>
      <c r="N87" s="111">
        <f>IFERROR(VLOOKUP($B87,MMWR_TRAD_AGG_STATE_PEN[],N$1,0),"ERROR")</f>
        <v>52</v>
      </c>
      <c r="O87" s="112">
        <f>IFERROR(VLOOKUP($B87,MMWR_TRAD_AGG_STATE_PEN[],O$1,0),"ERROR")</f>
        <v>11</v>
      </c>
      <c r="P87" s="114">
        <f t="shared" si="11"/>
        <v>0.21153846153846154</v>
      </c>
      <c r="Q87" s="115">
        <f>IFERROR(VLOOKUP($B87,MMWR_TRAD_AGG_STATE_PEN[],Q$1,0),"ERROR")</f>
        <v>97</v>
      </c>
      <c r="R87" s="115">
        <f>IFERROR(VLOOKUP($B87,MMWR_TRAD_AGG_STATE_PEN[],R$1,0),"ERROR")</f>
        <v>139</v>
      </c>
      <c r="S87" s="115">
        <f>IFERROR(VLOOKUP($B87,MMWR_APP_STATE_PEN[],S$1,0),"ERROR")</f>
        <v>323</v>
      </c>
      <c r="T87" s="28"/>
    </row>
    <row r="88" spans="1:20" s="123" customFormat="1" x14ac:dyDescent="0.2">
      <c r="A88" s="28"/>
      <c r="B88" s="127" t="s">
        <v>392</v>
      </c>
      <c r="C88" s="109">
        <f>IFERROR(VLOOKUP($B88,MMWR_TRAD_AGG_STATE_PEN[],C$1,0),"ERROR")</f>
        <v>330</v>
      </c>
      <c r="D88" s="110">
        <f>IFERROR(VLOOKUP($B88,MMWR_TRAD_AGG_STATE_PEN[],D$1,0),"ERROR")</f>
        <v>84.042424242400003</v>
      </c>
      <c r="E88" s="111">
        <f>IFERROR(VLOOKUP($B88,MMWR_TRAD_AGG_STATE_PEN[],E$1,0),"ERROR")</f>
        <v>531</v>
      </c>
      <c r="F88" s="112">
        <f>IFERROR(VLOOKUP($B88,MMWR_TRAD_AGG_STATE_PEN[],F$1,0),"ERROR")</f>
        <v>70</v>
      </c>
      <c r="G88" s="113">
        <f t="shared" si="8"/>
        <v>0.13182674199623351</v>
      </c>
      <c r="H88" s="111">
        <f>IFERROR(VLOOKUP($B88,MMWR_TRAD_AGG_STATE_PEN[],H$1,0),"ERROR")</f>
        <v>489</v>
      </c>
      <c r="I88" s="112">
        <f>IFERROR(VLOOKUP($B88,MMWR_TRAD_AGG_STATE_PEN[],I$1,0),"ERROR")</f>
        <v>70</v>
      </c>
      <c r="J88" s="114">
        <f t="shared" si="9"/>
        <v>0.14314928425357873</v>
      </c>
      <c r="K88" s="111">
        <f>IFERROR(VLOOKUP($B88,MMWR_TRAD_AGG_STATE_PEN[],K$1,0),"ERROR")</f>
        <v>2</v>
      </c>
      <c r="L88" s="112">
        <f>IFERROR(VLOOKUP($B88,MMWR_TRAD_AGG_STATE_PEN[],L$1,0),"ERROR")</f>
        <v>2</v>
      </c>
      <c r="M88" s="114">
        <f t="shared" si="10"/>
        <v>1</v>
      </c>
      <c r="N88" s="111">
        <f>IFERROR(VLOOKUP($B88,MMWR_TRAD_AGG_STATE_PEN[],N$1,0),"ERROR")</f>
        <v>41</v>
      </c>
      <c r="O88" s="112">
        <f>IFERROR(VLOOKUP($B88,MMWR_TRAD_AGG_STATE_PEN[],O$1,0),"ERROR")</f>
        <v>15</v>
      </c>
      <c r="P88" s="114">
        <f t="shared" si="11"/>
        <v>0.36585365853658536</v>
      </c>
      <c r="Q88" s="115">
        <f>IFERROR(VLOOKUP($B88,MMWR_TRAD_AGG_STATE_PEN[],Q$1,0),"ERROR")</f>
        <v>57</v>
      </c>
      <c r="R88" s="115">
        <f>IFERROR(VLOOKUP($B88,MMWR_TRAD_AGG_STATE_PEN[],R$1,0),"ERROR")</f>
        <v>75</v>
      </c>
      <c r="S88" s="115">
        <f>IFERROR(VLOOKUP($B88,MMWR_APP_STATE_PEN[],S$1,0),"ERROR")</f>
        <v>136</v>
      </c>
      <c r="T88" s="28"/>
    </row>
    <row r="89" spans="1:20" s="123" customFormat="1" x14ac:dyDescent="0.2">
      <c r="A89" s="28"/>
      <c r="B89" s="127" t="s">
        <v>399</v>
      </c>
      <c r="C89" s="109">
        <f>IFERROR(VLOOKUP($B89,MMWR_TRAD_AGG_STATE_PEN[],C$1,0),"ERROR")</f>
        <v>238</v>
      </c>
      <c r="D89" s="110">
        <f>IFERROR(VLOOKUP($B89,MMWR_TRAD_AGG_STATE_PEN[],D$1,0),"ERROR")</f>
        <v>66.021008403400003</v>
      </c>
      <c r="E89" s="111">
        <f>IFERROR(VLOOKUP($B89,MMWR_TRAD_AGG_STATE_PEN[],E$1,0),"ERROR")</f>
        <v>278</v>
      </c>
      <c r="F89" s="112">
        <f>IFERROR(VLOOKUP($B89,MMWR_TRAD_AGG_STATE_PEN[],F$1,0),"ERROR")</f>
        <v>6</v>
      </c>
      <c r="G89" s="113">
        <f t="shared" si="8"/>
        <v>2.1582733812949641E-2</v>
      </c>
      <c r="H89" s="111">
        <f>IFERROR(VLOOKUP($B89,MMWR_TRAD_AGG_STATE_PEN[],H$1,0),"ERROR")</f>
        <v>308</v>
      </c>
      <c r="I89" s="112">
        <f>IFERROR(VLOOKUP($B89,MMWR_TRAD_AGG_STATE_PEN[],I$1,0),"ERROR")</f>
        <v>17</v>
      </c>
      <c r="J89" s="114">
        <f t="shared" si="9"/>
        <v>5.5194805194805192E-2</v>
      </c>
      <c r="K89" s="111">
        <f>IFERROR(VLOOKUP($B89,MMWR_TRAD_AGG_STATE_PEN[],K$1,0),"ERROR")</f>
        <v>0</v>
      </c>
      <c r="L89" s="112">
        <f>IFERROR(VLOOKUP($B89,MMWR_TRAD_AGG_STATE_PEN[],L$1,0),"ERROR")</f>
        <v>0</v>
      </c>
      <c r="M89" s="114" t="str">
        <f t="shared" si="10"/>
        <v>0%</v>
      </c>
      <c r="N89" s="111">
        <f>IFERROR(VLOOKUP($B89,MMWR_TRAD_AGG_STATE_PEN[],N$1,0),"ERROR")</f>
        <v>9</v>
      </c>
      <c r="O89" s="112">
        <f>IFERROR(VLOOKUP($B89,MMWR_TRAD_AGG_STATE_PEN[],O$1,0),"ERROR")</f>
        <v>3</v>
      </c>
      <c r="P89" s="114">
        <f t="shared" si="11"/>
        <v>0.33333333333333331</v>
      </c>
      <c r="Q89" s="115">
        <f>IFERROR(VLOOKUP($B89,MMWR_TRAD_AGG_STATE_PEN[],Q$1,0),"ERROR")</f>
        <v>354</v>
      </c>
      <c r="R89" s="115">
        <f>IFERROR(VLOOKUP($B89,MMWR_TRAD_AGG_STATE_PEN[],R$1,0),"ERROR")</f>
        <v>33</v>
      </c>
      <c r="S89" s="115">
        <f>IFERROR(VLOOKUP($B89,MMWR_APP_STATE_PEN[],S$1,0),"ERROR")</f>
        <v>35</v>
      </c>
      <c r="T89" s="28"/>
    </row>
    <row r="90" spans="1:20" s="123" customFormat="1" x14ac:dyDescent="0.2">
      <c r="A90" s="28"/>
      <c r="B90" s="127" t="s">
        <v>422</v>
      </c>
      <c r="C90" s="109">
        <f>IFERROR(VLOOKUP($B90,MMWR_TRAD_AGG_STATE_PEN[],C$1,0),"ERROR")</f>
        <v>177</v>
      </c>
      <c r="D90" s="110">
        <f>IFERROR(VLOOKUP($B90,MMWR_TRAD_AGG_STATE_PEN[],D$1,0),"ERROR")</f>
        <v>74.7344632768</v>
      </c>
      <c r="E90" s="111">
        <f>IFERROR(VLOOKUP($B90,MMWR_TRAD_AGG_STATE_PEN[],E$1,0),"ERROR")</f>
        <v>232</v>
      </c>
      <c r="F90" s="112">
        <f>IFERROR(VLOOKUP($B90,MMWR_TRAD_AGG_STATE_PEN[],F$1,0),"ERROR")</f>
        <v>7</v>
      </c>
      <c r="G90" s="113">
        <f t="shared" si="8"/>
        <v>3.017241379310345E-2</v>
      </c>
      <c r="H90" s="111">
        <f>IFERROR(VLOOKUP($B90,MMWR_TRAD_AGG_STATE_PEN[],H$1,0),"ERROR")</f>
        <v>233</v>
      </c>
      <c r="I90" s="112">
        <f>IFERROR(VLOOKUP($B90,MMWR_TRAD_AGG_STATE_PEN[],I$1,0),"ERROR")</f>
        <v>25</v>
      </c>
      <c r="J90" s="114">
        <f t="shared" si="9"/>
        <v>0.1072961373390558</v>
      </c>
      <c r="K90" s="111">
        <f>IFERROR(VLOOKUP($B90,MMWR_TRAD_AGG_STATE_PEN[],K$1,0),"ERROR")</f>
        <v>0</v>
      </c>
      <c r="L90" s="112">
        <f>IFERROR(VLOOKUP($B90,MMWR_TRAD_AGG_STATE_PEN[],L$1,0),"ERROR")</f>
        <v>0</v>
      </c>
      <c r="M90" s="114" t="str">
        <f t="shared" si="10"/>
        <v>0%</v>
      </c>
      <c r="N90" s="111">
        <f>IFERROR(VLOOKUP($B90,MMWR_TRAD_AGG_STATE_PEN[],N$1,0),"ERROR")</f>
        <v>11</v>
      </c>
      <c r="O90" s="112">
        <f>IFERROR(VLOOKUP($B90,MMWR_TRAD_AGG_STATE_PEN[],O$1,0),"ERROR")</f>
        <v>3</v>
      </c>
      <c r="P90" s="114">
        <f t="shared" si="11"/>
        <v>0.27272727272727271</v>
      </c>
      <c r="Q90" s="115">
        <f>IFERROR(VLOOKUP($B90,MMWR_TRAD_AGG_STATE_PEN[],Q$1,0),"ERROR")</f>
        <v>165</v>
      </c>
      <c r="R90" s="115">
        <f>IFERROR(VLOOKUP($B90,MMWR_TRAD_AGG_STATE_PEN[],R$1,0),"ERROR")</f>
        <v>29</v>
      </c>
      <c r="S90" s="115">
        <f>IFERROR(VLOOKUP($B90,MMWR_APP_STATE_PEN[],S$1,0),"ERROR")</f>
        <v>27</v>
      </c>
      <c r="T90" s="28"/>
    </row>
    <row r="91" spans="1:20" s="123" customFormat="1" x14ac:dyDescent="0.2">
      <c r="A91" s="28"/>
      <c r="B91" s="127" t="s">
        <v>395</v>
      </c>
      <c r="C91" s="109">
        <f>IFERROR(VLOOKUP($B91,MMWR_TRAD_AGG_STATE_PEN[],C$1,0),"ERROR")</f>
        <v>633</v>
      </c>
      <c r="D91" s="110">
        <f>IFERROR(VLOOKUP($B91,MMWR_TRAD_AGG_STATE_PEN[],D$1,0),"ERROR")</f>
        <v>67.369668246399996</v>
      </c>
      <c r="E91" s="111">
        <f>IFERROR(VLOOKUP($B91,MMWR_TRAD_AGG_STATE_PEN[],E$1,0),"ERROR")</f>
        <v>1015</v>
      </c>
      <c r="F91" s="112">
        <f>IFERROR(VLOOKUP($B91,MMWR_TRAD_AGG_STATE_PEN[],F$1,0),"ERROR")</f>
        <v>112</v>
      </c>
      <c r="G91" s="113">
        <f t="shared" si="8"/>
        <v>0.1103448275862069</v>
      </c>
      <c r="H91" s="111">
        <f>IFERROR(VLOOKUP($B91,MMWR_TRAD_AGG_STATE_PEN[],H$1,0),"ERROR")</f>
        <v>841</v>
      </c>
      <c r="I91" s="112">
        <f>IFERROR(VLOOKUP($B91,MMWR_TRAD_AGG_STATE_PEN[],I$1,0),"ERROR")</f>
        <v>91</v>
      </c>
      <c r="J91" s="114">
        <f t="shared" si="9"/>
        <v>0.10820451843043995</v>
      </c>
      <c r="K91" s="111">
        <f>IFERROR(VLOOKUP($B91,MMWR_TRAD_AGG_STATE_PEN[],K$1,0),"ERROR")</f>
        <v>1</v>
      </c>
      <c r="L91" s="112">
        <f>IFERROR(VLOOKUP($B91,MMWR_TRAD_AGG_STATE_PEN[],L$1,0),"ERROR")</f>
        <v>1</v>
      </c>
      <c r="M91" s="114">
        <f t="shared" si="10"/>
        <v>1</v>
      </c>
      <c r="N91" s="111">
        <f>IFERROR(VLOOKUP($B91,MMWR_TRAD_AGG_STATE_PEN[],N$1,0),"ERROR")</f>
        <v>64</v>
      </c>
      <c r="O91" s="112">
        <f>IFERROR(VLOOKUP($B91,MMWR_TRAD_AGG_STATE_PEN[],O$1,0),"ERROR")</f>
        <v>14</v>
      </c>
      <c r="P91" s="114">
        <f t="shared" si="11"/>
        <v>0.21875</v>
      </c>
      <c r="Q91" s="115">
        <f>IFERROR(VLOOKUP($B91,MMWR_TRAD_AGG_STATE_PEN[],Q$1,0),"ERROR")</f>
        <v>126</v>
      </c>
      <c r="R91" s="115">
        <f>IFERROR(VLOOKUP($B91,MMWR_TRAD_AGG_STATE_PEN[],R$1,0),"ERROR")</f>
        <v>87</v>
      </c>
      <c r="S91" s="115">
        <f>IFERROR(VLOOKUP($B91,MMWR_APP_STATE_PEN[],S$1,0),"ERROR")</f>
        <v>236</v>
      </c>
      <c r="T91" s="28"/>
    </row>
    <row r="92" spans="1:20" s="123" customFormat="1" x14ac:dyDescent="0.2">
      <c r="A92" s="28"/>
      <c r="B92" s="127" t="s">
        <v>401</v>
      </c>
      <c r="C92" s="109">
        <f>IFERROR(VLOOKUP($B92,MMWR_TRAD_AGG_STATE_PEN[],C$1,0),"ERROR")</f>
        <v>347</v>
      </c>
      <c r="D92" s="110">
        <f>IFERROR(VLOOKUP($B92,MMWR_TRAD_AGG_STATE_PEN[],D$1,0),"ERROR")</f>
        <v>92.783861671500006</v>
      </c>
      <c r="E92" s="111">
        <f>IFERROR(VLOOKUP($B92,MMWR_TRAD_AGG_STATE_PEN[],E$1,0),"ERROR")</f>
        <v>298</v>
      </c>
      <c r="F92" s="112">
        <f>IFERROR(VLOOKUP($B92,MMWR_TRAD_AGG_STATE_PEN[],F$1,0),"ERROR")</f>
        <v>5</v>
      </c>
      <c r="G92" s="113">
        <f t="shared" si="8"/>
        <v>1.6778523489932886E-2</v>
      </c>
      <c r="H92" s="111">
        <f>IFERROR(VLOOKUP($B92,MMWR_TRAD_AGG_STATE_PEN[],H$1,0),"ERROR")</f>
        <v>421</v>
      </c>
      <c r="I92" s="112">
        <f>IFERROR(VLOOKUP($B92,MMWR_TRAD_AGG_STATE_PEN[],I$1,0),"ERROR")</f>
        <v>30</v>
      </c>
      <c r="J92" s="114">
        <f t="shared" si="9"/>
        <v>7.1258907363420429E-2</v>
      </c>
      <c r="K92" s="111">
        <f>IFERROR(VLOOKUP($B92,MMWR_TRAD_AGG_STATE_PEN[],K$1,0),"ERROR")</f>
        <v>1</v>
      </c>
      <c r="L92" s="112">
        <f>IFERROR(VLOOKUP($B92,MMWR_TRAD_AGG_STATE_PEN[],L$1,0),"ERROR")</f>
        <v>1</v>
      </c>
      <c r="M92" s="114">
        <f t="shared" si="10"/>
        <v>1</v>
      </c>
      <c r="N92" s="111">
        <f>IFERROR(VLOOKUP($B92,MMWR_TRAD_AGG_STATE_PEN[],N$1,0),"ERROR")</f>
        <v>14</v>
      </c>
      <c r="O92" s="112">
        <f>IFERROR(VLOOKUP($B92,MMWR_TRAD_AGG_STATE_PEN[],O$1,0),"ERROR")</f>
        <v>3</v>
      </c>
      <c r="P92" s="114">
        <f t="shared" si="11"/>
        <v>0.21428571428571427</v>
      </c>
      <c r="Q92" s="115">
        <f>IFERROR(VLOOKUP($B92,MMWR_TRAD_AGG_STATE_PEN[],Q$1,0),"ERROR")</f>
        <v>817</v>
      </c>
      <c r="R92" s="115">
        <f>IFERROR(VLOOKUP($B92,MMWR_TRAD_AGG_STATE_PEN[],R$1,0),"ERROR")</f>
        <v>66</v>
      </c>
      <c r="S92" s="115">
        <f>IFERROR(VLOOKUP($B92,MMWR_APP_STATE_PEN[],S$1,0),"ERROR")</f>
        <v>30</v>
      </c>
      <c r="T92" s="28"/>
    </row>
    <row r="93" spans="1:20" s="123" customFormat="1" x14ac:dyDescent="0.2">
      <c r="A93" s="28"/>
      <c r="B93" s="127" t="s">
        <v>397</v>
      </c>
      <c r="C93" s="109">
        <f>IFERROR(VLOOKUP($B93,MMWR_TRAD_AGG_STATE_PEN[],C$1,0),"ERROR")</f>
        <v>553</v>
      </c>
      <c r="D93" s="110">
        <f>IFERROR(VLOOKUP($B93,MMWR_TRAD_AGG_STATE_PEN[],D$1,0),"ERROR")</f>
        <v>74.254972875199996</v>
      </c>
      <c r="E93" s="111">
        <f>IFERROR(VLOOKUP($B93,MMWR_TRAD_AGG_STATE_PEN[],E$1,0),"ERROR")</f>
        <v>636</v>
      </c>
      <c r="F93" s="112">
        <f>IFERROR(VLOOKUP($B93,MMWR_TRAD_AGG_STATE_PEN[],F$1,0),"ERROR")</f>
        <v>81</v>
      </c>
      <c r="G93" s="113">
        <f t="shared" si="8"/>
        <v>0.12735849056603774</v>
      </c>
      <c r="H93" s="111">
        <f>IFERROR(VLOOKUP($B93,MMWR_TRAD_AGG_STATE_PEN[],H$1,0),"ERROR")</f>
        <v>732</v>
      </c>
      <c r="I93" s="112">
        <f>IFERROR(VLOOKUP($B93,MMWR_TRAD_AGG_STATE_PEN[],I$1,0),"ERROR")</f>
        <v>76</v>
      </c>
      <c r="J93" s="114">
        <f t="shared" si="9"/>
        <v>0.10382513661202186</v>
      </c>
      <c r="K93" s="111">
        <f>IFERROR(VLOOKUP($B93,MMWR_TRAD_AGG_STATE_PEN[],K$1,0),"ERROR")</f>
        <v>3</v>
      </c>
      <c r="L93" s="112">
        <f>IFERROR(VLOOKUP($B93,MMWR_TRAD_AGG_STATE_PEN[],L$1,0),"ERROR")</f>
        <v>2</v>
      </c>
      <c r="M93" s="114">
        <f t="shared" si="10"/>
        <v>0.66666666666666663</v>
      </c>
      <c r="N93" s="111">
        <f>IFERROR(VLOOKUP($B93,MMWR_TRAD_AGG_STATE_PEN[],N$1,0),"ERROR")</f>
        <v>42</v>
      </c>
      <c r="O93" s="112">
        <f>IFERROR(VLOOKUP($B93,MMWR_TRAD_AGG_STATE_PEN[],O$1,0),"ERROR")</f>
        <v>12</v>
      </c>
      <c r="P93" s="114">
        <f t="shared" si="11"/>
        <v>0.2857142857142857</v>
      </c>
      <c r="Q93" s="115">
        <f>IFERROR(VLOOKUP($B93,MMWR_TRAD_AGG_STATE_PEN[],Q$1,0),"ERROR")</f>
        <v>108</v>
      </c>
      <c r="R93" s="115">
        <f>IFERROR(VLOOKUP($B93,MMWR_TRAD_AGG_STATE_PEN[],R$1,0),"ERROR")</f>
        <v>60</v>
      </c>
      <c r="S93" s="115">
        <f>IFERROR(VLOOKUP($B93,MMWR_APP_STATE_PEN[],S$1,0),"ERROR")</f>
        <v>212</v>
      </c>
      <c r="T93" s="28"/>
    </row>
    <row r="94" spans="1:20" s="123" customFormat="1" x14ac:dyDescent="0.2">
      <c r="A94" s="28"/>
      <c r="B94" s="127" t="s">
        <v>400</v>
      </c>
      <c r="C94" s="109">
        <f>IFERROR(VLOOKUP($B94,MMWR_TRAD_AGG_STATE_PEN[],C$1,0),"ERROR")</f>
        <v>119</v>
      </c>
      <c r="D94" s="110">
        <f>IFERROR(VLOOKUP($B94,MMWR_TRAD_AGG_STATE_PEN[],D$1,0),"ERROR")</f>
        <v>65.6638655462</v>
      </c>
      <c r="E94" s="111">
        <f>IFERROR(VLOOKUP($B94,MMWR_TRAD_AGG_STATE_PEN[],E$1,0),"ERROR")</f>
        <v>83</v>
      </c>
      <c r="F94" s="112">
        <f>IFERROR(VLOOKUP($B94,MMWR_TRAD_AGG_STATE_PEN[],F$1,0),"ERROR")</f>
        <v>2</v>
      </c>
      <c r="G94" s="113">
        <f t="shared" si="8"/>
        <v>2.4096385542168676E-2</v>
      </c>
      <c r="H94" s="111">
        <f>IFERROR(VLOOKUP($B94,MMWR_TRAD_AGG_STATE_PEN[],H$1,0),"ERROR")</f>
        <v>154</v>
      </c>
      <c r="I94" s="112">
        <f>IFERROR(VLOOKUP($B94,MMWR_TRAD_AGG_STATE_PEN[],I$1,0),"ERROR")</f>
        <v>6</v>
      </c>
      <c r="J94" s="114">
        <f t="shared" si="9"/>
        <v>3.896103896103896E-2</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266</v>
      </c>
      <c r="R94" s="115">
        <f>IFERROR(VLOOKUP($B94,MMWR_TRAD_AGG_STATE_PEN[],R$1,0),"ERROR")</f>
        <v>16</v>
      </c>
      <c r="S94" s="115">
        <f>IFERROR(VLOOKUP($B94,MMWR_APP_STATE_PEN[],S$1,0),"ERROR")</f>
        <v>16</v>
      </c>
      <c r="T94" s="28"/>
    </row>
    <row r="95" spans="1:20" s="123" customFormat="1" x14ac:dyDescent="0.2">
      <c r="A95" s="28"/>
      <c r="B95" s="127" t="s">
        <v>419</v>
      </c>
      <c r="C95" s="109">
        <f>IFERROR(VLOOKUP($B95,MMWR_TRAD_AGG_STATE_PEN[],C$1,0),"ERROR")</f>
        <v>43</v>
      </c>
      <c r="D95" s="110">
        <f>IFERROR(VLOOKUP($B95,MMWR_TRAD_AGG_STATE_PEN[],D$1,0),"ERROR")</f>
        <v>175.13953488370001</v>
      </c>
      <c r="E95" s="111">
        <f>IFERROR(VLOOKUP($B95,MMWR_TRAD_AGG_STATE_PEN[],E$1,0),"ERROR")</f>
        <v>31</v>
      </c>
      <c r="F95" s="112">
        <f>IFERROR(VLOOKUP($B95,MMWR_TRAD_AGG_STATE_PEN[],F$1,0),"ERROR")</f>
        <v>1</v>
      </c>
      <c r="G95" s="113">
        <f t="shared" si="8"/>
        <v>3.2258064516129031E-2</v>
      </c>
      <c r="H95" s="111">
        <f>IFERROR(VLOOKUP($B95,MMWR_TRAD_AGG_STATE_PEN[],H$1,0),"ERROR")</f>
        <v>58</v>
      </c>
      <c r="I95" s="112">
        <f>IFERROR(VLOOKUP($B95,MMWR_TRAD_AGG_STATE_PEN[],I$1,0),"ERROR")</f>
        <v>7</v>
      </c>
      <c r="J95" s="114">
        <f t="shared" si="9"/>
        <v>0.1206896551724138</v>
      </c>
      <c r="K95" s="111">
        <f>IFERROR(VLOOKUP($B95,MMWR_TRAD_AGG_STATE_PEN[],K$1,0),"ERROR")</f>
        <v>0</v>
      </c>
      <c r="L95" s="112">
        <f>IFERROR(VLOOKUP($B95,MMWR_TRAD_AGG_STATE_PEN[],L$1,0),"ERROR")</f>
        <v>0</v>
      </c>
      <c r="M95" s="114" t="str">
        <f t="shared" si="10"/>
        <v>0%</v>
      </c>
      <c r="N95" s="111">
        <f>IFERROR(VLOOKUP($B95,MMWR_TRAD_AGG_STATE_PEN[],N$1,0),"ERROR")</f>
        <v>2</v>
      </c>
      <c r="O95" s="112">
        <f>IFERROR(VLOOKUP($B95,MMWR_TRAD_AGG_STATE_PEN[],O$1,0),"ERROR")</f>
        <v>1</v>
      </c>
      <c r="P95" s="114">
        <f t="shared" si="11"/>
        <v>0.5</v>
      </c>
      <c r="Q95" s="115">
        <f>IFERROR(VLOOKUP($B95,MMWR_TRAD_AGG_STATE_PEN[],Q$1,0),"ERROR")</f>
        <v>62</v>
      </c>
      <c r="R95" s="115">
        <f>IFERROR(VLOOKUP($B95,MMWR_TRAD_AGG_STATE_PEN[],R$1,0),"ERROR")</f>
        <v>6</v>
      </c>
      <c r="S95" s="115">
        <f>IFERROR(VLOOKUP($B95,MMWR_APP_STATE_PEN[],S$1,0),"ERROR")</f>
        <v>3</v>
      </c>
      <c r="T95" s="28"/>
    </row>
    <row r="96" spans="1:20" s="123" customFormat="1" x14ac:dyDescent="0.2">
      <c r="A96" s="28"/>
      <c r="B96" s="127" t="s">
        <v>391</v>
      </c>
      <c r="C96" s="109">
        <f>IFERROR(VLOOKUP($B96,MMWR_TRAD_AGG_STATE_PEN[],C$1,0),"ERROR")</f>
        <v>618</v>
      </c>
      <c r="D96" s="110">
        <f>IFERROR(VLOOKUP($B96,MMWR_TRAD_AGG_STATE_PEN[],D$1,0),"ERROR")</f>
        <v>69.464401294499993</v>
      </c>
      <c r="E96" s="111">
        <f>IFERROR(VLOOKUP($B96,MMWR_TRAD_AGG_STATE_PEN[],E$1,0),"ERROR")</f>
        <v>1136</v>
      </c>
      <c r="F96" s="112">
        <f>IFERROR(VLOOKUP($B96,MMWR_TRAD_AGG_STATE_PEN[],F$1,0),"ERROR")</f>
        <v>109</v>
      </c>
      <c r="G96" s="113">
        <f t="shared" si="8"/>
        <v>9.595070422535211E-2</v>
      </c>
      <c r="H96" s="111">
        <f>IFERROR(VLOOKUP($B96,MMWR_TRAD_AGG_STATE_PEN[],H$1,0),"ERROR")</f>
        <v>951</v>
      </c>
      <c r="I96" s="112">
        <f>IFERROR(VLOOKUP($B96,MMWR_TRAD_AGG_STATE_PEN[],I$1,0),"ERROR")</f>
        <v>102</v>
      </c>
      <c r="J96" s="114">
        <f t="shared" si="9"/>
        <v>0.10725552050473186</v>
      </c>
      <c r="K96" s="111">
        <f>IFERROR(VLOOKUP($B96,MMWR_TRAD_AGG_STATE_PEN[],K$1,0),"ERROR")</f>
        <v>6</v>
      </c>
      <c r="L96" s="112">
        <f>IFERROR(VLOOKUP($B96,MMWR_TRAD_AGG_STATE_PEN[],L$1,0),"ERROR")</f>
        <v>4</v>
      </c>
      <c r="M96" s="114">
        <f t="shared" si="10"/>
        <v>0.66666666666666663</v>
      </c>
      <c r="N96" s="111">
        <f>IFERROR(VLOOKUP($B96,MMWR_TRAD_AGG_STATE_PEN[],N$1,0),"ERROR")</f>
        <v>94</v>
      </c>
      <c r="O96" s="112">
        <f>IFERROR(VLOOKUP($B96,MMWR_TRAD_AGG_STATE_PEN[],O$1,0),"ERROR")</f>
        <v>19</v>
      </c>
      <c r="P96" s="114">
        <f t="shared" si="11"/>
        <v>0.20212765957446807</v>
      </c>
      <c r="Q96" s="115">
        <f>IFERROR(VLOOKUP($B96,MMWR_TRAD_AGG_STATE_PEN[],Q$1,0),"ERROR")</f>
        <v>147</v>
      </c>
      <c r="R96" s="115">
        <f>IFERROR(VLOOKUP($B96,MMWR_TRAD_AGG_STATE_PEN[],R$1,0),"ERROR")</f>
        <v>112</v>
      </c>
      <c r="S96" s="115">
        <f>IFERROR(VLOOKUP($B96,MMWR_APP_STATE_PEN[],S$1,0),"ERROR")</f>
        <v>306</v>
      </c>
      <c r="T96" s="28"/>
    </row>
    <row r="97" spans="1:20" s="123" customFormat="1" x14ac:dyDescent="0.2">
      <c r="A97" s="28"/>
      <c r="B97" s="127" t="s">
        <v>420</v>
      </c>
      <c r="C97" s="109">
        <f>IFERROR(VLOOKUP($B97,MMWR_TRAD_AGG_STATE_PEN[],C$1,0),"ERROR")</f>
        <v>65</v>
      </c>
      <c r="D97" s="110">
        <f>IFERROR(VLOOKUP($B97,MMWR_TRAD_AGG_STATE_PEN[],D$1,0),"ERROR")</f>
        <v>67.692307692300005</v>
      </c>
      <c r="E97" s="111">
        <f>IFERROR(VLOOKUP($B97,MMWR_TRAD_AGG_STATE_PEN[],E$1,0),"ERROR")</f>
        <v>62</v>
      </c>
      <c r="F97" s="112">
        <f>IFERROR(VLOOKUP($B97,MMWR_TRAD_AGG_STATE_PEN[],F$1,0),"ERROR")</f>
        <v>1</v>
      </c>
      <c r="G97" s="113">
        <f t="shared" si="8"/>
        <v>1.6129032258064516E-2</v>
      </c>
      <c r="H97" s="111">
        <f>IFERROR(VLOOKUP($B97,MMWR_TRAD_AGG_STATE_PEN[],H$1,0),"ERROR")</f>
        <v>80</v>
      </c>
      <c r="I97" s="112">
        <f>IFERROR(VLOOKUP($B97,MMWR_TRAD_AGG_STATE_PEN[],I$1,0),"ERROR")</f>
        <v>4</v>
      </c>
      <c r="J97" s="114">
        <f t="shared" si="9"/>
        <v>0.05</v>
      </c>
      <c r="K97" s="111">
        <f>IFERROR(VLOOKUP($B97,MMWR_TRAD_AGG_STATE_PEN[],K$1,0),"ERROR")</f>
        <v>0</v>
      </c>
      <c r="L97" s="112">
        <f>IFERROR(VLOOKUP($B97,MMWR_TRAD_AGG_STATE_PEN[],L$1,0),"ERROR")</f>
        <v>0</v>
      </c>
      <c r="M97" s="114" t="str">
        <f t="shared" si="10"/>
        <v>0%</v>
      </c>
      <c r="N97" s="111">
        <f>IFERROR(VLOOKUP($B97,MMWR_TRAD_AGG_STATE_PEN[],N$1,0),"ERROR")</f>
        <v>3</v>
      </c>
      <c r="O97" s="112">
        <f>IFERROR(VLOOKUP($B97,MMWR_TRAD_AGG_STATE_PEN[],O$1,0),"ERROR")</f>
        <v>1</v>
      </c>
      <c r="P97" s="114">
        <f t="shared" si="11"/>
        <v>0.33333333333333331</v>
      </c>
      <c r="Q97" s="115">
        <f>IFERROR(VLOOKUP($B97,MMWR_TRAD_AGG_STATE_PEN[],Q$1,0),"ERROR")</f>
        <v>112</v>
      </c>
      <c r="R97" s="115">
        <f>IFERROR(VLOOKUP($B97,MMWR_TRAD_AGG_STATE_PEN[],R$1,0),"ERROR")</f>
        <v>6</v>
      </c>
      <c r="S97" s="115">
        <f>IFERROR(VLOOKUP($B97,MMWR_APP_STATE_PEN[],S$1,0),"ERROR")</f>
        <v>9</v>
      </c>
      <c r="T97" s="28"/>
    </row>
    <row r="98" spans="1:20" s="123" customFormat="1" x14ac:dyDescent="0.2">
      <c r="A98" s="28"/>
      <c r="B98" s="127" t="s">
        <v>396</v>
      </c>
      <c r="C98" s="109">
        <f>IFERROR(VLOOKUP($B98,MMWR_TRAD_AGG_STATE_PEN[],C$1,0),"ERROR")</f>
        <v>297</v>
      </c>
      <c r="D98" s="110">
        <f>IFERROR(VLOOKUP($B98,MMWR_TRAD_AGG_STATE_PEN[],D$1,0),"ERROR")</f>
        <v>65.579124579099997</v>
      </c>
      <c r="E98" s="111">
        <f>IFERROR(VLOOKUP($B98,MMWR_TRAD_AGG_STATE_PEN[],E$1,0),"ERROR")</f>
        <v>401</v>
      </c>
      <c r="F98" s="112">
        <f>IFERROR(VLOOKUP($B98,MMWR_TRAD_AGG_STATE_PEN[],F$1,0),"ERROR")</f>
        <v>39</v>
      </c>
      <c r="G98" s="113">
        <f t="shared" si="8"/>
        <v>9.7256857855361589E-2</v>
      </c>
      <c r="H98" s="111">
        <f>IFERROR(VLOOKUP($B98,MMWR_TRAD_AGG_STATE_PEN[],H$1,0),"ERROR")</f>
        <v>394</v>
      </c>
      <c r="I98" s="112">
        <f>IFERROR(VLOOKUP($B98,MMWR_TRAD_AGG_STATE_PEN[],I$1,0),"ERROR")</f>
        <v>38</v>
      </c>
      <c r="J98" s="114">
        <f t="shared" si="9"/>
        <v>9.6446700507614211E-2</v>
      </c>
      <c r="K98" s="111">
        <f>IFERROR(VLOOKUP($B98,MMWR_TRAD_AGG_STATE_PEN[],K$1,0),"ERROR")</f>
        <v>1</v>
      </c>
      <c r="L98" s="112">
        <f>IFERROR(VLOOKUP($B98,MMWR_TRAD_AGG_STATE_PEN[],L$1,0),"ERROR")</f>
        <v>1</v>
      </c>
      <c r="M98" s="114">
        <f t="shared" si="10"/>
        <v>1</v>
      </c>
      <c r="N98" s="111">
        <f>IFERROR(VLOOKUP($B98,MMWR_TRAD_AGG_STATE_PEN[],N$1,0),"ERROR")</f>
        <v>39</v>
      </c>
      <c r="O98" s="112">
        <f>IFERROR(VLOOKUP($B98,MMWR_TRAD_AGG_STATE_PEN[],O$1,0),"ERROR")</f>
        <v>8</v>
      </c>
      <c r="P98" s="114">
        <f t="shared" si="11"/>
        <v>0.20512820512820512</v>
      </c>
      <c r="Q98" s="115">
        <f>IFERROR(VLOOKUP($B98,MMWR_TRAD_AGG_STATE_PEN[],Q$1,0),"ERROR")</f>
        <v>62</v>
      </c>
      <c r="R98" s="115">
        <f>IFERROR(VLOOKUP($B98,MMWR_TRAD_AGG_STATE_PEN[],R$1,0),"ERROR")</f>
        <v>40</v>
      </c>
      <c r="S98" s="115">
        <f>IFERROR(VLOOKUP($B98,MMWR_APP_STATE_PEN[],S$1,0),"ERROR")</f>
        <v>98</v>
      </c>
      <c r="T98" s="28"/>
    </row>
    <row r="99" spans="1:20" s="123" customFormat="1" x14ac:dyDescent="0.2">
      <c r="A99" s="28"/>
      <c r="B99" s="126" t="s">
        <v>385</v>
      </c>
      <c r="C99" s="102">
        <f>IFERROR(VLOOKUP($B99,MMWR_TRAD_AGG_ST_DISTRICT_PEN[],C$1,0),"ERROR")</f>
        <v>3011</v>
      </c>
      <c r="D99" s="103">
        <f>IFERROR(VLOOKUP($B99,MMWR_TRAD_AGG_ST_DISTRICT_PEN[],D$1,0),"ERROR")</f>
        <v>86.739289272700006</v>
      </c>
      <c r="E99" s="102">
        <f>IFERROR(VLOOKUP($B99,MMWR_TRAD_AGG_ST_DISTRICT_PEN[],E$1,0),"ERROR")</f>
        <v>3206</v>
      </c>
      <c r="F99" s="102">
        <f>IFERROR(VLOOKUP($B99,MMWR_TRAD_AGG_ST_DISTRICT_PEN[],F$1,0),"ERROR")</f>
        <v>178</v>
      </c>
      <c r="G99" s="104">
        <f t="shared" si="8"/>
        <v>5.5520898315658138E-2</v>
      </c>
      <c r="H99" s="102">
        <f>IFERROR(VLOOKUP($B99,MMWR_TRAD_AGG_ST_DISTRICT_PEN[],H$1,0),"ERROR")</f>
        <v>4252</v>
      </c>
      <c r="I99" s="102">
        <f>IFERROR(VLOOKUP($B99,MMWR_TRAD_AGG_ST_DISTRICT_PEN[],I$1,0),"ERROR")</f>
        <v>449</v>
      </c>
      <c r="J99" s="104">
        <f t="shared" si="9"/>
        <v>0.10559736594543744</v>
      </c>
      <c r="K99" s="102">
        <f>IFERROR(VLOOKUP($B99,MMWR_TRAD_AGG_ST_DISTRICT_PEN[],K$1,0),"ERROR")</f>
        <v>24</v>
      </c>
      <c r="L99" s="102">
        <f>IFERROR(VLOOKUP($B99,MMWR_TRAD_AGG_ST_DISTRICT_PEN[],L$1,0),"ERROR")</f>
        <v>19</v>
      </c>
      <c r="M99" s="104">
        <f t="shared" si="10"/>
        <v>0.79166666666666663</v>
      </c>
      <c r="N99" s="102">
        <f>IFERROR(VLOOKUP($B99,MMWR_TRAD_AGG_ST_DISTRICT_PEN[],N$1,0),"ERROR")</f>
        <v>235</v>
      </c>
      <c r="O99" s="102">
        <f>IFERROR(VLOOKUP($B99,MMWR_TRAD_AGG_ST_DISTRICT_PEN[],O$1,0),"ERROR")</f>
        <v>75</v>
      </c>
      <c r="P99" s="104">
        <f t="shared" si="11"/>
        <v>0.31914893617021278</v>
      </c>
      <c r="Q99" s="102">
        <f>IFERROR(VLOOKUP($B99,MMWR_TRAD_AGG_ST_DISTRICT_PEN[],Q$1,0),"ERROR")</f>
        <v>3169</v>
      </c>
      <c r="R99" s="106">
        <f>IFERROR(VLOOKUP($B99,MMWR_TRAD_AGG_ST_DISTRICT_PEN[],R$1,0),"ERROR")</f>
        <v>757</v>
      </c>
      <c r="S99" s="106">
        <f>IFERROR(VLOOKUP($B99,MMWR_APP_STATE_PEN[],S$1,0),"ERROR")</f>
        <v>995</v>
      </c>
      <c r="T99" s="28"/>
    </row>
    <row r="100" spans="1:20" s="123" customFormat="1" x14ac:dyDescent="0.2">
      <c r="A100" s="28"/>
      <c r="B100" s="127" t="s">
        <v>411</v>
      </c>
      <c r="C100" s="109">
        <f>IFERROR(VLOOKUP($B100,MMWR_TRAD_AGG_STATE_PEN[],C$1,0),"ERROR")</f>
        <v>253</v>
      </c>
      <c r="D100" s="110">
        <f>IFERROR(VLOOKUP($B100,MMWR_TRAD_AGG_STATE_PEN[],D$1,0),"ERROR")</f>
        <v>68.928853754900004</v>
      </c>
      <c r="E100" s="111">
        <f>IFERROR(VLOOKUP($B100,MMWR_TRAD_AGG_STATE_PEN[],E$1,0),"ERROR")</f>
        <v>253</v>
      </c>
      <c r="F100" s="112">
        <f>IFERROR(VLOOKUP($B100,MMWR_TRAD_AGG_STATE_PEN[],F$1,0),"ERROR")</f>
        <v>27</v>
      </c>
      <c r="G100" s="113">
        <f t="shared" si="8"/>
        <v>0.1067193675889328</v>
      </c>
      <c r="H100" s="111">
        <f>IFERROR(VLOOKUP($B100,MMWR_TRAD_AGG_STATE_PEN[],H$1,0),"ERROR")</f>
        <v>341</v>
      </c>
      <c r="I100" s="112">
        <f>IFERROR(VLOOKUP($B100,MMWR_TRAD_AGG_STATE_PEN[],I$1,0),"ERROR")</f>
        <v>27</v>
      </c>
      <c r="J100" s="114">
        <f t="shared" si="9"/>
        <v>7.9178885630498533E-2</v>
      </c>
      <c r="K100" s="111">
        <f>IFERROR(VLOOKUP($B100,MMWR_TRAD_AGG_STATE_PEN[],K$1,0),"ERROR")</f>
        <v>4</v>
      </c>
      <c r="L100" s="112">
        <f>IFERROR(VLOOKUP($B100,MMWR_TRAD_AGG_STATE_PEN[],L$1,0),"ERROR")</f>
        <v>3</v>
      </c>
      <c r="M100" s="114">
        <f t="shared" si="10"/>
        <v>0.75</v>
      </c>
      <c r="N100" s="111">
        <f>IFERROR(VLOOKUP($B100,MMWR_TRAD_AGG_STATE_PEN[],N$1,0),"ERROR")</f>
        <v>30</v>
      </c>
      <c r="O100" s="112">
        <f>IFERROR(VLOOKUP($B100,MMWR_TRAD_AGG_STATE_PEN[],O$1,0),"ERROR")</f>
        <v>6</v>
      </c>
      <c r="P100" s="114">
        <f t="shared" si="11"/>
        <v>0.2</v>
      </c>
      <c r="Q100" s="115">
        <f>IFERROR(VLOOKUP($B100,MMWR_TRAD_AGG_STATE_PEN[],Q$1,0),"ERROR")</f>
        <v>86</v>
      </c>
      <c r="R100" s="115">
        <f>IFERROR(VLOOKUP($B100,MMWR_TRAD_AGG_STATE_PEN[],R$1,0),"ERROR")</f>
        <v>31</v>
      </c>
      <c r="S100" s="115">
        <f>IFERROR(VLOOKUP($B100,MMWR_APP_STATE_PEN[],S$1,0),"ERROR")</f>
        <v>143</v>
      </c>
      <c r="T100" s="28"/>
    </row>
    <row r="101" spans="1:20" s="123" customFormat="1" x14ac:dyDescent="0.2">
      <c r="A101" s="28"/>
      <c r="B101" s="127" t="s">
        <v>403</v>
      </c>
      <c r="C101" s="109">
        <f>IFERROR(VLOOKUP($B101,MMWR_TRAD_AGG_STATE_PEN[],C$1,0),"ERROR")</f>
        <v>225</v>
      </c>
      <c r="D101" s="110">
        <f>IFERROR(VLOOKUP($B101,MMWR_TRAD_AGG_STATE_PEN[],D$1,0),"ERROR")</f>
        <v>85.253333333300006</v>
      </c>
      <c r="E101" s="111">
        <f>IFERROR(VLOOKUP($B101,MMWR_TRAD_AGG_STATE_PEN[],E$1,0),"ERROR")</f>
        <v>257</v>
      </c>
      <c r="F101" s="112">
        <f>IFERROR(VLOOKUP($B101,MMWR_TRAD_AGG_STATE_PEN[],F$1,0),"ERROR")</f>
        <v>10</v>
      </c>
      <c r="G101" s="113">
        <f t="shared" ref="G101:G127" si="12">IFERROR(F101/E101,"0%")</f>
        <v>3.8910505836575876E-2</v>
      </c>
      <c r="H101" s="111">
        <f>IFERROR(VLOOKUP($B101,MMWR_TRAD_AGG_STATE_PEN[],H$1,0),"ERROR")</f>
        <v>363</v>
      </c>
      <c r="I101" s="112">
        <f>IFERROR(VLOOKUP($B101,MMWR_TRAD_AGG_STATE_PEN[],I$1,0),"ERROR")</f>
        <v>80</v>
      </c>
      <c r="J101" s="114">
        <f t="shared" ref="J101:J127" si="13">IFERROR(I101/H101,"0%")</f>
        <v>0.22038567493112948</v>
      </c>
      <c r="K101" s="111">
        <f>IFERROR(VLOOKUP($B101,MMWR_TRAD_AGG_STATE_PEN[],K$1,0),"ERROR")</f>
        <v>4</v>
      </c>
      <c r="L101" s="112">
        <f>IFERROR(VLOOKUP($B101,MMWR_TRAD_AGG_STATE_PEN[],L$1,0),"ERROR")</f>
        <v>1</v>
      </c>
      <c r="M101" s="114">
        <f t="shared" ref="M101:M127" si="14">IFERROR(L101/K101,"0%")</f>
        <v>0.25</v>
      </c>
      <c r="N101" s="111">
        <f>IFERROR(VLOOKUP($B101,MMWR_TRAD_AGG_STATE_PEN[],N$1,0),"ERROR")</f>
        <v>16</v>
      </c>
      <c r="O101" s="112">
        <f>IFERROR(VLOOKUP($B101,MMWR_TRAD_AGG_STATE_PEN[],O$1,0),"ERROR")</f>
        <v>6</v>
      </c>
      <c r="P101" s="114">
        <f t="shared" ref="P101:P127" si="15">IFERROR(O101/N101,"0%")</f>
        <v>0.375</v>
      </c>
      <c r="Q101" s="115">
        <f>IFERROR(VLOOKUP($B101,MMWR_TRAD_AGG_STATE_PEN[],Q$1,0),"ERROR")</f>
        <v>364</v>
      </c>
      <c r="R101" s="115">
        <f>IFERROR(VLOOKUP($B101,MMWR_TRAD_AGG_STATE_PEN[],R$1,0),"ERROR")</f>
        <v>68</v>
      </c>
      <c r="S101" s="115">
        <f>IFERROR(VLOOKUP($B101,MMWR_APP_STATE_PEN[],S$1,0),"ERROR")</f>
        <v>61</v>
      </c>
      <c r="T101" s="28"/>
    </row>
    <row r="102" spans="1:20" s="123" customFormat="1" x14ac:dyDescent="0.2">
      <c r="A102" s="28"/>
      <c r="B102" s="127" t="s">
        <v>387</v>
      </c>
      <c r="C102" s="109">
        <f>IFERROR(VLOOKUP($B102,MMWR_TRAD_AGG_STATE_PEN[],C$1,0),"ERROR")</f>
        <v>463</v>
      </c>
      <c r="D102" s="110">
        <f>IFERROR(VLOOKUP($B102,MMWR_TRAD_AGG_STATE_PEN[],D$1,0),"ERROR")</f>
        <v>74.831533477299999</v>
      </c>
      <c r="E102" s="111">
        <f>IFERROR(VLOOKUP($B102,MMWR_TRAD_AGG_STATE_PEN[],E$1,0),"ERROR")</f>
        <v>477</v>
      </c>
      <c r="F102" s="112">
        <f>IFERROR(VLOOKUP($B102,MMWR_TRAD_AGG_STATE_PEN[],F$1,0),"ERROR")</f>
        <v>43</v>
      </c>
      <c r="G102" s="113">
        <f t="shared" si="12"/>
        <v>9.0146750524109018E-2</v>
      </c>
      <c r="H102" s="111">
        <f>IFERROR(VLOOKUP($B102,MMWR_TRAD_AGG_STATE_PEN[],H$1,0),"ERROR")</f>
        <v>585</v>
      </c>
      <c r="I102" s="112">
        <f>IFERROR(VLOOKUP($B102,MMWR_TRAD_AGG_STATE_PEN[],I$1,0),"ERROR")</f>
        <v>70</v>
      </c>
      <c r="J102" s="114">
        <f t="shared" si="13"/>
        <v>0.11965811965811966</v>
      </c>
      <c r="K102" s="111">
        <f>IFERROR(VLOOKUP($B102,MMWR_TRAD_AGG_STATE_PEN[],K$1,0),"ERROR")</f>
        <v>2</v>
      </c>
      <c r="L102" s="112">
        <f>IFERROR(VLOOKUP($B102,MMWR_TRAD_AGG_STATE_PEN[],L$1,0),"ERROR")</f>
        <v>1</v>
      </c>
      <c r="M102" s="114">
        <f t="shared" si="14"/>
        <v>0.5</v>
      </c>
      <c r="N102" s="111">
        <f>IFERROR(VLOOKUP($B102,MMWR_TRAD_AGG_STATE_PEN[],N$1,0),"ERROR")</f>
        <v>38</v>
      </c>
      <c r="O102" s="112">
        <f>IFERROR(VLOOKUP($B102,MMWR_TRAD_AGG_STATE_PEN[],O$1,0),"ERROR")</f>
        <v>8</v>
      </c>
      <c r="P102" s="114">
        <f t="shared" si="15"/>
        <v>0.21052631578947367</v>
      </c>
      <c r="Q102" s="115">
        <f>IFERROR(VLOOKUP($B102,MMWR_TRAD_AGG_STATE_PEN[],Q$1,0),"ERROR")</f>
        <v>91</v>
      </c>
      <c r="R102" s="115">
        <f>IFERROR(VLOOKUP($B102,MMWR_TRAD_AGG_STATE_PEN[],R$1,0),"ERROR")</f>
        <v>79</v>
      </c>
      <c r="S102" s="115">
        <f>IFERROR(VLOOKUP($B102,MMWR_APP_STATE_PEN[],S$1,0),"ERROR")</f>
        <v>180</v>
      </c>
      <c r="T102" s="28"/>
    </row>
    <row r="103" spans="1:20" s="123" customFormat="1" x14ac:dyDescent="0.2">
      <c r="A103" s="28"/>
      <c r="B103" s="127" t="s">
        <v>389</v>
      </c>
      <c r="C103" s="109">
        <f>IFERROR(VLOOKUP($B103,MMWR_TRAD_AGG_STATE_PEN[],C$1,0),"ERROR")</f>
        <v>296</v>
      </c>
      <c r="D103" s="110">
        <f>IFERROR(VLOOKUP($B103,MMWR_TRAD_AGG_STATE_PEN[],D$1,0),"ERROR")</f>
        <v>69.831081081099995</v>
      </c>
      <c r="E103" s="111">
        <f>IFERROR(VLOOKUP($B103,MMWR_TRAD_AGG_STATE_PEN[],E$1,0),"ERROR")</f>
        <v>303</v>
      </c>
      <c r="F103" s="112">
        <f>IFERROR(VLOOKUP($B103,MMWR_TRAD_AGG_STATE_PEN[],F$1,0),"ERROR")</f>
        <v>25</v>
      </c>
      <c r="G103" s="113">
        <f t="shared" si="12"/>
        <v>8.2508250825082508E-2</v>
      </c>
      <c r="H103" s="111">
        <f>IFERROR(VLOOKUP($B103,MMWR_TRAD_AGG_STATE_PEN[],H$1,0),"ERROR")</f>
        <v>407</v>
      </c>
      <c r="I103" s="112">
        <f>IFERROR(VLOOKUP($B103,MMWR_TRAD_AGG_STATE_PEN[],I$1,0),"ERROR")</f>
        <v>50</v>
      </c>
      <c r="J103" s="114">
        <f t="shared" si="13"/>
        <v>0.12285012285012285</v>
      </c>
      <c r="K103" s="111">
        <f>IFERROR(VLOOKUP($B103,MMWR_TRAD_AGG_STATE_PEN[],K$1,0),"ERROR")</f>
        <v>3</v>
      </c>
      <c r="L103" s="112">
        <f>IFERROR(VLOOKUP($B103,MMWR_TRAD_AGG_STATE_PEN[],L$1,0),"ERROR")</f>
        <v>3</v>
      </c>
      <c r="M103" s="114">
        <f t="shared" si="14"/>
        <v>1</v>
      </c>
      <c r="N103" s="111">
        <f>IFERROR(VLOOKUP($B103,MMWR_TRAD_AGG_STATE_PEN[],N$1,0),"ERROR")</f>
        <v>38</v>
      </c>
      <c r="O103" s="112">
        <f>IFERROR(VLOOKUP($B103,MMWR_TRAD_AGG_STATE_PEN[],O$1,0),"ERROR")</f>
        <v>3</v>
      </c>
      <c r="P103" s="114">
        <f t="shared" si="15"/>
        <v>7.8947368421052627E-2</v>
      </c>
      <c r="Q103" s="115">
        <f>IFERROR(VLOOKUP($B103,MMWR_TRAD_AGG_STATE_PEN[],Q$1,0),"ERROR")</f>
        <v>68</v>
      </c>
      <c r="R103" s="115">
        <f>IFERROR(VLOOKUP($B103,MMWR_TRAD_AGG_STATE_PEN[],R$1,0),"ERROR")</f>
        <v>32</v>
      </c>
      <c r="S103" s="115">
        <f>IFERROR(VLOOKUP($B103,MMWR_APP_STATE_PEN[],S$1,0),"ERROR")</f>
        <v>158</v>
      </c>
      <c r="T103" s="28"/>
    </row>
    <row r="104" spans="1:20" s="123" customFormat="1" x14ac:dyDescent="0.2">
      <c r="A104" s="28"/>
      <c r="B104" s="127" t="s">
        <v>418</v>
      </c>
      <c r="C104" s="109">
        <f>IFERROR(VLOOKUP($B104,MMWR_TRAD_AGG_STATE_PEN[],C$1,0),"ERROR")</f>
        <v>70</v>
      </c>
      <c r="D104" s="110">
        <f>IFERROR(VLOOKUP($B104,MMWR_TRAD_AGG_STATE_PEN[],D$1,0),"ERROR")</f>
        <v>97.285714285699996</v>
      </c>
      <c r="E104" s="111">
        <f>IFERROR(VLOOKUP($B104,MMWR_TRAD_AGG_STATE_PEN[],E$1,0),"ERROR")</f>
        <v>87</v>
      </c>
      <c r="F104" s="112">
        <f>IFERROR(VLOOKUP($B104,MMWR_TRAD_AGG_STATE_PEN[],F$1,0),"ERROR")</f>
        <v>4</v>
      </c>
      <c r="G104" s="113">
        <f t="shared" si="12"/>
        <v>4.5977011494252873E-2</v>
      </c>
      <c r="H104" s="111">
        <f>IFERROR(VLOOKUP($B104,MMWR_TRAD_AGG_STATE_PEN[],H$1,0),"ERROR")</f>
        <v>97</v>
      </c>
      <c r="I104" s="112">
        <f>IFERROR(VLOOKUP($B104,MMWR_TRAD_AGG_STATE_PEN[],I$1,0),"ERROR")</f>
        <v>11</v>
      </c>
      <c r="J104" s="114">
        <f t="shared" si="13"/>
        <v>0.1134020618556701</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1</v>
      </c>
      <c r="P104" s="114">
        <f t="shared" si="15"/>
        <v>0.33333333333333331</v>
      </c>
      <c r="Q104" s="115">
        <f>IFERROR(VLOOKUP($B104,MMWR_TRAD_AGG_STATE_PEN[],Q$1,0),"ERROR")</f>
        <v>120</v>
      </c>
      <c r="R104" s="115">
        <f>IFERROR(VLOOKUP($B104,MMWR_TRAD_AGG_STATE_PEN[],R$1,0),"ERROR")</f>
        <v>18</v>
      </c>
      <c r="S104" s="115">
        <f>IFERROR(VLOOKUP($B104,MMWR_APP_STATE_PEN[],S$1,0),"ERROR")</f>
        <v>5</v>
      </c>
      <c r="T104" s="28"/>
    </row>
    <row r="105" spans="1:20" s="123" customFormat="1" x14ac:dyDescent="0.2">
      <c r="A105" s="28"/>
      <c r="B105" s="127" t="s">
        <v>412</v>
      </c>
      <c r="C105" s="109">
        <f>IFERROR(VLOOKUP($B105,MMWR_TRAD_AGG_STATE_PEN[],C$1,0),"ERROR")</f>
        <v>264</v>
      </c>
      <c r="D105" s="110">
        <f>IFERROR(VLOOKUP($B105,MMWR_TRAD_AGG_STATE_PEN[],D$1,0),"ERROR")</f>
        <v>76.776515151500007</v>
      </c>
      <c r="E105" s="111">
        <f>IFERROR(VLOOKUP($B105,MMWR_TRAD_AGG_STATE_PEN[],E$1,0),"ERROR")</f>
        <v>233</v>
      </c>
      <c r="F105" s="112">
        <f>IFERROR(VLOOKUP($B105,MMWR_TRAD_AGG_STATE_PEN[],F$1,0),"ERROR")</f>
        <v>11</v>
      </c>
      <c r="G105" s="113">
        <f t="shared" si="12"/>
        <v>4.7210300429184553E-2</v>
      </c>
      <c r="H105" s="111">
        <f>IFERROR(VLOOKUP($B105,MMWR_TRAD_AGG_STATE_PEN[],H$1,0),"ERROR")</f>
        <v>362</v>
      </c>
      <c r="I105" s="112">
        <f>IFERROR(VLOOKUP($B105,MMWR_TRAD_AGG_STATE_PEN[],I$1,0),"ERROR")</f>
        <v>20</v>
      </c>
      <c r="J105" s="114">
        <f t="shared" si="13"/>
        <v>5.5248618784530384E-2</v>
      </c>
      <c r="K105" s="111">
        <f>IFERROR(VLOOKUP($B105,MMWR_TRAD_AGG_STATE_PEN[],K$1,0),"ERROR")</f>
        <v>2</v>
      </c>
      <c r="L105" s="112">
        <f>IFERROR(VLOOKUP($B105,MMWR_TRAD_AGG_STATE_PEN[],L$1,0),"ERROR")</f>
        <v>2</v>
      </c>
      <c r="M105" s="114">
        <f t="shared" si="14"/>
        <v>1</v>
      </c>
      <c r="N105" s="111">
        <f>IFERROR(VLOOKUP($B105,MMWR_TRAD_AGG_STATE_PEN[],N$1,0),"ERROR")</f>
        <v>13</v>
      </c>
      <c r="O105" s="112">
        <f>IFERROR(VLOOKUP($B105,MMWR_TRAD_AGG_STATE_PEN[],O$1,0),"ERROR")</f>
        <v>6</v>
      </c>
      <c r="P105" s="114">
        <f t="shared" si="15"/>
        <v>0.46153846153846156</v>
      </c>
      <c r="Q105" s="115">
        <f>IFERROR(VLOOKUP($B105,MMWR_TRAD_AGG_STATE_PEN[],Q$1,0),"ERROR")</f>
        <v>620</v>
      </c>
      <c r="R105" s="115">
        <f>IFERROR(VLOOKUP($B105,MMWR_TRAD_AGG_STATE_PEN[],R$1,0),"ERROR")</f>
        <v>66</v>
      </c>
      <c r="S105" s="115">
        <f>IFERROR(VLOOKUP($B105,MMWR_APP_STATE_PEN[],S$1,0),"ERROR")</f>
        <v>83</v>
      </c>
      <c r="T105" s="28"/>
    </row>
    <row r="106" spans="1:20" s="123" customFormat="1" x14ac:dyDescent="0.2">
      <c r="A106" s="28"/>
      <c r="B106" s="127" t="s">
        <v>410</v>
      </c>
      <c r="C106" s="109">
        <f>IFERROR(VLOOKUP($B106,MMWR_TRAD_AGG_STATE_PEN[],C$1,0),"ERROR")</f>
        <v>1313</v>
      </c>
      <c r="D106" s="110">
        <f>IFERROR(VLOOKUP($B106,MMWR_TRAD_AGG_STATE_PEN[],D$1,0),"ERROR")</f>
        <v>99.642802741799997</v>
      </c>
      <c r="E106" s="111">
        <f>IFERROR(VLOOKUP($B106,MMWR_TRAD_AGG_STATE_PEN[],E$1,0),"ERROR")</f>
        <v>1409</v>
      </c>
      <c r="F106" s="112">
        <f>IFERROR(VLOOKUP($B106,MMWR_TRAD_AGG_STATE_PEN[],F$1,0),"ERROR")</f>
        <v>52</v>
      </c>
      <c r="G106" s="113">
        <f t="shared" si="12"/>
        <v>3.6905606813342796E-2</v>
      </c>
      <c r="H106" s="111">
        <f>IFERROR(VLOOKUP($B106,MMWR_TRAD_AGG_STATE_PEN[],H$1,0),"ERROR")</f>
        <v>1900</v>
      </c>
      <c r="I106" s="112">
        <f>IFERROR(VLOOKUP($B106,MMWR_TRAD_AGG_STATE_PEN[],I$1,0),"ERROR")</f>
        <v>164</v>
      </c>
      <c r="J106" s="114">
        <f t="shared" si="13"/>
        <v>8.6315789473684207E-2</v>
      </c>
      <c r="K106" s="111">
        <f>IFERROR(VLOOKUP($B106,MMWR_TRAD_AGG_STATE_PEN[],K$1,0),"ERROR")</f>
        <v>9</v>
      </c>
      <c r="L106" s="112">
        <f>IFERROR(VLOOKUP($B106,MMWR_TRAD_AGG_STATE_PEN[],L$1,0),"ERROR")</f>
        <v>9</v>
      </c>
      <c r="M106" s="114">
        <f t="shared" si="14"/>
        <v>1</v>
      </c>
      <c r="N106" s="111">
        <f>IFERROR(VLOOKUP($B106,MMWR_TRAD_AGG_STATE_PEN[],N$1,0),"ERROR")</f>
        <v>89</v>
      </c>
      <c r="O106" s="112">
        <f>IFERROR(VLOOKUP($B106,MMWR_TRAD_AGG_STATE_PEN[],O$1,0),"ERROR")</f>
        <v>43</v>
      </c>
      <c r="P106" s="114">
        <f t="shared" si="15"/>
        <v>0.48314606741573035</v>
      </c>
      <c r="Q106" s="115">
        <f>IFERROR(VLOOKUP($B106,MMWR_TRAD_AGG_STATE_PEN[],Q$1,0),"ERROR")</f>
        <v>1584</v>
      </c>
      <c r="R106" s="115">
        <f>IFERROR(VLOOKUP($B106,MMWR_TRAD_AGG_STATE_PEN[],R$1,0),"ERROR")</f>
        <v>435</v>
      </c>
      <c r="S106" s="115">
        <f>IFERROR(VLOOKUP($B106,MMWR_APP_STATE_PEN[],S$1,0),"ERROR")</f>
        <v>344</v>
      </c>
      <c r="T106" s="28"/>
    </row>
    <row r="107" spans="1:20" s="123" customFormat="1" x14ac:dyDescent="0.2">
      <c r="A107" s="28"/>
      <c r="B107" s="127" t="s">
        <v>406</v>
      </c>
      <c r="C107" s="109">
        <f>IFERROR(VLOOKUP($B107,MMWR_TRAD_AGG_STATE_PEN[],C$1,0),"ERROR")</f>
        <v>110</v>
      </c>
      <c r="D107" s="110">
        <f>IFERROR(VLOOKUP($B107,MMWR_TRAD_AGG_STATE_PEN[],D$1,0),"ERROR")</f>
        <v>90.772727272699996</v>
      </c>
      <c r="E107" s="111">
        <f>IFERROR(VLOOKUP($B107,MMWR_TRAD_AGG_STATE_PEN[],E$1,0),"ERROR")</f>
        <v>149</v>
      </c>
      <c r="F107" s="112">
        <f>IFERROR(VLOOKUP($B107,MMWR_TRAD_AGG_STATE_PEN[],F$1,0),"ERROR")</f>
        <v>6</v>
      </c>
      <c r="G107" s="113">
        <f t="shared" si="12"/>
        <v>4.0268456375838924E-2</v>
      </c>
      <c r="H107" s="111">
        <f>IFERROR(VLOOKUP($B107,MMWR_TRAD_AGG_STATE_PEN[],H$1,0),"ERROR")</f>
        <v>157</v>
      </c>
      <c r="I107" s="112">
        <f>IFERROR(VLOOKUP($B107,MMWR_TRAD_AGG_STATE_PEN[],I$1,0),"ERROR")</f>
        <v>16</v>
      </c>
      <c r="J107" s="114">
        <f t="shared" si="13"/>
        <v>0.10191082802547771</v>
      </c>
      <c r="K107" s="111">
        <f>IFERROR(VLOOKUP($B107,MMWR_TRAD_AGG_STATE_PEN[],K$1,0),"ERROR")</f>
        <v>0</v>
      </c>
      <c r="L107" s="112">
        <f>IFERROR(VLOOKUP($B107,MMWR_TRAD_AGG_STATE_PEN[],L$1,0),"ERROR")</f>
        <v>0</v>
      </c>
      <c r="M107" s="114" t="str">
        <f t="shared" si="14"/>
        <v>0%</v>
      </c>
      <c r="N107" s="111">
        <f>IFERROR(VLOOKUP($B107,MMWR_TRAD_AGG_STATE_PEN[],N$1,0),"ERROR")</f>
        <v>8</v>
      </c>
      <c r="O107" s="112">
        <f>IFERROR(VLOOKUP($B107,MMWR_TRAD_AGG_STATE_PEN[],O$1,0),"ERROR")</f>
        <v>2</v>
      </c>
      <c r="P107" s="114">
        <f t="shared" si="15"/>
        <v>0.25</v>
      </c>
      <c r="Q107" s="115">
        <f>IFERROR(VLOOKUP($B107,MMWR_TRAD_AGG_STATE_PEN[],Q$1,0),"ERROR")</f>
        <v>163</v>
      </c>
      <c r="R107" s="115">
        <f>IFERROR(VLOOKUP($B107,MMWR_TRAD_AGG_STATE_PEN[],R$1,0),"ERROR")</f>
        <v>21</v>
      </c>
      <c r="S107" s="115">
        <f>IFERROR(VLOOKUP($B107,MMWR_APP_STATE_PEN[],S$1,0),"ERROR")</f>
        <v>17</v>
      </c>
      <c r="T107" s="28"/>
    </row>
    <row r="108" spans="1:20" s="123" customFormat="1" x14ac:dyDescent="0.2">
      <c r="A108" s="28"/>
      <c r="B108" s="127" t="s">
        <v>421</v>
      </c>
      <c r="C108" s="109">
        <f>IFERROR(VLOOKUP($B108,MMWR_TRAD_AGG_STATE_PEN[],C$1,0),"ERROR")</f>
        <v>17</v>
      </c>
      <c r="D108" s="110">
        <f>IFERROR(VLOOKUP($B108,MMWR_TRAD_AGG_STATE_PEN[],D$1,0),"ERROR")</f>
        <v>78.764705882399994</v>
      </c>
      <c r="E108" s="111">
        <f>IFERROR(VLOOKUP($B108,MMWR_TRAD_AGG_STATE_PEN[],E$1,0),"ERROR")</f>
        <v>38</v>
      </c>
      <c r="F108" s="112">
        <f>IFERROR(VLOOKUP($B108,MMWR_TRAD_AGG_STATE_PEN[],F$1,0),"ERROR")</f>
        <v>0</v>
      </c>
      <c r="G108" s="113">
        <f t="shared" si="12"/>
        <v>0</v>
      </c>
      <c r="H108" s="111">
        <f>IFERROR(VLOOKUP($B108,MMWR_TRAD_AGG_STATE_PEN[],H$1,0),"ERROR")</f>
        <v>40</v>
      </c>
      <c r="I108" s="112">
        <f>IFERROR(VLOOKUP($B108,MMWR_TRAD_AGG_STATE_PEN[],I$1,0),"ERROR")</f>
        <v>11</v>
      </c>
      <c r="J108" s="114">
        <f t="shared" si="13"/>
        <v>0.27500000000000002</v>
      </c>
      <c r="K108" s="111">
        <f>IFERROR(VLOOKUP($B108,MMWR_TRAD_AGG_STATE_PEN[],K$1,0),"ERROR")</f>
        <v>0</v>
      </c>
      <c r="L108" s="112">
        <f>IFERROR(VLOOKUP($B108,MMWR_TRAD_AGG_STATE_PEN[],L$1,0),"ERROR")</f>
        <v>0</v>
      </c>
      <c r="M108" s="114" t="str">
        <f t="shared" si="14"/>
        <v>0%</v>
      </c>
      <c r="N108" s="111">
        <f>IFERROR(VLOOKUP($B108,MMWR_TRAD_AGG_STATE_PEN[],N$1,0),"ERROR")</f>
        <v>0</v>
      </c>
      <c r="O108" s="112">
        <f>IFERROR(VLOOKUP($B108,MMWR_TRAD_AGG_STATE_PEN[],O$1,0),"ERROR")</f>
        <v>0</v>
      </c>
      <c r="P108" s="114" t="str">
        <f t="shared" si="15"/>
        <v>0%</v>
      </c>
      <c r="Q108" s="115">
        <f>IFERROR(VLOOKUP($B108,MMWR_TRAD_AGG_STATE_PEN[],Q$1,0),"ERROR")</f>
        <v>73</v>
      </c>
      <c r="R108" s="115">
        <f>IFERROR(VLOOKUP($B108,MMWR_TRAD_AGG_STATE_PEN[],R$1,0),"ERROR")</f>
        <v>7</v>
      </c>
      <c r="S108" s="115">
        <f>IFERROR(VLOOKUP($B108,MMWR_APP_STATE_PEN[],S$1,0),"ERROR")</f>
        <v>4</v>
      </c>
      <c r="T108" s="28"/>
    </row>
    <row r="109" spans="1:20" s="123" customFormat="1" x14ac:dyDescent="0.2">
      <c r="A109" s="28"/>
      <c r="B109" s="126" t="s">
        <v>404</v>
      </c>
      <c r="C109" s="102">
        <f>IFERROR(VLOOKUP($B109,MMWR_TRAD_AGG_ST_DISTRICT_PEN[],C$1,0),"ERROR")</f>
        <v>2554</v>
      </c>
      <c r="D109" s="103">
        <f>IFERROR(VLOOKUP($B109,MMWR_TRAD_AGG_ST_DISTRICT_PEN[],D$1,0),"ERROR")</f>
        <v>85.340642130000006</v>
      </c>
      <c r="E109" s="102">
        <f>IFERROR(VLOOKUP($B109,MMWR_TRAD_AGG_ST_DISTRICT_PEN[],E$1,0),"ERROR")</f>
        <v>3285</v>
      </c>
      <c r="F109" s="102">
        <f>IFERROR(VLOOKUP($B109,MMWR_TRAD_AGG_ST_DISTRICT_PEN[],F$1,0),"ERROR")</f>
        <v>124</v>
      </c>
      <c r="G109" s="104">
        <f t="shared" si="12"/>
        <v>3.7747336377473364E-2</v>
      </c>
      <c r="H109" s="102">
        <f>IFERROR(VLOOKUP($B109,MMWR_TRAD_AGG_ST_DISTRICT_PEN[],H$1,0),"ERROR")</f>
        <v>3760</v>
      </c>
      <c r="I109" s="102">
        <f>IFERROR(VLOOKUP($B109,MMWR_TRAD_AGG_ST_DISTRICT_PEN[],I$1,0),"ERROR")</f>
        <v>572</v>
      </c>
      <c r="J109" s="104">
        <f t="shared" si="13"/>
        <v>0.15212765957446808</v>
      </c>
      <c r="K109" s="102">
        <f>IFERROR(VLOOKUP($B109,MMWR_TRAD_AGG_ST_DISTRICT_PEN[],K$1,0),"ERROR")</f>
        <v>19</v>
      </c>
      <c r="L109" s="102">
        <f>IFERROR(VLOOKUP($B109,MMWR_TRAD_AGG_ST_DISTRICT_PEN[],L$1,0),"ERROR")</f>
        <v>17</v>
      </c>
      <c r="M109" s="104">
        <f t="shared" si="14"/>
        <v>0.89473684210526316</v>
      </c>
      <c r="N109" s="102">
        <f>IFERROR(VLOOKUP($B109,MMWR_TRAD_AGG_ST_DISTRICT_PEN[],N$1,0),"ERROR")</f>
        <v>162</v>
      </c>
      <c r="O109" s="102">
        <f>IFERROR(VLOOKUP($B109,MMWR_TRAD_AGG_ST_DISTRICT_PEN[],O$1,0),"ERROR")</f>
        <v>58</v>
      </c>
      <c r="P109" s="104">
        <f t="shared" si="15"/>
        <v>0.35802469135802467</v>
      </c>
      <c r="Q109" s="102">
        <f>IFERROR(VLOOKUP($B109,MMWR_TRAD_AGG_ST_DISTRICT_PEN[],Q$1,0),"ERROR")</f>
        <v>3647</v>
      </c>
      <c r="R109" s="106">
        <f>IFERROR(VLOOKUP($B109,MMWR_TRAD_AGG_ST_DISTRICT_PEN[],R$1,0),"ERROR")</f>
        <v>810</v>
      </c>
      <c r="S109" s="106">
        <f>IFERROR(VLOOKUP($B109,MMWR_APP_STATE_PEN[],S$1,0),"ERROR")</f>
        <v>564</v>
      </c>
      <c r="T109" s="28"/>
    </row>
    <row r="110" spans="1:20" s="123" customFormat="1" x14ac:dyDescent="0.2">
      <c r="A110" s="28"/>
      <c r="B110" s="127" t="s">
        <v>424</v>
      </c>
      <c r="C110" s="109">
        <f>IFERROR(VLOOKUP($B110,MMWR_TRAD_AGG_STATE_PEN[],C$1,0),"ERROR")</f>
        <v>22</v>
      </c>
      <c r="D110" s="110">
        <f>IFERROR(VLOOKUP($B110,MMWR_TRAD_AGG_STATE_PEN[],D$1,0),"ERROR")</f>
        <v>157.6818181818</v>
      </c>
      <c r="E110" s="111">
        <f>IFERROR(VLOOKUP($B110,MMWR_TRAD_AGG_STATE_PEN[],E$1,0),"ERROR")</f>
        <v>18</v>
      </c>
      <c r="F110" s="112">
        <f>IFERROR(VLOOKUP($B110,MMWR_TRAD_AGG_STATE_PEN[],F$1,0),"ERROR")</f>
        <v>0</v>
      </c>
      <c r="G110" s="113">
        <f t="shared" si="12"/>
        <v>0</v>
      </c>
      <c r="H110" s="111">
        <f>IFERROR(VLOOKUP($B110,MMWR_TRAD_AGG_STATE_PEN[],H$1,0),"ERROR")</f>
        <v>35</v>
      </c>
      <c r="I110" s="112">
        <f>IFERROR(VLOOKUP($B110,MMWR_TRAD_AGG_STATE_PEN[],I$1,0),"ERROR")</f>
        <v>11</v>
      </c>
      <c r="J110" s="114">
        <f t="shared" si="13"/>
        <v>0.31428571428571428</v>
      </c>
      <c r="K110" s="111">
        <f>IFERROR(VLOOKUP($B110,MMWR_TRAD_AGG_STATE_PEN[],K$1,0),"ERROR")</f>
        <v>0</v>
      </c>
      <c r="L110" s="112">
        <f>IFERROR(VLOOKUP($B110,MMWR_TRAD_AGG_STATE_PEN[],L$1,0),"ERROR")</f>
        <v>0</v>
      </c>
      <c r="M110" s="114" t="str">
        <f t="shared" si="14"/>
        <v>0%</v>
      </c>
      <c r="N110" s="111">
        <f>IFERROR(VLOOKUP($B110,MMWR_TRAD_AGG_STATE_PEN[],N$1,0),"ERROR")</f>
        <v>2</v>
      </c>
      <c r="O110" s="112">
        <f>IFERROR(VLOOKUP($B110,MMWR_TRAD_AGG_STATE_PEN[],O$1,0),"ERROR")</f>
        <v>1</v>
      </c>
      <c r="P110" s="114">
        <f t="shared" si="15"/>
        <v>0.5</v>
      </c>
      <c r="Q110" s="115">
        <f>IFERROR(VLOOKUP($B110,MMWR_TRAD_AGG_STATE_PEN[],Q$1,0),"ERROR")</f>
        <v>41</v>
      </c>
      <c r="R110" s="115">
        <f>IFERROR(VLOOKUP($B110,MMWR_TRAD_AGG_STATE_PEN[],R$1,0),"ERROR")</f>
        <v>10</v>
      </c>
      <c r="S110" s="115">
        <f>IFERROR(VLOOKUP($B110,MMWR_APP_STATE_PEN[],S$1,0),"ERROR")</f>
        <v>4</v>
      </c>
      <c r="T110" s="28"/>
    </row>
    <row r="111" spans="1:20" s="123" customFormat="1" x14ac:dyDescent="0.2">
      <c r="A111" s="28"/>
      <c r="B111" s="127" t="s">
        <v>426</v>
      </c>
      <c r="C111" s="109">
        <f>IFERROR(VLOOKUP($B111,MMWR_TRAD_AGG_STATE_PEN[],C$1,0),"ERROR")</f>
        <v>322</v>
      </c>
      <c r="D111" s="110">
        <f>IFERROR(VLOOKUP($B111,MMWR_TRAD_AGG_STATE_PEN[],D$1,0),"ERROR")</f>
        <v>107.0341614907</v>
      </c>
      <c r="E111" s="111">
        <f>IFERROR(VLOOKUP($B111,MMWR_TRAD_AGG_STATE_PEN[],E$1,0),"ERROR")</f>
        <v>456</v>
      </c>
      <c r="F111" s="112">
        <f>IFERROR(VLOOKUP($B111,MMWR_TRAD_AGG_STATE_PEN[],F$1,0),"ERROR")</f>
        <v>22</v>
      </c>
      <c r="G111" s="113">
        <f t="shared" si="12"/>
        <v>4.8245614035087717E-2</v>
      </c>
      <c r="H111" s="111">
        <f>IFERROR(VLOOKUP($B111,MMWR_TRAD_AGG_STATE_PEN[],H$1,0),"ERROR")</f>
        <v>457</v>
      </c>
      <c r="I111" s="112">
        <f>IFERROR(VLOOKUP($B111,MMWR_TRAD_AGG_STATE_PEN[],I$1,0),"ERROR")</f>
        <v>75</v>
      </c>
      <c r="J111" s="114">
        <f t="shared" si="13"/>
        <v>0.16411378555798686</v>
      </c>
      <c r="K111" s="111">
        <f>IFERROR(VLOOKUP($B111,MMWR_TRAD_AGG_STATE_PEN[],K$1,0),"ERROR")</f>
        <v>0</v>
      </c>
      <c r="L111" s="112">
        <f>IFERROR(VLOOKUP($B111,MMWR_TRAD_AGG_STATE_PEN[],L$1,0),"ERROR")</f>
        <v>0</v>
      </c>
      <c r="M111" s="114" t="str">
        <f t="shared" si="14"/>
        <v>0%</v>
      </c>
      <c r="N111" s="111">
        <f>IFERROR(VLOOKUP($B111,MMWR_TRAD_AGG_STATE_PEN[],N$1,0),"ERROR")</f>
        <v>18</v>
      </c>
      <c r="O111" s="112">
        <f>IFERROR(VLOOKUP($B111,MMWR_TRAD_AGG_STATE_PEN[],O$1,0),"ERROR")</f>
        <v>2</v>
      </c>
      <c r="P111" s="114">
        <f t="shared" si="15"/>
        <v>0.1111111111111111</v>
      </c>
      <c r="Q111" s="115">
        <f>IFERROR(VLOOKUP($B111,MMWR_TRAD_AGG_STATE_PEN[],Q$1,0),"ERROR")</f>
        <v>453</v>
      </c>
      <c r="R111" s="115">
        <f>IFERROR(VLOOKUP($B111,MMWR_TRAD_AGG_STATE_PEN[],R$1,0),"ERROR")</f>
        <v>109</v>
      </c>
      <c r="S111" s="115">
        <f>IFERROR(VLOOKUP($B111,MMWR_APP_STATE_PEN[],S$1,0),"ERROR")</f>
        <v>75</v>
      </c>
      <c r="T111" s="28"/>
    </row>
    <row r="112" spans="1:20" s="123" customFormat="1" x14ac:dyDescent="0.2">
      <c r="A112" s="28"/>
      <c r="B112" s="127" t="s">
        <v>407</v>
      </c>
      <c r="C112" s="109">
        <f>IFERROR(VLOOKUP($B112,MMWR_TRAD_AGG_STATE_PEN[],C$1,0),"ERROR")</f>
        <v>1371</v>
      </c>
      <c r="D112" s="110">
        <f>IFERROR(VLOOKUP($B112,MMWR_TRAD_AGG_STATE_PEN[],D$1,0),"ERROR")</f>
        <v>84.466812545600007</v>
      </c>
      <c r="E112" s="111">
        <f>IFERROR(VLOOKUP($B112,MMWR_TRAD_AGG_STATE_PEN[],E$1,0),"ERROR")</f>
        <v>1775</v>
      </c>
      <c r="F112" s="112">
        <f>IFERROR(VLOOKUP($B112,MMWR_TRAD_AGG_STATE_PEN[],F$1,0),"ERROR")</f>
        <v>63</v>
      </c>
      <c r="G112" s="113">
        <f t="shared" si="12"/>
        <v>3.549295774647887E-2</v>
      </c>
      <c r="H112" s="111">
        <f>IFERROR(VLOOKUP($B112,MMWR_TRAD_AGG_STATE_PEN[],H$1,0),"ERROR")</f>
        <v>1998</v>
      </c>
      <c r="I112" s="112">
        <f>IFERROR(VLOOKUP($B112,MMWR_TRAD_AGG_STATE_PEN[],I$1,0),"ERROR")</f>
        <v>291</v>
      </c>
      <c r="J112" s="114">
        <f t="shared" si="13"/>
        <v>0.14564564564564564</v>
      </c>
      <c r="K112" s="111">
        <f>IFERROR(VLOOKUP($B112,MMWR_TRAD_AGG_STATE_PEN[],K$1,0),"ERROR")</f>
        <v>15</v>
      </c>
      <c r="L112" s="112">
        <f>IFERROR(VLOOKUP($B112,MMWR_TRAD_AGG_STATE_PEN[],L$1,0),"ERROR")</f>
        <v>13</v>
      </c>
      <c r="M112" s="114">
        <f t="shared" si="14"/>
        <v>0.8666666666666667</v>
      </c>
      <c r="N112" s="111">
        <f>IFERROR(VLOOKUP($B112,MMWR_TRAD_AGG_STATE_PEN[],N$1,0),"ERROR")</f>
        <v>95</v>
      </c>
      <c r="O112" s="112">
        <f>IFERROR(VLOOKUP($B112,MMWR_TRAD_AGG_STATE_PEN[],O$1,0),"ERROR")</f>
        <v>33</v>
      </c>
      <c r="P112" s="114">
        <f t="shared" si="15"/>
        <v>0.3473684210526316</v>
      </c>
      <c r="Q112" s="115">
        <f>IFERROR(VLOOKUP($B112,MMWR_TRAD_AGG_STATE_PEN[],Q$1,0),"ERROR")</f>
        <v>1558</v>
      </c>
      <c r="R112" s="115">
        <f>IFERROR(VLOOKUP($B112,MMWR_TRAD_AGG_STATE_PEN[],R$1,0),"ERROR")</f>
        <v>423</v>
      </c>
      <c r="S112" s="115">
        <f>IFERROR(VLOOKUP($B112,MMWR_APP_STATE_PEN[],S$1,0),"ERROR")</f>
        <v>296</v>
      </c>
      <c r="T112" s="28"/>
    </row>
    <row r="113" spans="1:20" s="123" customFormat="1" x14ac:dyDescent="0.2">
      <c r="A113" s="28"/>
      <c r="B113" s="127" t="s">
        <v>428</v>
      </c>
      <c r="C113" s="109">
        <f>IFERROR(VLOOKUP($B113,MMWR_TRAD_AGG_STATE_PEN[],C$1,0),"ERROR")</f>
        <v>28</v>
      </c>
      <c r="D113" s="110">
        <f>IFERROR(VLOOKUP($B113,MMWR_TRAD_AGG_STATE_PEN[],D$1,0),"ERROR")</f>
        <v>67.821428571400006</v>
      </c>
      <c r="E113" s="111">
        <f>IFERROR(VLOOKUP($B113,MMWR_TRAD_AGG_STATE_PEN[],E$1,0),"ERROR")</f>
        <v>18</v>
      </c>
      <c r="F113" s="112">
        <f>IFERROR(VLOOKUP($B113,MMWR_TRAD_AGG_STATE_PEN[],F$1,0),"ERROR")</f>
        <v>2</v>
      </c>
      <c r="G113" s="113">
        <f t="shared" si="12"/>
        <v>0.1111111111111111</v>
      </c>
      <c r="H113" s="111">
        <f>IFERROR(VLOOKUP($B113,MMWR_TRAD_AGG_STATE_PEN[],H$1,0),"ERROR")</f>
        <v>44</v>
      </c>
      <c r="I113" s="112">
        <f>IFERROR(VLOOKUP($B113,MMWR_TRAD_AGG_STATE_PEN[],I$1,0),"ERROR")</f>
        <v>10</v>
      </c>
      <c r="J113" s="114">
        <f t="shared" si="13"/>
        <v>0.22727272727272727</v>
      </c>
      <c r="K113" s="111">
        <f>IFERROR(VLOOKUP($B113,MMWR_TRAD_AGG_STATE_PEN[],K$1,0),"ERROR")</f>
        <v>1</v>
      </c>
      <c r="L113" s="112">
        <f>IFERROR(VLOOKUP($B113,MMWR_TRAD_AGG_STATE_PEN[],L$1,0),"ERROR")</f>
        <v>1</v>
      </c>
      <c r="M113" s="114">
        <f t="shared" si="14"/>
        <v>1</v>
      </c>
      <c r="N113" s="111">
        <f>IFERROR(VLOOKUP($B113,MMWR_TRAD_AGG_STATE_PEN[],N$1,0),"ERROR")</f>
        <v>0</v>
      </c>
      <c r="O113" s="112">
        <f>IFERROR(VLOOKUP($B113,MMWR_TRAD_AGG_STATE_PEN[],O$1,0),"ERROR")</f>
        <v>0</v>
      </c>
      <c r="P113" s="114" t="str">
        <f t="shared" si="15"/>
        <v>0%</v>
      </c>
      <c r="Q113" s="115">
        <f>IFERROR(VLOOKUP($B113,MMWR_TRAD_AGG_STATE_PEN[],Q$1,0),"ERROR")</f>
        <v>85</v>
      </c>
      <c r="R113" s="115">
        <f>IFERROR(VLOOKUP($B113,MMWR_TRAD_AGG_STATE_PEN[],R$1,0),"ERROR")</f>
        <v>14</v>
      </c>
      <c r="S113" s="115">
        <f>IFERROR(VLOOKUP($B113,MMWR_APP_STATE_PEN[],S$1,0),"ERROR")</f>
        <v>13</v>
      </c>
      <c r="T113" s="28"/>
    </row>
    <row r="114" spans="1:20" s="123" customFormat="1" x14ac:dyDescent="0.2">
      <c r="A114" s="28"/>
      <c r="B114" s="127" t="s">
        <v>408</v>
      </c>
      <c r="C114" s="109">
        <f>IFERROR(VLOOKUP($B114,MMWR_TRAD_AGG_STATE_PEN[],C$1,0),"ERROR")</f>
        <v>82</v>
      </c>
      <c r="D114" s="110">
        <f>IFERROR(VLOOKUP($B114,MMWR_TRAD_AGG_STATE_PEN[],D$1,0),"ERROR")</f>
        <v>64.146341463400006</v>
      </c>
      <c r="E114" s="111">
        <f>IFERROR(VLOOKUP($B114,MMWR_TRAD_AGG_STATE_PEN[],E$1,0),"ERROR")</f>
        <v>97</v>
      </c>
      <c r="F114" s="112">
        <f>IFERROR(VLOOKUP($B114,MMWR_TRAD_AGG_STATE_PEN[],F$1,0),"ERROR")</f>
        <v>3</v>
      </c>
      <c r="G114" s="113">
        <f t="shared" si="12"/>
        <v>3.0927835051546393E-2</v>
      </c>
      <c r="H114" s="111">
        <f>IFERROR(VLOOKUP($B114,MMWR_TRAD_AGG_STATE_PEN[],H$1,0),"ERROR")</f>
        <v>124</v>
      </c>
      <c r="I114" s="112">
        <f>IFERROR(VLOOKUP($B114,MMWR_TRAD_AGG_STATE_PEN[],I$1,0),"ERROR")</f>
        <v>14</v>
      </c>
      <c r="J114" s="114">
        <f t="shared" si="13"/>
        <v>0.11290322580645161</v>
      </c>
      <c r="K114" s="111">
        <f>IFERROR(VLOOKUP($B114,MMWR_TRAD_AGG_STATE_PEN[],K$1,0),"ERROR")</f>
        <v>1</v>
      </c>
      <c r="L114" s="112">
        <f>IFERROR(VLOOKUP($B114,MMWR_TRAD_AGG_STATE_PEN[],L$1,0),"ERROR")</f>
        <v>1</v>
      </c>
      <c r="M114" s="114">
        <f t="shared" si="14"/>
        <v>1</v>
      </c>
      <c r="N114" s="111">
        <f>IFERROR(VLOOKUP($B114,MMWR_TRAD_AGG_STATE_PEN[],N$1,0),"ERROR")</f>
        <v>5</v>
      </c>
      <c r="O114" s="112">
        <f>IFERROR(VLOOKUP($B114,MMWR_TRAD_AGG_STATE_PEN[],O$1,0),"ERROR")</f>
        <v>2</v>
      </c>
      <c r="P114" s="114">
        <f t="shared" si="15"/>
        <v>0.4</v>
      </c>
      <c r="Q114" s="115">
        <f>IFERROR(VLOOKUP($B114,MMWR_TRAD_AGG_STATE_PEN[],Q$1,0),"ERROR")</f>
        <v>111</v>
      </c>
      <c r="R114" s="115">
        <f>IFERROR(VLOOKUP($B114,MMWR_TRAD_AGG_STATE_PEN[],R$1,0),"ERROR")</f>
        <v>16</v>
      </c>
      <c r="S114" s="115">
        <f>IFERROR(VLOOKUP($B114,MMWR_APP_STATE_PEN[],S$1,0),"ERROR")</f>
        <v>8</v>
      </c>
      <c r="T114" s="28"/>
    </row>
    <row r="115" spans="1:20" s="123" customFormat="1" x14ac:dyDescent="0.2">
      <c r="A115" s="28"/>
      <c r="B115" s="127" t="s">
        <v>413</v>
      </c>
      <c r="C115" s="109">
        <f>IFERROR(VLOOKUP($B115,MMWR_TRAD_AGG_STATE_PEN[],C$1,0),"ERROR")</f>
        <v>118</v>
      </c>
      <c r="D115" s="110">
        <f>IFERROR(VLOOKUP($B115,MMWR_TRAD_AGG_STATE_PEN[],D$1,0),"ERROR")</f>
        <v>66.559322033900003</v>
      </c>
      <c r="E115" s="111">
        <f>IFERROR(VLOOKUP($B115,MMWR_TRAD_AGG_STATE_PEN[],E$1,0),"ERROR")</f>
        <v>161</v>
      </c>
      <c r="F115" s="112">
        <f>IFERROR(VLOOKUP($B115,MMWR_TRAD_AGG_STATE_PEN[],F$1,0),"ERROR")</f>
        <v>5</v>
      </c>
      <c r="G115" s="113">
        <f t="shared" si="12"/>
        <v>3.1055900621118012E-2</v>
      </c>
      <c r="H115" s="111">
        <f>IFERROR(VLOOKUP($B115,MMWR_TRAD_AGG_STATE_PEN[],H$1,0),"ERROR")</f>
        <v>177</v>
      </c>
      <c r="I115" s="112">
        <f>IFERROR(VLOOKUP($B115,MMWR_TRAD_AGG_STATE_PEN[],I$1,0),"ERROR")</f>
        <v>26</v>
      </c>
      <c r="J115" s="114">
        <f t="shared" si="13"/>
        <v>0.14689265536723164</v>
      </c>
      <c r="K115" s="111">
        <f>IFERROR(VLOOKUP($B115,MMWR_TRAD_AGG_STATE_PEN[],K$1,0),"ERROR")</f>
        <v>0</v>
      </c>
      <c r="L115" s="112">
        <f>IFERROR(VLOOKUP($B115,MMWR_TRAD_AGG_STATE_PEN[],L$1,0),"ERROR")</f>
        <v>0</v>
      </c>
      <c r="M115" s="114" t="str">
        <f t="shared" si="14"/>
        <v>0%</v>
      </c>
      <c r="N115" s="111">
        <f>IFERROR(VLOOKUP($B115,MMWR_TRAD_AGG_STATE_PEN[],N$1,0),"ERROR")</f>
        <v>10</v>
      </c>
      <c r="O115" s="112">
        <f>IFERROR(VLOOKUP($B115,MMWR_TRAD_AGG_STATE_PEN[],O$1,0),"ERROR")</f>
        <v>4</v>
      </c>
      <c r="P115" s="114">
        <f t="shared" si="15"/>
        <v>0.4</v>
      </c>
      <c r="Q115" s="115">
        <f>IFERROR(VLOOKUP($B115,MMWR_TRAD_AGG_STATE_PEN[],Q$1,0),"ERROR")</f>
        <v>173</v>
      </c>
      <c r="R115" s="115">
        <f>IFERROR(VLOOKUP($B115,MMWR_TRAD_AGG_STATE_PEN[],R$1,0),"ERROR")</f>
        <v>42</v>
      </c>
      <c r="S115" s="115">
        <f>IFERROR(VLOOKUP($B115,MMWR_APP_STATE_PEN[],S$1,0),"ERROR")</f>
        <v>35</v>
      </c>
      <c r="T115" s="28"/>
    </row>
    <row r="116" spans="1:20" s="123" customFormat="1" x14ac:dyDescent="0.2">
      <c r="A116" s="28"/>
      <c r="B116" s="127" t="s">
        <v>405</v>
      </c>
      <c r="C116" s="109">
        <f>IFERROR(VLOOKUP($B116,MMWR_TRAD_AGG_STATE_PEN[],C$1,0),"ERROR")</f>
        <v>101</v>
      </c>
      <c r="D116" s="110">
        <f>IFERROR(VLOOKUP($B116,MMWR_TRAD_AGG_STATE_PEN[],D$1,0),"ERROR")</f>
        <v>102.9801980198</v>
      </c>
      <c r="E116" s="111">
        <f>IFERROR(VLOOKUP($B116,MMWR_TRAD_AGG_STATE_PEN[],E$1,0),"ERROR")</f>
        <v>147</v>
      </c>
      <c r="F116" s="112">
        <f>IFERROR(VLOOKUP($B116,MMWR_TRAD_AGG_STATE_PEN[],F$1,0),"ERROR")</f>
        <v>3</v>
      </c>
      <c r="G116" s="113">
        <f t="shared" si="12"/>
        <v>2.0408163265306121E-2</v>
      </c>
      <c r="H116" s="111">
        <f>IFERROR(VLOOKUP($B116,MMWR_TRAD_AGG_STATE_PEN[],H$1,0),"ERROR")</f>
        <v>156</v>
      </c>
      <c r="I116" s="112">
        <f>IFERROR(VLOOKUP($B116,MMWR_TRAD_AGG_STATE_PEN[],I$1,0),"ERROR")</f>
        <v>32</v>
      </c>
      <c r="J116" s="114">
        <f t="shared" si="13"/>
        <v>0.20512820512820512</v>
      </c>
      <c r="K116" s="111">
        <f>IFERROR(VLOOKUP($B116,MMWR_TRAD_AGG_STATE_PEN[],K$1,0),"ERROR")</f>
        <v>0</v>
      </c>
      <c r="L116" s="112">
        <f>IFERROR(VLOOKUP($B116,MMWR_TRAD_AGG_STATE_PEN[],L$1,0),"ERROR")</f>
        <v>0</v>
      </c>
      <c r="M116" s="114" t="str">
        <f t="shared" si="14"/>
        <v>0%</v>
      </c>
      <c r="N116" s="111">
        <f>IFERROR(VLOOKUP($B116,MMWR_TRAD_AGG_STATE_PEN[],N$1,0),"ERROR")</f>
        <v>7</v>
      </c>
      <c r="O116" s="112">
        <f>IFERROR(VLOOKUP($B116,MMWR_TRAD_AGG_STATE_PEN[],O$1,0),"ERROR")</f>
        <v>3</v>
      </c>
      <c r="P116" s="114">
        <f t="shared" si="15"/>
        <v>0.42857142857142855</v>
      </c>
      <c r="Q116" s="115">
        <f>IFERROR(VLOOKUP($B116,MMWR_TRAD_AGG_STATE_PEN[],Q$1,0),"ERROR")</f>
        <v>298</v>
      </c>
      <c r="R116" s="115">
        <f>IFERROR(VLOOKUP($B116,MMWR_TRAD_AGG_STATE_PEN[],R$1,0),"ERROR")</f>
        <v>28</v>
      </c>
      <c r="S116" s="115">
        <f>IFERROR(VLOOKUP($B116,MMWR_APP_STATE_PEN[],S$1,0),"ERROR")</f>
        <v>19</v>
      </c>
      <c r="T116" s="28"/>
    </row>
    <row r="117" spans="1:20" s="123" customFormat="1" x14ac:dyDescent="0.2">
      <c r="A117" s="28"/>
      <c r="B117" s="127" t="s">
        <v>409</v>
      </c>
      <c r="C117" s="109">
        <f>IFERROR(VLOOKUP($B117,MMWR_TRAD_AGG_STATE_PEN[],C$1,0),"ERROR")</f>
        <v>238</v>
      </c>
      <c r="D117" s="110">
        <f>IFERROR(VLOOKUP($B117,MMWR_TRAD_AGG_STATE_PEN[],D$1,0),"ERROR")</f>
        <v>90.983193277300003</v>
      </c>
      <c r="E117" s="111">
        <f>IFERROR(VLOOKUP($B117,MMWR_TRAD_AGG_STATE_PEN[],E$1,0),"ERROR")</f>
        <v>252</v>
      </c>
      <c r="F117" s="112">
        <f>IFERROR(VLOOKUP($B117,MMWR_TRAD_AGG_STATE_PEN[],F$1,0),"ERROR")</f>
        <v>9</v>
      </c>
      <c r="G117" s="113">
        <f t="shared" si="12"/>
        <v>3.5714285714285712E-2</v>
      </c>
      <c r="H117" s="111">
        <f>IFERROR(VLOOKUP($B117,MMWR_TRAD_AGG_STATE_PEN[],H$1,0),"ERROR")</f>
        <v>337</v>
      </c>
      <c r="I117" s="112">
        <f>IFERROR(VLOOKUP($B117,MMWR_TRAD_AGG_STATE_PEN[],I$1,0),"ERROR")</f>
        <v>48</v>
      </c>
      <c r="J117" s="114">
        <f t="shared" si="13"/>
        <v>0.14243323442136499</v>
      </c>
      <c r="K117" s="111">
        <f>IFERROR(VLOOKUP($B117,MMWR_TRAD_AGG_STATE_PEN[],K$1,0),"ERROR")</f>
        <v>1</v>
      </c>
      <c r="L117" s="112">
        <f>IFERROR(VLOOKUP($B117,MMWR_TRAD_AGG_STATE_PEN[],L$1,0),"ERROR")</f>
        <v>1</v>
      </c>
      <c r="M117" s="114">
        <f t="shared" si="14"/>
        <v>1</v>
      </c>
      <c r="N117" s="111">
        <f>IFERROR(VLOOKUP($B117,MMWR_TRAD_AGG_STATE_PEN[],N$1,0),"ERROR")</f>
        <v>9</v>
      </c>
      <c r="O117" s="112">
        <f>IFERROR(VLOOKUP($B117,MMWR_TRAD_AGG_STATE_PEN[],O$1,0),"ERROR")</f>
        <v>6</v>
      </c>
      <c r="P117" s="114">
        <f t="shared" si="15"/>
        <v>0.66666666666666663</v>
      </c>
      <c r="Q117" s="115">
        <f>IFERROR(VLOOKUP($B117,MMWR_TRAD_AGG_STATE_PEN[],Q$1,0),"ERROR")</f>
        <v>393</v>
      </c>
      <c r="R117" s="115">
        <f>IFERROR(VLOOKUP($B117,MMWR_TRAD_AGG_STATE_PEN[],R$1,0),"ERROR")</f>
        <v>66</v>
      </c>
      <c r="S117" s="115">
        <f>IFERROR(VLOOKUP($B117,MMWR_APP_STATE_PEN[],S$1,0),"ERROR")</f>
        <v>43</v>
      </c>
      <c r="T117" s="28"/>
    </row>
    <row r="118" spans="1:20" s="123" customFormat="1" x14ac:dyDescent="0.2">
      <c r="A118" s="28"/>
      <c r="B118" s="127" t="s">
        <v>80</v>
      </c>
      <c r="C118" s="109">
        <f>IFERROR(VLOOKUP($B118,MMWR_TRAD_AGG_STATE_PEN[],C$1,0),"ERROR")</f>
        <v>272</v>
      </c>
      <c r="D118" s="110">
        <f>IFERROR(VLOOKUP($B118,MMWR_TRAD_AGG_STATE_PEN[],D$1,0),"ERROR")</f>
        <v>63.066176470599999</v>
      </c>
      <c r="E118" s="111">
        <f>IFERROR(VLOOKUP($B118,MMWR_TRAD_AGG_STATE_PEN[],E$1,0),"ERROR")</f>
        <v>361</v>
      </c>
      <c r="F118" s="112">
        <f>IFERROR(VLOOKUP($B118,MMWR_TRAD_AGG_STATE_PEN[],F$1,0),"ERROR")</f>
        <v>17</v>
      </c>
      <c r="G118" s="113">
        <f t="shared" si="12"/>
        <v>4.7091412742382273E-2</v>
      </c>
      <c r="H118" s="111">
        <f>IFERROR(VLOOKUP($B118,MMWR_TRAD_AGG_STATE_PEN[],H$1,0),"ERROR")</f>
        <v>432</v>
      </c>
      <c r="I118" s="112">
        <f>IFERROR(VLOOKUP($B118,MMWR_TRAD_AGG_STATE_PEN[],I$1,0),"ERROR")</f>
        <v>65</v>
      </c>
      <c r="J118" s="114">
        <f t="shared" si="13"/>
        <v>0.15046296296296297</v>
      </c>
      <c r="K118" s="111">
        <f>IFERROR(VLOOKUP($B118,MMWR_TRAD_AGG_STATE_PEN[],K$1,0),"ERROR")</f>
        <v>1</v>
      </c>
      <c r="L118" s="112">
        <f>IFERROR(VLOOKUP($B118,MMWR_TRAD_AGG_STATE_PEN[],L$1,0),"ERROR")</f>
        <v>1</v>
      </c>
      <c r="M118" s="114">
        <f t="shared" si="14"/>
        <v>1</v>
      </c>
      <c r="N118" s="111">
        <f>IFERROR(VLOOKUP($B118,MMWR_TRAD_AGG_STATE_PEN[],N$1,0),"ERROR")</f>
        <v>16</v>
      </c>
      <c r="O118" s="112">
        <f>IFERROR(VLOOKUP($B118,MMWR_TRAD_AGG_STATE_PEN[],O$1,0),"ERROR")</f>
        <v>7</v>
      </c>
      <c r="P118" s="114">
        <f t="shared" si="15"/>
        <v>0.4375</v>
      </c>
      <c r="Q118" s="115">
        <f>IFERROR(VLOOKUP($B118,MMWR_TRAD_AGG_STATE_PEN[],Q$1,0),"ERROR")</f>
        <v>535</v>
      </c>
      <c r="R118" s="115">
        <f>IFERROR(VLOOKUP($B118,MMWR_TRAD_AGG_STATE_PEN[],R$1,0),"ERROR")</f>
        <v>102</v>
      </c>
      <c r="S118" s="115">
        <f>IFERROR(VLOOKUP($B118,MMWR_APP_STATE_PEN[],S$1,0),"ERROR")</f>
        <v>71</v>
      </c>
      <c r="T118" s="28"/>
    </row>
    <row r="119" spans="1:20" s="123" customFormat="1" x14ac:dyDescent="0.2">
      <c r="A119" s="28"/>
      <c r="B119" s="126" t="s">
        <v>380</v>
      </c>
      <c r="C119" s="102">
        <f>IFERROR(VLOOKUP($B119,MMWR_TRAD_AGG_ST_DISTRICT_PEN[],C$1,0),"ERROR")</f>
        <v>8620</v>
      </c>
      <c r="D119" s="103">
        <f>IFERROR(VLOOKUP($B119,MMWR_TRAD_AGG_ST_DISTRICT_PEN[],D$1,0),"ERROR")</f>
        <v>100.5451276102</v>
      </c>
      <c r="E119" s="102">
        <f>IFERROR(VLOOKUP($B119,MMWR_TRAD_AGG_ST_DISTRICT_PEN[],E$1,0),"ERROR")</f>
        <v>9296</v>
      </c>
      <c r="F119" s="102">
        <f>IFERROR(VLOOKUP($B119,MMWR_TRAD_AGG_ST_DISTRICT_PEN[],F$1,0),"ERROR")</f>
        <v>1542</v>
      </c>
      <c r="G119" s="104">
        <f t="shared" si="12"/>
        <v>0.16587779690189328</v>
      </c>
      <c r="H119" s="102">
        <f>IFERROR(VLOOKUP($B119,MMWR_TRAD_AGG_ST_DISTRICT_PEN[],H$1,0),"ERROR")</f>
        <v>10949</v>
      </c>
      <c r="I119" s="102">
        <f>IFERROR(VLOOKUP($B119,MMWR_TRAD_AGG_ST_DISTRICT_PEN[],I$1,0),"ERROR")</f>
        <v>3145</v>
      </c>
      <c r="J119" s="104">
        <f t="shared" si="13"/>
        <v>0.28724084391268612</v>
      </c>
      <c r="K119" s="102">
        <f>IFERROR(VLOOKUP($B119,MMWR_TRAD_AGG_ST_DISTRICT_PEN[],K$1,0),"ERROR")</f>
        <v>34</v>
      </c>
      <c r="L119" s="102">
        <f>IFERROR(VLOOKUP($B119,MMWR_TRAD_AGG_ST_DISTRICT_PEN[],L$1,0),"ERROR")</f>
        <v>30</v>
      </c>
      <c r="M119" s="104">
        <f t="shared" si="14"/>
        <v>0.88235294117647056</v>
      </c>
      <c r="N119" s="102">
        <f>IFERROR(VLOOKUP($B119,MMWR_TRAD_AGG_ST_DISTRICT_PEN[],N$1,0),"ERROR")</f>
        <v>549</v>
      </c>
      <c r="O119" s="102">
        <f>IFERROR(VLOOKUP($B119,MMWR_TRAD_AGG_ST_DISTRICT_PEN[],O$1,0),"ERROR")</f>
        <v>135</v>
      </c>
      <c r="P119" s="104">
        <f t="shared" si="15"/>
        <v>0.24590163934426229</v>
      </c>
      <c r="Q119" s="102">
        <f>IFERROR(VLOOKUP($B119,MMWR_TRAD_AGG_ST_DISTRICT_PEN[],Q$1,0),"ERROR")</f>
        <v>1304</v>
      </c>
      <c r="R119" s="106">
        <f>IFERROR(VLOOKUP($B119,MMWR_TRAD_AGG_ST_DISTRICT_PEN[],R$1,0),"ERROR")</f>
        <v>1672</v>
      </c>
      <c r="S119" s="106">
        <f>IFERROR(VLOOKUP($B119,MMWR_APP_STATE_PEN[],S$1,0),"ERROR")</f>
        <v>1553</v>
      </c>
      <c r="T119" s="28"/>
    </row>
    <row r="120" spans="1:20" s="123" customFormat="1" x14ac:dyDescent="0.2">
      <c r="A120" s="28"/>
      <c r="B120" s="127" t="s">
        <v>388</v>
      </c>
      <c r="C120" s="109">
        <f>IFERROR(VLOOKUP($B120,MMWR_TRAD_AGG_STATE_PEN[],C$1,0),"ERROR")</f>
        <v>802</v>
      </c>
      <c r="D120" s="110">
        <f>IFERROR(VLOOKUP($B120,MMWR_TRAD_AGG_STATE_PEN[],D$1,0),"ERROR")</f>
        <v>67.623441396499999</v>
      </c>
      <c r="E120" s="111">
        <f>IFERROR(VLOOKUP($B120,MMWR_TRAD_AGG_STATE_PEN[],E$1,0),"ERROR")</f>
        <v>806</v>
      </c>
      <c r="F120" s="112">
        <f>IFERROR(VLOOKUP($B120,MMWR_TRAD_AGG_STATE_PEN[],F$1,0),"ERROR")</f>
        <v>77</v>
      </c>
      <c r="G120" s="113">
        <f t="shared" si="12"/>
        <v>9.553349875930521E-2</v>
      </c>
      <c r="H120" s="111">
        <f>IFERROR(VLOOKUP($B120,MMWR_TRAD_AGG_STATE_PEN[],H$1,0),"ERROR")</f>
        <v>1095</v>
      </c>
      <c r="I120" s="112">
        <f>IFERROR(VLOOKUP($B120,MMWR_TRAD_AGG_STATE_PEN[],I$1,0),"ERROR")</f>
        <v>131</v>
      </c>
      <c r="J120" s="114">
        <f t="shared" si="13"/>
        <v>0.11963470319634703</v>
      </c>
      <c r="K120" s="111">
        <f>IFERROR(VLOOKUP($B120,MMWR_TRAD_AGG_STATE_PEN[],K$1,0),"ERROR")</f>
        <v>5</v>
      </c>
      <c r="L120" s="112">
        <f>IFERROR(VLOOKUP($B120,MMWR_TRAD_AGG_STATE_PEN[],L$1,0),"ERROR")</f>
        <v>5</v>
      </c>
      <c r="M120" s="114">
        <f t="shared" si="14"/>
        <v>1</v>
      </c>
      <c r="N120" s="111">
        <f>IFERROR(VLOOKUP($B120,MMWR_TRAD_AGG_STATE_PEN[],N$1,0),"ERROR")</f>
        <v>60</v>
      </c>
      <c r="O120" s="112">
        <f>IFERROR(VLOOKUP($B120,MMWR_TRAD_AGG_STATE_PEN[],O$1,0),"ERROR")</f>
        <v>11</v>
      </c>
      <c r="P120" s="114">
        <f t="shared" si="15"/>
        <v>0.18333333333333332</v>
      </c>
      <c r="Q120" s="115">
        <f>IFERROR(VLOOKUP($B120,MMWR_TRAD_AGG_STATE_PEN[],Q$1,0),"ERROR")</f>
        <v>126</v>
      </c>
      <c r="R120" s="115">
        <f>IFERROR(VLOOKUP($B120,MMWR_TRAD_AGG_STATE_PEN[],R$1,0),"ERROR")</f>
        <v>99</v>
      </c>
      <c r="S120" s="115">
        <f>IFERROR(VLOOKUP($B120,MMWR_APP_STATE_PEN[],S$1,0),"ERROR")</f>
        <v>255</v>
      </c>
      <c r="T120" s="28"/>
    </row>
    <row r="121" spans="1:20" s="123" customFormat="1" x14ac:dyDescent="0.2">
      <c r="A121" s="28"/>
      <c r="B121" s="127" t="s">
        <v>425</v>
      </c>
      <c r="C121" s="109">
        <f>IFERROR(VLOOKUP($B121,MMWR_TRAD_AGG_STATE_PEN[],C$1,0),"ERROR")</f>
        <v>2716</v>
      </c>
      <c r="D121" s="110">
        <f>IFERROR(VLOOKUP($B121,MMWR_TRAD_AGG_STATE_PEN[],D$1,0),"ERROR")</f>
        <v>105.82474226799999</v>
      </c>
      <c r="E121" s="111">
        <f>IFERROR(VLOOKUP($B121,MMWR_TRAD_AGG_STATE_PEN[],E$1,0),"ERROR")</f>
        <v>3819</v>
      </c>
      <c r="F121" s="112">
        <f>IFERROR(VLOOKUP($B121,MMWR_TRAD_AGG_STATE_PEN[],F$1,0),"ERROR")</f>
        <v>691</v>
      </c>
      <c r="G121" s="113">
        <f t="shared" si="12"/>
        <v>0.18093741817229642</v>
      </c>
      <c r="H121" s="111">
        <f>IFERROR(VLOOKUP($B121,MMWR_TRAD_AGG_STATE_PEN[],H$1,0),"ERROR")</f>
        <v>3454</v>
      </c>
      <c r="I121" s="112">
        <f>IFERROR(VLOOKUP($B121,MMWR_TRAD_AGG_STATE_PEN[],I$1,0),"ERROR")</f>
        <v>1109</v>
      </c>
      <c r="J121" s="114">
        <f t="shared" si="13"/>
        <v>0.32107701215981471</v>
      </c>
      <c r="K121" s="111">
        <f>IFERROR(VLOOKUP($B121,MMWR_TRAD_AGG_STATE_PEN[],K$1,0),"ERROR")</f>
        <v>19</v>
      </c>
      <c r="L121" s="112">
        <f>IFERROR(VLOOKUP($B121,MMWR_TRAD_AGG_STATE_PEN[],L$1,0),"ERROR")</f>
        <v>17</v>
      </c>
      <c r="M121" s="114">
        <f t="shared" si="14"/>
        <v>0.89473684210526316</v>
      </c>
      <c r="N121" s="111">
        <f>IFERROR(VLOOKUP($B121,MMWR_TRAD_AGG_STATE_PEN[],N$1,0),"ERROR")</f>
        <v>178</v>
      </c>
      <c r="O121" s="112">
        <f>IFERROR(VLOOKUP($B121,MMWR_TRAD_AGG_STATE_PEN[],O$1,0),"ERROR")</f>
        <v>49</v>
      </c>
      <c r="P121" s="114">
        <f t="shared" si="15"/>
        <v>0.2752808988764045</v>
      </c>
      <c r="Q121" s="115">
        <f>IFERROR(VLOOKUP($B121,MMWR_TRAD_AGG_STATE_PEN[],Q$1,0),"ERROR")</f>
        <v>476</v>
      </c>
      <c r="R121" s="115">
        <f>IFERROR(VLOOKUP($B121,MMWR_TRAD_AGG_STATE_PEN[],R$1,0),"ERROR")</f>
        <v>653</v>
      </c>
      <c r="S121" s="115">
        <f>IFERROR(VLOOKUP($B121,MMWR_APP_STATE_PEN[],S$1,0),"ERROR")</f>
        <v>430</v>
      </c>
      <c r="T121" s="28"/>
    </row>
    <row r="122" spans="1:20" s="123" customFormat="1" x14ac:dyDescent="0.2">
      <c r="A122" s="28"/>
      <c r="B122" s="127" t="s">
        <v>381</v>
      </c>
      <c r="C122" s="109">
        <f>IFERROR(VLOOKUP($B122,MMWR_TRAD_AGG_STATE_PEN[],C$1,0),"ERROR")</f>
        <v>1359</v>
      </c>
      <c r="D122" s="110">
        <f>IFERROR(VLOOKUP($B122,MMWR_TRAD_AGG_STATE_PEN[],D$1,0),"ERROR")</f>
        <v>108.23841059599999</v>
      </c>
      <c r="E122" s="111">
        <f>IFERROR(VLOOKUP($B122,MMWR_TRAD_AGG_STATE_PEN[],E$1,0),"ERROR")</f>
        <v>1772</v>
      </c>
      <c r="F122" s="112">
        <f>IFERROR(VLOOKUP($B122,MMWR_TRAD_AGG_STATE_PEN[],F$1,0),"ERROR")</f>
        <v>359</v>
      </c>
      <c r="G122" s="113">
        <f t="shared" si="12"/>
        <v>0.2025959367945824</v>
      </c>
      <c r="H122" s="111">
        <f>IFERROR(VLOOKUP($B122,MMWR_TRAD_AGG_STATE_PEN[],H$1,0),"ERROR")</f>
        <v>1766</v>
      </c>
      <c r="I122" s="112">
        <f>IFERROR(VLOOKUP($B122,MMWR_TRAD_AGG_STATE_PEN[],I$1,0),"ERROR")</f>
        <v>609</v>
      </c>
      <c r="J122" s="114">
        <f t="shared" si="13"/>
        <v>0.3448471121177803</v>
      </c>
      <c r="K122" s="111">
        <f>IFERROR(VLOOKUP($B122,MMWR_TRAD_AGG_STATE_PEN[],K$1,0),"ERROR")</f>
        <v>4</v>
      </c>
      <c r="L122" s="112">
        <f>IFERROR(VLOOKUP($B122,MMWR_TRAD_AGG_STATE_PEN[],L$1,0),"ERROR")</f>
        <v>2</v>
      </c>
      <c r="M122" s="114">
        <f t="shared" si="14"/>
        <v>0.5</v>
      </c>
      <c r="N122" s="111">
        <f>IFERROR(VLOOKUP($B122,MMWR_TRAD_AGG_STATE_PEN[],N$1,0),"ERROR")</f>
        <v>124</v>
      </c>
      <c r="O122" s="112">
        <f>IFERROR(VLOOKUP($B122,MMWR_TRAD_AGG_STATE_PEN[],O$1,0),"ERROR")</f>
        <v>23</v>
      </c>
      <c r="P122" s="114">
        <f t="shared" si="15"/>
        <v>0.18548387096774194</v>
      </c>
      <c r="Q122" s="115">
        <f>IFERROR(VLOOKUP($B122,MMWR_TRAD_AGG_STATE_PEN[],Q$1,0),"ERROR")</f>
        <v>230</v>
      </c>
      <c r="R122" s="115">
        <f>IFERROR(VLOOKUP($B122,MMWR_TRAD_AGG_STATE_PEN[],R$1,0),"ERROR")</f>
        <v>426</v>
      </c>
      <c r="S122" s="115">
        <f>IFERROR(VLOOKUP($B122,MMWR_APP_STATE_PEN[],S$1,0),"ERROR")</f>
        <v>273</v>
      </c>
      <c r="T122" s="28"/>
    </row>
    <row r="123" spans="1:20" s="123" customFormat="1" x14ac:dyDescent="0.2">
      <c r="A123" s="28"/>
      <c r="B123" s="127" t="s">
        <v>393</v>
      </c>
      <c r="C123" s="109">
        <f>IFERROR(VLOOKUP($B123,MMWR_TRAD_AGG_STATE_PEN[],C$1,0),"ERROR")</f>
        <v>300</v>
      </c>
      <c r="D123" s="110">
        <f>IFERROR(VLOOKUP($B123,MMWR_TRAD_AGG_STATE_PEN[],D$1,0),"ERROR")</f>
        <v>75.173333333299993</v>
      </c>
      <c r="E123" s="111">
        <f>IFERROR(VLOOKUP($B123,MMWR_TRAD_AGG_STATE_PEN[],E$1,0),"ERROR")</f>
        <v>404</v>
      </c>
      <c r="F123" s="112">
        <f>IFERROR(VLOOKUP($B123,MMWR_TRAD_AGG_STATE_PEN[],F$1,0),"ERROR")</f>
        <v>41</v>
      </c>
      <c r="G123" s="113">
        <f t="shared" si="12"/>
        <v>0.10148514851485149</v>
      </c>
      <c r="H123" s="111">
        <f>IFERROR(VLOOKUP($B123,MMWR_TRAD_AGG_STATE_PEN[],H$1,0),"ERROR")</f>
        <v>447</v>
      </c>
      <c r="I123" s="112">
        <f>IFERROR(VLOOKUP($B123,MMWR_TRAD_AGG_STATE_PEN[],I$1,0),"ERROR")</f>
        <v>58</v>
      </c>
      <c r="J123" s="114">
        <f t="shared" si="13"/>
        <v>0.12975391498881431</v>
      </c>
      <c r="K123" s="111">
        <f>IFERROR(VLOOKUP($B123,MMWR_TRAD_AGG_STATE_PEN[],K$1,0),"ERROR")</f>
        <v>1</v>
      </c>
      <c r="L123" s="112">
        <f>IFERROR(VLOOKUP($B123,MMWR_TRAD_AGG_STATE_PEN[],L$1,0),"ERROR")</f>
        <v>1</v>
      </c>
      <c r="M123" s="114">
        <f t="shared" si="14"/>
        <v>1</v>
      </c>
      <c r="N123" s="111">
        <f>IFERROR(VLOOKUP($B123,MMWR_TRAD_AGG_STATE_PEN[],N$1,0),"ERROR")</f>
        <v>36</v>
      </c>
      <c r="O123" s="112">
        <f>IFERROR(VLOOKUP($B123,MMWR_TRAD_AGG_STATE_PEN[],O$1,0),"ERROR")</f>
        <v>10</v>
      </c>
      <c r="P123" s="114">
        <f t="shared" si="15"/>
        <v>0.27777777777777779</v>
      </c>
      <c r="Q123" s="115">
        <f>IFERROR(VLOOKUP($B123,MMWR_TRAD_AGG_STATE_PEN[],Q$1,0),"ERROR")</f>
        <v>77</v>
      </c>
      <c r="R123" s="115">
        <f>IFERROR(VLOOKUP($B123,MMWR_TRAD_AGG_STATE_PEN[],R$1,0),"ERROR")</f>
        <v>65</v>
      </c>
      <c r="S123" s="115">
        <f>IFERROR(VLOOKUP($B123,MMWR_APP_STATE_PEN[],S$1,0),"ERROR")</f>
        <v>113</v>
      </c>
      <c r="T123" s="28"/>
    </row>
    <row r="124" spans="1:20" s="123" customFormat="1" x14ac:dyDescent="0.2">
      <c r="A124" s="28"/>
      <c r="B124" s="127" t="s">
        <v>427</v>
      </c>
      <c r="C124" s="109">
        <f>IFERROR(VLOOKUP($B124,MMWR_TRAD_AGG_STATE_PEN[],C$1,0),"ERROR")</f>
        <v>1913</v>
      </c>
      <c r="D124" s="110">
        <f>IFERROR(VLOOKUP($B124,MMWR_TRAD_AGG_STATE_PEN[],D$1,0),"ERROR")</f>
        <v>109.1212754835</v>
      </c>
      <c r="E124" s="111">
        <f>IFERROR(VLOOKUP($B124,MMWR_TRAD_AGG_STATE_PEN[],E$1,0),"ERROR")</f>
        <v>667</v>
      </c>
      <c r="F124" s="112">
        <f>IFERROR(VLOOKUP($B124,MMWR_TRAD_AGG_STATE_PEN[],F$1,0),"ERROR")</f>
        <v>123</v>
      </c>
      <c r="G124" s="113">
        <f t="shared" si="12"/>
        <v>0.18440779610194902</v>
      </c>
      <c r="H124" s="111">
        <f>IFERROR(VLOOKUP($B124,MMWR_TRAD_AGG_STATE_PEN[],H$1,0),"ERROR")</f>
        <v>2196</v>
      </c>
      <c r="I124" s="112">
        <f>IFERROR(VLOOKUP($B124,MMWR_TRAD_AGG_STATE_PEN[],I$1,0),"ERROR")</f>
        <v>745</v>
      </c>
      <c r="J124" s="114">
        <f t="shared" si="13"/>
        <v>0.33925318761384338</v>
      </c>
      <c r="K124" s="111">
        <f>IFERROR(VLOOKUP($B124,MMWR_TRAD_AGG_STATE_PEN[],K$1,0),"ERROR")</f>
        <v>3</v>
      </c>
      <c r="L124" s="112">
        <f>IFERROR(VLOOKUP($B124,MMWR_TRAD_AGG_STATE_PEN[],L$1,0),"ERROR")</f>
        <v>3</v>
      </c>
      <c r="M124" s="114">
        <f t="shared" si="14"/>
        <v>1</v>
      </c>
      <c r="N124" s="111">
        <f>IFERROR(VLOOKUP($B124,MMWR_TRAD_AGG_STATE_PEN[],N$1,0),"ERROR")</f>
        <v>23</v>
      </c>
      <c r="O124" s="112">
        <f>IFERROR(VLOOKUP($B124,MMWR_TRAD_AGG_STATE_PEN[],O$1,0),"ERROR")</f>
        <v>10</v>
      </c>
      <c r="P124" s="114">
        <f t="shared" si="15"/>
        <v>0.43478260869565216</v>
      </c>
      <c r="Q124" s="115">
        <f>IFERROR(VLOOKUP($B124,MMWR_TRAD_AGG_STATE_PEN[],Q$1,0),"ERROR")</f>
        <v>80</v>
      </c>
      <c r="R124" s="115">
        <f>IFERROR(VLOOKUP($B124,MMWR_TRAD_AGG_STATE_PEN[],R$1,0),"ERROR")</f>
        <v>90</v>
      </c>
      <c r="S124" s="115">
        <f>IFERROR(VLOOKUP($B124,MMWR_APP_STATE_PEN[],S$1,0),"ERROR")</f>
        <v>89</v>
      </c>
      <c r="T124" s="28"/>
    </row>
    <row r="125" spans="1:20" s="123" customFormat="1" x14ac:dyDescent="0.2">
      <c r="A125" s="28"/>
      <c r="B125" s="127" t="s">
        <v>383</v>
      </c>
      <c r="C125" s="109">
        <f>IFERROR(VLOOKUP($B125,MMWR_TRAD_AGG_STATE_PEN[],C$1,0),"ERROR")</f>
        <v>970</v>
      </c>
      <c r="D125" s="110">
        <f>IFERROR(VLOOKUP($B125,MMWR_TRAD_AGG_STATE_PEN[],D$1,0),"ERROR")</f>
        <v>108.3309278351</v>
      </c>
      <c r="E125" s="111">
        <f>IFERROR(VLOOKUP($B125,MMWR_TRAD_AGG_STATE_PEN[],E$1,0),"ERROR")</f>
        <v>1091</v>
      </c>
      <c r="F125" s="112">
        <f>IFERROR(VLOOKUP($B125,MMWR_TRAD_AGG_STATE_PEN[],F$1,0),"ERROR")</f>
        <v>177</v>
      </c>
      <c r="G125" s="113">
        <f t="shared" si="12"/>
        <v>0.16223648029330889</v>
      </c>
      <c r="H125" s="111">
        <f>IFERROR(VLOOKUP($B125,MMWR_TRAD_AGG_STATE_PEN[],H$1,0),"ERROR")</f>
        <v>1173</v>
      </c>
      <c r="I125" s="112">
        <f>IFERROR(VLOOKUP($B125,MMWR_TRAD_AGG_STATE_PEN[],I$1,0),"ERROR")</f>
        <v>376</v>
      </c>
      <c r="J125" s="114">
        <f t="shared" si="13"/>
        <v>0.32054560954816708</v>
      </c>
      <c r="K125" s="111">
        <f>IFERROR(VLOOKUP($B125,MMWR_TRAD_AGG_STATE_PEN[],K$1,0),"ERROR")</f>
        <v>1</v>
      </c>
      <c r="L125" s="112">
        <f>IFERROR(VLOOKUP($B125,MMWR_TRAD_AGG_STATE_PEN[],L$1,0),"ERROR")</f>
        <v>1</v>
      </c>
      <c r="M125" s="114">
        <f t="shared" si="14"/>
        <v>1</v>
      </c>
      <c r="N125" s="111">
        <f>IFERROR(VLOOKUP($B125,MMWR_TRAD_AGG_STATE_PEN[],N$1,0),"ERROR")</f>
        <v>55</v>
      </c>
      <c r="O125" s="112">
        <f>IFERROR(VLOOKUP($B125,MMWR_TRAD_AGG_STATE_PEN[],O$1,0),"ERROR")</f>
        <v>13</v>
      </c>
      <c r="P125" s="114">
        <f t="shared" si="15"/>
        <v>0.23636363636363636</v>
      </c>
      <c r="Q125" s="115">
        <f>IFERROR(VLOOKUP($B125,MMWR_TRAD_AGG_STATE_PEN[],Q$1,0),"ERROR")</f>
        <v>169</v>
      </c>
      <c r="R125" s="115">
        <f>IFERROR(VLOOKUP($B125,MMWR_TRAD_AGG_STATE_PEN[],R$1,0),"ERROR")</f>
        <v>256</v>
      </c>
      <c r="S125" s="115">
        <f>IFERROR(VLOOKUP($B125,MMWR_APP_STATE_PEN[],S$1,0),"ERROR")</f>
        <v>149</v>
      </c>
      <c r="T125" s="28"/>
    </row>
    <row r="126" spans="1:20" s="123" customFormat="1" x14ac:dyDescent="0.2">
      <c r="A126" s="28"/>
      <c r="B126" s="127" t="s">
        <v>384</v>
      </c>
      <c r="C126" s="109">
        <f>IFERROR(VLOOKUP($B126,MMWR_TRAD_AGG_STATE_PEN[],C$1,0),"ERROR")</f>
        <v>560</v>
      </c>
      <c r="D126" s="110">
        <f>IFERROR(VLOOKUP($B126,MMWR_TRAD_AGG_STATE_PEN[],D$1,0),"ERROR")</f>
        <v>74.226785714299993</v>
      </c>
      <c r="E126" s="111">
        <f>IFERROR(VLOOKUP($B126,MMWR_TRAD_AGG_STATE_PEN[],E$1,0),"ERROR")</f>
        <v>737</v>
      </c>
      <c r="F126" s="112">
        <f>IFERROR(VLOOKUP($B126,MMWR_TRAD_AGG_STATE_PEN[],F$1,0),"ERROR")</f>
        <v>74</v>
      </c>
      <c r="G126" s="113">
        <f t="shared" si="12"/>
        <v>0.10040705563093623</v>
      </c>
      <c r="H126" s="111">
        <f>IFERROR(VLOOKUP($B126,MMWR_TRAD_AGG_STATE_PEN[],H$1,0),"ERROR")</f>
        <v>818</v>
      </c>
      <c r="I126" s="112">
        <f>IFERROR(VLOOKUP($B126,MMWR_TRAD_AGG_STATE_PEN[],I$1,0),"ERROR")</f>
        <v>117</v>
      </c>
      <c r="J126" s="114">
        <f t="shared" si="13"/>
        <v>0.14303178484107579</v>
      </c>
      <c r="K126" s="111">
        <f>IFERROR(VLOOKUP($B126,MMWR_TRAD_AGG_STATE_PEN[],K$1,0),"ERROR")</f>
        <v>1</v>
      </c>
      <c r="L126" s="112">
        <f>IFERROR(VLOOKUP($B126,MMWR_TRAD_AGG_STATE_PEN[],L$1,0),"ERROR")</f>
        <v>1</v>
      </c>
      <c r="M126" s="114">
        <f t="shared" si="14"/>
        <v>1</v>
      </c>
      <c r="N126" s="111">
        <f>IFERROR(VLOOKUP($B126,MMWR_TRAD_AGG_STATE_PEN[],N$1,0),"ERROR")</f>
        <v>73</v>
      </c>
      <c r="O126" s="112">
        <f>IFERROR(VLOOKUP($B126,MMWR_TRAD_AGG_STATE_PEN[],O$1,0),"ERROR")</f>
        <v>19</v>
      </c>
      <c r="P126" s="114">
        <f t="shared" si="15"/>
        <v>0.26027397260273971</v>
      </c>
      <c r="Q126" s="115">
        <f>IFERROR(VLOOKUP($B126,MMWR_TRAD_AGG_STATE_PEN[],Q$1,0),"ERROR")</f>
        <v>146</v>
      </c>
      <c r="R126" s="115">
        <f>IFERROR(VLOOKUP($B126,MMWR_TRAD_AGG_STATE_PEN[],R$1,0),"ERROR")</f>
        <v>83</v>
      </c>
      <c r="S126" s="115">
        <f>IFERROR(VLOOKUP($B126,MMWR_APP_STATE_PEN[],S$1,0),"ERROR")</f>
        <v>244</v>
      </c>
      <c r="T126" s="28"/>
    </row>
    <row r="127" spans="1:20" s="123" customFormat="1" x14ac:dyDescent="0.2">
      <c r="A127" s="28"/>
      <c r="B127" s="128" t="s">
        <v>8</v>
      </c>
      <c r="C127" s="102">
        <f>IFERROR(VLOOKUP($B127,MMWR_TRAD_AGG_ST_DISTRICT_PEN[],C$1,0),"ERROR")</f>
        <v>193</v>
      </c>
      <c r="D127" s="103">
        <f>IFERROR(VLOOKUP($B127,MMWR_TRAD_AGG_ST_DISTRICT_PEN[],D$1,0),"ERROR")</f>
        <v>101.0207253886</v>
      </c>
      <c r="E127" s="102">
        <f>IFERROR(VLOOKUP($B127,MMWR_TRAD_AGG_ST_DISTRICT_PEN[],E$1,0),"ERROR")</f>
        <v>214</v>
      </c>
      <c r="F127" s="102">
        <f>IFERROR(VLOOKUP($B127,MMWR_TRAD_AGG_ST_DISTRICT_PEN[],F$1,0),"ERROR")</f>
        <v>103</v>
      </c>
      <c r="G127" s="104">
        <f t="shared" si="12"/>
        <v>0.48130841121495327</v>
      </c>
      <c r="H127" s="102">
        <f>IFERROR(VLOOKUP($B127,MMWR_TRAD_AGG_ST_DISTRICT_PEN[],H$1,0),"ERROR")</f>
        <v>381</v>
      </c>
      <c r="I127" s="102">
        <f>IFERROR(VLOOKUP($B127,MMWR_TRAD_AGG_ST_DISTRICT_PEN[],I$1,0),"ERROR")</f>
        <v>192</v>
      </c>
      <c r="J127" s="104">
        <f t="shared" si="13"/>
        <v>0.50393700787401574</v>
      </c>
      <c r="K127" s="102">
        <f>IFERROR(VLOOKUP($B127,MMWR_TRAD_AGG_ST_DISTRICT_PEN[],K$1,0),"ERROR")</f>
        <v>8</v>
      </c>
      <c r="L127" s="102">
        <f>IFERROR(VLOOKUP($B127,MMWR_TRAD_AGG_ST_DISTRICT_PEN[],L$1,0),"ERROR")</f>
        <v>7</v>
      </c>
      <c r="M127" s="104">
        <f t="shared" si="14"/>
        <v>0.875</v>
      </c>
      <c r="N127" s="102">
        <f>IFERROR(VLOOKUP($B127,MMWR_TRAD_AGG_ST_DISTRICT_PEN[],N$1,0),"ERROR")</f>
        <v>8</v>
      </c>
      <c r="O127" s="102">
        <f>IFERROR(VLOOKUP($B127,MMWR_TRAD_AGG_ST_DISTRICT_PEN[],O$1,0),"ERROR")</f>
        <v>1</v>
      </c>
      <c r="P127" s="104">
        <f t="shared" si="15"/>
        <v>0.125</v>
      </c>
      <c r="Q127" s="102">
        <f>IFERROR(VLOOKUP($B127,MMWR_TRAD_AGG_ST_DISTRICT_PEN[],Q$1,0),"ERROR")</f>
        <v>57</v>
      </c>
      <c r="R127" s="106">
        <f>IFERROR(VLOOKUP($B127,MMWR_TRAD_AGG_ST_DISTRICT_PEN[],R$1,0),"ERROR")</f>
        <v>24</v>
      </c>
      <c r="S127" s="106">
        <f>IFERROR(VLOOKUP($B127,MMWR_APP_STATE_PEN[],S$1,0),"ERROR")</f>
        <v>1</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80" zoomScaleNormal="80" workbookViewId="0"/>
  </sheetViews>
  <sheetFormatPr defaultRowHeight="12.75" x14ac:dyDescent="0.2"/>
  <cols>
    <col min="2" max="2" width="31" customWidth="1"/>
    <col min="3" max="3" width="7.7109375" customWidth="1"/>
    <col min="4" max="4" width="8.7109375" customWidth="1"/>
    <col min="6" max="6" width="30.85546875" customWidth="1"/>
    <col min="7" max="7" width="8.140625" customWidth="1"/>
    <col min="8" max="8" width="13" customWidth="1"/>
    <col min="9" max="9" width="6.5703125" customWidth="1"/>
    <col min="10" max="10" width="9.85546875" customWidth="1"/>
    <col min="11" max="11" width="6.5703125" customWidth="1"/>
    <col min="12" max="12" width="8.85546875" customWidth="1"/>
    <col min="13" max="13" width="11" customWidth="1"/>
    <col min="14" max="14" width="14.42578125" customWidth="1"/>
    <col min="15" max="15" width="6.5703125" customWidth="1"/>
    <col min="16" max="16" width="8.42578125" customWidth="1"/>
    <col min="17" max="17" width="6.5703125" customWidth="1"/>
    <col min="18" max="18" width="5.5703125" customWidth="1"/>
    <col min="20" max="20" width="28.5703125" customWidth="1"/>
    <col min="21" max="21" width="8.140625" customWidth="1"/>
    <col min="22" max="22" width="13" customWidth="1"/>
    <col min="23" max="23" width="6.5703125" customWidth="1"/>
    <col min="24" max="24" width="8" customWidth="1"/>
    <col min="25" max="25" width="6.5703125" customWidth="1"/>
    <col min="26" max="26" width="8.85546875" customWidth="1"/>
    <col min="27" max="27" width="11" customWidth="1"/>
    <col min="28" max="28" width="9.85546875" customWidth="1"/>
    <col min="29" max="29" width="5.5703125" customWidth="1"/>
    <col min="30" max="30" width="8.42578125" customWidth="1"/>
    <col min="31" max="31" width="6.5703125" customWidth="1"/>
    <col min="32" max="32" width="5.5703125" customWidth="1"/>
    <col min="34" max="34" width="34.5703125" customWidth="1"/>
    <col min="35" max="35" width="8.140625" customWidth="1"/>
    <col min="36" max="36" width="13" customWidth="1"/>
    <col min="37" max="37" width="6.5703125" customWidth="1"/>
    <col min="38" max="38" width="9.85546875" customWidth="1"/>
    <col min="39" max="39" width="6.5703125" customWidth="1"/>
    <col min="40" max="40" width="8.85546875" customWidth="1"/>
    <col min="41" max="41" width="11" customWidth="1"/>
    <col min="42" max="42" width="14.42578125" customWidth="1"/>
    <col min="43" max="43" width="6.5703125" customWidth="1"/>
    <col min="44" max="44" width="8.42578125" customWidth="1"/>
    <col min="45" max="46" width="5.5703125" customWidth="1"/>
    <col min="48" max="48" width="32.28515625" customWidth="1"/>
    <col min="49" max="49" width="8.140625" customWidth="1"/>
    <col min="50" max="50" width="13" customWidth="1"/>
    <col min="51" max="51" width="6.5703125" customWidth="1"/>
    <col min="52" max="52" width="8" customWidth="1"/>
    <col min="53" max="53" width="5.7109375" customWidth="1"/>
    <col min="54" max="54" width="8.85546875" customWidth="1"/>
    <col min="55" max="55" width="11" customWidth="1"/>
    <col min="56" max="56" width="9.85546875" customWidth="1"/>
    <col min="57" max="57" width="5.140625" customWidth="1"/>
    <col min="58" max="58" width="8.42578125" customWidth="1"/>
    <col min="59" max="60" width="5.5703125" customWidth="1"/>
    <col min="62" max="62" width="33.5703125" bestFit="1" customWidth="1"/>
    <col min="63" max="63" width="14.5703125" bestFit="1" customWidth="1"/>
    <col min="64" max="64" width="17.28515625" bestFit="1" customWidth="1"/>
    <col min="65" max="65" width="21" bestFit="1" customWidth="1"/>
    <col min="66" max="66" width="13" bestFit="1" customWidth="1"/>
    <col min="67" max="67" width="25.140625" bestFit="1" customWidth="1"/>
    <col min="68" max="68" width="24.5703125" bestFit="1" customWidth="1"/>
    <col min="69" max="69" width="16.5703125" bestFit="1" customWidth="1"/>
    <col min="70" max="70" width="16" bestFit="1" customWidth="1"/>
    <col min="71" max="71" width="17" bestFit="1" customWidth="1"/>
    <col min="72" max="72" width="20.7109375" bestFit="1" customWidth="1"/>
    <col min="73" max="73" width="13" bestFit="1" customWidth="1"/>
    <col min="74" max="74" width="24.85546875" bestFit="1" customWidth="1"/>
    <col min="75" max="75" width="24.28515625" bestFit="1" customWidth="1"/>
    <col min="76" max="76" width="16.28515625" bestFit="1" customWidth="1"/>
    <col min="77" max="77" width="15.7109375" bestFit="1" customWidth="1"/>
    <col min="78" max="78" width="8" customWidth="1"/>
    <col min="79" max="79" width="38.42578125" customWidth="1"/>
    <col min="80" max="80" width="21.7109375" customWidth="1"/>
    <col min="81" max="81" width="22.42578125" customWidth="1"/>
    <col min="82" max="82" width="19.5703125" customWidth="1"/>
    <col min="83" max="83" width="23.42578125" customWidth="1"/>
    <col min="84" max="84" width="13" customWidth="1"/>
    <col min="85" max="85" width="27.28515625" customWidth="1"/>
    <col min="86" max="86" width="26.7109375" customWidth="1"/>
    <col min="87" max="87" width="18.85546875" customWidth="1"/>
    <col min="88" max="88" width="18.140625" customWidth="1"/>
    <col min="89" max="89" width="6.28515625" customWidth="1"/>
    <col min="90" max="90" width="38.7109375" customWidth="1"/>
    <col min="91" max="91" width="21.7109375" customWidth="1"/>
    <col min="92" max="92" width="22.28515625" customWidth="1"/>
    <col min="93" max="93" width="19.5703125" customWidth="1"/>
    <col min="94" max="94" width="23.42578125" customWidth="1"/>
    <col min="95" max="95" width="13" customWidth="1"/>
    <col min="96" max="96" width="27.28515625" customWidth="1"/>
    <col min="97" max="97" width="26.7109375" customWidth="1"/>
    <col min="98" max="98" width="18.85546875" customWidth="1"/>
    <col min="99" max="99" width="18.140625" customWidth="1"/>
    <col min="100" max="100" width="10.28515625" customWidth="1"/>
    <col min="101" max="101" width="38.140625" customWidth="1"/>
    <col min="102" max="102" width="21.7109375" customWidth="1"/>
    <col min="103" max="103" width="22.28515625" customWidth="1"/>
    <col min="104" max="104" width="19.5703125" customWidth="1"/>
    <col min="105" max="105" width="23.42578125" customWidth="1"/>
    <col min="106" max="106" width="13" customWidth="1"/>
    <col min="107" max="107" width="27.28515625" customWidth="1"/>
    <col min="108" max="108" width="26.7109375" customWidth="1"/>
    <col min="109" max="109" width="18.85546875" customWidth="1"/>
    <col min="110" max="110" width="18.140625" customWidth="1"/>
    <col min="111" max="111" width="7.140625" customWidth="1"/>
    <col min="112" max="112" width="38" customWidth="1"/>
    <col min="113" max="113" width="21.7109375" customWidth="1"/>
    <col min="114" max="114" width="22.28515625" customWidth="1"/>
    <col min="115" max="115" width="19.5703125" customWidth="1"/>
    <col min="116" max="116" width="23.42578125" customWidth="1"/>
    <col min="117" max="117" width="13" customWidth="1"/>
    <col min="118" max="118" width="27.28515625" customWidth="1"/>
    <col min="119" max="119" width="26.7109375" customWidth="1"/>
    <col min="120" max="120" width="18.85546875" customWidth="1"/>
    <col min="121" max="121" width="18.140625" customWidth="1"/>
    <col min="122" max="122" width="7.42578125" customWidth="1"/>
    <col min="123" max="123" width="10.42578125" customWidth="1"/>
    <col min="124" max="124" width="7.140625" customWidth="1"/>
    <col min="125" max="125" width="7.7109375" customWidth="1"/>
  </cols>
  <sheetData>
    <row r="2" spans="2:121" x14ac:dyDescent="0.2">
      <c r="B2" t="s">
        <v>653</v>
      </c>
      <c r="C2" t="s">
        <v>456</v>
      </c>
      <c r="D2" t="s">
        <v>458</v>
      </c>
      <c r="F2" t="s">
        <v>652</v>
      </c>
      <c r="G2" t="s">
        <v>306</v>
      </c>
      <c r="H2" t="s">
        <v>133</v>
      </c>
      <c r="I2" t="s">
        <v>214</v>
      </c>
      <c r="J2" t="s">
        <v>215</v>
      </c>
      <c r="K2" t="s">
        <v>216</v>
      </c>
      <c r="L2" t="s">
        <v>217</v>
      </c>
      <c r="M2" t="s">
        <v>218</v>
      </c>
      <c r="N2" t="s">
        <v>219</v>
      </c>
      <c r="O2" t="s">
        <v>220</v>
      </c>
      <c r="P2" t="s">
        <v>221</v>
      </c>
      <c r="Q2" t="s">
        <v>222</v>
      </c>
      <c r="R2" t="s">
        <v>223</v>
      </c>
      <c r="T2" t="s">
        <v>651</v>
      </c>
      <c r="U2" t="s">
        <v>306</v>
      </c>
      <c r="V2" t="s">
        <v>133</v>
      </c>
      <c r="W2" t="s">
        <v>214</v>
      </c>
      <c r="X2" t="s">
        <v>459</v>
      </c>
      <c r="Y2" t="s">
        <v>216</v>
      </c>
      <c r="Z2" t="s">
        <v>217</v>
      </c>
      <c r="AA2" t="s">
        <v>218</v>
      </c>
      <c r="AB2" t="s">
        <v>460</v>
      </c>
      <c r="AC2" t="s">
        <v>220</v>
      </c>
      <c r="AD2" t="s">
        <v>221</v>
      </c>
      <c r="AE2" t="s">
        <v>222</v>
      </c>
      <c r="AF2" t="s">
        <v>223</v>
      </c>
      <c r="AH2" t="s">
        <v>650</v>
      </c>
      <c r="AI2" t="s">
        <v>306</v>
      </c>
      <c r="AJ2" t="s">
        <v>133</v>
      </c>
      <c r="AK2" t="s">
        <v>214</v>
      </c>
      <c r="AL2" t="s">
        <v>215</v>
      </c>
      <c r="AM2" t="s">
        <v>216</v>
      </c>
      <c r="AN2" t="s">
        <v>217</v>
      </c>
      <c r="AO2" t="s">
        <v>218</v>
      </c>
      <c r="AP2" t="s">
        <v>219</v>
      </c>
      <c r="AQ2" t="s">
        <v>220</v>
      </c>
      <c r="AR2" t="s">
        <v>221</v>
      </c>
      <c r="AS2" t="s">
        <v>222</v>
      </c>
      <c r="AT2" t="s">
        <v>223</v>
      </c>
      <c r="AV2" t="s">
        <v>649</v>
      </c>
      <c r="AW2" t="s">
        <v>306</v>
      </c>
      <c r="AX2" t="s">
        <v>133</v>
      </c>
      <c r="AY2" t="s">
        <v>214</v>
      </c>
      <c r="AZ2" t="s">
        <v>459</v>
      </c>
      <c r="BA2" t="s">
        <v>216</v>
      </c>
      <c r="BB2" t="s">
        <v>217</v>
      </c>
      <c r="BC2" t="s">
        <v>218</v>
      </c>
      <c r="BD2" t="s">
        <v>460</v>
      </c>
      <c r="BE2" t="s">
        <v>220</v>
      </c>
      <c r="BF2" t="s">
        <v>221</v>
      </c>
      <c r="BG2" t="s">
        <v>222</v>
      </c>
      <c r="BH2" t="s">
        <v>223</v>
      </c>
      <c r="BJ2" t="s">
        <v>711</v>
      </c>
      <c r="BK2" t="s">
        <v>730</v>
      </c>
      <c r="BL2" t="s">
        <v>699</v>
      </c>
      <c r="BM2" t="s">
        <v>700</v>
      </c>
      <c r="BN2" t="s">
        <v>701</v>
      </c>
      <c r="BO2" t="s">
        <v>702</v>
      </c>
      <c r="BP2" t="s">
        <v>703</v>
      </c>
      <c r="BQ2" t="s">
        <v>712</v>
      </c>
      <c r="BR2" t="s">
        <v>713</v>
      </c>
      <c r="BS2" t="s">
        <v>704</v>
      </c>
      <c r="BT2" t="s">
        <v>705</v>
      </c>
      <c r="BU2" t="s">
        <v>706</v>
      </c>
      <c r="BV2" t="s">
        <v>707</v>
      </c>
      <c r="BW2" t="s">
        <v>708</v>
      </c>
      <c r="BX2" t="s">
        <v>709</v>
      </c>
      <c r="BY2" t="s">
        <v>710</v>
      </c>
      <c r="CA2" t="s">
        <v>1030</v>
      </c>
      <c r="CB2" t="s">
        <v>735</v>
      </c>
      <c r="CC2" t="s">
        <v>736</v>
      </c>
      <c r="CD2" t="s">
        <v>714</v>
      </c>
      <c r="CE2" t="s">
        <v>715</v>
      </c>
      <c r="CF2" t="s">
        <v>716</v>
      </c>
      <c r="CG2" t="s">
        <v>717</v>
      </c>
      <c r="CH2" t="s">
        <v>718</v>
      </c>
      <c r="CI2" t="s">
        <v>719</v>
      </c>
      <c r="CJ2" t="s">
        <v>720</v>
      </c>
      <c r="CL2" t="s">
        <v>1031</v>
      </c>
      <c r="CM2" t="s">
        <v>735</v>
      </c>
      <c r="CN2" t="s">
        <v>736</v>
      </c>
      <c r="CO2" t="s">
        <v>714</v>
      </c>
      <c r="CP2" t="s">
        <v>715</v>
      </c>
      <c r="CQ2" t="s">
        <v>716</v>
      </c>
      <c r="CR2" t="s">
        <v>717</v>
      </c>
      <c r="CS2" t="s">
        <v>718</v>
      </c>
      <c r="CT2" t="s">
        <v>719</v>
      </c>
      <c r="CU2" t="s">
        <v>720</v>
      </c>
      <c r="CW2" t="s">
        <v>1032</v>
      </c>
      <c r="CX2" t="s">
        <v>735</v>
      </c>
      <c r="CY2" t="s">
        <v>736</v>
      </c>
      <c r="CZ2" t="s">
        <v>714</v>
      </c>
      <c r="DA2" t="s">
        <v>715</v>
      </c>
      <c r="DB2" t="s">
        <v>716</v>
      </c>
      <c r="DC2" t="s">
        <v>717</v>
      </c>
      <c r="DD2" t="s">
        <v>718</v>
      </c>
      <c r="DE2" t="s">
        <v>719</v>
      </c>
      <c r="DF2" t="s">
        <v>720</v>
      </c>
      <c r="DH2" t="s">
        <v>1033</v>
      </c>
      <c r="DI2" t="s">
        <v>735</v>
      </c>
      <c r="DJ2" t="s">
        <v>736</v>
      </c>
      <c r="DK2" t="s">
        <v>714</v>
      </c>
      <c r="DL2" t="s">
        <v>715</v>
      </c>
      <c r="DM2" t="s">
        <v>716</v>
      </c>
      <c r="DN2" t="s">
        <v>717</v>
      </c>
      <c r="DO2" t="s">
        <v>718</v>
      </c>
      <c r="DP2" t="s">
        <v>719</v>
      </c>
      <c r="DQ2" t="s">
        <v>720</v>
      </c>
    </row>
    <row r="3" spans="2:121" x14ac:dyDescent="0.2">
      <c r="C3">
        <v>357725</v>
      </c>
      <c r="D3">
        <v>284572</v>
      </c>
      <c r="F3" t="s">
        <v>31</v>
      </c>
      <c r="G3">
        <v>743</v>
      </c>
      <c r="H3">
        <v>157.6056527591</v>
      </c>
      <c r="I3">
        <v>2694</v>
      </c>
      <c r="J3">
        <v>508</v>
      </c>
      <c r="K3">
        <v>1182</v>
      </c>
      <c r="L3">
        <v>456</v>
      </c>
      <c r="M3">
        <v>284</v>
      </c>
      <c r="N3">
        <v>118</v>
      </c>
      <c r="O3">
        <v>408</v>
      </c>
      <c r="P3">
        <v>273</v>
      </c>
      <c r="Q3">
        <v>0</v>
      </c>
      <c r="R3">
        <v>9</v>
      </c>
      <c r="T3" t="s">
        <v>209</v>
      </c>
      <c r="U3">
        <v>5670</v>
      </c>
      <c r="V3">
        <v>72.619576719600005</v>
      </c>
      <c r="W3">
        <v>7429</v>
      </c>
      <c r="X3">
        <v>772</v>
      </c>
      <c r="Y3">
        <v>7441</v>
      </c>
      <c r="Z3">
        <v>705</v>
      </c>
      <c r="AA3">
        <v>3</v>
      </c>
      <c r="AB3">
        <v>2</v>
      </c>
      <c r="AC3">
        <v>592</v>
      </c>
      <c r="AD3">
        <v>124</v>
      </c>
      <c r="AE3">
        <v>1145</v>
      </c>
      <c r="AF3">
        <v>860</v>
      </c>
      <c r="AH3" t="s">
        <v>388</v>
      </c>
      <c r="AI3">
        <v>11470</v>
      </c>
      <c r="AJ3">
        <v>371.38108108109998</v>
      </c>
      <c r="AK3">
        <v>8013</v>
      </c>
      <c r="AL3">
        <v>1873</v>
      </c>
      <c r="AM3">
        <v>15264</v>
      </c>
      <c r="AN3">
        <v>10833</v>
      </c>
      <c r="AO3">
        <v>4967</v>
      </c>
      <c r="AP3">
        <v>4284</v>
      </c>
      <c r="AQ3">
        <v>3186</v>
      </c>
      <c r="AR3">
        <v>1914</v>
      </c>
      <c r="AS3">
        <v>569</v>
      </c>
      <c r="AT3">
        <v>403</v>
      </c>
      <c r="AV3" t="s">
        <v>413</v>
      </c>
      <c r="AW3">
        <v>118</v>
      </c>
      <c r="AX3">
        <v>66.559322033900003</v>
      </c>
      <c r="AY3">
        <v>161</v>
      </c>
      <c r="AZ3">
        <v>5</v>
      </c>
      <c r="BA3">
        <v>177</v>
      </c>
      <c r="BB3">
        <v>26</v>
      </c>
      <c r="BC3">
        <v>0</v>
      </c>
      <c r="BE3">
        <v>10</v>
      </c>
      <c r="BF3">
        <v>4</v>
      </c>
      <c r="BG3">
        <v>173</v>
      </c>
      <c r="BH3">
        <v>42</v>
      </c>
      <c r="BJ3" t="s">
        <v>728</v>
      </c>
      <c r="BK3" t="s">
        <v>731</v>
      </c>
      <c r="BL3">
        <v>315762</v>
      </c>
      <c r="BM3">
        <v>70163</v>
      </c>
      <c r="BN3">
        <v>91.691153463700005</v>
      </c>
      <c r="BO3">
        <v>719956</v>
      </c>
      <c r="BP3">
        <v>11754</v>
      </c>
      <c r="BQ3">
        <v>129.0541796999</v>
      </c>
      <c r="BR3">
        <v>126.634762634</v>
      </c>
      <c r="BS3">
        <v>315763</v>
      </c>
      <c r="BT3">
        <v>70164</v>
      </c>
      <c r="BU3">
        <v>91.692361042900004</v>
      </c>
      <c r="BV3">
        <v>719956</v>
      </c>
      <c r="BW3">
        <v>11754</v>
      </c>
      <c r="BX3">
        <v>129.0541796999</v>
      </c>
      <c r="BY3">
        <v>126.634762634</v>
      </c>
      <c r="CA3" t="s">
        <v>1036</v>
      </c>
      <c r="CB3" t="s">
        <v>731</v>
      </c>
      <c r="CC3" t="s">
        <v>917</v>
      </c>
      <c r="CD3">
        <v>8033</v>
      </c>
      <c r="CE3">
        <v>1356</v>
      </c>
      <c r="CF3">
        <v>73.198306983699993</v>
      </c>
      <c r="CG3">
        <v>19902</v>
      </c>
      <c r="CH3">
        <v>518</v>
      </c>
      <c r="CI3">
        <v>133.520198975</v>
      </c>
      <c r="CJ3">
        <v>112.51930501930001</v>
      </c>
      <c r="CL3" t="s">
        <v>1036</v>
      </c>
      <c r="CM3" t="s">
        <v>731</v>
      </c>
      <c r="CN3" t="s">
        <v>917</v>
      </c>
      <c r="CO3">
        <v>8033</v>
      </c>
      <c r="CP3">
        <v>1356</v>
      </c>
      <c r="CQ3">
        <v>73.198306983699993</v>
      </c>
      <c r="CR3">
        <v>19902</v>
      </c>
      <c r="CS3">
        <v>518</v>
      </c>
      <c r="CT3">
        <v>133.520198975</v>
      </c>
      <c r="CU3">
        <v>112.51930501930001</v>
      </c>
      <c r="CW3" t="s">
        <v>1036</v>
      </c>
      <c r="CX3" t="s">
        <v>731</v>
      </c>
      <c r="CY3" t="s">
        <v>917</v>
      </c>
      <c r="CZ3">
        <v>8033</v>
      </c>
      <c r="DA3">
        <v>1356</v>
      </c>
      <c r="DB3">
        <v>73.198306983699993</v>
      </c>
      <c r="DC3">
        <v>19902</v>
      </c>
      <c r="DD3">
        <v>518</v>
      </c>
      <c r="DE3">
        <v>133.520198975</v>
      </c>
      <c r="DF3">
        <v>112.51930501930001</v>
      </c>
      <c r="DH3" t="s">
        <v>1036</v>
      </c>
      <c r="DI3" t="s">
        <v>731</v>
      </c>
      <c r="DJ3" t="s">
        <v>917</v>
      </c>
      <c r="DK3">
        <v>8033</v>
      </c>
      <c r="DL3">
        <v>1356</v>
      </c>
      <c r="DM3">
        <v>73.198306983699993</v>
      </c>
      <c r="DN3">
        <v>19902</v>
      </c>
      <c r="DO3">
        <v>518</v>
      </c>
      <c r="DP3">
        <v>133.520198975</v>
      </c>
      <c r="DQ3">
        <v>112.51930501930001</v>
      </c>
    </row>
    <row r="4" spans="2:121" x14ac:dyDescent="0.2">
      <c r="B4" t="s">
        <v>98</v>
      </c>
      <c r="C4">
        <v>98615</v>
      </c>
      <c r="D4">
        <v>77237</v>
      </c>
      <c r="F4" t="s">
        <v>77</v>
      </c>
      <c r="G4">
        <v>15972</v>
      </c>
      <c r="H4">
        <v>331.07243926870001</v>
      </c>
      <c r="I4">
        <v>22570</v>
      </c>
      <c r="J4">
        <v>5202</v>
      </c>
      <c r="K4">
        <v>19301</v>
      </c>
      <c r="L4">
        <v>12825</v>
      </c>
      <c r="M4">
        <v>4881</v>
      </c>
      <c r="N4">
        <v>3872</v>
      </c>
      <c r="O4">
        <v>12813</v>
      </c>
      <c r="P4">
        <v>9456</v>
      </c>
      <c r="Q4">
        <v>7</v>
      </c>
      <c r="R4">
        <v>287</v>
      </c>
      <c r="T4" t="s">
        <v>224</v>
      </c>
      <c r="U4">
        <v>0</v>
      </c>
      <c r="W4">
        <v>371</v>
      </c>
      <c r="X4">
        <v>139</v>
      </c>
      <c r="Y4">
        <v>3119</v>
      </c>
      <c r="Z4">
        <v>1323</v>
      </c>
      <c r="AA4">
        <v>208</v>
      </c>
      <c r="AB4">
        <v>207</v>
      </c>
      <c r="AC4">
        <v>169</v>
      </c>
      <c r="AD4">
        <v>106</v>
      </c>
      <c r="AE4">
        <v>6</v>
      </c>
      <c r="AF4">
        <v>0</v>
      </c>
      <c r="AH4" t="s">
        <v>424</v>
      </c>
      <c r="AI4">
        <v>1782</v>
      </c>
      <c r="AJ4">
        <v>492.94107744109999</v>
      </c>
      <c r="AK4">
        <v>1107</v>
      </c>
      <c r="AL4">
        <v>274</v>
      </c>
      <c r="AM4">
        <v>2521</v>
      </c>
      <c r="AN4">
        <v>2012</v>
      </c>
      <c r="AO4">
        <v>1858</v>
      </c>
      <c r="AP4">
        <v>1574</v>
      </c>
      <c r="AQ4">
        <v>681</v>
      </c>
      <c r="AR4">
        <v>429</v>
      </c>
      <c r="AS4">
        <v>0</v>
      </c>
      <c r="AT4">
        <v>3</v>
      </c>
      <c r="AV4" t="s">
        <v>427</v>
      </c>
      <c r="AW4">
        <v>1913</v>
      </c>
      <c r="AX4">
        <v>109.1212754835</v>
      </c>
      <c r="AY4">
        <v>667</v>
      </c>
      <c r="AZ4">
        <v>123</v>
      </c>
      <c r="BA4">
        <v>2196</v>
      </c>
      <c r="BB4">
        <v>745</v>
      </c>
      <c r="BC4">
        <v>3</v>
      </c>
      <c r="BD4">
        <v>3</v>
      </c>
      <c r="BE4">
        <v>23</v>
      </c>
      <c r="BF4">
        <v>10</v>
      </c>
      <c r="BG4">
        <v>80</v>
      </c>
      <c r="BH4">
        <v>90</v>
      </c>
      <c r="BJ4" t="s">
        <v>637</v>
      </c>
      <c r="BK4" t="s">
        <v>385</v>
      </c>
      <c r="BL4">
        <v>650</v>
      </c>
      <c r="BM4">
        <v>98</v>
      </c>
      <c r="BN4">
        <v>68.94</v>
      </c>
      <c r="BO4">
        <v>1977</v>
      </c>
      <c r="BP4">
        <v>25</v>
      </c>
      <c r="BQ4">
        <v>119.6145675266</v>
      </c>
      <c r="BR4">
        <v>107.16</v>
      </c>
      <c r="BS4">
        <v>270</v>
      </c>
      <c r="BT4">
        <v>76</v>
      </c>
      <c r="BU4">
        <v>99.481481481499998</v>
      </c>
      <c r="BV4">
        <v>2262</v>
      </c>
      <c r="BW4">
        <v>78</v>
      </c>
      <c r="BX4">
        <v>124.6697612732</v>
      </c>
      <c r="BY4">
        <v>102.69230769230001</v>
      </c>
      <c r="CA4" t="s">
        <v>1035</v>
      </c>
      <c r="CB4" t="s">
        <v>731</v>
      </c>
      <c r="CC4" t="s">
        <v>917</v>
      </c>
      <c r="CD4">
        <v>315763</v>
      </c>
      <c r="CE4">
        <v>70164</v>
      </c>
      <c r="CF4">
        <v>91.692361042900004</v>
      </c>
      <c r="CG4">
        <v>719956</v>
      </c>
      <c r="CH4">
        <v>11754</v>
      </c>
      <c r="CI4">
        <v>129.0541796999</v>
      </c>
      <c r="CJ4">
        <v>126.634762634</v>
      </c>
      <c r="CL4" t="s">
        <v>1035</v>
      </c>
      <c r="CM4" t="s">
        <v>731</v>
      </c>
      <c r="CN4" t="s">
        <v>917</v>
      </c>
      <c r="CO4">
        <v>315763</v>
      </c>
      <c r="CP4">
        <v>70164</v>
      </c>
      <c r="CQ4">
        <v>91.692361042900004</v>
      </c>
      <c r="CR4">
        <v>719956</v>
      </c>
      <c r="CS4">
        <v>11754</v>
      </c>
      <c r="CT4">
        <v>129.0541796999</v>
      </c>
      <c r="CU4">
        <v>126.634762634</v>
      </c>
      <c r="CW4" t="s">
        <v>1035</v>
      </c>
      <c r="CX4" t="s">
        <v>731</v>
      </c>
      <c r="CY4" t="s">
        <v>917</v>
      </c>
      <c r="CZ4">
        <v>315763</v>
      </c>
      <c r="DA4">
        <v>70164</v>
      </c>
      <c r="DB4">
        <v>91.692361042900004</v>
      </c>
      <c r="DC4">
        <v>719956</v>
      </c>
      <c r="DD4">
        <v>11754</v>
      </c>
      <c r="DE4">
        <v>129.0541796999</v>
      </c>
      <c r="DF4">
        <v>126.634762634</v>
      </c>
      <c r="DH4" t="s">
        <v>1035</v>
      </c>
      <c r="DI4" t="s">
        <v>731</v>
      </c>
      <c r="DJ4" t="s">
        <v>917</v>
      </c>
      <c r="DK4">
        <v>315763</v>
      </c>
      <c r="DL4">
        <v>70164</v>
      </c>
      <c r="DM4">
        <v>91.692361042900004</v>
      </c>
      <c r="DN4">
        <v>719956</v>
      </c>
      <c r="DO4">
        <v>11754</v>
      </c>
      <c r="DP4">
        <v>129.0541796999</v>
      </c>
      <c r="DQ4">
        <v>126.634762634</v>
      </c>
    </row>
    <row r="5" spans="2:121" x14ac:dyDescent="0.2">
      <c r="B5" t="s">
        <v>107</v>
      </c>
      <c r="C5">
        <v>67158</v>
      </c>
      <c r="D5">
        <v>50106</v>
      </c>
      <c r="F5" t="s">
        <v>51</v>
      </c>
      <c r="G5">
        <v>3610</v>
      </c>
      <c r="H5">
        <v>330.34404432129998</v>
      </c>
      <c r="I5">
        <v>3049</v>
      </c>
      <c r="J5">
        <v>485</v>
      </c>
      <c r="K5">
        <v>6809</v>
      </c>
      <c r="L5">
        <v>3494</v>
      </c>
      <c r="M5">
        <v>3395</v>
      </c>
      <c r="N5">
        <v>2655</v>
      </c>
      <c r="O5">
        <v>1493</v>
      </c>
      <c r="P5">
        <v>977</v>
      </c>
      <c r="Q5">
        <v>0</v>
      </c>
      <c r="R5">
        <v>95</v>
      </c>
      <c r="T5" t="s">
        <v>210</v>
      </c>
      <c r="U5">
        <v>14819</v>
      </c>
      <c r="V5">
        <v>107.8148997908</v>
      </c>
      <c r="W5">
        <v>18358</v>
      </c>
      <c r="X5">
        <v>3457</v>
      </c>
      <c r="Y5">
        <v>17415</v>
      </c>
      <c r="Z5">
        <v>5729</v>
      </c>
      <c r="AA5">
        <v>26</v>
      </c>
      <c r="AB5">
        <v>26</v>
      </c>
      <c r="AC5">
        <v>869</v>
      </c>
      <c r="AD5">
        <v>197</v>
      </c>
      <c r="AE5">
        <v>2144</v>
      </c>
      <c r="AF5">
        <v>3540</v>
      </c>
      <c r="AH5" t="s">
        <v>426</v>
      </c>
      <c r="AI5">
        <v>4162</v>
      </c>
      <c r="AJ5">
        <v>289.91590581449998</v>
      </c>
      <c r="AK5">
        <v>5248</v>
      </c>
      <c r="AL5">
        <v>1004</v>
      </c>
      <c r="AM5">
        <v>6079</v>
      </c>
      <c r="AN5">
        <v>3630</v>
      </c>
      <c r="AO5">
        <v>1496</v>
      </c>
      <c r="AP5">
        <v>1086</v>
      </c>
      <c r="AQ5">
        <v>2813</v>
      </c>
      <c r="AR5">
        <v>1612</v>
      </c>
      <c r="AS5">
        <v>7</v>
      </c>
      <c r="AT5">
        <v>83</v>
      </c>
      <c r="AV5" t="s">
        <v>400</v>
      </c>
      <c r="AW5">
        <v>119</v>
      </c>
      <c r="AX5">
        <v>65.6638655462</v>
      </c>
      <c r="AY5">
        <v>83</v>
      </c>
      <c r="AZ5">
        <v>2</v>
      </c>
      <c r="BA5">
        <v>154</v>
      </c>
      <c r="BB5">
        <v>6</v>
      </c>
      <c r="BC5">
        <v>0</v>
      </c>
      <c r="BE5">
        <v>2</v>
      </c>
      <c r="BG5">
        <v>266</v>
      </c>
      <c r="BH5">
        <v>16</v>
      </c>
      <c r="BJ5" t="s">
        <v>385</v>
      </c>
      <c r="BK5" t="s">
        <v>385</v>
      </c>
      <c r="BL5">
        <v>59800</v>
      </c>
      <c r="BM5">
        <v>13001</v>
      </c>
      <c r="BN5">
        <v>91.657341137100005</v>
      </c>
      <c r="BO5">
        <v>140886</v>
      </c>
      <c r="BP5">
        <v>2409</v>
      </c>
      <c r="BQ5">
        <v>133.06451315250001</v>
      </c>
      <c r="BR5">
        <v>129.35699460359999</v>
      </c>
      <c r="BS5">
        <v>18715</v>
      </c>
      <c r="BT5">
        <v>5504</v>
      </c>
      <c r="BU5">
        <v>106.15516965</v>
      </c>
      <c r="BV5">
        <v>139471</v>
      </c>
      <c r="BW5">
        <v>2472</v>
      </c>
      <c r="BX5">
        <v>133.5043700841</v>
      </c>
      <c r="BY5">
        <v>131.57483818770001</v>
      </c>
      <c r="CA5" t="s">
        <v>1037</v>
      </c>
      <c r="CB5" t="s">
        <v>731</v>
      </c>
      <c r="CC5" t="s">
        <v>917</v>
      </c>
      <c r="CD5">
        <v>28921</v>
      </c>
      <c r="CE5">
        <v>3263</v>
      </c>
      <c r="CF5">
        <v>69.815843158999996</v>
      </c>
      <c r="CG5">
        <v>98513</v>
      </c>
      <c r="CH5">
        <v>1253</v>
      </c>
      <c r="CI5">
        <v>77.484047790600002</v>
      </c>
      <c r="CJ5">
        <v>80.530726256999998</v>
      </c>
      <c r="CL5" t="s">
        <v>1037</v>
      </c>
      <c r="CM5" t="s">
        <v>731</v>
      </c>
      <c r="CN5" t="s">
        <v>917</v>
      </c>
      <c r="CO5">
        <v>28921</v>
      </c>
      <c r="CP5">
        <v>3263</v>
      </c>
      <c r="CQ5">
        <v>69.815843158999996</v>
      </c>
      <c r="CR5">
        <v>98513</v>
      </c>
      <c r="CS5">
        <v>1253</v>
      </c>
      <c r="CT5">
        <v>77.484047790600002</v>
      </c>
      <c r="CU5">
        <v>80.530726256999998</v>
      </c>
      <c r="CW5" t="s">
        <v>1037</v>
      </c>
      <c r="CX5" t="s">
        <v>731</v>
      </c>
      <c r="CY5" t="s">
        <v>917</v>
      </c>
      <c r="CZ5">
        <v>28921</v>
      </c>
      <c r="DA5">
        <v>3263</v>
      </c>
      <c r="DB5">
        <v>69.815843158999996</v>
      </c>
      <c r="DC5">
        <v>98513</v>
      </c>
      <c r="DD5">
        <v>1253</v>
      </c>
      <c r="DE5">
        <v>77.484047790600002</v>
      </c>
      <c r="DF5">
        <v>80.530726256999998</v>
      </c>
      <c r="DH5" t="s">
        <v>1037</v>
      </c>
      <c r="DI5" t="s">
        <v>731</v>
      </c>
      <c r="DJ5" t="s">
        <v>917</v>
      </c>
      <c r="DK5">
        <v>28921</v>
      </c>
      <c r="DL5">
        <v>3263</v>
      </c>
      <c r="DM5">
        <v>69.815843158999996</v>
      </c>
      <c r="DN5">
        <v>98513</v>
      </c>
      <c r="DO5">
        <v>1253</v>
      </c>
      <c r="DP5">
        <v>77.484047790600002</v>
      </c>
      <c r="DQ5">
        <v>80.530726256999998</v>
      </c>
    </row>
    <row r="6" spans="2:121" x14ac:dyDescent="0.2">
      <c r="B6" t="s">
        <v>90</v>
      </c>
      <c r="C6">
        <v>10430</v>
      </c>
      <c r="D6">
        <v>1845</v>
      </c>
      <c r="F6" t="s">
        <v>181</v>
      </c>
      <c r="G6">
        <v>288</v>
      </c>
      <c r="H6">
        <v>222.9895833333</v>
      </c>
      <c r="I6">
        <v>622</v>
      </c>
      <c r="J6">
        <v>43</v>
      </c>
      <c r="K6">
        <v>526</v>
      </c>
      <c r="L6">
        <v>123</v>
      </c>
      <c r="M6">
        <v>408</v>
      </c>
      <c r="N6">
        <v>262</v>
      </c>
      <c r="O6">
        <v>220</v>
      </c>
      <c r="P6">
        <v>117</v>
      </c>
      <c r="Q6">
        <v>0</v>
      </c>
      <c r="R6">
        <v>3</v>
      </c>
      <c r="T6" t="s">
        <v>212</v>
      </c>
      <c r="U6">
        <v>5473</v>
      </c>
      <c r="V6">
        <v>86.413667093000001</v>
      </c>
      <c r="W6">
        <v>6386</v>
      </c>
      <c r="X6">
        <v>198</v>
      </c>
      <c r="Y6">
        <v>6789</v>
      </c>
      <c r="Z6">
        <v>477</v>
      </c>
      <c r="AA6">
        <v>44</v>
      </c>
      <c r="AB6">
        <v>26</v>
      </c>
      <c r="AC6">
        <v>253</v>
      </c>
      <c r="AD6">
        <v>84</v>
      </c>
      <c r="AE6">
        <v>8458</v>
      </c>
      <c r="AF6">
        <v>1558</v>
      </c>
      <c r="AH6" t="s">
        <v>411</v>
      </c>
      <c r="AI6">
        <v>3675</v>
      </c>
      <c r="AJ6">
        <v>330.17115646259998</v>
      </c>
      <c r="AK6">
        <v>3336</v>
      </c>
      <c r="AL6">
        <v>570</v>
      </c>
      <c r="AM6">
        <v>5174</v>
      </c>
      <c r="AN6">
        <v>3009</v>
      </c>
      <c r="AO6">
        <v>1843</v>
      </c>
      <c r="AP6">
        <v>1492</v>
      </c>
      <c r="AQ6">
        <v>2605</v>
      </c>
      <c r="AR6">
        <v>1571</v>
      </c>
      <c r="AS6">
        <v>438</v>
      </c>
      <c r="AT6">
        <v>100</v>
      </c>
      <c r="AV6" t="s">
        <v>420</v>
      </c>
      <c r="AW6">
        <v>65</v>
      </c>
      <c r="AX6">
        <v>67.692307692300005</v>
      </c>
      <c r="AY6">
        <v>62</v>
      </c>
      <c r="AZ6">
        <v>1</v>
      </c>
      <c r="BA6">
        <v>80</v>
      </c>
      <c r="BB6">
        <v>4</v>
      </c>
      <c r="BC6">
        <v>0</v>
      </c>
      <c r="BE6">
        <v>3</v>
      </c>
      <c r="BF6">
        <v>1</v>
      </c>
      <c r="BG6">
        <v>112</v>
      </c>
      <c r="BH6">
        <v>6</v>
      </c>
      <c r="BJ6" t="s">
        <v>584</v>
      </c>
      <c r="BK6" t="s">
        <v>385</v>
      </c>
      <c r="BL6">
        <v>5408</v>
      </c>
      <c r="BM6">
        <v>1345</v>
      </c>
      <c r="BN6">
        <v>97.410872781099997</v>
      </c>
      <c r="BO6">
        <v>13626</v>
      </c>
      <c r="BP6">
        <v>195</v>
      </c>
      <c r="BQ6">
        <v>146.41692352850001</v>
      </c>
      <c r="BR6">
        <v>134.37948717949999</v>
      </c>
      <c r="BS6">
        <v>1565</v>
      </c>
      <c r="BT6">
        <v>619</v>
      </c>
      <c r="BU6">
        <v>121.28306709269999</v>
      </c>
      <c r="BV6">
        <v>13041</v>
      </c>
      <c r="BW6">
        <v>243</v>
      </c>
      <c r="BX6">
        <v>144.9934054137</v>
      </c>
      <c r="BY6">
        <v>125.44444444440001</v>
      </c>
      <c r="CA6" t="s">
        <v>1038</v>
      </c>
      <c r="CB6" t="s">
        <v>731</v>
      </c>
      <c r="CC6" t="s">
        <v>917</v>
      </c>
      <c r="CD6">
        <v>7785</v>
      </c>
      <c r="CE6">
        <v>1418</v>
      </c>
      <c r="CF6">
        <v>76.237251123999997</v>
      </c>
      <c r="CG6">
        <v>17192</v>
      </c>
      <c r="CH6">
        <v>393</v>
      </c>
      <c r="CI6">
        <v>141.69288040949999</v>
      </c>
      <c r="CJ6">
        <v>123.9134860051</v>
      </c>
      <c r="CL6" t="s">
        <v>1038</v>
      </c>
      <c r="CM6" t="s">
        <v>731</v>
      </c>
      <c r="CN6" t="s">
        <v>917</v>
      </c>
      <c r="CO6">
        <v>7785</v>
      </c>
      <c r="CP6">
        <v>1418</v>
      </c>
      <c r="CQ6">
        <v>76.237251123999997</v>
      </c>
      <c r="CR6">
        <v>17192</v>
      </c>
      <c r="CS6">
        <v>393</v>
      </c>
      <c r="CT6">
        <v>141.69288040949999</v>
      </c>
      <c r="CU6">
        <v>123.9134860051</v>
      </c>
      <c r="CW6" t="s">
        <v>1038</v>
      </c>
      <c r="CX6" t="s">
        <v>731</v>
      </c>
      <c r="CY6" t="s">
        <v>917</v>
      </c>
      <c r="CZ6">
        <v>7785</v>
      </c>
      <c r="DA6">
        <v>1418</v>
      </c>
      <c r="DB6">
        <v>76.237251123999997</v>
      </c>
      <c r="DC6">
        <v>17192</v>
      </c>
      <c r="DD6">
        <v>393</v>
      </c>
      <c r="DE6">
        <v>141.69288040949999</v>
      </c>
      <c r="DF6">
        <v>123.9134860051</v>
      </c>
      <c r="DH6" t="s">
        <v>1038</v>
      </c>
      <c r="DI6" t="s">
        <v>731</v>
      </c>
      <c r="DJ6" t="s">
        <v>917</v>
      </c>
      <c r="DK6">
        <v>7785</v>
      </c>
      <c r="DL6">
        <v>1418</v>
      </c>
      <c r="DM6">
        <v>76.237251123999997</v>
      </c>
      <c r="DN6">
        <v>17192</v>
      </c>
      <c r="DO6">
        <v>393</v>
      </c>
      <c r="DP6">
        <v>141.69288040949999</v>
      </c>
      <c r="DQ6">
        <v>123.9134860051</v>
      </c>
    </row>
    <row r="7" spans="2:121" x14ac:dyDescent="0.2">
      <c r="B7" t="s">
        <v>91</v>
      </c>
      <c r="C7">
        <v>352</v>
      </c>
      <c r="D7">
        <v>44</v>
      </c>
      <c r="F7" t="s">
        <v>27</v>
      </c>
      <c r="G7">
        <v>1394</v>
      </c>
      <c r="H7">
        <v>77.5050215208</v>
      </c>
      <c r="I7">
        <v>5142</v>
      </c>
      <c r="J7">
        <v>590</v>
      </c>
      <c r="K7">
        <v>4695</v>
      </c>
      <c r="L7">
        <v>1654</v>
      </c>
      <c r="M7">
        <v>1056</v>
      </c>
      <c r="N7">
        <v>424</v>
      </c>
      <c r="O7">
        <v>1489</v>
      </c>
      <c r="P7">
        <v>880</v>
      </c>
      <c r="Q7">
        <v>0</v>
      </c>
      <c r="R7">
        <v>28</v>
      </c>
      <c r="T7" t="s">
        <v>462</v>
      </c>
      <c r="U7">
        <v>25962</v>
      </c>
      <c r="V7">
        <v>95.616824589800004</v>
      </c>
      <c r="W7">
        <v>32544</v>
      </c>
      <c r="X7">
        <v>4566</v>
      </c>
      <c r="Y7">
        <v>34764</v>
      </c>
      <c r="Z7">
        <v>8234</v>
      </c>
      <c r="AA7">
        <v>281</v>
      </c>
      <c r="AB7">
        <v>261</v>
      </c>
      <c r="AC7">
        <v>1883</v>
      </c>
      <c r="AD7">
        <v>511</v>
      </c>
      <c r="AE7">
        <v>11753</v>
      </c>
      <c r="AF7">
        <v>5958</v>
      </c>
      <c r="AH7" t="s">
        <v>407</v>
      </c>
      <c r="AI7">
        <v>21720</v>
      </c>
      <c r="AJ7">
        <v>422.3676335175</v>
      </c>
      <c r="AK7">
        <v>32343</v>
      </c>
      <c r="AL7">
        <v>6443</v>
      </c>
      <c r="AM7">
        <v>33740</v>
      </c>
      <c r="AN7">
        <v>24111</v>
      </c>
      <c r="AO7">
        <v>10177</v>
      </c>
      <c r="AP7">
        <v>8197</v>
      </c>
      <c r="AQ7">
        <v>15602</v>
      </c>
      <c r="AR7">
        <v>10834</v>
      </c>
      <c r="AS7">
        <v>56</v>
      </c>
      <c r="AT7">
        <v>154</v>
      </c>
      <c r="AV7" t="s">
        <v>388</v>
      </c>
      <c r="AW7">
        <v>802</v>
      </c>
      <c r="AX7">
        <v>67.623441396499999</v>
      </c>
      <c r="AY7">
        <v>806</v>
      </c>
      <c r="AZ7">
        <v>77</v>
      </c>
      <c r="BA7">
        <v>1095</v>
      </c>
      <c r="BB7">
        <v>131</v>
      </c>
      <c r="BC7">
        <v>5</v>
      </c>
      <c r="BD7">
        <v>5</v>
      </c>
      <c r="BE7">
        <v>60</v>
      </c>
      <c r="BF7">
        <v>11</v>
      </c>
      <c r="BG7">
        <v>126</v>
      </c>
      <c r="BH7">
        <v>99</v>
      </c>
      <c r="BJ7" t="s">
        <v>631</v>
      </c>
      <c r="BK7" t="s">
        <v>385</v>
      </c>
      <c r="BL7">
        <v>637</v>
      </c>
      <c r="BM7">
        <v>42</v>
      </c>
      <c r="BN7">
        <v>53.540031397200003</v>
      </c>
      <c r="BO7">
        <v>2619</v>
      </c>
      <c r="BP7">
        <v>38</v>
      </c>
      <c r="BQ7">
        <v>84.032073310399994</v>
      </c>
      <c r="BR7">
        <v>61.394736842100002</v>
      </c>
      <c r="BS7">
        <v>490</v>
      </c>
      <c r="BT7">
        <v>111</v>
      </c>
      <c r="BU7">
        <v>89.497959183700004</v>
      </c>
      <c r="BV7">
        <v>4693</v>
      </c>
      <c r="BW7">
        <v>104</v>
      </c>
      <c r="BX7">
        <v>111.6827189431</v>
      </c>
      <c r="BY7">
        <v>86.961538461499998</v>
      </c>
      <c r="CA7" t="s">
        <v>411</v>
      </c>
      <c r="CB7" t="s">
        <v>767</v>
      </c>
      <c r="CC7" t="s">
        <v>993</v>
      </c>
      <c r="CD7">
        <v>3281</v>
      </c>
      <c r="CE7">
        <v>538</v>
      </c>
      <c r="CF7">
        <v>78.047241694600004</v>
      </c>
      <c r="CG7">
        <v>9237</v>
      </c>
      <c r="CH7">
        <v>104</v>
      </c>
      <c r="CI7">
        <v>115.54249215110001</v>
      </c>
      <c r="CJ7">
        <v>125.31730769230001</v>
      </c>
      <c r="CL7" t="s">
        <v>411</v>
      </c>
      <c r="CM7" t="s">
        <v>748</v>
      </c>
      <c r="CN7" t="s">
        <v>747</v>
      </c>
      <c r="CO7">
        <v>301</v>
      </c>
      <c r="CP7">
        <v>33</v>
      </c>
      <c r="CQ7">
        <v>68.152823920299994</v>
      </c>
      <c r="CR7">
        <v>1466</v>
      </c>
      <c r="CS7">
        <v>25</v>
      </c>
      <c r="CT7">
        <v>64.921555252399997</v>
      </c>
      <c r="CU7">
        <v>65.44</v>
      </c>
      <c r="CW7" t="s">
        <v>411</v>
      </c>
      <c r="CX7" t="s">
        <v>758</v>
      </c>
      <c r="CY7" t="s">
        <v>757</v>
      </c>
      <c r="CZ7">
        <v>47</v>
      </c>
      <c r="DA7">
        <v>8</v>
      </c>
      <c r="DB7">
        <v>73.297872340400005</v>
      </c>
      <c r="DC7">
        <v>103</v>
      </c>
      <c r="DD7">
        <v>1</v>
      </c>
      <c r="DE7">
        <v>135.26213592229999</v>
      </c>
      <c r="DF7">
        <v>124</v>
      </c>
      <c r="DH7" t="s">
        <v>411</v>
      </c>
      <c r="DI7" t="s">
        <v>738</v>
      </c>
      <c r="DJ7" t="s">
        <v>737</v>
      </c>
      <c r="DK7">
        <v>43</v>
      </c>
      <c r="DL7">
        <v>13</v>
      </c>
      <c r="DM7">
        <v>118.3023255814</v>
      </c>
      <c r="DN7">
        <v>77</v>
      </c>
      <c r="DO7">
        <v>0</v>
      </c>
      <c r="DP7">
        <v>124.38961038959999</v>
      </c>
      <c r="DQ7">
        <v>0</v>
      </c>
    </row>
    <row r="8" spans="2:121" x14ac:dyDescent="0.2">
      <c r="B8" t="s">
        <v>100</v>
      </c>
      <c r="C8">
        <v>297</v>
      </c>
      <c r="D8">
        <v>239</v>
      </c>
      <c r="F8" t="s">
        <v>58</v>
      </c>
      <c r="G8">
        <v>3045</v>
      </c>
      <c r="H8">
        <v>285.48341543510003</v>
      </c>
      <c r="I8">
        <v>8740</v>
      </c>
      <c r="J8">
        <v>1562</v>
      </c>
      <c r="K8">
        <v>5893</v>
      </c>
      <c r="L8">
        <v>2790</v>
      </c>
      <c r="M8">
        <v>2913</v>
      </c>
      <c r="N8">
        <v>2336</v>
      </c>
      <c r="O8">
        <v>1528</v>
      </c>
      <c r="P8">
        <v>1143</v>
      </c>
      <c r="Q8">
        <v>0</v>
      </c>
      <c r="R8">
        <v>277</v>
      </c>
      <c r="AH8" t="s">
        <v>403</v>
      </c>
      <c r="AI8">
        <v>6083</v>
      </c>
      <c r="AJ8">
        <v>418.38780207129997</v>
      </c>
      <c r="AK8">
        <v>6255</v>
      </c>
      <c r="AL8">
        <v>1418</v>
      </c>
      <c r="AM8">
        <v>9081</v>
      </c>
      <c r="AN8">
        <v>6169</v>
      </c>
      <c r="AO8">
        <v>3482</v>
      </c>
      <c r="AP8">
        <v>2795</v>
      </c>
      <c r="AQ8">
        <v>1840</v>
      </c>
      <c r="AR8">
        <v>1164</v>
      </c>
      <c r="AS8">
        <v>7</v>
      </c>
      <c r="AT8">
        <v>57</v>
      </c>
      <c r="AV8" t="s">
        <v>409</v>
      </c>
      <c r="AW8">
        <v>238</v>
      </c>
      <c r="AX8">
        <v>90.983193277300003</v>
      </c>
      <c r="AY8">
        <v>252</v>
      </c>
      <c r="AZ8">
        <v>9</v>
      </c>
      <c r="BA8">
        <v>337</v>
      </c>
      <c r="BB8">
        <v>48</v>
      </c>
      <c r="BC8">
        <v>1</v>
      </c>
      <c r="BD8">
        <v>1</v>
      </c>
      <c r="BE8">
        <v>9</v>
      </c>
      <c r="BF8">
        <v>6</v>
      </c>
      <c r="BG8">
        <v>393</v>
      </c>
      <c r="BH8">
        <v>66</v>
      </c>
      <c r="BJ8" t="s">
        <v>619</v>
      </c>
      <c r="BK8" t="s">
        <v>385</v>
      </c>
      <c r="BL8">
        <v>16754</v>
      </c>
      <c r="BM8">
        <v>4393</v>
      </c>
      <c r="BN8">
        <v>97.598722693100001</v>
      </c>
      <c r="BO8">
        <v>33588</v>
      </c>
      <c r="BP8">
        <v>494</v>
      </c>
      <c r="BQ8">
        <v>143.8457782541</v>
      </c>
      <c r="BR8">
        <v>158.26923076919999</v>
      </c>
      <c r="BS8">
        <v>3441</v>
      </c>
      <c r="BT8">
        <v>1503</v>
      </c>
      <c r="BU8">
        <v>131.8823016565</v>
      </c>
      <c r="BV8">
        <v>23618</v>
      </c>
      <c r="BW8">
        <v>363</v>
      </c>
      <c r="BX8">
        <v>136.75383182319999</v>
      </c>
      <c r="BY8">
        <v>177.64187327819999</v>
      </c>
      <c r="CA8" t="s">
        <v>403</v>
      </c>
      <c r="CB8" t="s">
        <v>767</v>
      </c>
      <c r="CC8" t="s">
        <v>994</v>
      </c>
      <c r="CD8">
        <v>5808</v>
      </c>
      <c r="CE8">
        <v>1338</v>
      </c>
      <c r="CF8">
        <v>93.919077134999995</v>
      </c>
      <c r="CG8">
        <v>15146</v>
      </c>
      <c r="CH8">
        <v>232</v>
      </c>
      <c r="CI8">
        <v>134.9419648752</v>
      </c>
      <c r="CJ8">
        <v>119.9612068966</v>
      </c>
      <c r="CL8" t="s">
        <v>403</v>
      </c>
      <c r="CM8" t="s">
        <v>748</v>
      </c>
      <c r="CN8" t="s">
        <v>749</v>
      </c>
      <c r="CO8">
        <v>376</v>
      </c>
      <c r="CP8">
        <v>35</v>
      </c>
      <c r="CQ8">
        <v>64.832446808499995</v>
      </c>
      <c r="CR8">
        <v>1406</v>
      </c>
      <c r="CS8">
        <v>19</v>
      </c>
      <c r="CT8">
        <v>66.945234708399994</v>
      </c>
      <c r="CU8">
        <v>62.789473684199997</v>
      </c>
      <c r="CW8" t="s">
        <v>403</v>
      </c>
      <c r="CX8" t="s">
        <v>758</v>
      </c>
      <c r="CY8" t="s">
        <v>759</v>
      </c>
      <c r="CZ8">
        <v>210</v>
      </c>
      <c r="DA8">
        <v>36</v>
      </c>
      <c r="DB8">
        <v>70.080952381000003</v>
      </c>
      <c r="DC8">
        <v>532</v>
      </c>
      <c r="DD8">
        <v>13</v>
      </c>
      <c r="DE8">
        <v>134.06578947369999</v>
      </c>
      <c r="DF8">
        <v>98.461538461499998</v>
      </c>
      <c r="DH8" t="s">
        <v>403</v>
      </c>
      <c r="DI8" t="s">
        <v>738</v>
      </c>
      <c r="DJ8" t="s">
        <v>739</v>
      </c>
      <c r="DK8">
        <v>244</v>
      </c>
      <c r="DL8">
        <v>32</v>
      </c>
      <c r="DM8">
        <v>59.549180327899997</v>
      </c>
      <c r="DN8">
        <v>845</v>
      </c>
      <c r="DO8">
        <v>6</v>
      </c>
      <c r="DP8">
        <v>114.2769230769</v>
      </c>
      <c r="DQ8">
        <v>121.1666666667</v>
      </c>
    </row>
    <row r="9" spans="2:121" x14ac:dyDescent="0.2">
      <c r="B9" t="s">
        <v>92</v>
      </c>
      <c r="C9">
        <v>8</v>
      </c>
      <c r="D9">
        <v>3</v>
      </c>
      <c r="F9" t="s">
        <v>59</v>
      </c>
      <c r="G9">
        <v>3900</v>
      </c>
      <c r="H9">
        <v>461.40384615379998</v>
      </c>
      <c r="I9">
        <v>5314</v>
      </c>
      <c r="J9">
        <v>1088</v>
      </c>
      <c r="K9">
        <v>5265</v>
      </c>
      <c r="L9">
        <v>3644</v>
      </c>
      <c r="M9">
        <v>1065</v>
      </c>
      <c r="N9">
        <v>717</v>
      </c>
      <c r="O9">
        <v>1741</v>
      </c>
      <c r="P9">
        <v>1191</v>
      </c>
      <c r="Q9">
        <v>2</v>
      </c>
      <c r="R9">
        <v>270</v>
      </c>
      <c r="AH9" t="s">
        <v>373</v>
      </c>
      <c r="AI9">
        <v>756</v>
      </c>
      <c r="AJ9">
        <v>317.23280423279999</v>
      </c>
      <c r="AK9">
        <v>1734</v>
      </c>
      <c r="AL9">
        <v>358</v>
      </c>
      <c r="AM9">
        <v>1873</v>
      </c>
      <c r="AN9">
        <v>960</v>
      </c>
      <c r="AO9">
        <v>643</v>
      </c>
      <c r="AP9">
        <v>395</v>
      </c>
      <c r="AQ9">
        <v>1125</v>
      </c>
      <c r="AR9">
        <v>805</v>
      </c>
      <c r="AS9">
        <v>328</v>
      </c>
      <c r="AT9">
        <v>5</v>
      </c>
      <c r="AV9" t="s">
        <v>417</v>
      </c>
      <c r="AW9">
        <v>42</v>
      </c>
      <c r="AX9">
        <v>95.761904761899999</v>
      </c>
      <c r="AY9">
        <v>53</v>
      </c>
      <c r="AZ9">
        <v>9</v>
      </c>
      <c r="BA9">
        <v>51</v>
      </c>
      <c r="BB9">
        <v>13</v>
      </c>
      <c r="BC9">
        <v>0</v>
      </c>
      <c r="BE9">
        <v>3</v>
      </c>
      <c r="BF9">
        <v>1</v>
      </c>
      <c r="BG9">
        <v>5</v>
      </c>
      <c r="BH9">
        <v>8</v>
      </c>
      <c r="BJ9" t="s">
        <v>555</v>
      </c>
      <c r="BK9" t="s">
        <v>385</v>
      </c>
      <c r="BL9">
        <v>4621</v>
      </c>
      <c r="BM9">
        <v>1578</v>
      </c>
      <c r="BN9">
        <v>142.24994589919999</v>
      </c>
      <c r="BO9">
        <v>7081</v>
      </c>
      <c r="BP9">
        <v>124</v>
      </c>
      <c r="BQ9">
        <v>153.2746787177</v>
      </c>
      <c r="BR9">
        <v>229.12903225810001</v>
      </c>
      <c r="BS9">
        <v>1239</v>
      </c>
      <c r="BT9">
        <v>578</v>
      </c>
      <c r="BU9">
        <v>157.4366424536</v>
      </c>
      <c r="BV9">
        <v>9424</v>
      </c>
      <c r="BW9">
        <v>222</v>
      </c>
      <c r="BX9">
        <v>152.90078522920001</v>
      </c>
      <c r="BY9">
        <v>177.2432432432</v>
      </c>
      <c r="CA9" t="s">
        <v>387</v>
      </c>
      <c r="CB9" t="s">
        <v>767</v>
      </c>
      <c r="CC9" t="s">
        <v>995</v>
      </c>
      <c r="CD9">
        <v>5505</v>
      </c>
      <c r="CE9">
        <v>1114</v>
      </c>
      <c r="CF9">
        <v>87.922252497700001</v>
      </c>
      <c r="CG9">
        <v>13127</v>
      </c>
      <c r="CH9">
        <v>232</v>
      </c>
      <c r="CI9">
        <v>133.79385998320001</v>
      </c>
      <c r="CJ9">
        <v>129.13793103450001</v>
      </c>
      <c r="CL9" t="s">
        <v>387</v>
      </c>
      <c r="CM9" t="s">
        <v>748</v>
      </c>
      <c r="CN9" t="s">
        <v>750</v>
      </c>
      <c r="CO9">
        <v>432</v>
      </c>
      <c r="CP9">
        <v>55</v>
      </c>
      <c r="CQ9">
        <v>69.090277777799997</v>
      </c>
      <c r="CR9">
        <v>1878</v>
      </c>
      <c r="CS9">
        <v>16</v>
      </c>
      <c r="CT9">
        <v>67.258253461099997</v>
      </c>
      <c r="CU9">
        <v>65.5625</v>
      </c>
      <c r="CW9" t="s">
        <v>387</v>
      </c>
      <c r="CX9" t="s">
        <v>758</v>
      </c>
      <c r="CY9" t="s">
        <v>760</v>
      </c>
      <c r="CZ9">
        <v>79</v>
      </c>
      <c r="DA9">
        <v>14</v>
      </c>
      <c r="DB9">
        <v>77.924050632900006</v>
      </c>
      <c r="DC9">
        <v>138</v>
      </c>
      <c r="DD9">
        <v>4</v>
      </c>
      <c r="DE9">
        <v>140.0942028986</v>
      </c>
      <c r="DF9">
        <v>86</v>
      </c>
      <c r="DH9" t="s">
        <v>387</v>
      </c>
      <c r="DI9" t="s">
        <v>738</v>
      </c>
      <c r="DJ9" t="s">
        <v>740</v>
      </c>
      <c r="DK9">
        <v>110</v>
      </c>
      <c r="DL9">
        <v>21</v>
      </c>
      <c r="DM9">
        <v>74.072727272700007</v>
      </c>
      <c r="DN9">
        <v>292</v>
      </c>
      <c r="DO9">
        <v>11</v>
      </c>
      <c r="DP9">
        <v>118.80136986300001</v>
      </c>
      <c r="DQ9">
        <v>111.9090909091</v>
      </c>
    </row>
    <row r="10" spans="2:121" x14ac:dyDescent="0.2">
      <c r="B10" t="s">
        <v>111</v>
      </c>
      <c r="C10">
        <v>8729</v>
      </c>
      <c r="D10">
        <v>536</v>
      </c>
      <c r="F10" t="s">
        <v>24</v>
      </c>
      <c r="G10">
        <v>628</v>
      </c>
      <c r="H10">
        <v>222.59713375800001</v>
      </c>
      <c r="I10">
        <v>3850</v>
      </c>
      <c r="J10">
        <v>824</v>
      </c>
      <c r="K10">
        <v>1790</v>
      </c>
      <c r="L10">
        <v>941</v>
      </c>
      <c r="M10">
        <v>966</v>
      </c>
      <c r="N10">
        <v>654</v>
      </c>
      <c r="O10">
        <v>316</v>
      </c>
      <c r="P10">
        <v>155</v>
      </c>
      <c r="Q10">
        <v>0</v>
      </c>
      <c r="R10">
        <v>0</v>
      </c>
      <c r="AH10" t="s">
        <v>423</v>
      </c>
      <c r="AI10">
        <v>760</v>
      </c>
      <c r="AJ10">
        <v>430.19868421050001</v>
      </c>
      <c r="AK10">
        <v>928</v>
      </c>
      <c r="AL10">
        <v>207</v>
      </c>
      <c r="AM10">
        <v>1008</v>
      </c>
      <c r="AN10">
        <v>715</v>
      </c>
      <c r="AO10">
        <v>220</v>
      </c>
      <c r="AP10">
        <v>175</v>
      </c>
      <c r="AQ10">
        <v>370</v>
      </c>
      <c r="AR10">
        <v>222</v>
      </c>
      <c r="AS10">
        <v>87</v>
      </c>
      <c r="AT10">
        <v>0</v>
      </c>
      <c r="AV10" t="s">
        <v>371</v>
      </c>
      <c r="AW10">
        <v>397</v>
      </c>
      <c r="AX10">
        <v>105.879093199</v>
      </c>
      <c r="AY10">
        <v>629</v>
      </c>
      <c r="AZ10">
        <v>139</v>
      </c>
      <c r="BA10">
        <v>530</v>
      </c>
      <c r="BB10">
        <v>166</v>
      </c>
      <c r="BC10">
        <v>3</v>
      </c>
      <c r="BD10">
        <v>3</v>
      </c>
      <c r="BE10">
        <v>42</v>
      </c>
      <c r="BF10">
        <v>8</v>
      </c>
      <c r="BG10">
        <v>66</v>
      </c>
      <c r="BH10">
        <v>143</v>
      </c>
      <c r="BJ10" t="s">
        <v>607</v>
      </c>
      <c r="BK10" t="s">
        <v>385</v>
      </c>
      <c r="BL10">
        <v>3208</v>
      </c>
      <c r="BM10">
        <v>484</v>
      </c>
      <c r="BN10">
        <v>76.124688279300003</v>
      </c>
      <c r="BO10">
        <v>8902</v>
      </c>
      <c r="BP10">
        <v>99</v>
      </c>
      <c r="BQ10">
        <v>116.386879353</v>
      </c>
      <c r="BR10">
        <v>125.7272727273</v>
      </c>
      <c r="BS10">
        <v>1149</v>
      </c>
      <c r="BT10">
        <v>321</v>
      </c>
      <c r="BU10">
        <v>101.6597040905</v>
      </c>
      <c r="BV10">
        <v>10010</v>
      </c>
      <c r="BW10">
        <v>122</v>
      </c>
      <c r="BX10">
        <v>123.68821178819999</v>
      </c>
      <c r="BY10">
        <v>119.3114754098</v>
      </c>
      <c r="CA10" t="s">
        <v>389</v>
      </c>
      <c r="CB10" t="s">
        <v>767</v>
      </c>
      <c r="CC10" t="s">
        <v>996</v>
      </c>
      <c r="CD10">
        <v>4742</v>
      </c>
      <c r="CE10">
        <v>1583</v>
      </c>
      <c r="CF10">
        <v>136.10269928299999</v>
      </c>
      <c r="CG10">
        <v>8075</v>
      </c>
      <c r="CH10">
        <v>128</v>
      </c>
      <c r="CI10">
        <v>151.1765944272</v>
      </c>
      <c r="CJ10">
        <v>220.21875</v>
      </c>
      <c r="CL10" t="s">
        <v>389</v>
      </c>
      <c r="CM10" t="s">
        <v>748</v>
      </c>
      <c r="CN10" t="s">
        <v>751</v>
      </c>
      <c r="CO10">
        <v>314</v>
      </c>
      <c r="CP10">
        <v>49</v>
      </c>
      <c r="CQ10">
        <v>75.426751592399995</v>
      </c>
      <c r="CR10">
        <v>1395</v>
      </c>
      <c r="CS10">
        <v>22</v>
      </c>
      <c r="CT10">
        <v>75.936200716800002</v>
      </c>
      <c r="CU10">
        <v>100.1818181818</v>
      </c>
      <c r="CW10" t="s">
        <v>389</v>
      </c>
      <c r="CX10" t="s">
        <v>758</v>
      </c>
      <c r="CY10" t="s">
        <v>761</v>
      </c>
      <c r="CZ10">
        <v>59</v>
      </c>
      <c r="DA10">
        <v>19</v>
      </c>
      <c r="DB10">
        <v>100.7118644068</v>
      </c>
      <c r="DC10">
        <v>136</v>
      </c>
      <c r="DD10">
        <v>3</v>
      </c>
      <c r="DE10">
        <v>145.4779411765</v>
      </c>
      <c r="DF10">
        <v>183.3333333333</v>
      </c>
      <c r="DH10" t="s">
        <v>389</v>
      </c>
      <c r="DI10" t="s">
        <v>738</v>
      </c>
      <c r="DJ10" t="s">
        <v>741</v>
      </c>
      <c r="DK10">
        <v>58</v>
      </c>
      <c r="DL10">
        <v>13</v>
      </c>
      <c r="DM10">
        <v>88.344827586199997</v>
      </c>
      <c r="DN10">
        <v>150</v>
      </c>
      <c r="DO10">
        <v>5</v>
      </c>
      <c r="DP10">
        <v>135.6266666667</v>
      </c>
      <c r="DQ10">
        <v>166</v>
      </c>
    </row>
    <row r="11" spans="2:121" x14ac:dyDescent="0.2">
      <c r="B11" t="s">
        <v>97</v>
      </c>
      <c r="C11">
        <v>145</v>
      </c>
      <c r="D11">
        <v>91</v>
      </c>
      <c r="F11" t="s">
        <v>57</v>
      </c>
      <c r="G11">
        <v>11013</v>
      </c>
      <c r="H11">
        <v>368.06819213659998</v>
      </c>
      <c r="I11">
        <v>7444</v>
      </c>
      <c r="J11">
        <v>1851</v>
      </c>
      <c r="K11">
        <v>13116</v>
      </c>
      <c r="L11">
        <v>9311</v>
      </c>
      <c r="M11">
        <v>4243</v>
      </c>
      <c r="N11">
        <v>3878</v>
      </c>
      <c r="O11">
        <v>1288</v>
      </c>
      <c r="P11">
        <v>584</v>
      </c>
      <c r="Q11">
        <v>0</v>
      </c>
      <c r="R11">
        <v>408</v>
      </c>
      <c r="AH11" t="s">
        <v>414</v>
      </c>
      <c r="AI11">
        <v>479</v>
      </c>
      <c r="AJ11">
        <v>635.04801670150005</v>
      </c>
      <c r="AK11">
        <v>453</v>
      </c>
      <c r="AL11">
        <v>78</v>
      </c>
      <c r="AM11">
        <v>676</v>
      </c>
      <c r="AN11">
        <v>471</v>
      </c>
      <c r="AO11">
        <v>216</v>
      </c>
      <c r="AP11">
        <v>184</v>
      </c>
      <c r="AQ11">
        <v>369</v>
      </c>
      <c r="AR11">
        <v>270</v>
      </c>
      <c r="AS11">
        <v>36</v>
      </c>
      <c r="AT11">
        <v>0</v>
      </c>
      <c r="AV11" t="s">
        <v>425</v>
      </c>
      <c r="AW11">
        <v>2716</v>
      </c>
      <c r="AX11">
        <v>105.82474226799999</v>
      </c>
      <c r="AY11">
        <v>3819</v>
      </c>
      <c r="AZ11">
        <v>691</v>
      </c>
      <c r="BA11">
        <v>3454</v>
      </c>
      <c r="BB11">
        <v>1109</v>
      </c>
      <c r="BC11">
        <v>19</v>
      </c>
      <c r="BD11">
        <v>17</v>
      </c>
      <c r="BE11">
        <v>178</v>
      </c>
      <c r="BF11">
        <v>49</v>
      </c>
      <c r="BG11">
        <v>476</v>
      </c>
      <c r="BH11">
        <v>653</v>
      </c>
      <c r="BJ11" t="s">
        <v>609</v>
      </c>
      <c r="BK11" t="s">
        <v>385</v>
      </c>
      <c r="BL11">
        <v>5140</v>
      </c>
      <c r="BM11">
        <v>609</v>
      </c>
      <c r="BN11">
        <v>67.135603112799998</v>
      </c>
      <c r="BO11">
        <v>18245</v>
      </c>
      <c r="BP11">
        <v>451</v>
      </c>
      <c r="BQ11">
        <v>112.35280898880001</v>
      </c>
      <c r="BR11">
        <v>77.9135254989</v>
      </c>
      <c r="BS11">
        <v>3415</v>
      </c>
      <c r="BT11">
        <v>478</v>
      </c>
      <c r="BU11">
        <v>76.001464128799995</v>
      </c>
      <c r="BV11">
        <v>23271</v>
      </c>
      <c r="BW11">
        <v>458</v>
      </c>
      <c r="BX11">
        <v>121.6136822655</v>
      </c>
      <c r="BY11">
        <v>81.150655021800006</v>
      </c>
      <c r="CA11" t="s">
        <v>418</v>
      </c>
      <c r="CB11" t="s">
        <v>767</v>
      </c>
      <c r="CC11" t="s">
        <v>997</v>
      </c>
      <c r="CD11">
        <v>662</v>
      </c>
      <c r="CE11">
        <v>52</v>
      </c>
      <c r="CF11">
        <v>55.895770392700001</v>
      </c>
      <c r="CG11">
        <v>2875</v>
      </c>
      <c r="CH11">
        <v>49</v>
      </c>
      <c r="CI11">
        <v>85.168347826100003</v>
      </c>
      <c r="CJ11">
        <v>79.591836734699996</v>
      </c>
      <c r="CL11" t="s">
        <v>418</v>
      </c>
      <c r="CM11" t="s">
        <v>748</v>
      </c>
      <c r="CN11" t="s">
        <v>752</v>
      </c>
      <c r="CO11">
        <v>97</v>
      </c>
      <c r="CP11">
        <v>6</v>
      </c>
      <c r="CQ11">
        <v>53.670103092799998</v>
      </c>
      <c r="CR11">
        <v>431</v>
      </c>
      <c r="CS11">
        <v>8</v>
      </c>
      <c r="CT11">
        <v>59.129930394399999</v>
      </c>
      <c r="CU11">
        <v>63.75</v>
      </c>
      <c r="CW11" t="s">
        <v>418</v>
      </c>
      <c r="CX11" t="s">
        <v>758</v>
      </c>
      <c r="CY11" t="s">
        <v>762</v>
      </c>
      <c r="CZ11">
        <v>11</v>
      </c>
      <c r="DA11">
        <v>3</v>
      </c>
      <c r="DB11">
        <v>84.090909090899999</v>
      </c>
      <c r="DC11">
        <v>51</v>
      </c>
      <c r="DD11">
        <v>1</v>
      </c>
      <c r="DE11">
        <v>139.07843137250001</v>
      </c>
      <c r="DF11">
        <v>19</v>
      </c>
      <c r="DH11" t="s">
        <v>418</v>
      </c>
      <c r="DI11" t="s">
        <v>738</v>
      </c>
      <c r="DJ11" t="s">
        <v>742</v>
      </c>
      <c r="DK11">
        <v>12</v>
      </c>
      <c r="DL11">
        <v>1</v>
      </c>
      <c r="DM11">
        <v>59.833333333299997</v>
      </c>
      <c r="DN11">
        <v>38</v>
      </c>
      <c r="DO11">
        <v>0</v>
      </c>
      <c r="DP11">
        <v>115.1315789474</v>
      </c>
      <c r="DQ11">
        <v>0</v>
      </c>
    </row>
    <row r="12" spans="2:121" x14ac:dyDescent="0.2">
      <c r="B12" t="s">
        <v>121</v>
      </c>
      <c r="C12">
        <v>865</v>
      </c>
      <c r="D12">
        <v>369</v>
      </c>
      <c r="F12" t="s">
        <v>33</v>
      </c>
      <c r="G12">
        <v>8972</v>
      </c>
      <c r="H12">
        <v>718.6730940704</v>
      </c>
      <c r="I12">
        <v>4880</v>
      </c>
      <c r="J12">
        <v>1201</v>
      </c>
      <c r="K12">
        <v>10503</v>
      </c>
      <c r="L12">
        <v>8691</v>
      </c>
      <c r="M12">
        <v>3491</v>
      </c>
      <c r="N12">
        <v>3086</v>
      </c>
      <c r="O12">
        <v>1503</v>
      </c>
      <c r="P12">
        <v>1166</v>
      </c>
      <c r="Q12">
        <v>0</v>
      </c>
      <c r="R12">
        <v>6</v>
      </c>
      <c r="T12" t="s">
        <v>648</v>
      </c>
      <c r="U12" t="s">
        <v>306</v>
      </c>
      <c r="V12" t="s">
        <v>133</v>
      </c>
      <c r="W12" t="s">
        <v>214</v>
      </c>
      <c r="X12" t="s">
        <v>215</v>
      </c>
      <c r="Y12" t="s">
        <v>216</v>
      </c>
      <c r="Z12" t="s">
        <v>217</v>
      </c>
      <c r="AA12" t="s">
        <v>218</v>
      </c>
      <c r="AB12" t="s">
        <v>219</v>
      </c>
      <c r="AC12" t="s">
        <v>220</v>
      </c>
      <c r="AD12" t="s">
        <v>221</v>
      </c>
      <c r="AE12" t="s">
        <v>222</v>
      </c>
      <c r="AF12" t="s">
        <v>223</v>
      </c>
      <c r="AH12" t="s">
        <v>425</v>
      </c>
      <c r="AI12">
        <v>19121</v>
      </c>
      <c r="AJ12">
        <v>342.059045029</v>
      </c>
      <c r="AK12">
        <v>25325</v>
      </c>
      <c r="AL12">
        <v>5686</v>
      </c>
      <c r="AM12">
        <v>25987</v>
      </c>
      <c r="AN12">
        <v>17415</v>
      </c>
      <c r="AO12">
        <v>7632</v>
      </c>
      <c r="AP12">
        <v>5928</v>
      </c>
      <c r="AQ12">
        <v>18684</v>
      </c>
      <c r="AR12">
        <v>12884</v>
      </c>
      <c r="AS12">
        <v>2439</v>
      </c>
      <c r="AT12">
        <v>311</v>
      </c>
      <c r="AV12" t="s">
        <v>387</v>
      </c>
      <c r="AW12">
        <v>463</v>
      </c>
      <c r="AX12">
        <v>74.831533477299999</v>
      </c>
      <c r="AY12">
        <v>477</v>
      </c>
      <c r="AZ12">
        <v>43</v>
      </c>
      <c r="BA12">
        <v>585</v>
      </c>
      <c r="BB12">
        <v>70</v>
      </c>
      <c r="BC12">
        <v>2</v>
      </c>
      <c r="BD12">
        <v>1</v>
      </c>
      <c r="BE12">
        <v>38</v>
      </c>
      <c r="BF12">
        <v>8</v>
      </c>
      <c r="BG12">
        <v>91</v>
      </c>
      <c r="BH12">
        <v>79</v>
      </c>
      <c r="BJ12" t="s">
        <v>551</v>
      </c>
      <c r="BK12" t="s">
        <v>385</v>
      </c>
      <c r="BL12">
        <v>5327</v>
      </c>
      <c r="BM12">
        <v>1076</v>
      </c>
      <c r="BN12">
        <v>87.896752393499995</v>
      </c>
      <c r="BO12">
        <v>12319</v>
      </c>
      <c r="BP12">
        <v>219</v>
      </c>
      <c r="BQ12">
        <v>138.2837892686</v>
      </c>
      <c r="BR12">
        <v>133.37899543379999</v>
      </c>
      <c r="BS12">
        <v>759</v>
      </c>
      <c r="BT12">
        <v>259</v>
      </c>
      <c r="BU12">
        <v>116.7839262187</v>
      </c>
      <c r="BV12">
        <v>9391</v>
      </c>
      <c r="BW12">
        <v>164</v>
      </c>
      <c r="BX12">
        <v>139.52241507830001</v>
      </c>
      <c r="BY12">
        <v>157.13414634150001</v>
      </c>
      <c r="CA12" t="s">
        <v>412</v>
      </c>
      <c r="CB12" t="s">
        <v>767</v>
      </c>
      <c r="CC12" t="s">
        <v>998</v>
      </c>
      <c r="CD12">
        <v>5186</v>
      </c>
      <c r="CE12">
        <v>608</v>
      </c>
      <c r="CF12">
        <v>66.230042421899995</v>
      </c>
      <c r="CG12">
        <v>18362</v>
      </c>
      <c r="CH12">
        <v>469</v>
      </c>
      <c r="CI12">
        <v>98.271920270099997</v>
      </c>
      <c r="CJ12">
        <v>73.968017057599994</v>
      </c>
      <c r="CL12" t="s">
        <v>412</v>
      </c>
      <c r="CM12" t="s">
        <v>748</v>
      </c>
      <c r="CN12" t="s">
        <v>753</v>
      </c>
      <c r="CO12">
        <v>448</v>
      </c>
      <c r="CP12">
        <v>35</v>
      </c>
      <c r="CQ12">
        <v>61.602678571399998</v>
      </c>
      <c r="CR12">
        <v>2075</v>
      </c>
      <c r="CS12">
        <v>33</v>
      </c>
      <c r="CT12">
        <v>65.738313253000001</v>
      </c>
      <c r="CU12">
        <v>60.787878787899999</v>
      </c>
      <c r="CW12" t="s">
        <v>412</v>
      </c>
      <c r="CX12" t="s">
        <v>758</v>
      </c>
      <c r="CY12" t="s">
        <v>763</v>
      </c>
      <c r="CZ12">
        <v>95</v>
      </c>
      <c r="DA12">
        <v>14</v>
      </c>
      <c r="DB12">
        <v>69.400000000000006</v>
      </c>
      <c r="DC12">
        <v>235</v>
      </c>
      <c r="DD12">
        <v>3</v>
      </c>
      <c r="DE12">
        <v>130.54042553190001</v>
      </c>
      <c r="DF12">
        <v>72.333333333300004</v>
      </c>
      <c r="DH12" t="s">
        <v>412</v>
      </c>
      <c r="DI12" t="s">
        <v>738</v>
      </c>
      <c r="DJ12" t="s">
        <v>743</v>
      </c>
      <c r="DK12">
        <v>141</v>
      </c>
      <c r="DL12">
        <v>22</v>
      </c>
      <c r="DM12">
        <v>60.7730496454</v>
      </c>
      <c r="DN12">
        <v>402</v>
      </c>
      <c r="DO12">
        <v>4</v>
      </c>
      <c r="DP12">
        <v>118</v>
      </c>
      <c r="DQ12">
        <v>49</v>
      </c>
    </row>
    <row r="13" spans="2:121" x14ac:dyDescent="0.2">
      <c r="B13" t="s">
        <v>128</v>
      </c>
      <c r="C13">
        <v>863</v>
      </c>
      <c r="D13">
        <v>57</v>
      </c>
      <c r="F13" t="s">
        <v>34</v>
      </c>
      <c r="G13">
        <v>337</v>
      </c>
      <c r="H13">
        <v>75.261127596400001</v>
      </c>
      <c r="I13">
        <v>1579</v>
      </c>
      <c r="J13">
        <v>360</v>
      </c>
      <c r="K13">
        <v>505</v>
      </c>
      <c r="L13">
        <v>59</v>
      </c>
      <c r="M13">
        <v>74</v>
      </c>
      <c r="N13">
        <v>22</v>
      </c>
      <c r="O13">
        <v>153</v>
      </c>
      <c r="P13">
        <v>84</v>
      </c>
      <c r="Q13">
        <v>0</v>
      </c>
      <c r="R13">
        <v>4</v>
      </c>
      <c r="T13" t="s">
        <v>385</v>
      </c>
      <c r="U13">
        <v>43142</v>
      </c>
      <c r="V13">
        <v>380.45983032779998</v>
      </c>
      <c r="W13">
        <v>62174</v>
      </c>
      <c r="X13">
        <v>13610</v>
      </c>
      <c r="Y13">
        <v>65931</v>
      </c>
      <c r="Z13">
        <v>42676</v>
      </c>
      <c r="AA13">
        <v>20297</v>
      </c>
      <c r="AB13">
        <v>14732</v>
      </c>
      <c r="AC13">
        <v>17270</v>
      </c>
      <c r="AD13">
        <v>9939</v>
      </c>
      <c r="AE13">
        <v>53</v>
      </c>
      <c r="AF13">
        <v>1149</v>
      </c>
      <c r="AH13" t="s">
        <v>381</v>
      </c>
      <c r="AI13">
        <v>13723</v>
      </c>
      <c r="AJ13">
        <v>365.19835312980001</v>
      </c>
      <c r="AK13">
        <v>19552</v>
      </c>
      <c r="AL13">
        <v>5067</v>
      </c>
      <c r="AM13">
        <v>20116</v>
      </c>
      <c r="AN13">
        <v>13787</v>
      </c>
      <c r="AO13">
        <v>8114</v>
      </c>
      <c r="AP13">
        <v>6634</v>
      </c>
      <c r="AQ13">
        <v>13812</v>
      </c>
      <c r="AR13">
        <v>10875</v>
      </c>
      <c r="AS13">
        <v>1230</v>
      </c>
      <c r="AT13">
        <v>35</v>
      </c>
      <c r="AV13" t="s">
        <v>408</v>
      </c>
      <c r="AW13">
        <v>82</v>
      </c>
      <c r="AX13">
        <v>64.146341463400006</v>
      </c>
      <c r="AY13">
        <v>97</v>
      </c>
      <c r="AZ13">
        <v>3</v>
      </c>
      <c r="BA13">
        <v>124</v>
      </c>
      <c r="BB13">
        <v>14</v>
      </c>
      <c r="BC13">
        <v>1</v>
      </c>
      <c r="BD13">
        <v>1</v>
      </c>
      <c r="BE13">
        <v>5</v>
      </c>
      <c r="BF13">
        <v>2</v>
      </c>
      <c r="BG13">
        <v>111</v>
      </c>
      <c r="BH13">
        <v>16</v>
      </c>
      <c r="BJ13" t="s">
        <v>588</v>
      </c>
      <c r="BK13" t="s">
        <v>385</v>
      </c>
      <c r="BL13">
        <v>2669</v>
      </c>
      <c r="BM13">
        <v>544</v>
      </c>
      <c r="BN13">
        <v>86.626451854600006</v>
      </c>
      <c r="BO13">
        <v>4320</v>
      </c>
      <c r="BP13">
        <v>105</v>
      </c>
      <c r="BQ13">
        <v>134.52337962959999</v>
      </c>
      <c r="BR13">
        <v>133.79047619049999</v>
      </c>
      <c r="BS13">
        <v>722</v>
      </c>
      <c r="BT13">
        <v>141</v>
      </c>
      <c r="BU13">
        <v>90.067867035999996</v>
      </c>
      <c r="BV13">
        <v>7896</v>
      </c>
      <c r="BW13">
        <v>170</v>
      </c>
      <c r="BX13">
        <v>148.14703647420001</v>
      </c>
      <c r="BY13">
        <v>114.01764705879999</v>
      </c>
      <c r="CA13" t="s">
        <v>410</v>
      </c>
      <c r="CB13" t="s">
        <v>767</v>
      </c>
      <c r="CC13" t="s">
        <v>999</v>
      </c>
      <c r="CD13">
        <v>33666</v>
      </c>
      <c r="CE13">
        <v>7383</v>
      </c>
      <c r="CF13">
        <v>90.153032733299995</v>
      </c>
      <c r="CG13">
        <v>77825</v>
      </c>
      <c r="CH13">
        <v>1266</v>
      </c>
      <c r="CI13">
        <v>130.390594282</v>
      </c>
      <c r="CJ13">
        <v>131.49921011059999</v>
      </c>
      <c r="CL13" t="s">
        <v>410</v>
      </c>
      <c r="CM13" t="s">
        <v>748</v>
      </c>
      <c r="CN13" t="s">
        <v>754</v>
      </c>
      <c r="CO13">
        <v>1898</v>
      </c>
      <c r="CP13">
        <v>159</v>
      </c>
      <c r="CQ13">
        <v>62.404636459400002</v>
      </c>
      <c r="CR13">
        <v>8184</v>
      </c>
      <c r="CS13">
        <v>104</v>
      </c>
      <c r="CT13">
        <v>67.258675464299998</v>
      </c>
      <c r="CU13">
        <v>68.115384615400004</v>
      </c>
      <c r="CW13" t="s">
        <v>410</v>
      </c>
      <c r="CX13" t="s">
        <v>758</v>
      </c>
      <c r="CY13" t="s">
        <v>764</v>
      </c>
      <c r="CZ13">
        <v>946</v>
      </c>
      <c r="DA13">
        <v>164</v>
      </c>
      <c r="DB13">
        <v>74.877378435500006</v>
      </c>
      <c r="DC13">
        <v>2079</v>
      </c>
      <c r="DD13">
        <v>59</v>
      </c>
      <c r="DE13">
        <v>135.89129389129999</v>
      </c>
      <c r="DF13">
        <v>121</v>
      </c>
      <c r="DH13" t="s">
        <v>410</v>
      </c>
      <c r="DI13" t="s">
        <v>738</v>
      </c>
      <c r="DJ13" t="s">
        <v>744</v>
      </c>
      <c r="DK13">
        <v>946</v>
      </c>
      <c r="DL13">
        <v>154</v>
      </c>
      <c r="DM13">
        <v>74.285412262199998</v>
      </c>
      <c r="DN13">
        <v>2210</v>
      </c>
      <c r="DO13">
        <v>56</v>
      </c>
      <c r="DP13">
        <v>125.90226244340001</v>
      </c>
      <c r="DQ13">
        <v>83.553571428599994</v>
      </c>
    </row>
    <row r="14" spans="2:121" x14ac:dyDescent="0.2">
      <c r="B14" t="s">
        <v>118</v>
      </c>
      <c r="C14">
        <v>28</v>
      </c>
      <c r="D14">
        <v>16</v>
      </c>
      <c r="F14" t="s">
        <v>38</v>
      </c>
      <c r="G14">
        <v>4191</v>
      </c>
      <c r="H14">
        <v>430.55786208540002</v>
      </c>
      <c r="I14">
        <v>7540</v>
      </c>
      <c r="J14">
        <v>1395</v>
      </c>
      <c r="K14">
        <v>6114</v>
      </c>
      <c r="L14">
        <v>3562</v>
      </c>
      <c r="M14">
        <v>1733</v>
      </c>
      <c r="N14">
        <v>1520</v>
      </c>
      <c r="O14">
        <v>2819</v>
      </c>
      <c r="P14">
        <v>2212</v>
      </c>
      <c r="Q14">
        <v>2</v>
      </c>
      <c r="R14">
        <v>327</v>
      </c>
      <c r="T14" t="s">
        <v>390</v>
      </c>
      <c r="U14">
        <v>34141</v>
      </c>
      <c r="V14">
        <v>349.62086640699999</v>
      </c>
      <c r="W14">
        <v>56419</v>
      </c>
      <c r="X14">
        <v>10643</v>
      </c>
      <c r="Y14">
        <v>57164</v>
      </c>
      <c r="Z14">
        <v>32351</v>
      </c>
      <c r="AA14">
        <v>18382</v>
      </c>
      <c r="AB14">
        <v>14553</v>
      </c>
      <c r="AC14">
        <v>12697</v>
      </c>
      <c r="AD14">
        <v>8416</v>
      </c>
      <c r="AE14">
        <v>8715</v>
      </c>
      <c r="AF14">
        <v>1064</v>
      </c>
      <c r="AH14" t="s">
        <v>428</v>
      </c>
      <c r="AI14">
        <v>1284</v>
      </c>
      <c r="AJ14">
        <v>313.94314641739999</v>
      </c>
      <c r="AK14">
        <v>1786</v>
      </c>
      <c r="AL14">
        <v>280</v>
      </c>
      <c r="AM14">
        <v>1828</v>
      </c>
      <c r="AN14">
        <v>1165</v>
      </c>
      <c r="AO14">
        <v>1008</v>
      </c>
      <c r="AP14">
        <v>588</v>
      </c>
      <c r="AQ14">
        <v>630</v>
      </c>
      <c r="AR14">
        <v>399</v>
      </c>
      <c r="AS14">
        <v>3</v>
      </c>
      <c r="AT14">
        <v>5</v>
      </c>
      <c r="AV14" t="s">
        <v>393</v>
      </c>
      <c r="AW14">
        <v>300</v>
      </c>
      <c r="AX14">
        <v>75.173333333299993</v>
      </c>
      <c r="AY14">
        <v>404</v>
      </c>
      <c r="AZ14">
        <v>41</v>
      </c>
      <c r="BA14">
        <v>447</v>
      </c>
      <c r="BB14">
        <v>58</v>
      </c>
      <c r="BC14">
        <v>1</v>
      </c>
      <c r="BD14">
        <v>1</v>
      </c>
      <c r="BE14">
        <v>36</v>
      </c>
      <c r="BF14">
        <v>10</v>
      </c>
      <c r="BG14">
        <v>77</v>
      </c>
      <c r="BH14">
        <v>65</v>
      </c>
      <c r="BJ14" t="s">
        <v>605</v>
      </c>
      <c r="BK14" t="s">
        <v>385</v>
      </c>
      <c r="BL14">
        <v>15386</v>
      </c>
      <c r="BM14">
        <v>2832</v>
      </c>
      <c r="BN14">
        <v>84.113609775100002</v>
      </c>
      <c r="BO14">
        <v>38209</v>
      </c>
      <c r="BP14">
        <v>659</v>
      </c>
      <c r="BQ14">
        <v>131.06467062729999</v>
      </c>
      <c r="BR14">
        <v>125.8937784522</v>
      </c>
      <c r="BS14">
        <v>5665</v>
      </c>
      <c r="BT14">
        <v>1418</v>
      </c>
      <c r="BU14">
        <v>96.607413945299996</v>
      </c>
      <c r="BV14">
        <v>35865</v>
      </c>
      <c r="BW14">
        <v>548</v>
      </c>
      <c r="BX14">
        <v>131.15837167149999</v>
      </c>
      <c r="BY14">
        <v>140.52554744529999</v>
      </c>
      <c r="CA14" t="s">
        <v>406</v>
      </c>
      <c r="CB14" t="s">
        <v>767</v>
      </c>
      <c r="CC14" t="s">
        <v>1000</v>
      </c>
      <c r="CD14">
        <v>2006</v>
      </c>
      <c r="CE14">
        <v>536</v>
      </c>
      <c r="CF14">
        <v>100.149551346</v>
      </c>
      <c r="CG14">
        <v>3723</v>
      </c>
      <c r="CH14">
        <v>98</v>
      </c>
      <c r="CI14">
        <v>135.64222401289999</v>
      </c>
      <c r="CJ14">
        <v>136.76530612240001</v>
      </c>
      <c r="CL14" t="s">
        <v>406</v>
      </c>
      <c r="CM14" t="s">
        <v>748</v>
      </c>
      <c r="CN14" t="s">
        <v>755</v>
      </c>
      <c r="CO14">
        <v>157</v>
      </c>
      <c r="CP14">
        <v>15</v>
      </c>
      <c r="CQ14">
        <v>63.910828025500003</v>
      </c>
      <c r="CR14">
        <v>728</v>
      </c>
      <c r="CS14">
        <v>8</v>
      </c>
      <c r="CT14">
        <v>67.954670329699994</v>
      </c>
      <c r="CU14">
        <v>102</v>
      </c>
      <c r="CW14" t="s">
        <v>406</v>
      </c>
      <c r="CX14" t="s">
        <v>758</v>
      </c>
      <c r="CY14" t="s">
        <v>765</v>
      </c>
      <c r="CZ14">
        <v>64</v>
      </c>
      <c r="DA14">
        <v>17</v>
      </c>
      <c r="DB14">
        <v>95.046875</v>
      </c>
      <c r="DC14">
        <v>109</v>
      </c>
      <c r="DD14">
        <v>0</v>
      </c>
      <c r="DE14">
        <v>139.68807339450001</v>
      </c>
      <c r="DF14">
        <v>0</v>
      </c>
      <c r="DH14" t="s">
        <v>406</v>
      </c>
      <c r="DI14" t="s">
        <v>738</v>
      </c>
      <c r="DJ14" t="s">
        <v>745</v>
      </c>
      <c r="DK14">
        <v>52</v>
      </c>
      <c r="DL14">
        <v>12</v>
      </c>
      <c r="DM14">
        <v>99.288461538500002</v>
      </c>
      <c r="DN14">
        <v>129</v>
      </c>
      <c r="DO14">
        <v>2</v>
      </c>
      <c r="DP14">
        <v>121.0620155039</v>
      </c>
      <c r="DQ14">
        <v>123.5</v>
      </c>
    </row>
    <row r="15" spans="2:121" x14ac:dyDescent="0.2">
      <c r="B15" t="s">
        <v>1061</v>
      </c>
      <c r="C15">
        <v>131</v>
      </c>
      <c r="D15">
        <v>41</v>
      </c>
      <c r="F15" t="s">
        <v>36</v>
      </c>
      <c r="G15">
        <v>243</v>
      </c>
      <c r="H15">
        <v>336.5473251029</v>
      </c>
      <c r="I15">
        <v>639</v>
      </c>
      <c r="J15">
        <v>97</v>
      </c>
      <c r="K15">
        <v>450</v>
      </c>
      <c r="L15">
        <v>249</v>
      </c>
      <c r="M15">
        <v>155</v>
      </c>
      <c r="N15">
        <v>80</v>
      </c>
      <c r="O15">
        <v>104</v>
      </c>
      <c r="P15">
        <v>47</v>
      </c>
      <c r="Q15">
        <v>2</v>
      </c>
      <c r="R15">
        <v>4</v>
      </c>
      <c r="T15" t="s">
        <v>369</v>
      </c>
      <c r="U15">
        <v>72014</v>
      </c>
      <c r="V15">
        <v>430.95075957450001</v>
      </c>
      <c r="W15">
        <v>79028</v>
      </c>
      <c r="X15">
        <v>18707</v>
      </c>
      <c r="Y15">
        <v>100466</v>
      </c>
      <c r="Z15">
        <v>70471</v>
      </c>
      <c r="AA15">
        <v>38746</v>
      </c>
      <c r="AB15">
        <v>31171</v>
      </c>
      <c r="AC15">
        <v>29200</v>
      </c>
      <c r="AD15">
        <v>22309</v>
      </c>
      <c r="AE15">
        <v>14763</v>
      </c>
      <c r="AF15">
        <v>52</v>
      </c>
      <c r="AH15" t="s">
        <v>408</v>
      </c>
      <c r="AI15">
        <v>620</v>
      </c>
      <c r="AJ15">
        <v>236.0177419355</v>
      </c>
      <c r="AK15">
        <v>1715</v>
      </c>
      <c r="AL15">
        <v>406</v>
      </c>
      <c r="AM15">
        <v>909</v>
      </c>
      <c r="AN15">
        <v>407</v>
      </c>
      <c r="AO15">
        <v>259</v>
      </c>
      <c r="AP15">
        <v>170</v>
      </c>
      <c r="AQ15">
        <v>490</v>
      </c>
      <c r="AR15">
        <v>277</v>
      </c>
      <c r="AS15">
        <v>1</v>
      </c>
      <c r="AT15">
        <v>5</v>
      </c>
      <c r="AV15" t="s">
        <v>412</v>
      </c>
      <c r="AW15">
        <v>264</v>
      </c>
      <c r="AX15">
        <v>76.776515151500007</v>
      </c>
      <c r="AY15">
        <v>233</v>
      </c>
      <c r="AZ15">
        <v>11</v>
      </c>
      <c r="BA15">
        <v>362</v>
      </c>
      <c r="BB15">
        <v>20</v>
      </c>
      <c r="BC15">
        <v>2</v>
      </c>
      <c r="BD15">
        <v>2</v>
      </c>
      <c r="BE15">
        <v>13</v>
      </c>
      <c r="BF15">
        <v>6</v>
      </c>
      <c r="BG15">
        <v>620</v>
      </c>
      <c r="BH15">
        <v>66</v>
      </c>
      <c r="BJ15" t="s">
        <v>567</v>
      </c>
      <c r="BK15" t="s">
        <v>390</v>
      </c>
      <c r="BL15">
        <v>6699</v>
      </c>
      <c r="BM15">
        <v>1488</v>
      </c>
      <c r="BN15">
        <v>96.155694879799995</v>
      </c>
      <c r="BO15">
        <v>14076</v>
      </c>
      <c r="BP15">
        <v>195</v>
      </c>
      <c r="BQ15">
        <v>144.88796533109999</v>
      </c>
      <c r="BR15">
        <v>129.43589743589999</v>
      </c>
      <c r="BS15">
        <v>1249</v>
      </c>
      <c r="BT15">
        <v>641</v>
      </c>
      <c r="BU15">
        <v>139.99839871899999</v>
      </c>
      <c r="BV15">
        <v>8921</v>
      </c>
      <c r="BW15">
        <v>193</v>
      </c>
      <c r="BX15">
        <v>126.73343795540001</v>
      </c>
      <c r="BY15">
        <v>130.23316062180001</v>
      </c>
      <c r="CA15" t="s">
        <v>421</v>
      </c>
      <c r="CB15" t="s">
        <v>767</v>
      </c>
      <c r="CC15" t="s">
        <v>1001</v>
      </c>
      <c r="CD15">
        <v>681</v>
      </c>
      <c r="CE15">
        <v>98</v>
      </c>
      <c r="CF15">
        <v>67.845814978000007</v>
      </c>
      <c r="CG15">
        <v>2110</v>
      </c>
      <c r="CH15">
        <v>27</v>
      </c>
      <c r="CI15">
        <v>120.74028436019999</v>
      </c>
      <c r="CJ15">
        <v>118.44444444440001</v>
      </c>
      <c r="CL15" t="s">
        <v>421</v>
      </c>
      <c r="CM15" t="s">
        <v>748</v>
      </c>
      <c r="CN15" t="s">
        <v>756</v>
      </c>
      <c r="CO15">
        <v>35</v>
      </c>
      <c r="CP15">
        <v>1</v>
      </c>
      <c r="CQ15">
        <v>46.514285714300001</v>
      </c>
      <c r="CR15">
        <v>126</v>
      </c>
      <c r="CS15">
        <v>1</v>
      </c>
      <c r="CT15">
        <v>61.333333333299997</v>
      </c>
      <c r="CU15">
        <v>51</v>
      </c>
      <c r="CW15" t="s">
        <v>421</v>
      </c>
      <c r="CX15" t="s">
        <v>758</v>
      </c>
      <c r="CY15" t="s">
        <v>766</v>
      </c>
      <c r="CZ15">
        <v>5</v>
      </c>
      <c r="DA15">
        <v>0</v>
      </c>
      <c r="DB15">
        <v>42.8</v>
      </c>
      <c r="DC15">
        <v>40</v>
      </c>
      <c r="DD15">
        <v>0</v>
      </c>
      <c r="DE15">
        <v>145.35</v>
      </c>
      <c r="DF15">
        <v>0</v>
      </c>
      <c r="DH15" t="s">
        <v>421</v>
      </c>
      <c r="DI15" t="s">
        <v>738</v>
      </c>
      <c r="DJ15" t="s">
        <v>746</v>
      </c>
      <c r="DK15">
        <v>3</v>
      </c>
      <c r="DL15">
        <v>2</v>
      </c>
      <c r="DM15">
        <v>122</v>
      </c>
      <c r="DN15">
        <v>36</v>
      </c>
      <c r="DO15">
        <v>4</v>
      </c>
      <c r="DP15">
        <v>114</v>
      </c>
      <c r="DQ15">
        <v>59.5</v>
      </c>
    </row>
    <row r="16" spans="2:121" x14ac:dyDescent="0.2">
      <c r="B16" t="s">
        <v>94</v>
      </c>
      <c r="C16">
        <v>227</v>
      </c>
      <c r="D16">
        <v>46</v>
      </c>
      <c r="F16" t="s">
        <v>61</v>
      </c>
      <c r="G16">
        <v>491</v>
      </c>
      <c r="H16">
        <v>270.63136456209998</v>
      </c>
      <c r="I16">
        <v>2723</v>
      </c>
      <c r="J16">
        <v>666</v>
      </c>
      <c r="K16">
        <v>1011</v>
      </c>
      <c r="L16">
        <v>448</v>
      </c>
      <c r="M16">
        <v>656</v>
      </c>
      <c r="N16">
        <v>615</v>
      </c>
      <c r="O16">
        <v>1507</v>
      </c>
      <c r="P16">
        <v>1192</v>
      </c>
      <c r="Q16">
        <v>0</v>
      </c>
      <c r="R16">
        <v>1</v>
      </c>
      <c r="T16" t="s">
        <v>8</v>
      </c>
      <c r="U16">
        <v>139</v>
      </c>
      <c r="V16">
        <v>341.2086330935</v>
      </c>
      <c r="W16">
        <v>351</v>
      </c>
      <c r="X16">
        <v>11</v>
      </c>
      <c r="Y16">
        <v>213</v>
      </c>
      <c r="Z16">
        <v>131</v>
      </c>
      <c r="AA16">
        <v>67</v>
      </c>
      <c r="AB16">
        <v>31</v>
      </c>
      <c r="AC16">
        <v>67055</v>
      </c>
      <c r="AD16">
        <v>37442</v>
      </c>
      <c r="AE16">
        <v>0</v>
      </c>
      <c r="AF16">
        <v>1</v>
      </c>
      <c r="AH16" t="s">
        <v>394</v>
      </c>
      <c r="AI16">
        <v>5640</v>
      </c>
      <c r="AJ16">
        <v>474.5056737589</v>
      </c>
      <c r="AK16">
        <v>7257</v>
      </c>
      <c r="AL16">
        <v>1618</v>
      </c>
      <c r="AM16">
        <v>8200</v>
      </c>
      <c r="AN16">
        <v>5507</v>
      </c>
      <c r="AO16">
        <v>2398</v>
      </c>
      <c r="AP16">
        <v>2108</v>
      </c>
      <c r="AQ16">
        <v>3409</v>
      </c>
      <c r="AR16">
        <v>2028</v>
      </c>
      <c r="AS16">
        <v>1011</v>
      </c>
      <c r="AT16">
        <v>216</v>
      </c>
      <c r="AV16" t="s">
        <v>375</v>
      </c>
      <c r="AW16">
        <v>1642</v>
      </c>
      <c r="AX16">
        <v>106.42874543240001</v>
      </c>
      <c r="AY16">
        <v>2837</v>
      </c>
      <c r="AZ16">
        <v>528</v>
      </c>
      <c r="BA16">
        <v>2247</v>
      </c>
      <c r="BB16">
        <v>749</v>
      </c>
      <c r="BC16">
        <v>1</v>
      </c>
      <c r="BD16">
        <v>1</v>
      </c>
      <c r="BE16">
        <v>121</v>
      </c>
      <c r="BF16">
        <v>17</v>
      </c>
      <c r="BG16">
        <v>173</v>
      </c>
      <c r="BH16">
        <v>401</v>
      </c>
      <c r="BJ16" t="s">
        <v>559</v>
      </c>
      <c r="BK16" t="s">
        <v>390</v>
      </c>
      <c r="BL16">
        <v>7591</v>
      </c>
      <c r="BM16">
        <v>1394</v>
      </c>
      <c r="BN16">
        <v>88.656303517300003</v>
      </c>
      <c r="BO16">
        <v>20090</v>
      </c>
      <c r="BP16">
        <v>242</v>
      </c>
      <c r="BQ16">
        <v>130.15400696859999</v>
      </c>
      <c r="BR16">
        <v>107.2355371901</v>
      </c>
      <c r="BS16">
        <v>2024</v>
      </c>
      <c r="BT16">
        <v>582</v>
      </c>
      <c r="BU16">
        <v>108.8982213439</v>
      </c>
      <c r="BV16">
        <v>21892</v>
      </c>
      <c r="BW16">
        <v>331</v>
      </c>
      <c r="BX16">
        <v>138.42645715329999</v>
      </c>
      <c r="BY16">
        <v>103.25377643500001</v>
      </c>
      <c r="CA16" t="s">
        <v>385</v>
      </c>
      <c r="CB16" t="s">
        <v>767</v>
      </c>
      <c r="CD16">
        <v>61537</v>
      </c>
      <c r="CE16">
        <v>13250</v>
      </c>
      <c r="CF16">
        <v>90.898695094000004</v>
      </c>
      <c r="CG16">
        <v>150480</v>
      </c>
      <c r="CH16">
        <v>2605</v>
      </c>
      <c r="CI16">
        <v>126.56096491229999</v>
      </c>
      <c r="CJ16">
        <v>123.10249520150001</v>
      </c>
      <c r="CL16" t="s">
        <v>385</v>
      </c>
      <c r="CM16" t="s">
        <v>748</v>
      </c>
      <c r="CO16">
        <v>4058</v>
      </c>
      <c r="CP16">
        <v>388</v>
      </c>
      <c r="CQ16">
        <v>64.399211434199998</v>
      </c>
      <c r="CR16">
        <v>17689</v>
      </c>
      <c r="CS16">
        <v>236</v>
      </c>
      <c r="CT16">
        <v>67.334388603099995</v>
      </c>
      <c r="CU16">
        <v>70.122881355900006</v>
      </c>
      <c r="CW16" t="s">
        <v>385</v>
      </c>
      <c r="CX16" t="s">
        <v>758</v>
      </c>
      <c r="CZ16">
        <v>1516</v>
      </c>
      <c r="DA16">
        <v>275</v>
      </c>
      <c r="DB16">
        <v>75.797493403700003</v>
      </c>
      <c r="DC16">
        <v>3423</v>
      </c>
      <c r="DD16">
        <v>84</v>
      </c>
      <c r="DE16">
        <v>136.05054046160001</v>
      </c>
      <c r="DF16">
        <v>115.1547619048</v>
      </c>
      <c r="DH16" t="s">
        <v>385</v>
      </c>
      <c r="DI16" t="s">
        <v>738</v>
      </c>
      <c r="DK16">
        <v>1609</v>
      </c>
      <c r="DL16">
        <v>270</v>
      </c>
      <c r="DM16">
        <v>73.3244251088</v>
      </c>
      <c r="DN16">
        <v>4179</v>
      </c>
      <c r="DO16">
        <v>88</v>
      </c>
      <c r="DP16">
        <v>122.26657095</v>
      </c>
      <c r="DQ16">
        <v>92.590909090899999</v>
      </c>
    </row>
    <row r="17" spans="2:121" x14ac:dyDescent="0.2">
      <c r="B17" t="s">
        <v>119</v>
      </c>
      <c r="C17">
        <v>53</v>
      </c>
      <c r="D17">
        <v>46</v>
      </c>
      <c r="F17" t="s">
        <v>83</v>
      </c>
      <c r="G17">
        <v>17552</v>
      </c>
      <c r="H17">
        <v>319.5269484959</v>
      </c>
      <c r="I17">
        <v>18055</v>
      </c>
      <c r="J17">
        <v>4623</v>
      </c>
      <c r="K17">
        <v>26694</v>
      </c>
      <c r="L17">
        <v>19433</v>
      </c>
      <c r="M17">
        <v>12255</v>
      </c>
      <c r="N17">
        <v>9315</v>
      </c>
      <c r="O17">
        <v>4248</v>
      </c>
      <c r="P17">
        <v>3147</v>
      </c>
      <c r="Q17">
        <v>1</v>
      </c>
      <c r="R17">
        <v>16</v>
      </c>
      <c r="T17" t="s">
        <v>404</v>
      </c>
      <c r="U17">
        <v>48045</v>
      </c>
      <c r="V17">
        <v>400.77602247890002</v>
      </c>
      <c r="W17">
        <v>61153</v>
      </c>
      <c r="X17">
        <v>11939</v>
      </c>
      <c r="Y17">
        <v>72676</v>
      </c>
      <c r="Z17">
        <v>50719</v>
      </c>
      <c r="AA17">
        <v>23492</v>
      </c>
      <c r="AB17">
        <v>18431</v>
      </c>
      <c r="AC17">
        <v>19463</v>
      </c>
      <c r="AD17">
        <v>14745</v>
      </c>
      <c r="AE17">
        <v>466</v>
      </c>
      <c r="AF17">
        <v>765</v>
      </c>
      <c r="AH17" t="s">
        <v>392</v>
      </c>
      <c r="AI17">
        <v>5276</v>
      </c>
      <c r="AJ17">
        <v>631.46777862019997</v>
      </c>
      <c r="AK17">
        <v>4801</v>
      </c>
      <c r="AL17">
        <v>886</v>
      </c>
      <c r="AM17">
        <v>8496</v>
      </c>
      <c r="AN17">
        <v>6472</v>
      </c>
      <c r="AO17">
        <v>2902</v>
      </c>
      <c r="AP17">
        <v>2515</v>
      </c>
      <c r="AQ17">
        <v>3030</v>
      </c>
      <c r="AR17">
        <v>2255</v>
      </c>
      <c r="AS17">
        <v>769</v>
      </c>
      <c r="AT17">
        <v>227</v>
      </c>
      <c r="AV17" t="s">
        <v>399</v>
      </c>
      <c r="AW17">
        <v>238</v>
      </c>
      <c r="AX17">
        <v>66.021008403400003</v>
      </c>
      <c r="AY17">
        <v>278</v>
      </c>
      <c r="AZ17">
        <v>6</v>
      </c>
      <c r="BA17">
        <v>308</v>
      </c>
      <c r="BB17">
        <v>17</v>
      </c>
      <c r="BC17">
        <v>0</v>
      </c>
      <c r="BE17">
        <v>9</v>
      </c>
      <c r="BF17">
        <v>3</v>
      </c>
      <c r="BG17">
        <v>354</v>
      </c>
      <c r="BH17">
        <v>33</v>
      </c>
      <c r="BJ17" t="s">
        <v>576</v>
      </c>
      <c r="BK17" t="s">
        <v>390</v>
      </c>
      <c r="BL17">
        <v>2292</v>
      </c>
      <c r="BM17">
        <v>354</v>
      </c>
      <c r="BN17">
        <v>81.228621291400003</v>
      </c>
      <c r="BO17">
        <v>5946</v>
      </c>
      <c r="BP17">
        <v>84</v>
      </c>
      <c r="BQ17">
        <v>110.9101917255</v>
      </c>
      <c r="BR17">
        <v>116.07142857140001</v>
      </c>
      <c r="BS17">
        <v>786</v>
      </c>
      <c r="BT17">
        <v>198</v>
      </c>
      <c r="BU17">
        <v>100.6857506361</v>
      </c>
      <c r="BV17">
        <v>7850</v>
      </c>
      <c r="BW17">
        <v>98</v>
      </c>
      <c r="BX17">
        <v>126.1299363057</v>
      </c>
      <c r="BY17">
        <v>114.3571428571</v>
      </c>
      <c r="CA17" t="s">
        <v>394</v>
      </c>
      <c r="CB17" t="s">
        <v>807</v>
      </c>
      <c r="CC17" t="s">
        <v>1002</v>
      </c>
      <c r="CD17">
        <v>6935</v>
      </c>
      <c r="CE17">
        <v>1544</v>
      </c>
      <c r="CF17">
        <v>95.583994232199998</v>
      </c>
      <c r="CG17">
        <v>14952</v>
      </c>
      <c r="CH17">
        <v>202</v>
      </c>
      <c r="CI17">
        <v>141.27635098979999</v>
      </c>
      <c r="CJ17">
        <v>124.2871287129</v>
      </c>
      <c r="CL17" t="s">
        <v>394</v>
      </c>
      <c r="CM17" t="s">
        <v>782</v>
      </c>
      <c r="CN17" t="s">
        <v>781</v>
      </c>
      <c r="CO17">
        <v>640</v>
      </c>
      <c r="CP17">
        <v>84</v>
      </c>
      <c r="CQ17">
        <v>73.1328125</v>
      </c>
      <c r="CR17">
        <v>3097</v>
      </c>
      <c r="CS17">
        <v>38</v>
      </c>
      <c r="CT17">
        <v>73.211172102000006</v>
      </c>
      <c r="CU17">
        <v>69.184210526300006</v>
      </c>
      <c r="CW17" t="s">
        <v>394</v>
      </c>
      <c r="CX17" t="s">
        <v>795</v>
      </c>
      <c r="CY17" t="s">
        <v>794</v>
      </c>
      <c r="CZ17">
        <v>194</v>
      </c>
      <c r="DA17">
        <v>46</v>
      </c>
      <c r="DB17">
        <v>83.252577319599993</v>
      </c>
      <c r="DC17">
        <v>382</v>
      </c>
      <c r="DD17">
        <v>14</v>
      </c>
      <c r="DE17">
        <v>141.7094240838</v>
      </c>
      <c r="DF17">
        <v>112.3571428571</v>
      </c>
      <c r="DH17" t="s">
        <v>394</v>
      </c>
      <c r="DI17" t="s">
        <v>769</v>
      </c>
      <c r="DJ17" t="s">
        <v>768</v>
      </c>
      <c r="DK17">
        <v>134</v>
      </c>
      <c r="DL17">
        <v>24</v>
      </c>
      <c r="DM17">
        <v>76.932835820899996</v>
      </c>
      <c r="DN17">
        <v>375</v>
      </c>
      <c r="DO17">
        <v>14</v>
      </c>
      <c r="DP17">
        <v>126.4693333333</v>
      </c>
      <c r="DQ17">
        <v>103.07142857140001</v>
      </c>
    </row>
    <row r="18" spans="2:121" x14ac:dyDescent="0.2">
      <c r="B18" t="s">
        <v>123</v>
      </c>
      <c r="C18">
        <v>53</v>
      </c>
      <c r="D18">
        <v>34</v>
      </c>
      <c r="F18" t="s">
        <v>70</v>
      </c>
      <c r="G18">
        <v>3186</v>
      </c>
      <c r="H18">
        <v>366.65348399250001</v>
      </c>
      <c r="I18">
        <v>2614</v>
      </c>
      <c r="J18">
        <v>535</v>
      </c>
      <c r="K18">
        <v>6865</v>
      </c>
      <c r="L18">
        <v>4949</v>
      </c>
      <c r="M18">
        <v>1034</v>
      </c>
      <c r="N18">
        <v>755</v>
      </c>
      <c r="O18">
        <v>366</v>
      </c>
      <c r="P18">
        <v>200</v>
      </c>
      <c r="Q18">
        <v>0</v>
      </c>
      <c r="R18">
        <v>2</v>
      </c>
      <c r="T18" t="s">
        <v>380</v>
      </c>
      <c r="U18">
        <v>58940</v>
      </c>
      <c r="V18">
        <v>360.89060061079999</v>
      </c>
      <c r="W18">
        <v>71413</v>
      </c>
      <c r="X18">
        <v>17295</v>
      </c>
      <c r="Y18">
        <v>80348</v>
      </c>
      <c r="Z18">
        <v>54625</v>
      </c>
      <c r="AA18">
        <v>26456</v>
      </c>
      <c r="AB18">
        <v>22034</v>
      </c>
      <c r="AC18">
        <v>30253</v>
      </c>
      <c r="AD18">
        <v>23432</v>
      </c>
      <c r="AE18">
        <v>165</v>
      </c>
      <c r="AF18">
        <v>1345</v>
      </c>
      <c r="AH18" t="s">
        <v>399</v>
      </c>
      <c r="AI18">
        <v>911</v>
      </c>
      <c r="AJ18">
        <v>215.04171240400001</v>
      </c>
      <c r="AK18">
        <v>2465</v>
      </c>
      <c r="AL18">
        <v>395</v>
      </c>
      <c r="AM18">
        <v>1332</v>
      </c>
      <c r="AN18">
        <v>506</v>
      </c>
      <c r="AO18">
        <v>316</v>
      </c>
      <c r="AP18">
        <v>207</v>
      </c>
      <c r="AQ18">
        <v>527</v>
      </c>
      <c r="AR18">
        <v>296</v>
      </c>
      <c r="AS18">
        <v>3</v>
      </c>
      <c r="AT18">
        <v>9</v>
      </c>
      <c r="AV18" t="s">
        <v>428</v>
      </c>
      <c r="AW18">
        <v>28</v>
      </c>
      <c r="AX18">
        <v>67.821428571400006</v>
      </c>
      <c r="AY18">
        <v>18</v>
      </c>
      <c r="AZ18">
        <v>2</v>
      </c>
      <c r="BA18">
        <v>44</v>
      </c>
      <c r="BB18">
        <v>10</v>
      </c>
      <c r="BC18">
        <v>1</v>
      </c>
      <c r="BD18">
        <v>1</v>
      </c>
      <c r="BE18">
        <v>0</v>
      </c>
      <c r="BG18">
        <v>85</v>
      </c>
      <c r="BH18">
        <v>14</v>
      </c>
      <c r="BJ18" t="s">
        <v>569</v>
      </c>
      <c r="BK18" t="s">
        <v>390</v>
      </c>
      <c r="BL18">
        <v>7685</v>
      </c>
      <c r="BM18">
        <v>2079</v>
      </c>
      <c r="BN18">
        <v>98.852960312299999</v>
      </c>
      <c r="BO18">
        <v>15267</v>
      </c>
      <c r="BP18">
        <v>288</v>
      </c>
      <c r="BQ18">
        <v>136.46990240389999</v>
      </c>
      <c r="BR18">
        <v>133.81944444440001</v>
      </c>
      <c r="BS18">
        <v>1856</v>
      </c>
      <c r="BT18">
        <v>724</v>
      </c>
      <c r="BU18">
        <v>119.5554956897</v>
      </c>
      <c r="BV18">
        <v>15486</v>
      </c>
      <c r="BW18">
        <v>246</v>
      </c>
      <c r="BX18">
        <v>134.30873046619999</v>
      </c>
      <c r="BY18">
        <v>140.06910569109999</v>
      </c>
      <c r="CA18" t="s">
        <v>392</v>
      </c>
      <c r="CB18" t="s">
        <v>807</v>
      </c>
      <c r="CC18" t="s">
        <v>1003</v>
      </c>
      <c r="CD18">
        <v>4942</v>
      </c>
      <c r="CE18">
        <v>1158</v>
      </c>
      <c r="CF18">
        <v>91.231282881400006</v>
      </c>
      <c r="CG18">
        <v>12155</v>
      </c>
      <c r="CH18">
        <v>183</v>
      </c>
      <c r="CI18">
        <v>122.2412998766</v>
      </c>
      <c r="CJ18">
        <v>136.87431693990001</v>
      </c>
      <c r="CL18" t="s">
        <v>392</v>
      </c>
      <c r="CM18" t="s">
        <v>782</v>
      </c>
      <c r="CN18" t="s">
        <v>783</v>
      </c>
      <c r="CO18">
        <v>378</v>
      </c>
      <c r="CP18">
        <v>45</v>
      </c>
      <c r="CQ18">
        <v>70.7037037037</v>
      </c>
      <c r="CR18">
        <v>1854</v>
      </c>
      <c r="CS18">
        <v>22</v>
      </c>
      <c r="CT18">
        <v>73.319848975200003</v>
      </c>
      <c r="CU18">
        <v>92.136363636400006</v>
      </c>
      <c r="CW18" t="s">
        <v>392</v>
      </c>
      <c r="CX18" t="s">
        <v>795</v>
      </c>
      <c r="CY18" t="s">
        <v>796</v>
      </c>
      <c r="CZ18">
        <v>76</v>
      </c>
      <c r="DA18">
        <v>15</v>
      </c>
      <c r="DB18">
        <v>80.355263157899998</v>
      </c>
      <c r="DC18">
        <v>196</v>
      </c>
      <c r="DD18">
        <v>4</v>
      </c>
      <c r="DE18">
        <v>139.0612244898</v>
      </c>
      <c r="DF18">
        <v>90.5</v>
      </c>
      <c r="DH18" t="s">
        <v>392</v>
      </c>
      <c r="DI18" t="s">
        <v>769</v>
      </c>
      <c r="DJ18" t="s">
        <v>770</v>
      </c>
      <c r="DK18">
        <v>61</v>
      </c>
      <c r="DL18">
        <v>16</v>
      </c>
      <c r="DM18">
        <v>99.131147541000004</v>
      </c>
      <c r="DN18">
        <v>167</v>
      </c>
      <c r="DO18">
        <v>5</v>
      </c>
      <c r="DP18">
        <v>137.371257485</v>
      </c>
      <c r="DQ18">
        <v>143.80000000000001</v>
      </c>
    </row>
    <row r="19" spans="2:121" x14ac:dyDescent="0.2">
      <c r="B19" t="s">
        <v>116</v>
      </c>
      <c r="C19">
        <v>17416</v>
      </c>
      <c r="D19">
        <v>4625</v>
      </c>
      <c r="F19" t="s">
        <v>68</v>
      </c>
      <c r="G19">
        <v>2803</v>
      </c>
      <c r="H19">
        <v>446.4719942918</v>
      </c>
      <c r="I19">
        <v>3812</v>
      </c>
      <c r="J19">
        <v>976</v>
      </c>
      <c r="K19">
        <v>3595</v>
      </c>
      <c r="L19">
        <v>2536</v>
      </c>
      <c r="M19">
        <v>653</v>
      </c>
      <c r="N19">
        <v>526</v>
      </c>
      <c r="O19">
        <v>1217</v>
      </c>
      <c r="P19">
        <v>981</v>
      </c>
      <c r="Q19">
        <v>0</v>
      </c>
      <c r="R19">
        <v>125</v>
      </c>
      <c r="T19" t="s">
        <v>461</v>
      </c>
      <c r="U19">
        <v>256421</v>
      </c>
      <c r="V19">
        <v>389.82102089919999</v>
      </c>
      <c r="W19">
        <v>330538</v>
      </c>
      <c r="X19">
        <v>72205</v>
      </c>
      <c r="Y19">
        <v>376798</v>
      </c>
      <c r="Z19">
        <v>250973</v>
      </c>
      <c r="AA19">
        <v>127440</v>
      </c>
      <c r="AB19">
        <v>100952</v>
      </c>
      <c r="AC19">
        <v>175938</v>
      </c>
      <c r="AD19">
        <v>116283</v>
      </c>
      <c r="AE19">
        <v>24162</v>
      </c>
      <c r="AF19">
        <v>4376</v>
      </c>
      <c r="AH19" t="s">
        <v>422</v>
      </c>
      <c r="AI19">
        <v>1704</v>
      </c>
      <c r="AJ19">
        <v>230.83215962439999</v>
      </c>
      <c r="AK19">
        <v>2286</v>
      </c>
      <c r="AL19">
        <v>348</v>
      </c>
      <c r="AM19">
        <v>2473</v>
      </c>
      <c r="AN19">
        <v>1257</v>
      </c>
      <c r="AO19">
        <v>1040</v>
      </c>
      <c r="AP19">
        <v>613</v>
      </c>
      <c r="AQ19">
        <v>821</v>
      </c>
      <c r="AR19">
        <v>445</v>
      </c>
      <c r="AS19">
        <v>5</v>
      </c>
      <c r="AT19">
        <v>13</v>
      </c>
      <c r="AV19" t="s">
        <v>382</v>
      </c>
      <c r="AW19">
        <v>1709</v>
      </c>
      <c r="AX19">
        <v>107.0345231129</v>
      </c>
      <c r="AY19">
        <v>1574</v>
      </c>
      <c r="AZ19">
        <v>270</v>
      </c>
      <c r="BA19">
        <v>2060</v>
      </c>
      <c r="BB19">
        <v>691</v>
      </c>
      <c r="BC19">
        <v>19</v>
      </c>
      <c r="BD19">
        <v>18</v>
      </c>
      <c r="BE19">
        <v>109</v>
      </c>
      <c r="BF19">
        <v>42</v>
      </c>
      <c r="BG19">
        <v>249</v>
      </c>
      <c r="BH19">
        <v>377</v>
      </c>
      <c r="BJ19" t="s">
        <v>633</v>
      </c>
      <c r="BK19" t="s">
        <v>390</v>
      </c>
      <c r="BL19">
        <v>873</v>
      </c>
      <c r="BM19">
        <v>143</v>
      </c>
      <c r="BN19">
        <v>73.270332187899996</v>
      </c>
      <c r="BO19">
        <v>2378</v>
      </c>
      <c r="BP19">
        <v>38</v>
      </c>
      <c r="BQ19">
        <v>98.728763666899994</v>
      </c>
      <c r="BR19">
        <v>101.6052631579</v>
      </c>
      <c r="BS19">
        <v>351</v>
      </c>
      <c r="BT19">
        <v>98</v>
      </c>
      <c r="BU19">
        <v>96.062678062700002</v>
      </c>
      <c r="BV19">
        <v>3242</v>
      </c>
      <c r="BW19">
        <v>93</v>
      </c>
      <c r="BX19">
        <v>124.1909315238</v>
      </c>
      <c r="BY19">
        <v>98.333333333300004</v>
      </c>
      <c r="CA19" t="s">
        <v>399</v>
      </c>
      <c r="CB19" t="s">
        <v>807</v>
      </c>
      <c r="CC19" t="s">
        <v>1004</v>
      </c>
      <c r="CD19">
        <v>2362</v>
      </c>
      <c r="CE19">
        <v>370</v>
      </c>
      <c r="CF19">
        <v>80.818374259099997</v>
      </c>
      <c r="CG19">
        <v>6185</v>
      </c>
      <c r="CH19">
        <v>92</v>
      </c>
      <c r="CI19">
        <v>110.0182700081</v>
      </c>
      <c r="CJ19">
        <v>118.3913043478</v>
      </c>
      <c r="CL19" t="s">
        <v>399</v>
      </c>
      <c r="CM19" t="s">
        <v>782</v>
      </c>
      <c r="CN19" t="s">
        <v>784</v>
      </c>
      <c r="CO19">
        <v>266</v>
      </c>
      <c r="CP19">
        <v>19</v>
      </c>
      <c r="CQ19">
        <v>56.695488721799997</v>
      </c>
      <c r="CR19">
        <v>1150</v>
      </c>
      <c r="CS19">
        <v>14</v>
      </c>
      <c r="CT19">
        <v>64.651304347799993</v>
      </c>
      <c r="CU19">
        <v>73.214285714300004</v>
      </c>
      <c r="CW19" t="s">
        <v>399</v>
      </c>
      <c r="CX19" t="s">
        <v>795</v>
      </c>
      <c r="CY19" t="s">
        <v>797</v>
      </c>
      <c r="CZ19">
        <v>38</v>
      </c>
      <c r="DA19">
        <v>8</v>
      </c>
      <c r="DB19">
        <v>72.315789473699994</v>
      </c>
      <c r="DC19">
        <v>95</v>
      </c>
      <c r="DD19">
        <v>0</v>
      </c>
      <c r="DE19">
        <v>140.7157894737</v>
      </c>
      <c r="DF19">
        <v>0</v>
      </c>
      <c r="DH19" t="s">
        <v>399</v>
      </c>
      <c r="DI19" t="s">
        <v>769</v>
      </c>
      <c r="DJ19" t="s">
        <v>771</v>
      </c>
      <c r="DK19">
        <v>25</v>
      </c>
      <c r="DL19">
        <v>5</v>
      </c>
      <c r="DM19">
        <v>72.28</v>
      </c>
      <c r="DN19">
        <v>72</v>
      </c>
      <c r="DO19">
        <v>1</v>
      </c>
      <c r="DP19">
        <v>128.06944444440001</v>
      </c>
      <c r="DQ19">
        <v>63</v>
      </c>
    </row>
    <row r="20" spans="2:121" x14ac:dyDescent="0.2">
      <c r="B20" t="s">
        <v>314</v>
      </c>
      <c r="C20">
        <v>1</v>
      </c>
      <c r="D20">
        <v>1</v>
      </c>
      <c r="F20" t="s">
        <v>74</v>
      </c>
      <c r="G20">
        <v>226</v>
      </c>
      <c r="H20">
        <v>114.6150442478</v>
      </c>
      <c r="I20">
        <v>983</v>
      </c>
      <c r="J20">
        <v>260</v>
      </c>
      <c r="K20">
        <v>428</v>
      </c>
      <c r="L20">
        <v>91</v>
      </c>
      <c r="M20">
        <v>284</v>
      </c>
      <c r="N20">
        <v>135</v>
      </c>
      <c r="O20">
        <v>28</v>
      </c>
      <c r="P20">
        <v>20</v>
      </c>
      <c r="Q20">
        <v>0</v>
      </c>
      <c r="R20">
        <v>0</v>
      </c>
      <c r="AH20" t="s">
        <v>393</v>
      </c>
      <c r="AI20">
        <v>6077</v>
      </c>
      <c r="AJ20">
        <v>557.31907191050004</v>
      </c>
      <c r="AK20">
        <v>3698</v>
      </c>
      <c r="AL20">
        <v>513</v>
      </c>
      <c r="AM20">
        <v>8391</v>
      </c>
      <c r="AN20">
        <v>6538</v>
      </c>
      <c r="AO20">
        <v>2315</v>
      </c>
      <c r="AP20">
        <v>2024</v>
      </c>
      <c r="AQ20">
        <v>2108</v>
      </c>
      <c r="AR20">
        <v>1328</v>
      </c>
      <c r="AS20">
        <v>669</v>
      </c>
      <c r="AT20">
        <v>156</v>
      </c>
      <c r="AV20" t="s">
        <v>8</v>
      </c>
      <c r="AW20">
        <v>193</v>
      </c>
      <c r="AX20">
        <v>101.0207253886</v>
      </c>
      <c r="AY20">
        <v>214</v>
      </c>
      <c r="AZ20">
        <v>103</v>
      </c>
      <c r="BA20">
        <v>381</v>
      </c>
      <c r="BB20">
        <v>192</v>
      </c>
      <c r="BC20">
        <v>8</v>
      </c>
      <c r="BD20">
        <v>7</v>
      </c>
      <c r="BE20">
        <v>8</v>
      </c>
      <c r="BF20">
        <v>1</v>
      </c>
      <c r="BG20">
        <v>57</v>
      </c>
      <c r="BH20">
        <v>24</v>
      </c>
      <c r="BJ20" t="s">
        <v>561</v>
      </c>
      <c r="BK20" t="s">
        <v>390</v>
      </c>
      <c r="BL20">
        <v>4867</v>
      </c>
      <c r="BM20">
        <v>1201</v>
      </c>
      <c r="BN20">
        <v>93.779124717499997</v>
      </c>
      <c r="BO20">
        <v>11558</v>
      </c>
      <c r="BP20">
        <v>171</v>
      </c>
      <c r="BQ20">
        <v>125.3936667243</v>
      </c>
      <c r="BR20">
        <v>140.30409356729999</v>
      </c>
      <c r="BS20">
        <v>1179</v>
      </c>
      <c r="BT20">
        <v>414</v>
      </c>
      <c r="BU20">
        <v>116.6395250212</v>
      </c>
      <c r="BV20">
        <v>12678</v>
      </c>
      <c r="BW20">
        <v>239</v>
      </c>
      <c r="BX20">
        <v>126.7722826944</v>
      </c>
      <c r="BY20">
        <v>128.7238493724</v>
      </c>
      <c r="CA20" t="s">
        <v>422</v>
      </c>
      <c r="CB20" t="s">
        <v>807</v>
      </c>
      <c r="CC20" t="s">
        <v>1005</v>
      </c>
      <c r="CD20">
        <v>2120</v>
      </c>
      <c r="CE20">
        <v>313</v>
      </c>
      <c r="CF20">
        <v>75.182547169800003</v>
      </c>
      <c r="CG20">
        <v>6682</v>
      </c>
      <c r="CH20">
        <v>63</v>
      </c>
      <c r="CI20">
        <v>113.5784196348</v>
      </c>
      <c r="CJ20">
        <v>95.904761904799997</v>
      </c>
      <c r="CL20" t="s">
        <v>422</v>
      </c>
      <c r="CM20" t="s">
        <v>782</v>
      </c>
      <c r="CN20" t="s">
        <v>785</v>
      </c>
      <c r="CO20">
        <v>258</v>
      </c>
      <c r="CP20">
        <v>23</v>
      </c>
      <c r="CQ20">
        <v>64.961240310099996</v>
      </c>
      <c r="CR20">
        <v>996</v>
      </c>
      <c r="CS20">
        <v>12</v>
      </c>
      <c r="CT20">
        <v>67.125502007999998</v>
      </c>
      <c r="CU20">
        <v>55.25</v>
      </c>
      <c r="CW20" t="s">
        <v>422</v>
      </c>
      <c r="CX20" t="s">
        <v>795</v>
      </c>
      <c r="CY20" t="s">
        <v>798</v>
      </c>
      <c r="CZ20">
        <v>72</v>
      </c>
      <c r="DA20">
        <v>11</v>
      </c>
      <c r="DB20">
        <v>76.111111111100001</v>
      </c>
      <c r="DC20">
        <v>164</v>
      </c>
      <c r="DD20">
        <v>3</v>
      </c>
      <c r="DE20">
        <v>118.7073170732</v>
      </c>
      <c r="DF20">
        <v>82.333333333300004</v>
      </c>
      <c r="DH20" t="s">
        <v>422</v>
      </c>
      <c r="DI20" t="s">
        <v>769</v>
      </c>
      <c r="DJ20" t="s">
        <v>772</v>
      </c>
      <c r="DK20">
        <v>103</v>
      </c>
      <c r="DL20">
        <v>10</v>
      </c>
      <c r="DM20">
        <v>63.951456310700003</v>
      </c>
      <c r="DN20">
        <v>287</v>
      </c>
      <c r="DO20">
        <v>5</v>
      </c>
      <c r="DP20">
        <v>120.6306620209</v>
      </c>
      <c r="DQ20">
        <v>158.4</v>
      </c>
    </row>
    <row r="21" spans="2:121" x14ac:dyDescent="0.2">
      <c r="B21" t="s">
        <v>109</v>
      </c>
      <c r="C21">
        <v>17867</v>
      </c>
      <c r="D21">
        <v>14746</v>
      </c>
      <c r="F21" t="s">
        <v>8</v>
      </c>
      <c r="G21">
        <v>139</v>
      </c>
      <c r="H21">
        <v>341.2086330935</v>
      </c>
      <c r="I21">
        <v>351</v>
      </c>
      <c r="J21">
        <v>11</v>
      </c>
      <c r="K21">
        <v>213</v>
      </c>
      <c r="L21">
        <v>131</v>
      </c>
      <c r="M21">
        <v>67</v>
      </c>
      <c r="N21">
        <v>31</v>
      </c>
      <c r="O21">
        <v>67055</v>
      </c>
      <c r="P21">
        <v>37442</v>
      </c>
      <c r="Q21">
        <v>0</v>
      </c>
      <c r="R21">
        <v>1</v>
      </c>
      <c r="AH21" t="s">
        <v>387</v>
      </c>
      <c r="AI21">
        <v>4252</v>
      </c>
      <c r="AJ21">
        <v>445.57902163689999</v>
      </c>
      <c r="AK21">
        <v>5584</v>
      </c>
      <c r="AL21">
        <v>1153</v>
      </c>
      <c r="AM21">
        <v>6443</v>
      </c>
      <c r="AN21">
        <v>4346</v>
      </c>
      <c r="AO21">
        <v>1556</v>
      </c>
      <c r="AP21">
        <v>1097</v>
      </c>
      <c r="AQ21">
        <v>2894</v>
      </c>
      <c r="AR21">
        <v>1855</v>
      </c>
      <c r="AS21">
        <v>319</v>
      </c>
      <c r="AT21">
        <v>267</v>
      </c>
      <c r="AV21" t="s">
        <v>376</v>
      </c>
      <c r="AW21">
        <v>346</v>
      </c>
      <c r="AX21">
        <v>108.1502890173</v>
      </c>
      <c r="AY21">
        <v>636</v>
      </c>
      <c r="AZ21">
        <v>123</v>
      </c>
      <c r="BA21">
        <v>484</v>
      </c>
      <c r="BB21">
        <v>174</v>
      </c>
      <c r="BC21">
        <v>8</v>
      </c>
      <c r="BD21">
        <v>8</v>
      </c>
      <c r="BE21">
        <v>34</v>
      </c>
      <c r="BF21">
        <v>11</v>
      </c>
      <c r="BG21">
        <v>80</v>
      </c>
      <c r="BH21">
        <v>144</v>
      </c>
      <c r="BJ21" t="s">
        <v>578</v>
      </c>
      <c r="BK21" t="s">
        <v>390</v>
      </c>
      <c r="BL21">
        <v>1750</v>
      </c>
      <c r="BM21">
        <v>233</v>
      </c>
      <c r="BN21">
        <v>71.518285714300006</v>
      </c>
      <c r="BO21">
        <v>4980</v>
      </c>
      <c r="BP21">
        <v>70</v>
      </c>
      <c r="BQ21">
        <v>119.11867469880001</v>
      </c>
      <c r="BR21">
        <v>129.4</v>
      </c>
      <c r="BS21">
        <v>1245</v>
      </c>
      <c r="BT21">
        <v>162</v>
      </c>
      <c r="BU21">
        <v>80.874698795200004</v>
      </c>
      <c r="BV21">
        <v>12581</v>
      </c>
      <c r="BW21">
        <v>117</v>
      </c>
      <c r="BX21">
        <v>145.0340195533</v>
      </c>
      <c r="BY21">
        <v>111.6324786325</v>
      </c>
      <c r="CA21" t="s">
        <v>395</v>
      </c>
      <c r="CB21" t="s">
        <v>807</v>
      </c>
      <c r="CC21" t="s">
        <v>1006</v>
      </c>
      <c r="CD21">
        <v>7758</v>
      </c>
      <c r="CE21">
        <v>2060</v>
      </c>
      <c r="CF21">
        <v>98.404098994600005</v>
      </c>
      <c r="CG21">
        <v>15809</v>
      </c>
      <c r="CH21">
        <v>284</v>
      </c>
      <c r="CI21">
        <v>134.50635713829999</v>
      </c>
      <c r="CJ21">
        <v>130.9542253521</v>
      </c>
      <c r="CL21" t="s">
        <v>395</v>
      </c>
      <c r="CM21" t="s">
        <v>782</v>
      </c>
      <c r="CN21" t="s">
        <v>786</v>
      </c>
      <c r="CO21">
        <v>766</v>
      </c>
      <c r="CP21">
        <v>104</v>
      </c>
      <c r="CQ21">
        <v>72.1749347258</v>
      </c>
      <c r="CR21">
        <v>3494</v>
      </c>
      <c r="CS21">
        <v>42</v>
      </c>
      <c r="CT21">
        <v>71.774756725800003</v>
      </c>
      <c r="CU21">
        <v>63.547619047600001</v>
      </c>
      <c r="CW21" t="s">
        <v>395</v>
      </c>
      <c r="CX21" t="s">
        <v>795</v>
      </c>
      <c r="CY21" t="s">
        <v>799</v>
      </c>
      <c r="CZ21">
        <v>114</v>
      </c>
      <c r="DA21">
        <v>26</v>
      </c>
      <c r="DB21">
        <v>82.859649122799993</v>
      </c>
      <c r="DC21">
        <v>301</v>
      </c>
      <c r="DD21">
        <v>8</v>
      </c>
      <c r="DE21">
        <v>145.12956810630001</v>
      </c>
      <c r="DF21">
        <v>152.125</v>
      </c>
      <c r="DH21" t="s">
        <v>395</v>
      </c>
      <c r="DI21" t="s">
        <v>769</v>
      </c>
      <c r="DJ21" t="s">
        <v>773</v>
      </c>
      <c r="DK21">
        <v>105</v>
      </c>
      <c r="DL21">
        <v>18</v>
      </c>
      <c r="DM21">
        <v>77.609523809500004</v>
      </c>
      <c r="DN21">
        <v>244</v>
      </c>
      <c r="DO21">
        <v>3</v>
      </c>
      <c r="DP21">
        <v>125.7786885246</v>
      </c>
      <c r="DQ21">
        <v>55.333333333299997</v>
      </c>
    </row>
    <row r="22" spans="2:121" x14ac:dyDescent="0.2">
      <c r="B22" t="s">
        <v>110</v>
      </c>
      <c r="C22">
        <v>1220</v>
      </c>
      <c r="D22">
        <v>338</v>
      </c>
      <c r="F22" t="s">
        <v>43</v>
      </c>
      <c r="G22">
        <v>147</v>
      </c>
      <c r="H22">
        <v>106.57823129250001</v>
      </c>
      <c r="I22">
        <v>779</v>
      </c>
      <c r="J22">
        <v>145</v>
      </c>
      <c r="K22">
        <v>351</v>
      </c>
      <c r="L22">
        <v>18</v>
      </c>
      <c r="M22">
        <v>114</v>
      </c>
      <c r="N22">
        <v>42</v>
      </c>
      <c r="O22">
        <v>78</v>
      </c>
      <c r="P22">
        <v>42</v>
      </c>
      <c r="Q22">
        <v>0</v>
      </c>
      <c r="R22">
        <v>0</v>
      </c>
      <c r="AH22" t="s">
        <v>416</v>
      </c>
      <c r="AI22">
        <v>1087</v>
      </c>
      <c r="AJ22">
        <v>330.63293468260002</v>
      </c>
      <c r="AK22">
        <v>1207</v>
      </c>
      <c r="AL22">
        <v>190</v>
      </c>
      <c r="AM22">
        <v>1754</v>
      </c>
      <c r="AN22">
        <v>1007</v>
      </c>
      <c r="AO22">
        <v>966</v>
      </c>
      <c r="AP22">
        <v>757</v>
      </c>
      <c r="AQ22">
        <v>456</v>
      </c>
      <c r="AR22">
        <v>269</v>
      </c>
      <c r="AS22">
        <v>389</v>
      </c>
      <c r="AT22">
        <v>2</v>
      </c>
      <c r="AV22" t="s">
        <v>422</v>
      </c>
      <c r="AW22">
        <v>177</v>
      </c>
      <c r="AX22">
        <v>74.7344632768</v>
      </c>
      <c r="AY22">
        <v>232</v>
      </c>
      <c r="AZ22">
        <v>7</v>
      </c>
      <c r="BA22">
        <v>233</v>
      </c>
      <c r="BB22">
        <v>25</v>
      </c>
      <c r="BC22">
        <v>0</v>
      </c>
      <c r="BE22">
        <v>11</v>
      </c>
      <c r="BF22">
        <v>3</v>
      </c>
      <c r="BG22">
        <v>165</v>
      </c>
      <c r="BH22">
        <v>29</v>
      </c>
      <c r="BJ22" t="s">
        <v>390</v>
      </c>
      <c r="BK22" t="s">
        <v>390</v>
      </c>
      <c r="BL22">
        <v>51814</v>
      </c>
      <c r="BM22">
        <v>10368</v>
      </c>
      <c r="BN22">
        <v>87.981259891099995</v>
      </c>
      <c r="BO22">
        <v>123789</v>
      </c>
      <c r="BP22">
        <v>1784</v>
      </c>
      <c r="BQ22">
        <v>124.6563426476</v>
      </c>
      <c r="BR22">
        <v>122.61042600899999</v>
      </c>
      <c r="BS22">
        <v>14252</v>
      </c>
      <c r="BT22">
        <v>4401</v>
      </c>
      <c r="BU22">
        <v>107.6928150435</v>
      </c>
      <c r="BV22">
        <v>138730</v>
      </c>
      <c r="BW22">
        <v>2259</v>
      </c>
      <c r="BX22">
        <v>130.6525625315</v>
      </c>
      <c r="BY22">
        <v>117.2656042497</v>
      </c>
      <c r="CA22" t="s">
        <v>401</v>
      </c>
      <c r="CB22" t="s">
        <v>807</v>
      </c>
      <c r="CC22" t="s">
        <v>1007</v>
      </c>
      <c r="CD22">
        <v>4665</v>
      </c>
      <c r="CE22">
        <v>687</v>
      </c>
      <c r="CF22">
        <v>76.409217577700005</v>
      </c>
      <c r="CG22">
        <v>13580</v>
      </c>
      <c r="CH22">
        <v>184</v>
      </c>
      <c r="CI22">
        <v>106.16148748160001</v>
      </c>
      <c r="CJ22">
        <v>111.9347826087</v>
      </c>
      <c r="CL22" t="s">
        <v>401</v>
      </c>
      <c r="CM22" t="s">
        <v>782</v>
      </c>
      <c r="CN22" t="s">
        <v>787</v>
      </c>
      <c r="CO22">
        <v>314</v>
      </c>
      <c r="CP22">
        <v>16</v>
      </c>
      <c r="CQ22">
        <v>59.226114649700001</v>
      </c>
      <c r="CR22">
        <v>1426</v>
      </c>
      <c r="CS22">
        <v>19</v>
      </c>
      <c r="CT22">
        <v>62.5841514727</v>
      </c>
      <c r="CU22">
        <v>52.526315789500003</v>
      </c>
      <c r="CW22" t="s">
        <v>401</v>
      </c>
      <c r="CX22" t="s">
        <v>795</v>
      </c>
      <c r="CY22" t="s">
        <v>800</v>
      </c>
      <c r="CZ22">
        <v>57</v>
      </c>
      <c r="DA22">
        <v>8</v>
      </c>
      <c r="DB22">
        <v>62.438596491200002</v>
      </c>
      <c r="DC22">
        <v>140</v>
      </c>
      <c r="DD22">
        <v>2</v>
      </c>
      <c r="DE22">
        <v>130.3642857143</v>
      </c>
      <c r="DF22">
        <v>151</v>
      </c>
      <c r="DH22" t="s">
        <v>401</v>
      </c>
      <c r="DI22" t="s">
        <v>769</v>
      </c>
      <c r="DJ22" t="s">
        <v>774</v>
      </c>
      <c r="DK22">
        <v>26</v>
      </c>
      <c r="DL22">
        <v>6</v>
      </c>
      <c r="DM22">
        <v>85.115384615400004</v>
      </c>
      <c r="DN22">
        <v>82</v>
      </c>
      <c r="DO22">
        <v>1</v>
      </c>
      <c r="DP22">
        <v>127.4390243902</v>
      </c>
      <c r="DQ22">
        <v>110</v>
      </c>
    </row>
    <row r="23" spans="2:121" x14ac:dyDescent="0.2">
      <c r="B23" t="s">
        <v>1058</v>
      </c>
      <c r="C23">
        <v>1129</v>
      </c>
      <c r="D23">
        <v>560</v>
      </c>
      <c r="F23" t="s">
        <v>44</v>
      </c>
      <c r="G23">
        <v>629</v>
      </c>
      <c r="H23">
        <v>287.17329093799998</v>
      </c>
      <c r="I23">
        <v>1694</v>
      </c>
      <c r="J23">
        <v>346</v>
      </c>
      <c r="K23">
        <v>1733</v>
      </c>
      <c r="L23">
        <v>852</v>
      </c>
      <c r="M23">
        <v>460</v>
      </c>
      <c r="N23">
        <v>249</v>
      </c>
      <c r="O23">
        <v>817</v>
      </c>
      <c r="P23">
        <v>661</v>
      </c>
      <c r="Q23">
        <v>0</v>
      </c>
      <c r="R23">
        <v>5</v>
      </c>
      <c r="AH23" t="s">
        <v>376</v>
      </c>
      <c r="AI23">
        <v>8873</v>
      </c>
      <c r="AJ23">
        <v>662.61027837259996</v>
      </c>
      <c r="AK23">
        <v>5924</v>
      </c>
      <c r="AL23">
        <v>1448</v>
      </c>
      <c r="AM23">
        <v>11513</v>
      </c>
      <c r="AN23">
        <v>8877</v>
      </c>
      <c r="AO23">
        <v>4306</v>
      </c>
      <c r="AP23">
        <v>3709</v>
      </c>
      <c r="AQ23">
        <v>3233</v>
      </c>
      <c r="AR23">
        <v>2248</v>
      </c>
      <c r="AS23">
        <v>496</v>
      </c>
      <c r="AT23">
        <v>6</v>
      </c>
      <c r="AV23" t="s">
        <v>407</v>
      </c>
      <c r="AW23">
        <v>1371</v>
      </c>
      <c r="AX23">
        <v>84.466812545600007</v>
      </c>
      <c r="AY23">
        <v>1775</v>
      </c>
      <c r="AZ23">
        <v>63</v>
      </c>
      <c r="BA23">
        <v>1998</v>
      </c>
      <c r="BB23">
        <v>291</v>
      </c>
      <c r="BC23">
        <v>15</v>
      </c>
      <c r="BD23">
        <v>13</v>
      </c>
      <c r="BE23">
        <v>95</v>
      </c>
      <c r="BF23">
        <v>33</v>
      </c>
      <c r="BG23">
        <v>1558</v>
      </c>
      <c r="BH23">
        <v>423</v>
      </c>
      <c r="BJ23" t="s">
        <v>571</v>
      </c>
      <c r="BK23" t="s">
        <v>390</v>
      </c>
      <c r="BL23">
        <v>4002</v>
      </c>
      <c r="BM23">
        <v>513</v>
      </c>
      <c r="BN23">
        <v>74.925287356300004</v>
      </c>
      <c r="BO23">
        <v>10287</v>
      </c>
      <c r="BP23">
        <v>147</v>
      </c>
      <c r="BQ23">
        <v>115.04345290169999</v>
      </c>
      <c r="BR23">
        <v>105.8571428571</v>
      </c>
      <c r="BS23">
        <v>736</v>
      </c>
      <c r="BT23">
        <v>151</v>
      </c>
      <c r="BU23">
        <v>92.987771739099998</v>
      </c>
      <c r="BV23">
        <v>11698</v>
      </c>
      <c r="BW23">
        <v>174</v>
      </c>
      <c r="BX23">
        <v>128.99461446399999</v>
      </c>
      <c r="BY23">
        <v>102.60344827590001</v>
      </c>
      <c r="CA23" t="s">
        <v>397</v>
      </c>
      <c r="CB23" t="s">
        <v>807</v>
      </c>
      <c r="CC23" t="s">
        <v>1008</v>
      </c>
      <c r="CD23">
        <v>5685</v>
      </c>
      <c r="CE23">
        <v>1200</v>
      </c>
      <c r="CF23">
        <v>88.812664907699997</v>
      </c>
      <c r="CG23">
        <v>14408</v>
      </c>
      <c r="CH23">
        <v>224</v>
      </c>
      <c r="CI23">
        <v>116.3257912271</v>
      </c>
      <c r="CJ23">
        <v>114.7946428571</v>
      </c>
      <c r="CL23" t="s">
        <v>397</v>
      </c>
      <c r="CM23" t="s">
        <v>782</v>
      </c>
      <c r="CN23" t="s">
        <v>788</v>
      </c>
      <c r="CO23">
        <v>524</v>
      </c>
      <c r="CP23">
        <v>79</v>
      </c>
      <c r="CQ23">
        <v>75.2461832061</v>
      </c>
      <c r="CR23">
        <v>2421</v>
      </c>
      <c r="CS23">
        <v>36</v>
      </c>
      <c r="CT23">
        <v>70.041718298199996</v>
      </c>
      <c r="CU23">
        <v>59.75</v>
      </c>
      <c r="CW23" t="s">
        <v>397</v>
      </c>
      <c r="CX23" t="s">
        <v>795</v>
      </c>
      <c r="CY23" t="s">
        <v>801</v>
      </c>
      <c r="CZ23">
        <v>104</v>
      </c>
      <c r="DA23">
        <v>12</v>
      </c>
      <c r="DB23">
        <v>66.096153846199996</v>
      </c>
      <c r="DC23">
        <v>352</v>
      </c>
      <c r="DD23">
        <v>6</v>
      </c>
      <c r="DE23">
        <v>127.54261363640001</v>
      </c>
      <c r="DF23">
        <v>98.5</v>
      </c>
      <c r="DH23" t="s">
        <v>397</v>
      </c>
      <c r="DI23" t="s">
        <v>769</v>
      </c>
      <c r="DJ23" t="s">
        <v>775</v>
      </c>
      <c r="DK23">
        <v>105</v>
      </c>
      <c r="DL23">
        <v>16</v>
      </c>
      <c r="DM23">
        <v>70.561904761899996</v>
      </c>
      <c r="DN23">
        <v>321</v>
      </c>
      <c r="DO23">
        <v>2</v>
      </c>
      <c r="DP23">
        <v>123.8940809969</v>
      </c>
      <c r="DQ23">
        <v>154</v>
      </c>
    </row>
    <row r="24" spans="2:121" x14ac:dyDescent="0.2">
      <c r="B24" t="s">
        <v>104</v>
      </c>
      <c r="C24">
        <v>35408</v>
      </c>
      <c r="D24">
        <v>24282</v>
      </c>
      <c r="F24" t="s">
        <v>79</v>
      </c>
      <c r="G24">
        <v>9676</v>
      </c>
      <c r="H24">
        <v>350.08195535350001</v>
      </c>
      <c r="I24">
        <v>16220</v>
      </c>
      <c r="J24">
        <v>2762</v>
      </c>
      <c r="K24">
        <v>11954</v>
      </c>
      <c r="L24">
        <v>6987</v>
      </c>
      <c r="M24">
        <v>3534</v>
      </c>
      <c r="N24">
        <v>2091</v>
      </c>
      <c r="O24">
        <v>6965</v>
      </c>
      <c r="P24">
        <v>2607</v>
      </c>
      <c r="Q24">
        <v>3</v>
      </c>
      <c r="R24">
        <v>198</v>
      </c>
      <c r="T24" t="s">
        <v>647</v>
      </c>
      <c r="U24" t="s">
        <v>306</v>
      </c>
      <c r="V24" t="s">
        <v>133</v>
      </c>
      <c r="W24" t="s">
        <v>214</v>
      </c>
      <c r="X24" t="s">
        <v>215</v>
      </c>
      <c r="Y24" t="s">
        <v>216</v>
      </c>
      <c r="Z24" t="s">
        <v>217</v>
      </c>
      <c r="AA24" t="s">
        <v>218</v>
      </c>
      <c r="AB24" t="s">
        <v>219</v>
      </c>
      <c r="AC24" t="s">
        <v>220</v>
      </c>
      <c r="AD24" t="s">
        <v>221</v>
      </c>
      <c r="AE24" t="s">
        <v>222</v>
      </c>
      <c r="AF24" t="s">
        <v>223</v>
      </c>
      <c r="AH24" t="s">
        <v>371</v>
      </c>
      <c r="AI24">
        <v>3916</v>
      </c>
      <c r="AJ24">
        <v>585.83963227779998</v>
      </c>
      <c r="AK24">
        <v>4332</v>
      </c>
      <c r="AL24">
        <v>968</v>
      </c>
      <c r="AM24">
        <v>5878</v>
      </c>
      <c r="AN24">
        <v>4255</v>
      </c>
      <c r="AO24">
        <v>2810</v>
      </c>
      <c r="AP24">
        <v>2283</v>
      </c>
      <c r="AQ24">
        <v>1381</v>
      </c>
      <c r="AR24">
        <v>1053</v>
      </c>
      <c r="AS24">
        <v>835</v>
      </c>
      <c r="AT24">
        <v>12</v>
      </c>
      <c r="AV24" t="s">
        <v>397</v>
      </c>
      <c r="AW24">
        <v>553</v>
      </c>
      <c r="AX24">
        <v>74.254972875199996</v>
      </c>
      <c r="AY24">
        <v>636</v>
      </c>
      <c r="AZ24">
        <v>81</v>
      </c>
      <c r="BA24">
        <v>732</v>
      </c>
      <c r="BB24">
        <v>76</v>
      </c>
      <c r="BC24">
        <v>3</v>
      </c>
      <c r="BD24">
        <v>2</v>
      </c>
      <c r="BE24">
        <v>42</v>
      </c>
      <c r="BF24">
        <v>12</v>
      </c>
      <c r="BG24">
        <v>108</v>
      </c>
      <c r="BH24">
        <v>60</v>
      </c>
      <c r="BJ24" t="s">
        <v>635</v>
      </c>
      <c r="BK24" t="s">
        <v>390</v>
      </c>
      <c r="BL24">
        <v>1018</v>
      </c>
      <c r="BM24">
        <v>265</v>
      </c>
      <c r="BN24">
        <v>94.556974459700001</v>
      </c>
      <c r="BO24">
        <v>2054</v>
      </c>
      <c r="BP24">
        <v>29</v>
      </c>
      <c r="BQ24">
        <v>104.7302823759</v>
      </c>
      <c r="BR24">
        <v>106.82758620689999</v>
      </c>
      <c r="BS24">
        <v>318</v>
      </c>
      <c r="BT24">
        <v>122</v>
      </c>
      <c r="BU24">
        <v>119.04716981129999</v>
      </c>
      <c r="BV24">
        <v>3652</v>
      </c>
      <c r="BW24">
        <v>59</v>
      </c>
      <c r="BX24">
        <v>132.59118291350001</v>
      </c>
      <c r="BY24">
        <v>97.881355932199995</v>
      </c>
      <c r="CA24" t="s">
        <v>400</v>
      </c>
      <c r="CB24" t="s">
        <v>807</v>
      </c>
      <c r="CC24" t="s">
        <v>1009</v>
      </c>
      <c r="CD24">
        <v>1761</v>
      </c>
      <c r="CE24">
        <v>226</v>
      </c>
      <c r="CF24">
        <v>70.093128903999997</v>
      </c>
      <c r="CG24">
        <v>5074</v>
      </c>
      <c r="CH24">
        <v>70</v>
      </c>
      <c r="CI24">
        <v>115.8588884509</v>
      </c>
      <c r="CJ24">
        <v>128.0285714286</v>
      </c>
      <c r="CL24" t="s">
        <v>400</v>
      </c>
      <c r="CM24" t="s">
        <v>782</v>
      </c>
      <c r="CN24" t="s">
        <v>789</v>
      </c>
      <c r="CO24">
        <v>116</v>
      </c>
      <c r="CP24">
        <v>13</v>
      </c>
      <c r="CQ24">
        <v>75.448275862100004</v>
      </c>
      <c r="CR24">
        <v>434</v>
      </c>
      <c r="CS24">
        <v>7</v>
      </c>
      <c r="CT24">
        <v>72.276497695900005</v>
      </c>
      <c r="CU24">
        <v>57.428571428600002</v>
      </c>
      <c r="CW24" t="s">
        <v>400</v>
      </c>
      <c r="CX24" t="s">
        <v>795</v>
      </c>
      <c r="CY24" t="s">
        <v>802</v>
      </c>
      <c r="CZ24">
        <v>32</v>
      </c>
      <c r="DA24">
        <v>7</v>
      </c>
      <c r="DB24">
        <v>66.78125</v>
      </c>
      <c r="DC24">
        <v>86</v>
      </c>
      <c r="DD24">
        <v>2</v>
      </c>
      <c r="DE24">
        <v>124.8720930233</v>
      </c>
      <c r="DF24">
        <v>169.5</v>
      </c>
      <c r="DH24" t="s">
        <v>400</v>
      </c>
      <c r="DI24" t="s">
        <v>769</v>
      </c>
      <c r="DJ24" t="s">
        <v>776</v>
      </c>
      <c r="DK24">
        <v>57</v>
      </c>
      <c r="DL24">
        <v>9</v>
      </c>
      <c r="DM24">
        <v>60.754385964900003</v>
      </c>
      <c r="DN24">
        <v>165</v>
      </c>
      <c r="DO24">
        <v>1</v>
      </c>
      <c r="DP24">
        <v>116.36363636359999</v>
      </c>
      <c r="DQ24">
        <v>125</v>
      </c>
    </row>
    <row r="25" spans="2:121" x14ac:dyDescent="0.2">
      <c r="B25" t="s">
        <v>103</v>
      </c>
      <c r="C25">
        <v>34</v>
      </c>
      <c r="D25">
        <v>33</v>
      </c>
      <c r="F25" t="s">
        <v>39</v>
      </c>
      <c r="G25">
        <v>8533</v>
      </c>
      <c r="H25">
        <v>294.8376889722</v>
      </c>
      <c r="I25">
        <v>9171</v>
      </c>
      <c r="J25">
        <v>2505</v>
      </c>
      <c r="K25">
        <v>12314</v>
      </c>
      <c r="L25">
        <v>8263</v>
      </c>
      <c r="M25">
        <v>2741</v>
      </c>
      <c r="N25">
        <v>2151</v>
      </c>
      <c r="O25">
        <v>1503</v>
      </c>
      <c r="P25">
        <v>968</v>
      </c>
      <c r="Q25">
        <v>0</v>
      </c>
      <c r="R25">
        <v>55</v>
      </c>
      <c r="T25" t="s">
        <v>385</v>
      </c>
      <c r="U25">
        <v>45295</v>
      </c>
      <c r="V25">
        <v>371.52354564519999</v>
      </c>
      <c r="W25">
        <v>64537</v>
      </c>
      <c r="X25">
        <v>13405</v>
      </c>
      <c r="Y25">
        <v>66046</v>
      </c>
      <c r="Z25">
        <v>42196</v>
      </c>
      <c r="AA25">
        <v>20101</v>
      </c>
      <c r="AB25">
        <v>14604</v>
      </c>
      <c r="AC25">
        <v>31201</v>
      </c>
      <c r="AD25">
        <v>17961</v>
      </c>
      <c r="AE25">
        <v>1308</v>
      </c>
      <c r="AF25">
        <v>1104</v>
      </c>
      <c r="AH25" t="s">
        <v>395</v>
      </c>
      <c r="AI25">
        <v>3604</v>
      </c>
      <c r="AJ25">
        <v>349.9209211987</v>
      </c>
      <c r="AK25">
        <v>7890</v>
      </c>
      <c r="AL25">
        <v>2113</v>
      </c>
      <c r="AM25">
        <v>6728</v>
      </c>
      <c r="AN25">
        <v>4235</v>
      </c>
      <c r="AO25">
        <v>1786</v>
      </c>
      <c r="AP25">
        <v>1435</v>
      </c>
      <c r="AQ25">
        <v>3152</v>
      </c>
      <c r="AR25">
        <v>1456</v>
      </c>
      <c r="AS25">
        <v>1037</v>
      </c>
      <c r="AT25">
        <v>221</v>
      </c>
      <c r="AV25" t="s">
        <v>80</v>
      </c>
      <c r="AW25">
        <v>272</v>
      </c>
      <c r="AX25">
        <v>63.066176470599999</v>
      </c>
      <c r="AY25">
        <v>361</v>
      </c>
      <c r="AZ25">
        <v>17</v>
      </c>
      <c r="BA25">
        <v>432</v>
      </c>
      <c r="BB25">
        <v>65</v>
      </c>
      <c r="BC25">
        <v>1</v>
      </c>
      <c r="BD25">
        <v>1</v>
      </c>
      <c r="BE25">
        <v>16</v>
      </c>
      <c r="BF25">
        <v>7</v>
      </c>
      <c r="BG25">
        <v>535</v>
      </c>
      <c r="BH25">
        <v>102</v>
      </c>
      <c r="BJ25" t="s">
        <v>574</v>
      </c>
      <c r="BK25" t="s">
        <v>390</v>
      </c>
      <c r="BL25">
        <v>5738</v>
      </c>
      <c r="BM25">
        <v>1200</v>
      </c>
      <c r="BN25">
        <v>88.555942837200007</v>
      </c>
      <c r="BO25">
        <v>13533</v>
      </c>
      <c r="BP25">
        <v>219</v>
      </c>
      <c r="BQ25">
        <v>118.8380255671</v>
      </c>
      <c r="BR25">
        <v>120.42465753419999</v>
      </c>
      <c r="BS25">
        <v>2227</v>
      </c>
      <c r="BT25">
        <v>712</v>
      </c>
      <c r="BU25">
        <v>102.9335428828</v>
      </c>
      <c r="BV25">
        <v>15055</v>
      </c>
      <c r="BW25">
        <v>286</v>
      </c>
      <c r="BX25">
        <v>123.3162404517</v>
      </c>
      <c r="BY25">
        <v>113.8741258741</v>
      </c>
      <c r="CA25" t="s">
        <v>419</v>
      </c>
      <c r="CB25" t="s">
        <v>807</v>
      </c>
      <c r="CC25" t="s">
        <v>1010</v>
      </c>
      <c r="CD25">
        <v>623</v>
      </c>
      <c r="CE25">
        <v>102</v>
      </c>
      <c r="CF25">
        <v>72.134831460699999</v>
      </c>
      <c r="CG25">
        <v>1776</v>
      </c>
      <c r="CH25">
        <v>23</v>
      </c>
      <c r="CI25">
        <v>97.492117117099994</v>
      </c>
      <c r="CJ25">
        <v>97.260869565199997</v>
      </c>
      <c r="CL25" t="s">
        <v>419</v>
      </c>
      <c r="CM25" t="s">
        <v>782</v>
      </c>
      <c r="CN25" t="s">
        <v>790</v>
      </c>
      <c r="CO25">
        <v>36</v>
      </c>
      <c r="CP25">
        <v>5</v>
      </c>
      <c r="CQ25">
        <v>61.25</v>
      </c>
      <c r="CR25">
        <v>173</v>
      </c>
      <c r="CS25">
        <v>3</v>
      </c>
      <c r="CT25">
        <v>62.150289017299997</v>
      </c>
      <c r="CU25">
        <v>59.666666666700003</v>
      </c>
      <c r="CW25" t="s">
        <v>419</v>
      </c>
      <c r="CX25" t="s">
        <v>795</v>
      </c>
      <c r="CY25" t="s">
        <v>803</v>
      </c>
      <c r="CZ25">
        <v>7</v>
      </c>
      <c r="DA25">
        <v>3</v>
      </c>
      <c r="DB25">
        <v>125</v>
      </c>
      <c r="DC25">
        <v>31</v>
      </c>
      <c r="DD25">
        <v>1</v>
      </c>
      <c r="DE25">
        <v>110.19354838709999</v>
      </c>
      <c r="DF25">
        <v>120</v>
      </c>
      <c r="DH25" t="s">
        <v>419</v>
      </c>
      <c r="DI25" t="s">
        <v>769</v>
      </c>
      <c r="DJ25" t="s">
        <v>777</v>
      </c>
      <c r="DK25">
        <v>7</v>
      </c>
      <c r="DL25">
        <v>0</v>
      </c>
      <c r="DM25">
        <v>39.428571428600002</v>
      </c>
      <c r="DN25">
        <v>10</v>
      </c>
      <c r="DO25">
        <v>1</v>
      </c>
      <c r="DP25">
        <v>113.4</v>
      </c>
      <c r="DQ25">
        <v>94</v>
      </c>
    </row>
    <row r="26" spans="2:121" x14ac:dyDescent="0.2">
      <c r="B26" t="s">
        <v>96</v>
      </c>
      <c r="C26">
        <v>107154</v>
      </c>
      <c r="D26">
        <v>66703</v>
      </c>
      <c r="F26" t="s">
        <v>35</v>
      </c>
      <c r="G26">
        <v>3865</v>
      </c>
      <c r="H26">
        <v>633.40439844759999</v>
      </c>
      <c r="I26">
        <v>3277</v>
      </c>
      <c r="J26">
        <v>734</v>
      </c>
      <c r="K26">
        <v>5471</v>
      </c>
      <c r="L26">
        <v>4158</v>
      </c>
      <c r="M26">
        <v>2735</v>
      </c>
      <c r="N26">
        <v>2234</v>
      </c>
      <c r="O26">
        <v>641</v>
      </c>
      <c r="P26">
        <v>575</v>
      </c>
      <c r="Q26">
        <v>0</v>
      </c>
      <c r="R26">
        <v>2</v>
      </c>
      <c r="T26" t="s">
        <v>390</v>
      </c>
      <c r="U26">
        <v>31738</v>
      </c>
      <c r="V26">
        <v>381.44429390639999</v>
      </c>
      <c r="W26">
        <v>50615</v>
      </c>
      <c r="X26">
        <v>9977</v>
      </c>
      <c r="Y26">
        <v>50779</v>
      </c>
      <c r="Z26">
        <v>30876</v>
      </c>
      <c r="AA26">
        <v>17191</v>
      </c>
      <c r="AB26">
        <v>13914</v>
      </c>
      <c r="AC26">
        <v>24107</v>
      </c>
      <c r="AD26">
        <v>15218</v>
      </c>
      <c r="AE26">
        <v>5516</v>
      </c>
      <c r="AF26">
        <v>1099</v>
      </c>
      <c r="AH26" t="s">
        <v>401</v>
      </c>
      <c r="AI26">
        <v>1577</v>
      </c>
      <c r="AJ26">
        <v>193.33164235890001</v>
      </c>
      <c r="AK26">
        <v>4616</v>
      </c>
      <c r="AL26">
        <v>707</v>
      </c>
      <c r="AM26">
        <v>2613</v>
      </c>
      <c r="AN26">
        <v>1079</v>
      </c>
      <c r="AO26">
        <v>890</v>
      </c>
      <c r="AP26">
        <v>545</v>
      </c>
      <c r="AQ26">
        <v>1230</v>
      </c>
      <c r="AR26">
        <v>747</v>
      </c>
      <c r="AS26">
        <v>6</v>
      </c>
      <c r="AT26">
        <v>4</v>
      </c>
      <c r="AV26" t="s">
        <v>374</v>
      </c>
      <c r="AW26">
        <v>488</v>
      </c>
      <c r="AX26">
        <v>102.6926229508</v>
      </c>
      <c r="AY26">
        <v>789</v>
      </c>
      <c r="AZ26">
        <v>154</v>
      </c>
      <c r="BA26">
        <v>654</v>
      </c>
      <c r="BB26">
        <v>187</v>
      </c>
      <c r="BC26">
        <v>1</v>
      </c>
      <c r="BD26">
        <v>1</v>
      </c>
      <c r="BE26">
        <v>45</v>
      </c>
      <c r="BF26">
        <v>13</v>
      </c>
      <c r="BG26">
        <v>79</v>
      </c>
      <c r="BH26">
        <v>161</v>
      </c>
      <c r="BJ26" t="s">
        <v>580</v>
      </c>
      <c r="BK26" t="s">
        <v>390</v>
      </c>
      <c r="BL26">
        <v>7182</v>
      </c>
      <c r="BM26">
        <v>1172</v>
      </c>
      <c r="BN26">
        <v>81.3698134224</v>
      </c>
      <c r="BO26">
        <v>17410</v>
      </c>
      <c r="BP26">
        <v>250</v>
      </c>
      <c r="BQ26">
        <v>114.0780011488</v>
      </c>
      <c r="BR26">
        <v>125.79600000000001</v>
      </c>
      <c r="BS26">
        <v>1824</v>
      </c>
      <c r="BT26">
        <v>474</v>
      </c>
      <c r="BU26">
        <v>102.6014254386</v>
      </c>
      <c r="BV26">
        <v>20704</v>
      </c>
      <c r="BW26">
        <v>333</v>
      </c>
      <c r="BX26">
        <v>125.2596599691</v>
      </c>
      <c r="BY26">
        <v>123.0690690691</v>
      </c>
      <c r="CA26" t="s">
        <v>391</v>
      </c>
      <c r="CB26" t="s">
        <v>807</v>
      </c>
      <c r="CC26" t="s">
        <v>1011</v>
      </c>
      <c r="CD26">
        <v>7927</v>
      </c>
      <c r="CE26">
        <v>1495</v>
      </c>
      <c r="CF26">
        <v>89.156805853400002</v>
      </c>
      <c r="CG26">
        <v>20924</v>
      </c>
      <c r="CH26">
        <v>263</v>
      </c>
      <c r="CI26">
        <v>127.51849550759999</v>
      </c>
      <c r="CJ26">
        <v>106.2015209125</v>
      </c>
      <c r="CL26" t="s">
        <v>391</v>
      </c>
      <c r="CM26" t="s">
        <v>782</v>
      </c>
      <c r="CN26" t="s">
        <v>791</v>
      </c>
      <c r="CO26">
        <v>792</v>
      </c>
      <c r="CP26">
        <v>106</v>
      </c>
      <c r="CQ26">
        <v>71.489898989899999</v>
      </c>
      <c r="CR26">
        <v>3931</v>
      </c>
      <c r="CS26">
        <v>46</v>
      </c>
      <c r="CT26">
        <v>71.654540829300004</v>
      </c>
      <c r="CU26">
        <v>61.304347826099999</v>
      </c>
      <c r="CW26" t="s">
        <v>391</v>
      </c>
      <c r="CX26" t="s">
        <v>795</v>
      </c>
      <c r="CY26" t="s">
        <v>804</v>
      </c>
      <c r="CZ26">
        <v>149</v>
      </c>
      <c r="DA26">
        <v>29</v>
      </c>
      <c r="DB26">
        <v>72.221476510100004</v>
      </c>
      <c r="DC26">
        <v>458</v>
      </c>
      <c r="DD26">
        <v>9</v>
      </c>
      <c r="DE26">
        <v>140.22270742360001</v>
      </c>
      <c r="DF26">
        <v>122.8888888889</v>
      </c>
      <c r="DH26" t="s">
        <v>391</v>
      </c>
      <c r="DI26" t="s">
        <v>769</v>
      </c>
      <c r="DJ26" t="s">
        <v>778</v>
      </c>
      <c r="DK26">
        <v>121</v>
      </c>
      <c r="DL26">
        <v>39</v>
      </c>
      <c r="DM26">
        <v>101.958677686</v>
      </c>
      <c r="DN26">
        <v>307</v>
      </c>
      <c r="DO26">
        <v>7</v>
      </c>
      <c r="DP26">
        <v>130.15960912049999</v>
      </c>
      <c r="DQ26">
        <v>98.571428571400006</v>
      </c>
    </row>
    <row r="27" spans="2:121" x14ac:dyDescent="0.2">
      <c r="B27" t="s">
        <v>106</v>
      </c>
      <c r="C27">
        <v>79980</v>
      </c>
      <c r="D27">
        <v>43994</v>
      </c>
      <c r="F27" t="s">
        <v>55</v>
      </c>
      <c r="G27">
        <v>623</v>
      </c>
      <c r="H27">
        <v>199.40609951850001</v>
      </c>
      <c r="I27">
        <v>799</v>
      </c>
      <c r="J27">
        <v>212</v>
      </c>
      <c r="K27">
        <v>791</v>
      </c>
      <c r="L27">
        <v>393</v>
      </c>
      <c r="M27">
        <v>284</v>
      </c>
      <c r="N27">
        <v>240</v>
      </c>
      <c r="O27">
        <v>218</v>
      </c>
      <c r="P27">
        <v>157</v>
      </c>
      <c r="Q27">
        <v>456</v>
      </c>
      <c r="R27">
        <v>168</v>
      </c>
      <c r="T27" t="s">
        <v>369</v>
      </c>
      <c r="U27">
        <v>63660</v>
      </c>
      <c r="V27">
        <v>417.58977379829997</v>
      </c>
      <c r="W27">
        <v>73009</v>
      </c>
      <c r="X27">
        <v>16898</v>
      </c>
      <c r="Y27">
        <v>90837</v>
      </c>
      <c r="Z27">
        <v>61102</v>
      </c>
      <c r="AA27">
        <v>35670</v>
      </c>
      <c r="AB27">
        <v>28919</v>
      </c>
      <c r="AC27">
        <v>40077</v>
      </c>
      <c r="AD27">
        <v>27311</v>
      </c>
      <c r="AE27">
        <v>9895</v>
      </c>
      <c r="AF27">
        <v>140</v>
      </c>
      <c r="AH27" t="s">
        <v>389</v>
      </c>
      <c r="AI27">
        <v>3834</v>
      </c>
      <c r="AJ27">
        <v>416.63641105890002</v>
      </c>
      <c r="AK27">
        <v>4710</v>
      </c>
      <c r="AL27">
        <v>1417</v>
      </c>
      <c r="AM27">
        <v>6097</v>
      </c>
      <c r="AN27">
        <v>4692</v>
      </c>
      <c r="AO27">
        <v>1768</v>
      </c>
      <c r="AP27">
        <v>1310</v>
      </c>
      <c r="AQ27">
        <v>1734</v>
      </c>
      <c r="AR27">
        <v>1156</v>
      </c>
      <c r="AS27">
        <v>512</v>
      </c>
      <c r="AT27">
        <v>217</v>
      </c>
      <c r="AV27" t="s">
        <v>403</v>
      </c>
      <c r="AW27">
        <v>225</v>
      </c>
      <c r="AX27">
        <v>85.253333333300006</v>
      </c>
      <c r="AY27">
        <v>257</v>
      </c>
      <c r="AZ27">
        <v>10</v>
      </c>
      <c r="BA27">
        <v>363</v>
      </c>
      <c r="BB27">
        <v>80</v>
      </c>
      <c r="BC27">
        <v>4</v>
      </c>
      <c r="BD27">
        <v>1</v>
      </c>
      <c r="BE27">
        <v>16</v>
      </c>
      <c r="BF27">
        <v>6</v>
      </c>
      <c r="BG27">
        <v>364</v>
      </c>
      <c r="BH27">
        <v>68</v>
      </c>
      <c r="BJ27" t="s">
        <v>639</v>
      </c>
      <c r="BK27" t="s">
        <v>390</v>
      </c>
      <c r="BL27">
        <v>2117</v>
      </c>
      <c r="BM27">
        <v>326</v>
      </c>
      <c r="BN27">
        <v>76.275862068999999</v>
      </c>
      <c r="BO27">
        <v>6210</v>
      </c>
      <c r="BP27">
        <v>51</v>
      </c>
      <c r="BQ27">
        <v>122.97906602250001</v>
      </c>
      <c r="BR27">
        <v>114.9803921569</v>
      </c>
      <c r="BS27">
        <v>457</v>
      </c>
      <c r="BT27">
        <v>123</v>
      </c>
      <c r="BU27">
        <v>96.142231947499994</v>
      </c>
      <c r="BV27">
        <v>4971</v>
      </c>
      <c r="BW27">
        <v>90</v>
      </c>
      <c r="BX27">
        <v>124.0718165359</v>
      </c>
      <c r="BY27">
        <v>108.64444444439999</v>
      </c>
      <c r="CA27" t="s">
        <v>420</v>
      </c>
      <c r="CB27" t="s">
        <v>807</v>
      </c>
      <c r="CC27" t="s">
        <v>1012</v>
      </c>
      <c r="CD27">
        <v>1039</v>
      </c>
      <c r="CE27">
        <v>254</v>
      </c>
      <c r="CF27">
        <v>89.260827719000005</v>
      </c>
      <c r="CG27">
        <v>2189</v>
      </c>
      <c r="CH27">
        <v>27</v>
      </c>
      <c r="CI27">
        <v>105.90817724990001</v>
      </c>
      <c r="CJ27">
        <v>109.9259259259</v>
      </c>
      <c r="CL27" t="s">
        <v>420</v>
      </c>
      <c r="CM27" t="s">
        <v>782</v>
      </c>
      <c r="CN27" t="s">
        <v>792</v>
      </c>
      <c r="CO27">
        <v>67</v>
      </c>
      <c r="CP27">
        <v>2</v>
      </c>
      <c r="CQ27">
        <v>52.6567164179</v>
      </c>
      <c r="CR27">
        <v>304</v>
      </c>
      <c r="CS27">
        <v>7</v>
      </c>
      <c r="CT27">
        <v>60.394736842100002</v>
      </c>
      <c r="CU27">
        <v>52</v>
      </c>
      <c r="CW27" t="s">
        <v>420</v>
      </c>
      <c r="CX27" t="s">
        <v>795</v>
      </c>
      <c r="CY27" t="s">
        <v>805</v>
      </c>
      <c r="CZ27">
        <v>5</v>
      </c>
      <c r="DA27">
        <v>2</v>
      </c>
      <c r="DB27">
        <v>67.599999999999994</v>
      </c>
      <c r="DC27">
        <v>27</v>
      </c>
      <c r="DD27">
        <v>0</v>
      </c>
      <c r="DE27">
        <v>142.7777777778</v>
      </c>
      <c r="DF27">
        <v>0</v>
      </c>
      <c r="DH27" t="s">
        <v>420</v>
      </c>
      <c r="DI27" t="s">
        <v>769</v>
      </c>
      <c r="DJ27" t="s">
        <v>779</v>
      </c>
      <c r="DK27">
        <v>10</v>
      </c>
      <c r="DL27">
        <v>2</v>
      </c>
      <c r="DM27">
        <v>71.2</v>
      </c>
      <c r="DN27">
        <v>21</v>
      </c>
      <c r="DO27">
        <v>0</v>
      </c>
      <c r="DP27">
        <v>152</v>
      </c>
      <c r="DQ27">
        <v>0</v>
      </c>
    </row>
    <row r="28" spans="2:121" x14ac:dyDescent="0.2">
      <c r="B28" t="s">
        <v>88</v>
      </c>
      <c r="C28">
        <v>79343</v>
      </c>
      <c r="D28">
        <v>19120</v>
      </c>
      <c r="F28" t="s">
        <v>69</v>
      </c>
      <c r="G28">
        <v>16900</v>
      </c>
      <c r="H28">
        <v>394.50378698219998</v>
      </c>
      <c r="I28">
        <v>11113</v>
      </c>
      <c r="J28">
        <v>2166</v>
      </c>
      <c r="K28">
        <v>20254</v>
      </c>
      <c r="L28">
        <v>13441</v>
      </c>
      <c r="M28">
        <v>8458</v>
      </c>
      <c r="N28">
        <v>7444</v>
      </c>
      <c r="O28">
        <v>4521</v>
      </c>
      <c r="P28">
        <v>3943</v>
      </c>
      <c r="Q28">
        <v>5</v>
      </c>
      <c r="R28">
        <v>8</v>
      </c>
      <c r="T28" t="s">
        <v>8</v>
      </c>
      <c r="U28">
        <v>3399</v>
      </c>
      <c r="V28">
        <v>356.21329802880001</v>
      </c>
      <c r="W28">
        <v>4556</v>
      </c>
      <c r="X28">
        <v>1927</v>
      </c>
      <c r="Y28">
        <v>4708</v>
      </c>
      <c r="Z28">
        <v>3133</v>
      </c>
      <c r="AA28">
        <v>1402</v>
      </c>
      <c r="AB28">
        <v>973</v>
      </c>
      <c r="AC28">
        <v>1198</v>
      </c>
      <c r="AD28">
        <v>805</v>
      </c>
      <c r="AE28">
        <v>490</v>
      </c>
      <c r="AF28">
        <v>160</v>
      </c>
      <c r="AH28" t="s">
        <v>397</v>
      </c>
      <c r="AI28">
        <v>3753</v>
      </c>
      <c r="AJ28">
        <v>247.92006394879999</v>
      </c>
      <c r="AK28">
        <v>5864</v>
      </c>
      <c r="AL28">
        <v>1155</v>
      </c>
      <c r="AM28">
        <v>5926</v>
      </c>
      <c r="AN28">
        <v>3251</v>
      </c>
      <c r="AO28">
        <v>2506</v>
      </c>
      <c r="AP28">
        <v>2118</v>
      </c>
      <c r="AQ28">
        <v>5555</v>
      </c>
      <c r="AR28">
        <v>3823</v>
      </c>
      <c r="AS28">
        <v>968</v>
      </c>
      <c r="AT28">
        <v>52</v>
      </c>
      <c r="AV28" t="s">
        <v>381</v>
      </c>
      <c r="AW28">
        <v>1359</v>
      </c>
      <c r="AX28">
        <v>108.23841059599999</v>
      </c>
      <c r="AY28">
        <v>1772</v>
      </c>
      <c r="AZ28">
        <v>359</v>
      </c>
      <c r="BA28">
        <v>1766</v>
      </c>
      <c r="BB28">
        <v>609</v>
      </c>
      <c r="BC28">
        <v>4</v>
      </c>
      <c r="BD28">
        <v>2</v>
      </c>
      <c r="BE28">
        <v>124</v>
      </c>
      <c r="BF28">
        <v>23</v>
      </c>
      <c r="BG28">
        <v>230</v>
      </c>
      <c r="BH28">
        <v>426</v>
      </c>
      <c r="BJ28" t="s">
        <v>533</v>
      </c>
      <c r="BK28" t="s">
        <v>369</v>
      </c>
      <c r="BL28">
        <v>4979</v>
      </c>
      <c r="BM28">
        <v>1237</v>
      </c>
      <c r="BN28">
        <v>102.3554930709</v>
      </c>
      <c r="BO28">
        <v>10141</v>
      </c>
      <c r="BP28">
        <v>151</v>
      </c>
      <c r="BQ28">
        <v>142.55458041610001</v>
      </c>
      <c r="BR28">
        <v>128.07947019869999</v>
      </c>
      <c r="BS28">
        <v>850</v>
      </c>
      <c r="BT28">
        <v>409</v>
      </c>
      <c r="BU28">
        <v>138.04705882350001</v>
      </c>
      <c r="BV28">
        <v>5664</v>
      </c>
      <c r="BW28">
        <v>58</v>
      </c>
      <c r="BX28">
        <v>139.4171963277</v>
      </c>
      <c r="BY28">
        <v>148.0172413793</v>
      </c>
      <c r="CA28" t="s">
        <v>396</v>
      </c>
      <c r="CB28" t="s">
        <v>807</v>
      </c>
      <c r="CC28" t="s">
        <v>1013</v>
      </c>
      <c r="CD28">
        <v>3585</v>
      </c>
      <c r="CE28">
        <v>481</v>
      </c>
      <c r="CF28">
        <v>76.2351464435</v>
      </c>
      <c r="CG28">
        <v>9707</v>
      </c>
      <c r="CH28">
        <v>133</v>
      </c>
      <c r="CI28">
        <v>113.4733697332</v>
      </c>
      <c r="CJ28">
        <v>107.8195488722</v>
      </c>
      <c r="CL28" t="s">
        <v>396</v>
      </c>
      <c r="CM28" t="s">
        <v>782</v>
      </c>
      <c r="CN28" t="s">
        <v>793</v>
      </c>
      <c r="CO28">
        <v>278</v>
      </c>
      <c r="CP28">
        <v>28</v>
      </c>
      <c r="CQ28">
        <v>65.6690647482</v>
      </c>
      <c r="CR28">
        <v>1500</v>
      </c>
      <c r="CS28">
        <v>23</v>
      </c>
      <c r="CT28">
        <v>59.658000000000001</v>
      </c>
      <c r="CU28">
        <v>50.304347826099999</v>
      </c>
      <c r="CW28" t="s">
        <v>396</v>
      </c>
      <c r="CX28" t="s">
        <v>795</v>
      </c>
      <c r="CY28" t="s">
        <v>806</v>
      </c>
      <c r="CZ28">
        <v>57</v>
      </c>
      <c r="DA28">
        <v>9</v>
      </c>
      <c r="DB28">
        <v>70.4561403509</v>
      </c>
      <c r="DC28">
        <v>183</v>
      </c>
      <c r="DD28">
        <v>4</v>
      </c>
      <c r="DE28">
        <v>130.32240437159999</v>
      </c>
      <c r="DF28">
        <v>57.75</v>
      </c>
      <c r="DH28" t="s">
        <v>396</v>
      </c>
      <c r="DI28" t="s">
        <v>769</v>
      </c>
      <c r="DJ28" t="s">
        <v>780</v>
      </c>
      <c r="DK28">
        <v>52</v>
      </c>
      <c r="DL28">
        <v>16</v>
      </c>
      <c r="DM28">
        <v>96.653846153800004</v>
      </c>
      <c r="DN28">
        <v>110</v>
      </c>
      <c r="DO28">
        <v>1</v>
      </c>
      <c r="DP28">
        <v>120.6818181818</v>
      </c>
      <c r="DQ28">
        <v>33</v>
      </c>
    </row>
    <row r="29" spans="2:121" x14ac:dyDescent="0.2">
      <c r="B29" t="s">
        <v>20</v>
      </c>
      <c r="C29">
        <v>322</v>
      </c>
      <c r="D29">
        <v>139</v>
      </c>
      <c r="F29" t="s">
        <v>41</v>
      </c>
      <c r="G29">
        <v>693</v>
      </c>
      <c r="H29">
        <v>119.49062049059999</v>
      </c>
      <c r="I29">
        <v>2240</v>
      </c>
      <c r="J29">
        <v>353</v>
      </c>
      <c r="K29">
        <v>1006</v>
      </c>
      <c r="L29">
        <v>276</v>
      </c>
      <c r="M29">
        <v>154</v>
      </c>
      <c r="N29">
        <v>93</v>
      </c>
      <c r="O29">
        <v>181</v>
      </c>
      <c r="P29">
        <v>100</v>
      </c>
      <c r="Q29">
        <v>0</v>
      </c>
      <c r="R29">
        <v>8</v>
      </c>
      <c r="T29" t="s">
        <v>404</v>
      </c>
      <c r="U29">
        <v>48923</v>
      </c>
      <c r="V29">
        <v>406.58265028720001</v>
      </c>
      <c r="W29">
        <v>60466</v>
      </c>
      <c r="X29">
        <v>12008</v>
      </c>
      <c r="Y29">
        <v>73282</v>
      </c>
      <c r="Z29">
        <v>51306</v>
      </c>
      <c r="AA29">
        <v>23316</v>
      </c>
      <c r="AB29">
        <v>18257</v>
      </c>
      <c r="AC29">
        <v>32492</v>
      </c>
      <c r="AD29">
        <v>22168</v>
      </c>
      <c r="AE29">
        <v>95</v>
      </c>
      <c r="AF29">
        <v>625</v>
      </c>
      <c r="AH29" t="s">
        <v>418</v>
      </c>
      <c r="AI29">
        <v>426</v>
      </c>
      <c r="AJ29">
        <v>313.12206572769998</v>
      </c>
      <c r="AK29">
        <v>697</v>
      </c>
      <c r="AL29">
        <v>58</v>
      </c>
      <c r="AM29">
        <v>699</v>
      </c>
      <c r="AN29">
        <v>348</v>
      </c>
      <c r="AO29">
        <v>365</v>
      </c>
      <c r="AP29">
        <v>249</v>
      </c>
      <c r="AQ29">
        <v>431</v>
      </c>
      <c r="AR29">
        <v>232</v>
      </c>
      <c r="AS29">
        <v>0</v>
      </c>
      <c r="AT29">
        <v>5</v>
      </c>
      <c r="AV29" t="s">
        <v>418</v>
      </c>
      <c r="AW29">
        <v>70</v>
      </c>
      <c r="AX29">
        <v>97.285714285699996</v>
      </c>
      <c r="AY29">
        <v>87</v>
      </c>
      <c r="AZ29">
        <v>4</v>
      </c>
      <c r="BA29">
        <v>97</v>
      </c>
      <c r="BB29">
        <v>11</v>
      </c>
      <c r="BC29">
        <v>0</v>
      </c>
      <c r="BE29">
        <v>3</v>
      </c>
      <c r="BF29">
        <v>1</v>
      </c>
      <c r="BG29">
        <v>120</v>
      </c>
      <c r="BH29">
        <v>18</v>
      </c>
      <c r="BJ29" t="s">
        <v>512</v>
      </c>
      <c r="BK29" t="s">
        <v>369</v>
      </c>
      <c r="BL29">
        <v>3518</v>
      </c>
      <c r="BM29">
        <v>741</v>
      </c>
      <c r="BN29">
        <v>86.772029562300006</v>
      </c>
      <c r="BO29">
        <v>7720</v>
      </c>
      <c r="BP29">
        <v>128</v>
      </c>
      <c r="BQ29">
        <v>131.70673575129999</v>
      </c>
      <c r="BR29">
        <v>109.375</v>
      </c>
      <c r="BS29">
        <v>879</v>
      </c>
      <c r="BT29">
        <v>322</v>
      </c>
      <c r="BU29">
        <v>117.5620022753</v>
      </c>
      <c r="BV29">
        <v>6450</v>
      </c>
      <c r="BW29">
        <v>81</v>
      </c>
      <c r="BX29">
        <v>131.1702325581</v>
      </c>
      <c r="BY29">
        <v>162.950617284</v>
      </c>
      <c r="CA29" t="s">
        <v>390</v>
      </c>
      <c r="CB29" t="s">
        <v>807</v>
      </c>
      <c r="CD29">
        <v>49402</v>
      </c>
      <c r="CE29">
        <v>9890</v>
      </c>
      <c r="CF29">
        <v>87.647321970799993</v>
      </c>
      <c r="CG29">
        <v>123441</v>
      </c>
      <c r="CH29">
        <v>1748</v>
      </c>
      <c r="CI29">
        <v>121.87390737280001</v>
      </c>
      <c r="CJ29">
        <v>118.4364988558</v>
      </c>
      <c r="CL29" t="s">
        <v>390</v>
      </c>
      <c r="CM29" t="s">
        <v>782</v>
      </c>
      <c r="CO29">
        <v>4435</v>
      </c>
      <c r="CP29">
        <v>524</v>
      </c>
      <c r="CQ29">
        <v>69.4577226607</v>
      </c>
      <c r="CR29">
        <v>20780</v>
      </c>
      <c r="CS29">
        <v>269</v>
      </c>
      <c r="CT29">
        <v>69.5435033686</v>
      </c>
      <c r="CU29">
        <v>63.509293680299997</v>
      </c>
      <c r="CW29" t="s">
        <v>390</v>
      </c>
      <c r="CX29" t="s">
        <v>795</v>
      </c>
      <c r="CZ29">
        <v>905</v>
      </c>
      <c r="DA29">
        <v>176</v>
      </c>
      <c r="DB29">
        <v>75.681767955799998</v>
      </c>
      <c r="DC29">
        <v>2415</v>
      </c>
      <c r="DD29">
        <v>53</v>
      </c>
      <c r="DE29">
        <v>135.46004140790001</v>
      </c>
      <c r="DF29">
        <v>114.86792452829999</v>
      </c>
      <c r="DH29" t="s">
        <v>390</v>
      </c>
      <c r="DI29" t="s">
        <v>769</v>
      </c>
      <c r="DK29">
        <v>806</v>
      </c>
      <c r="DL29">
        <v>161</v>
      </c>
      <c r="DM29">
        <v>79.820099255599999</v>
      </c>
      <c r="DN29">
        <v>2161</v>
      </c>
      <c r="DO29">
        <v>41</v>
      </c>
      <c r="DP29">
        <v>125.81166126790001</v>
      </c>
      <c r="DQ29">
        <v>110.80487804880001</v>
      </c>
    </row>
    <row r="30" spans="2:121" x14ac:dyDescent="0.2">
      <c r="B30" t="s">
        <v>22</v>
      </c>
      <c r="C30">
        <v>203310</v>
      </c>
      <c r="D30">
        <v>39403</v>
      </c>
      <c r="F30" t="s">
        <v>45</v>
      </c>
      <c r="G30">
        <v>1471</v>
      </c>
      <c r="H30">
        <v>266.89530931339999</v>
      </c>
      <c r="I30">
        <v>2157</v>
      </c>
      <c r="J30">
        <v>332</v>
      </c>
      <c r="K30">
        <v>1803</v>
      </c>
      <c r="L30">
        <v>1043</v>
      </c>
      <c r="M30">
        <v>949</v>
      </c>
      <c r="N30">
        <v>554</v>
      </c>
      <c r="O30">
        <v>195</v>
      </c>
      <c r="P30">
        <v>121</v>
      </c>
      <c r="Q30">
        <v>0</v>
      </c>
      <c r="R30">
        <v>1</v>
      </c>
      <c r="T30" t="s">
        <v>380</v>
      </c>
      <c r="U30">
        <v>63406</v>
      </c>
      <c r="V30">
        <v>368.07369964989999</v>
      </c>
      <c r="W30">
        <v>77355</v>
      </c>
      <c r="X30">
        <v>17990</v>
      </c>
      <c r="Y30">
        <v>91146</v>
      </c>
      <c r="Z30">
        <v>62360</v>
      </c>
      <c r="AA30">
        <v>29760</v>
      </c>
      <c r="AB30">
        <v>24285</v>
      </c>
      <c r="AC30">
        <v>46863</v>
      </c>
      <c r="AD30">
        <v>32820</v>
      </c>
      <c r="AE30">
        <v>6858</v>
      </c>
      <c r="AF30">
        <v>1248</v>
      </c>
      <c r="AH30" t="s">
        <v>400</v>
      </c>
      <c r="AI30">
        <v>791</v>
      </c>
      <c r="AJ30">
        <v>209.93678887479999</v>
      </c>
      <c r="AK30">
        <v>1821</v>
      </c>
      <c r="AL30">
        <v>251</v>
      </c>
      <c r="AM30">
        <v>1424</v>
      </c>
      <c r="AN30">
        <v>648</v>
      </c>
      <c r="AO30">
        <v>765</v>
      </c>
      <c r="AP30">
        <v>543</v>
      </c>
      <c r="AQ30">
        <v>675</v>
      </c>
      <c r="AR30">
        <v>350</v>
      </c>
      <c r="AS30">
        <v>2</v>
      </c>
      <c r="AT30">
        <v>15</v>
      </c>
      <c r="AV30" t="s">
        <v>415</v>
      </c>
      <c r="AW30">
        <v>132</v>
      </c>
      <c r="AX30">
        <v>89.121212121200003</v>
      </c>
      <c r="AY30">
        <v>177</v>
      </c>
      <c r="AZ30">
        <v>30</v>
      </c>
      <c r="BA30">
        <v>165</v>
      </c>
      <c r="BB30">
        <v>40</v>
      </c>
      <c r="BC30">
        <v>0</v>
      </c>
      <c r="BE30">
        <v>4</v>
      </c>
      <c r="BF30">
        <v>2</v>
      </c>
      <c r="BG30">
        <v>10</v>
      </c>
      <c r="BH30">
        <v>22</v>
      </c>
      <c r="BJ30" t="s">
        <v>520</v>
      </c>
      <c r="BK30" t="s">
        <v>369</v>
      </c>
      <c r="BL30">
        <v>3794</v>
      </c>
      <c r="BM30">
        <v>798</v>
      </c>
      <c r="BN30">
        <v>85.207432788600002</v>
      </c>
      <c r="BO30">
        <v>8749</v>
      </c>
      <c r="BP30">
        <v>117</v>
      </c>
      <c r="BQ30">
        <v>135.72705452049999</v>
      </c>
      <c r="BR30">
        <v>126.641025641</v>
      </c>
      <c r="BS30">
        <v>615</v>
      </c>
      <c r="BT30">
        <v>233</v>
      </c>
      <c r="BU30">
        <v>114.9089430894</v>
      </c>
      <c r="BV30">
        <v>7067</v>
      </c>
      <c r="BW30">
        <v>117</v>
      </c>
      <c r="BX30">
        <v>133.07273241830001</v>
      </c>
      <c r="BY30">
        <v>129.0427350427</v>
      </c>
      <c r="CA30" t="s">
        <v>373</v>
      </c>
      <c r="CB30" t="s">
        <v>856</v>
      </c>
      <c r="CC30" t="s">
        <v>979</v>
      </c>
      <c r="CD30">
        <v>1655</v>
      </c>
      <c r="CE30">
        <v>336</v>
      </c>
      <c r="CF30">
        <v>87.848942598199997</v>
      </c>
      <c r="CG30">
        <v>4547</v>
      </c>
      <c r="CH30">
        <v>61</v>
      </c>
      <c r="CI30">
        <v>113.71211787990001</v>
      </c>
      <c r="CJ30">
        <v>105.5245901639</v>
      </c>
      <c r="CL30" t="s">
        <v>373</v>
      </c>
      <c r="CM30" t="s">
        <v>825</v>
      </c>
      <c r="CN30" t="s">
        <v>824</v>
      </c>
      <c r="CO30">
        <v>274</v>
      </c>
      <c r="CP30">
        <v>25</v>
      </c>
      <c r="CQ30">
        <v>65.448905109500004</v>
      </c>
      <c r="CR30">
        <v>570</v>
      </c>
      <c r="CS30">
        <v>10</v>
      </c>
      <c r="CT30">
        <v>97.178947368400003</v>
      </c>
      <c r="CU30">
        <v>104.4</v>
      </c>
      <c r="CW30" t="s">
        <v>373</v>
      </c>
      <c r="CX30" t="s">
        <v>841</v>
      </c>
      <c r="CY30" t="s">
        <v>840</v>
      </c>
      <c r="CZ30">
        <v>57</v>
      </c>
      <c r="DA30">
        <v>3</v>
      </c>
      <c r="DB30">
        <v>51.438596491200002</v>
      </c>
      <c r="DC30">
        <v>95</v>
      </c>
      <c r="DD30">
        <v>2</v>
      </c>
      <c r="DE30">
        <v>143.80000000000001</v>
      </c>
      <c r="DF30">
        <v>80.5</v>
      </c>
      <c r="DH30" t="s">
        <v>373</v>
      </c>
      <c r="DI30" t="s">
        <v>809</v>
      </c>
      <c r="DJ30" t="s">
        <v>808</v>
      </c>
      <c r="DK30">
        <v>21</v>
      </c>
      <c r="DL30">
        <v>2</v>
      </c>
      <c r="DM30">
        <v>69.047619047599994</v>
      </c>
      <c r="DN30">
        <v>121</v>
      </c>
      <c r="DO30">
        <v>3</v>
      </c>
      <c r="DP30">
        <v>135.6694214876</v>
      </c>
      <c r="DQ30">
        <v>104.6666666667</v>
      </c>
    </row>
    <row r="31" spans="2:121" x14ac:dyDescent="0.2">
      <c r="B31" t="s">
        <v>114</v>
      </c>
      <c r="C31">
        <v>4975</v>
      </c>
      <c r="D31">
        <v>561</v>
      </c>
      <c r="F31" t="s">
        <v>65</v>
      </c>
      <c r="G31">
        <v>3612</v>
      </c>
      <c r="H31">
        <v>425.58250276849998</v>
      </c>
      <c r="I31">
        <v>5229</v>
      </c>
      <c r="J31">
        <v>1671</v>
      </c>
      <c r="K31">
        <v>5089</v>
      </c>
      <c r="L31">
        <v>3555</v>
      </c>
      <c r="M31">
        <v>473</v>
      </c>
      <c r="N31">
        <v>347</v>
      </c>
      <c r="O31">
        <v>839</v>
      </c>
      <c r="P31">
        <v>585</v>
      </c>
      <c r="Q31">
        <v>0</v>
      </c>
      <c r="R31">
        <v>2</v>
      </c>
      <c r="T31" t="s">
        <v>461</v>
      </c>
      <c r="U31">
        <v>256421</v>
      </c>
      <c r="V31">
        <v>389.82102089919999</v>
      </c>
      <c r="W31">
        <v>330538</v>
      </c>
      <c r="X31">
        <v>72205</v>
      </c>
      <c r="Y31">
        <v>376798</v>
      </c>
      <c r="Z31">
        <v>250973</v>
      </c>
      <c r="AA31">
        <v>127440</v>
      </c>
      <c r="AB31">
        <v>100952</v>
      </c>
      <c r="AC31">
        <v>175938</v>
      </c>
      <c r="AD31">
        <v>116283</v>
      </c>
      <c r="AE31">
        <v>24162</v>
      </c>
      <c r="AF31">
        <v>4376</v>
      </c>
      <c r="AH31" t="s">
        <v>413</v>
      </c>
      <c r="AI31">
        <v>3110</v>
      </c>
      <c r="AJ31">
        <v>443.86527331190001</v>
      </c>
      <c r="AK31">
        <v>4047</v>
      </c>
      <c r="AL31">
        <v>1031</v>
      </c>
      <c r="AM31">
        <v>4335</v>
      </c>
      <c r="AN31">
        <v>3089</v>
      </c>
      <c r="AO31">
        <v>1053</v>
      </c>
      <c r="AP31">
        <v>858</v>
      </c>
      <c r="AQ31">
        <v>2017</v>
      </c>
      <c r="AR31">
        <v>1470</v>
      </c>
      <c r="AS31">
        <v>4</v>
      </c>
      <c r="AT31">
        <v>129</v>
      </c>
      <c r="AV31" t="s">
        <v>384</v>
      </c>
      <c r="AW31">
        <v>560</v>
      </c>
      <c r="AX31">
        <v>74.226785714299993</v>
      </c>
      <c r="AY31">
        <v>737</v>
      </c>
      <c r="AZ31">
        <v>74</v>
      </c>
      <c r="BA31">
        <v>818</v>
      </c>
      <c r="BB31">
        <v>117</v>
      </c>
      <c r="BC31">
        <v>1</v>
      </c>
      <c r="BD31">
        <v>1</v>
      </c>
      <c r="BE31">
        <v>73</v>
      </c>
      <c r="BF31">
        <v>19</v>
      </c>
      <c r="BG31">
        <v>146</v>
      </c>
      <c r="BH31">
        <v>83</v>
      </c>
      <c r="BJ31" t="s">
        <v>522</v>
      </c>
      <c r="BK31" t="s">
        <v>369</v>
      </c>
      <c r="BL31">
        <v>1719</v>
      </c>
      <c r="BM31">
        <v>341</v>
      </c>
      <c r="BN31">
        <v>89.148342059300006</v>
      </c>
      <c r="BO31">
        <v>4412</v>
      </c>
      <c r="BP31">
        <v>61</v>
      </c>
      <c r="BQ31">
        <v>114.640299184</v>
      </c>
      <c r="BR31">
        <v>117.8852459016</v>
      </c>
      <c r="BS31">
        <v>704</v>
      </c>
      <c r="BT31">
        <v>198</v>
      </c>
      <c r="BU31">
        <v>101.2840909091</v>
      </c>
      <c r="BV31">
        <v>6369</v>
      </c>
      <c r="BW31">
        <v>99</v>
      </c>
      <c r="BX31">
        <v>128.9860260637</v>
      </c>
      <c r="BY31">
        <v>107.0101010101</v>
      </c>
      <c r="CA31" t="s">
        <v>423</v>
      </c>
      <c r="CB31" t="s">
        <v>856</v>
      </c>
      <c r="CC31" t="s">
        <v>980</v>
      </c>
      <c r="CD31">
        <v>878</v>
      </c>
      <c r="CE31">
        <v>195</v>
      </c>
      <c r="CF31">
        <v>89.986332574000002</v>
      </c>
      <c r="CG31">
        <v>2035</v>
      </c>
      <c r="CH31">
        <v>27</v>
      </c>
      <c r="CI31">
        <v>137.2864864865</v>
      </c>
      <c r="CJ31">
        <v>132.6666666667</v>
      </c>
      <c r="CL31" t="s">
        <v>423</v>
      </c>
      <c r="CM31" t="s">
        <v>825</v>
      </c>
      <c r="CN31" t="s">
        <v>826</v>
      </c>
      <c r="CO31">
        <v>79</v>
      </c>
      <c r="CP31">
        <v>11</v>
      </c>
      <c r="CQ31">
        <v>80.341772151900003</v>
      </c>
      <c r="CR31">
        <v>201</v>
      </c>
      <c r="CS31">
        <v>2</v>
      </c>
      <c r="CT31">
        <v>95.318407960200005</v>
      </c>
      <c r="CU31">
        <v>97</v>
      </c>
      <c r="CW31" t="s">
        <v>423</v>
      </c>
      <c r="CX31" t="s">
        <v>841</v>
      </c>
      <c r="CY31" t="s">
        <v>842</v>
      </c>
      <c r="CZ31">
        <v>20</v>
      </c>
      <c r="DA31">
        <v>6</v>
      </c>
      <c r="DB31">
        <v>98.5</v>
      </c>
      <c r="DC31">
        <v>27</v>
      </c>
      <c r="DD31">
        <v>2</v>
      </c>
      <c r="DE31">
        <v>156.037037037</v>
      </c>
      <c r="DF31">
        <v>185.5</v>
      </c>
      <c r="DH31" t="s">
        <v>423</v>
      </c>
      <c r="DI31" t="s">
        <v>809</v>
      </c>
      <c r="DJ31" t="s">
        <v>810</v>
      </c>
      <c r="DK31">
        <v>23</v>
      </c>
      <c r="DL31">
        <v>4</v>
      </c>
      <c r="DM31">
        <v>81.521739130399993</v>
      </c>
      <c r="DN31">
        <v>39</v>
      </c>
      <c r="DO31">
        <v>3</v>
      </c>
      <c r="DP31">
        <v>153.56410256410001</v>
      </c>
      <c r="DQ31">
        <v>133</v>
      </c>
    </row>
    <row r="32" spans="2:121" x14ac:dyDescent="0.2">
      <c r="B32" t="s">
        <v>122</v>
      </c>
      <c r="C32">
        <v>700</v>
      </c>
      <c r="D32">
        <v>21</v>
      </c>
      <c r="F32" t="s">
        <v>73</v>
      </c>
      <c r="G32">
        <v>9953</v>
      </c>
      <c r="H32">
        <v>391.88676780869997</v>
      </c>
      <c r="I32">
        <v>7487</v>
      </c>
      <c r="J32">
        <v>1168</v>
      </c>
      <c r="K32">
        <v>14770</v>
      </c>
      <c r="L32">
        <v>10179</v>
      </c>
      <c r="M32">
        <v>4164</v>
      </c>
      <c r="N32">
        <v>3022</v>
      </c>
      <c r="O32">
        <v>4240</v>
      </c>
      <c r="P32">
        <v>3465</v>
      </c>
      <c r="Q32">
        <v>5</v>
      </c>
      <c r="R32">
        <v>152</v>
      </c>
      <c r="AH32" t="s">
        <v>415</v>
      </c>
      <c r="AI32">
        <v>1106</v>
      </c>
      <c r="AJ32">
        <v>294.8291139241</v>
      </c>
      <c r="AK32">
        <v>1223</v>
      </c>
      <c r="AL32">
        <v>188</v>
      </c>
      <c r="AM32">
        <v>1686</v>
      </c>
      <c r="AN32">
        <v>1046</v>
      </c>
      <c r="AO32">
        <v>355</v>
      </c>
      <c r="AP32">
        <v>260</v>
      </c>
      <c r="AQ32">
        <v>319</v>
      </c>
      <c r="AR32">
        <v>179</v>
      </c>
      <c r="AS32">
        <v>199</v>
      </c>
      <c r="AT32">
        <v>4</v>
      </c>
      <c r="AV32" t="s">
        <v>405</v>
      </c>
      <c r="AW32">
        <v>101</v>
      </c>
      <c r="AX32">
        <v>102.9801980198</v>
      </c>
      <c r="AY32">
        <v>147</v>
      </c>
      <c r="AZ32">
        <v>3</v>
      </c>
      <c r="BA32">
        <v>156</v>
      </c>
      <c r="BB32">
        <v>32</v>
      </c>
      <c r="BC32">
        <v>0</v>
      </c>
      <c r="BE32">
        <v>7</v>
      </c>
      <c r="BF32">
        <v>3</v>
      </c>
      <c r="BG32">
        <v>298</v>
      </c>
      <c r="BH32">
        <v>28</v>
      </c>
      <c r="BJ32" t="s">
        <v>537</v>
      </c>
      <c r="BK32" t="s">
        <v>369</v>
      </c>
      <c r="BL32">
        <v>2572</v>
      </c>
      <c r="BM32">
        <v>463</v>
      </c>
      <c r="BN32">
        <v>82.039269051299996</v>
      </c>
      <c r="BO32">
        <v>6080</v>
      </c>
      <c r="BP32">
        <v>154</v>
      </c>
      <c r="BQ32">
        <v>117.090625</v>
      </c>
      <c r="BR32">
        <v>111.91558441559999</v>
      </c>
      <c r="BS32">
        <v>1958</v>
      </c>
      <c r="BT32">
        <v>467</v>
      </c>
      <c r="BU32">
        <v>92.656281920300003</v>
      </c>
      <c r="BV32">
        <v>11312</v>
      </c>
      <c r="BW32">
        <v>207</v>
      </c>
      <c r="BX32">
        <v>130.8475954738</v>
      </c>
      <c r="BY32">
        <v>106.0096618357</v>
      </c>
      <c r="CA32" t="s">
        <v>414</v>
      </c>
      <c r="CB32" t="s">
        <v>856</v>
      </c>
      <c r="CC32" t="s">
        <v>981</v>
      </c>
      <c r="CD32">
        <v>416</v>
      </c>
      <c r="CE32">
        <v>70</v>
      </c>
      <c r="CF32">
        <v>82.961538461499998</v>
      </c>
      <c r="CG32">
        <v>931</v>
      </c>
      <c r="CH32">
        <v>14</v>
      </c>
      <c r="CI32">
        <v>140.7175080559</v>
      </c>
      <c r="CJ32">
        <v>136.21428571429999</v>
      </c>
      <c r="CL32" t="s">
        <v>414</v>
      </c>
      <c r="CM32" t="s">
        <v>825</v>
      </c>
      <c r="CN32" t="s">
        <v>827</v>
      </c>
      <c r="CO32">
        <v>62</v>
      </c>
      <c r="CP32">
        <v>11</v>
      </c>
      <c r="CQ32">
        <v>84.306451612900005</v>
      </c>
      <c r="CR32">
        <v>178</v>
      </c>
      <c r="CS32">
        <v>0</v>
      </c>
      <c r="CT32">
        <v>104.8539325843</v>
      </c>
      <c r="CU32">
        <v>0</v>
      </c>
      <c r="CW32" t="s">
        <v>414</v>
      </c>
      <c r="CX32" t="s">
        <v>841</v>
      </c>
      <c r="CY32" t="s">
        <v>843</v>
      </c>
      <c r="CZ32">
        <v>14</v>
      </c>
      <c r="DA32">
        <v>3</v>
      </c>
      <c r="DB32">
        <v>82.5</v>
      </c>
      <c r="DC32">
        <v>30</v>
      </c>
      <c r="DD32">
        <v>1</v>
      </c>
      <c r="DE32">
        <v>157.0666666667</v>
      </c>
      <c r="DF32">
        <v>74</v>
      </c>
      <c r="DH32" t="s">
        <v>414</v>
      </c>
      <c r="DI32" t="s">
        <v>809</v>
      </c>
      <c r="DJ32" t="s">
        <v>811</v>
      </c>
      <c r="DK32">
        <v>21</v>
      </c>
      <c r="DL32">
        <v>3</v>
      </c>
      <c r="DM32">
        <v>52.571428571399998</v>
      </c>
      <c r="DN32">
        <v>41</v>
      </c>
      <c r="DO32">
        <v>2</v>
      </c>
      <c r="DP32">
        <v>135.85365853659999</v>
      </c>
      <c r="DQ32">
        <v>110</v>
      </c>
    </row>
    <row r="33" spans="2:121" x14ac:dyDescent="0.2">
      <c r="B33" t="s">
        <v>157</v>
      </c>
      <c r="C33">
        <v>3746</v>
      </c>
      <c r="D33">
        <v>3599</v>
      </c>
      <c r="F33" t="s">
        <v>67</v>
      </c>
      <c r="G33">
        <v>708</v>
      </c>
      <c r="H33">
        <v>236.7853107345</v>
      </c>
      <c r="I33">
        <v>2235</v>
      </c>
      <c r="J33">
        <v>398</v>
      </c>
      <c r="K33">
        <v>2474</v>
      </c>
      <c r="L33">
        <v>741</v>
      </c>
      <c r="M33">
        <v>1537</v>
      </c>
      <c r="N33">
        <v>1467</v>
      </c>
      <c r="O33">
        <v>430</v>
      </c>
      <c r="P33">
        <v>260</v>
      </c>
      <c r="Q33">
        <v>0</v>
      </c>
      <c r="R33">
        <v>0</v>
      </c>
      <c r="AH33" t="s">
        <v>374</v>
      </c>
      <c r="AI33">
        <v>1812</v>
      </c>
      <c r="AJ33">
        <v>387.63024282560002</v>
      </c>
      <c r="AK33">
        <v>4470</v>
      </c>
      <c r="AL33">
        <v>1126</v>
      </c>
      <c r="AM33">
        <v>3419</v>
      </c>
      <c r="AN33">
        <v>1966</v>
      </c>
      <c r="AO33">
        <v>1412</v>
      </c>
      <c r="AP33">
        <v>1165</v>
      </c>
      <c r="AQ33">
        <v>2520</v>
      </c>
      <c r="AR33">
        <v>1732</v>
      </c>
      <c r="AS33">
        <v>829</v>
      </c>
      <c r="AT33">
        <v>5</v>
      </c>
      <c r="AV33" t="s">
        <v>426</v>
      </c>
      <c r="AW33">
        <v>322</v>
      </c>
      <c r="AX33">
        <v>107.0341614907</v>
      </c>
      <c r="AY33">
        <v>456</v>
      </c>
      <c r="AZ33">
        <v>22</v>
      </c>
      <c r="BA33">
        <v>457</v>
      </c>
      <c r="BB33">
        <v>75</v>
      </c>
      <c r="BC33">
        <v>0</v>
      </c>
      <c r="BE33">
        <v>18</v>
      </c>
      <c r="BF33">
        <v>2</v>
      </c>
      <c r="BG33">
        <v>453</v>
      </c>
      <c r="BH33">
        <v>109</v>
      </c>
      <c r="BJ33" t="s">
        <v>622</v>
      </c>
      <c r="BK33" t="s">
        <v>369</v>
      </c>
      <c r="BL33">
        <v>1184</v>
      </c>
      <c r="BM33">
        <v>150</v>
      </c>
      <c r="BN33">
        <v>69.297297297300005</v>
      </c>
      <c r="BO33">
        <v>2717</v>
      </c>
      <c r="BP33">
        <v>59</v>
      </c>
      <c r="BQ33">
        <v>129.4659550975</v>
      </c>
      <c r="BR33">
        <v>94.389830508499998</v>
      </c>
      <c r="BS33">
        <v>271</v>
      </c>
      <c r="BT33">
        <v>82</v>
      </c>
      <c r="BU33">
        <v>100.3025830258</v>
      </c>
      <c r="BV33">
        <v>2824</v>
      </c>
      <c r="BW33">
        <v>56</v>
      </c>
      <c r="BX33">
        <v>134.23229461759999</v>
      </c>
      <c r="BY33">
        <v>109.7678571429</v>
      </c>
      <c r="CA33" t="s">
        <v>416</v>
      </c>
      <c r="CB33" t="s">
        <v>856</v>
      </c>
      <c r="CC33" t="s">
        <v>982</v>
      </c>
      <c r="CD33">
        <v>1176</v>
      </c>
      <c r="CE33">
        <v>179</v>
      </c>
      <c r="CF33">
        <v>76.405612244899999</v>
      </c>
      <c r="CG33">
        <v>3540</v>
      </c>
      <c r="CH33">
        <v>50</v>
      </c>
      <c r="CI33">
        <v>105.65367231640001</v>
      </c>
      <c r="CJ33">
        <v>78.28</v>
      </c>
      <c r="CL33" t="s">
        <v>416</v>
      </c>
      <c r="CM33" t="s">
        <v>825</v>
      </c>
      <c r="CN33" t="s">
        <v>828</v>
      </c>
      <c r="CO33">
        <v>138</v>
      </c>
      <c r="CP33">
        <v>18</v>
      </c>
      <c r="CQ33">
        <v>71.188405797100003</v>
      </c>
      <c r="CR33">
        <v>374</v>
      </c>
      <c r="CS33">
        <v>6</v>
      </c>
      <c r="CT33">
        <v>85.144385026699993</v>
      </c>
      <c r="CU33">
        <v>120.6666666667</v>
      </c>
      <c r="CW33" t="s">
        <v>416</v>
      </c>
      <c r="CX33" t="s">
        <v>841</v>
      </c>
      <c r="CY33" t="s">
        <v>844</v>
      </c>
      <c r="CZ33">
        <v>12</v>
      </c>
      <c r="DA33">
        <v>3</v>
      </c>
      <c r="DB33">
        <v>70.583333333300004</v>
      </c>
      <c r="DC33">
        <v>44</v>
      </c>
      <c r="DD33">
        <v>1</v>
      </c>
      <c r="DE33">
        <v>146.8409090909</v>
      </c>
      <c r="DF33">
        <v>131</v>
      </c>
      <c r="DH33" t="s">
        <v>416</v>
      </c>
      <c r="DI33" t="s">
        <v>809</v>
      </c>
      <c r="DJ33" t="s">
        <v>812</v>
      </c>
      <c r="DK33">
        <v>7</v>
      </c>
      <c r="DL33">
        <v>2</v>
      </c>
      <c r="DM33">
        <v>72.428571428599994</v>
      </c>
      <c r="DN33">
        <v>44</v>
      </c>
      <c r="DO33">
        <v>0</v>
      </c>
      <c r="DP33">
        <v>141.8409090909</v>
      </c>
      <c r="DQ33">
        <v>0</v>
      </c>
    </row>
    <row r="34" spans="2:121" x14ac:dyDescent="0.2">
      <c r="B34" t="s">
        <v>93</v>
      </c>
      <c r="C34">
        <v>235</v>
      </c>
      <c r="D34">
        <v>162</v>
      </c>
      <c r="F34" t="s">
        <v>37</v>
      </c>
      <c r="G34">
        <v>4926</v>
      </c>
      <c r="H34">
        <v>504.94112870480001</v>
      </c>
      <c r="I34">
        <v>6599</v>
      </c>
      <c r="J34">
        <v>1480</v>
      </c>
      <c r="K34">
        <v>6383</v>
      </c>
      <c r="L34">
        <v>4580</v>
      </c>
      <c r="M34">
        <v>1765</v>
      </c>
      <c r="N34">
        <v>1633</v>
      </c>
      <c r="O34">
        <v>1521</v>
      </c>
      <c r="P34">
        <v>886</v>
      </c>
      <c r="Q34">
        <v>0</v>
      </c>
      <c r="R34">
        <v>214</v>
      </c>
      <c r="AH34" t="s">
        <v>405</v>
      </c>
      <c r="AI34">
        <v>1004</v>
      </c>
      <c r="AJ34">
        <v>264.79183266929999</v>
      </c>
      <c r="AK34">
        <v>2537</v>
      </c>
      <c r="AL34">
        <v>508</v>
      </c>
      <c r="AM34">
        <v>1716</v>
      </c>
      <c r="AN34">
        <v>883</v>
      </c>
      <c r="AO34">
        <v>544</v>
      </c>
      <c r="AP34">
        <v>328</v>
      </c>
      <c r="AQ34">
        <v>983</v>
      </c>
      <c r="AR34">
        <v>580</v>
      </c>
      <c r="AS34">
        <v>6</v>
      </c>
      <c r="AT34">
        <v>11</v>
      </c>
      <c r="AV34" t="s">
        <v>395</v>
      </c>
      <c r="AW34">
        <v>633</v>
      </c>
      <c r="AX34">
        <v>67.369668246399996</v>
      </c>
      <c r="AY34">
        <v>1015</v>
      </c>
      <c r="AZ34">
        <v>112</v>
      </c>
      <c r="BA34">
        <v>841</v>
      </c>
      <c r="BB34">
        <v>91</v>
      </c>
      <c r="BC34">
        <v>1</v>
      </c>
      <c r="BD34">
        <v>1</v>
      </c>
      <c r="BE34">
        <v>64</v>
      </c>
      <c r="BF34">
        <v>14</v>
      </c>
      <c r="BG34">
        <v>126</v>
      </c>
      <c r="BH34">
        <v>87</v>
      </c>
      <c r="BJ34" t="s">
        <v>518</v>
      </c>
      <c r="BK34" t="s">
        <v>369</v>
      </c>
      <c r="BL34">
        <v>5092</v>
      </c>
      <c r="BM34">
        <v>1409</v>
      </c>
      <c r="BN34">
        <v>103.85663786329999</v>
      </c>
      <c r="BO34">
        <v>9552</v>
      </c>
      <c r="BP34">
        <v>122</v>
      </c>
      <c r="BQ34">
        <v>136.18655778889999</v>
      </c>
      <c r="BR34">
        <v>139.6147540984</v>
      </c>
      <c r="BS34">
        <v>1132</v>
      </c>
      <c r="BT34">
        <v>447</v>
      </c>
      <c r="BU34">
        <v>123.74204947</v>
      </c>
      <c r="BV34">
        <v>7918</v>
      </c>
      <c r="BW34">
        <v>74</v>
      </c>
      <c r="BX34">
        <v>129.6274311695</v>
      </c>
      <c r="BY34">
        <v>165.68918918919999</v>
      </c>
      <c r="CA34" t="s">
        <v>376</v>
      </c>
      <c r="CB34" t="s">
        <v>856</v>
      </c>
      <c r="CC34" t="s">
        <v>983</v>
      </c>
      <c r="CD34">
        <v>5583</v>
      </c>
      <c r="CE34">
        <v>1389</v>
      </c>
      <c r="CF34">
        <v>101.0727207594</v>
      </c>
      <c r="CG34">
        <v>11820</v>
      </c>
      <c r="CH34">
        <v>168</v>
      </c>
      <c r="CI34">
        <v>136.12123519459999</v>
      </c>
      <c r="CJ34">
        <v>124.3452380952</v>
      </c>
      <c r="CL34" t="s">
        <v>376</v>
      </c>
      <c r="CM34" t="s">
        <v>825</v>
      </c>
      <c r="CN34" t="s">
        <v>829</v>
      </c>
      <c r="CO34">
        <v>532</v>
      </c>
      <c r="CP34">
        <v>74</v>
      </c>
      <c r="CQ34">
        <v>81.291353383499995</v>
      </c>
      <c r="CR34">
        <v>1253</v>
      </c>
      <c r="CS34">
        <v>7</v>
      </c>
      <c r="CT34">
        <v>98.100558659200004</v>
      </c>
      <c r="CU34">
        <v>82.142857142899999</v>
      </c>
      <c r="CW34" t="s">
        <v>376</v>
      </c>
      <c r="CX34" t="s">
        <v>841</v>
      </c>
      <c r="CY34" t="s">
        <v>845</v>
      </c>
      <c r="CZ34">
        <v>183</v>
      </c>
      <c r="DA34">
        <v>29</v>
      </c>
      <c r="DB34">
        <v>75.387978142099996</v>
      </c>
      <c r="DC34">
        <v>410</v>
      </c>
      <c r="DD34">
        <v>7</v>
      </c>
      <c r="DE34">
        <v>149.8951219512</v>
      </c>
      <c r="DF34">
        <v>134.71428571429999</v>
      </c>
      <c r="DH34" t="s">
        <v>376</v>
      </c>
      <c r="DI34" t="s">
        <v>809</v>
      </c>
      <c r="DJ34" t="s">
        <v>813</v>
      </c>
      <c r="DK34">
        <v>238</v>
      </c>
      <c r="DL34">
        <v>43</v>
      </c>
      <c r="DM34">
        <v>74.411764705899998</v>
      </c>
      <c r="DN34">
        <v>576</v>
      </c>
      <c r="DO34">
        <v>20</v>
      </c>
      <c r="DP34">
        <v>145.6076388889</v>
      </c>
      <c r="DQ34">
        <v>96.05</v>
      </c>
    </row>
    <row r="35" spans="2:121" x14ac:dyDescent="0.2">
      <c r="B35" t="s">
        <v>89</v>
      </c>
      <c r="C35">
        <v>11</v>
      </c>
      <c r="F35" t="s">
        <v>71</v>
      </c>
      <c r="G35">
        <v>5389</v>
      </c>
      <c r="H35">
        <v>347.6715531639</v>
      </c>
      <c r="I35">
        <v>10982</v>
      </c>
      <c r="J35">
        <v>1890</v>
      </c>
      <c r="K35">
        <v>15309</v>
      </c>
      <c r="L35">
        <v>10469</v>
      </c>
      <c r="M35">
        <v>6320</v>
      </c>
      <c r="N35">
        <v>4415</v>
      </c>
      <c r="O35">
        <v>2416</v>
      </c>
      <c r="P35">
        <v>1741</v>
      </c>
      <c r="Q35">
        <v>0</v>
      </c>
      <c r="R35">
        <v>60</v>
      </c>
      <c r="AH35" t="s">
        <v>60</v>
      </c>
      <c r="AI35">
        <v>3726</v>
      </c>
      <c r="AJ35">
        <v>314.9165324745</v>
      </c>
      <c r="AK35">
        <v>9270</v>
      </c>
      <c r="AL35">
        <v>2253</v>
      </c>
      <c r="AM35">
        <v>7250</v>
      </c>
      <c r="AN35">
        <v>4047</v>
      </c>
      <c r="AO35">
        <v>3677</v>
      </c>
      <c r="AP35">
        <v>2947</v>
      </c>
      <c r="AQ35">
        <v>6191</v>
      </c>
      <c r="AR35">
        <v>3004</v>
      </c>
      <c r="AS35">
        <v>1799</v>
      </c>
      <c r="AT35">
        <v>11</v>
      </c>
      <c r="AV35" t="s">
        <v>372</v>
      </c>
      <c r="AW35">
        <v>93</v>
      </c>
      <c r="AX35">
        <v>119.72043010749999</v>
      </c>
      <c r="AY35">
        <v>177</v>
      </c>
      <c r="AZ35">
        <v>32</v>
      </c>
      <c r="BA35">
        <v>114</v>
      </c>
      <c r="BB35">
        <v>46</v>
      </c>
      <c r="BC35">
        <v>0</v>
      </c>
      <c r="BE35">
        <v>19</v>
      </c>
      <c r="BF35">
        <v>5</v>
      </c>
      <c r="BG35">
        <v>8</v>
      </c>
      <c r="BH35">
        <v>20</v>
      </c>
      <c r="BJ35" t="s">
        <v>524</v>
      </c>
      <c r="BK35" t="s">
        <v>369</v>
      </c>
      <c r="BL35">
        <v>2828</v>
      </c>
      <c r="BM35">
        <v>685</v>
      </c>
      <c r="BN35">
        <v>96.957213578500003</v>
      </c>
      <c r="BO35">
        <v>5357</v>
      </c>
      <c r="BP35">
        <v>123</v>
      </c>
      <c r="BQ35">
        <v>136.91749113309999</v>
      </c>
      <c r="BR35">
        <v>125.72357723579999</v>
      </c>
      <c r="BS35">
        <v>711</v>
      </c>
      <c r="BT35">
        <v>342</v>
      </c>
      <c r="BU35">
        <v>134.96061884669999</v>
      </c>
      <c r="BV35">
        <v>3761</v>
      </c>
      <c r="BW35">
        <v>78</v>
      </c>
      <c r="BX35">
        <v>139.62403616060001</v>
      </c>
      <c r="BY35">
        <v>149.93589743589999</v>
      </c>
      <c r="CA35" t="s">
        <v>371</v>
      </c>
      <c r="CB35" t="s">
        <v>856</v>
      </c>
      <c r="CC35" t="s">
        <v>984</v>
      </c>
      <c r="CD35">
        <v>4339</v>
      </c>
      <c r="CE35">
        <v>934</v>
      </c>
      <c r="CF35">
        <v>88.216639778800001</v>
      </c>
      <c r="CG35">
        <v>9569</v>
      </c>
      <c r="CH35">
        <v>171</v>
      </c>
      <c r="CI35">
        <v>127.8026962065</v>
      </c>
      <c r="CJ35">
        <v>123.8011695906</v>
      </c>
      <c r="CL35" t="s">
        <v>371</v>
      </c>
      <c r="CM35" t="s">
        <v>825</v>
      </c>
      <c r="CN35" t="s">
        <v>830</v>
      </c>
      <c r="CO35">
        <v>464</v>
      </c>
      <c r="CP35">
        <v>68</v>
      </c>
      <c r="CQ35">
        <v>72.512931034499999</v>
      </c>
      <c r="CR35">
        <v>1243</v>
      </c>
      <c r="CS35">
        <v>10</v>
      </c>
      <c r="CT35">
        <v>91.131938857600005</v>
      </c>
      <c r="CU35">
        <v>52.2</v>
      </c>
      <c r="CW35" t="s">
        <v>371</v>
      </c>
      <c r="CX35" t="s">
        <v>841</v>
      </c>
      <c r="CY35" t="s">
        <v>846</v>
      </c>
      <c r="CZ35">
        <v>64</v>
      </c>
      <c r="DA35">
        <v>12</v>
      </c>
      <c r="DB35">
        <v>72.359375</v>
      </c>
      <c r="DC35">
        <v>158</v>
      </c>
      <c r="DD35">
        <v>1</v>
      </c>
      <c r="DE35">
        <v>144.417721519</v>
      </c>
      <c r="DF35">
        <v>176</v>
      </c>
      <c r="DH35" t="s">
        <v>371</v>
      </c>
      <c r="DI35" t="s">
        <v>809</v>
      </c>
      <c r="DJ35" t="s">
        <v>814</v>
      </c>
      <c r="DK35">
        <v>41</v>
      </c>
      <c r="DL35">
        <v>0</v>
      </c>
      <c r="DM35">
        <v>45.195121951200001</v>
      </c>
      <c r="DN35">
        <v>97</v>
      </c>
      <c r="DO35">
        <v>3</v>
      </c>
      <c r="DP35">
        <v>132.88659793810001</v>
      </c>
      <c r="DQ35">
        <v>106.3333333333</v>
      </c>
    </row>
    <row r="36" spans="2:121" x14ac:dyDescent="0.2">
      <c r="B36" t="s">
        <v>95</v>
      </c>
      <c r="C36">
        <v>1182</v>
      </c>
      <c r="D36">
        <v>776</v>
      </c>
      <c r="F36" t="s">
        <v>47</v>
      </c>
      <c r="G36">
        <v>1915</v>
      </c>
      <c r="H36">
        <v>288.1603133159</v>
      </c>
      <c r="I36">
        <v>2415</v>
      </c>
      <c r="J36">
        <v>447</v>
      </c>
      <c r="K36">
        <v>3137</v>
      </c>
      <c r="L36">
        <v>2119</v>
      </c>
      <c r="M36">
        <v>445</v>
      </c>
      <c r="N36">
        <v>358</v>
      </c>
      <c r="O36">
        <v>1232</v>
      </c>
      <c r="P36">
        <v>917</v>
      </c>
      <c r="Q36">
        <v>0</v>
      </c>
      <c r="R36">
        <v>8</v>
      </c>
      <c r="T36" t="s">
        <v>646</v>
      </c>
      <c r="U36" t="s">
        <v>306</v>
      </c>
      <c r="V36" t="s">
        <v>133</v>
      </c>
      <c r="W36" t="s">
        <v>214</v>
      </c>
      <c r="X36" t="s">
        <v>459</v>
      </c>
      <c r="Y36" t="s">
        <v>216</v>
      </c>
      <c r="Z36" t="s">
        <v>217</v>
      </c>
      <c r="AA36" t="s">
        <v>218</v>
      </c>
      <c r="AB36" t="s">
        <v>460</v>
      </c>
      <c r="AC36" t="s">
        <v>220</v>
      </c>
      <c r="AD36" t="s">
        <v>221</v>
      </c>
      <c r="AE36" t="s">
        <v>222</v>
      </c>
      <c r="AF36" t="s">
        <v>223</v>
      </c>
      <c r="AH36" t="s">
        <v>382</v>
      </c>
      <c r="AI36">
        <v>14715</v>
      </c>
      <c r="AJ36">
        <v>306.02759089360001</v>
      </c>
      <c r="AK36">
        <v>17471</v>
      </c>
      <c r="AL36">
        <v>4434</v>
      </c>
      <c r="AM36">
        <v>19292</v>
      </c>
      <c r="AN36">
        <v>13086</v>
      </c>
      <c r="AO36">
        <v>9255</v>
      </c>
      <c r="AP36">
        <v>7324</v>
      </c>
      <c r="AQ36">
        <v>7723</v>
      </c>
      <c r="AR36">
        <v>5261</v>
      </c>
      <c r="AS36">
        <v>1347</v>
      </c>
      <c r="AT36">
        <v>44</v>
      </c>
      <c r="AV36" t="s">
        <v>383</v>
      </c>
      <c r="AW36">
        <v>970</v>
      </c>
      <c r="AX36">
        <v>108.3309278351</v>
      </c>
      <c r="AY36">
        <v>1091</v>
      </c>
      <c r="AZ36">
        <v>177</v>
      </c>
      <c r="BA36">
        <v>1173</v>
      </c>
      <c r="BB36">
        <v>376</v>
      </c>
      <c r="BC36">
        <v>1</v>
      </c>
      <c r="BD36">
        <v>1</v>
      </c>
      <c r="BE36">
        <v>55</v>
      </c>
      <c r="BF36">
        <v>13</v>
      </c>
      <c r="BG36">
        <v>169</v>
      </c>
      <c r="BH36">
        <v>256</v>
      </c>
      <c r="BJ36" t="s">
        <v>369</v>
      </c>
      <c r="BK36" t="s">
        <v>369</v>
      </c>
      <c r="BL36">
        <v>72516</v>
      </c>
      <c r="BM36">
        <v>17348</v>
      </c>
      <c r="BN36">
        <v>94.169990071200004</v>
      </c>
      <c r="BO36">
        <v>157088</v>
      </c>
      <c r="BP36">
        <v>2802</v>
      </c>
      <c r="BQ36">
        <v>131.21847626810001</v>
      </c>
      <c r="BR36">
        <v>125.8904354033</v>
      </c>
      <c r="BS36">
        <v>19481</v>
      </c>
      <c r="BT36">
        <v>6369</v>
      </c>
      <c r="BU36">
        <v>107.5494584467</v>
      </c>
      <c r="BV36">
        <v>152210</v>
      </c>
      <c r="BW36">
        <v>2557</v>
      </c>
      <c r="BX36">
        <v>130.11968990209999</v>
      </c>
      <c r="BY36">
        <v>126.7371920219</v>
      </c>
      <c r="CA36" t="s">
        <v>415</v>
      </c>
      <c r="CB36" t="s">
        <v>856</v>
      </c>
      <c r="CC36" t="s">
        <v>985</v>
      </c>
      <c r="CD36">
        <v>1247</v>
      </c>
      <c r="CE36">
        <v>183</v>
      </c>
      <c r="CF36">
        <v>73.107457898999996</v>
      </c>
      <c r="CG36">
        <v>2891</v>
      </c>
      <c r="CH36">
        <v>61</v>
      </c>
      <c r="CI36">
        <v>128.3472846766</v>
      </c>
      <c r="CJ36">
        <v>104.1475409836</v>
      </c>
      <c r="CL36" t="s">
        <v>415</v>
      </c>
      <c r="CM36" t="s">
        <v>825</v>
      </c>
      <c r="CN36" t="s">
        <v>831</v>
      </c>
      <c r="CO36">
        <v>128</v>
      </c>
      <c r="CP36">
        <v>9</v>
      </c>
      <c r="CQ36">
        <v>66.3828125</v>
      </c>
      <c r="CR36">
        <v>296</v>
      </c>
      <c r="CS36">
        <v>2</v>
      </c>
      <c r="CT36">
        <v>94.891891891900002</v>
      </c>
      <c r="CU36">
        <v>63</v>
      </c>
      <c r="CW36" t="s">
        <v>415</v>
      </c>
      <c r="CX36" t="s">
        <v>841</v>
      </c>
      <c r="CY36" t="s">
        <v>847</v>
      </c>
      <c r="CZ36">
        <v>21</v>
      </c>
      <c r="DA36">
        <v>2</v>
      </c>
      <c r="DB36">
        <v>55.904761904799997</v>
      </c>
      <c r="DC36">
        <v>42</v>
      </c>
      <c r="DD36">
        <v>1</v>
      </c>
      <c r="DE36">
        <v>152.04761904759999</v>
      </c>
      <c r="DF36">
        <v>203</v>
      </c>
      <c r="DH36" t="s">
        <v>415</v>
      </c>
      <c r="DI36" t="s">
        <v>809</v>
      </c>
      <c r="DJ36" t="s">
        <v>815</v>
      </c>
      <c r="DK36">
        <v>9</v>
      </c>
      <c r="DL36">
        <v>3</v>
      </c>
      <c r="DM36">
        <v>127.3333333333</v>
      </c>
      <c r="DN36">
        <v>43</v>
      </c>
      <c r="DO36">
        <v>1</v>
      </c>
      <c r="DP36">
        <v>132.32558139529999</v>
      </c>
      <c r="DQ36">
        <v>137</v>
      </c>
    </row>
    <row r="37" spans="2:121" x14ac:dyDescent="0.2">
      <c r="B37" t="s">
        <v>1059</v>
      </c>
      <c r="C37">
        <v>106</v>
      </c>
      <c r="D37">
        <v>104</v>
      </c>
      <c r="F37" t="s">
        <v>82</v>
      </c>
      <c r="G37">
        <v>599</v>
      </c>
      <c r="H37">
        <v>432.49248747910002</v>
      </c>
      <c r="I37">
        <v>716</v>
      </c>
      <c r="J37">
        <v>149</v>
      </c>
      <c r="K37">
        <v>678</v>
      </c>
      <c r="L37">
        <v>504</v>
      </c>
      <c r="M37">
        <v>50</v>
      </c>
      <c r="N37">
        <v>47</v>
      </c>
      <c r="O37">
        <v>75</v>
      </c>
      <c r="P37">
        <v>46</v>
      </c>
      <c r="Q37">
        <v>0</v>
      </c>
      <c r="R37">
        <v>0</v>
      </c>
      <c r="T37" t="s">
        <v>390</v>
      </c>
      <c r="U37">
        <v>3965</v>
      </c>
      <c r="V37">
        <v>76.862042875200004</v>
      </c>
      <c r="W37">
        <v>5497</v>
      </c>
      <c r="X37">
        <v>523</v>
      </c>
      <c r="Y37">
        <v>5364</v>
      </c>
      <c r="Z37">
        <v>556</v>
      </c>
      <c r="AA37">
        <v>15</v>
      </c>
      <c r="AB37">
        <v>11</v>
      </c>
      <c r="AC37">
        <v>373</v>
      </c>
      <c r="AD37">
        <v>90</v>
      </c>
      <c r="AE37">
        <v>2373</v>
      </c>
      <c r="AF37">
        <v>669</v>
      </c>
      <c r="AH37" t="s">
        <v>419</v>
      </c>
      <c r="AI37">
        <v>178</v>
      </c>
      <c r="AJ37">
        <v>204.77528089890001</v>
      </c>
      <c r="AK37">
        <v>583</v>
      </c>
      <c r="AL37">
        <v>107</v>
      </c>
      <c r="AM37">
        <v>363</v>
      </c>
      <c r="AN37">
        <v>107</v>
      </c>
      <c r="AO37">
        <v>129</v>
      </c>
      <c r="AP37">
        <v>68</v>
      </c>
      <c r="AQ37">
        <v>167</v>
      </c>
      <c r="AR37">
        <v>98</v>
      </c>
      <c r="AS37">
        <v>1</v>
      </c>
      <c r="AT37">
        <v>2</v>
      </c>
      <c r="AV37" t="s">
        <v>396</v>
      </c>
      <c r="AW37">
        <v>297</v>
      </c>
      <c r="AX37">
        <v>65.579124579099997</v>
      </c>
      <c r="AY37">
        <v>401</v>
      </c>
      <c r="AZ37">
        <v>39</v>
      </c>
      <c r="BA37">
        <v>394</v>
      </c>
      <c r="BB37">
        <v>38</v>
      </c>
      <c r="BC37">
        <v>1</v>
      </c>
      <c r="BD37">
        <v>1</v>
      </c>
      <c r="BE37">
        <v>39</v>
      </c>
      <c r="BF37">
        <v>8</v>
      </c>
      <c r="BG37">
        <v>62</v>
      </c>
      <c r="BH37">
        <v>40</v>
      </c>
      <c r="BJ37" t="s">
        <v>526</v>
      </c>
      <c r="BK37" t="s">
        <v>369</v>
      </c>
      <c r="BL37">
        <v>8375</v>
      </c>
      <c r="BM37">
        <v>2355</v>
      </c>
      <c r="BN37">
        <v>105.5030447761</v>
      </c>
      <c r="BO37">
        <v>15890</v>
      </c>
      <c r="BP37">
        <v>230</v>
      </c>
      <c r="BQ37">
        <v>148.37331655130001</v>
      </c>
      <c r="BR37">
        <v>140.20869565219999</v>
      </c>
      <c r="BS37">
        <v>2248</v>
      </c>
      <c r="BT37">
        <v>835</v>
      </c>
      <c r="BU37">
        <v>123.153024911</v>
      </c>
      <c r="BV37">
        <v>16360</v>
      </c>
      <c r="BW37">
        <v>247</v>
      </c>
      <c r="BX37">
        <v>145.81992665039999</v>
      </c>
      <c r="BY37">
        <v>131.1862348178</v>
      </c>
      <c r="CA37" t="s">
        <v>374</v>
      </c>
      <c r="CB37" t="s">
        <v>856</v>
      </c>
      <c r="CC37" t="s">
        <v>986</v>
      </c>
      <c r="CD37">
        <v>4221</v>
      </c>
      <c r="CE37">
        <v>1073</v>
      </c>
      <c r="CF37">
        <v>100.86827765930001</v>
      </c>
      <c r="CG37">
        <v>8356</v>
      </c>
      <c r="CH37">
        <v>158</v>
      </c>
      <c r="CI37">
        <v>137.65557683099999</v>
      </c>
      <c r="CJ37">
        <v>128.50632911389999</v>
      </c>
      <c r="CL37" t="s">
        <v>374</v>
      </c>
      <c r="CM37" t="s">
        <v>825</v>
      </c>
      <c r="CN37" t="s">
        <v>832</v>
      </c>
      <c r="CO37">
        <v>586</v>
      </c>
      <c r="CP37">
        <v>76</v>
      </c>
      <c r="CQ37">
        <v>75.006825938600002</v>
      </c>
      <c r="CR37">
        <v>1315</v>
      </c>
      <c r="CS37">
        <v>13</v>
      </c>
      <c r="CT37">
        <v>94.226615969600005</v>
      </c>
      <c r="CU37">
        <v>96.615384615400004</v>
      </c>
      <c r="CW37" t="s">
        <v>374</v>
      </c>
      <c r="CX37" t="s">
        <v>841</v>
      </c>
      <c r="CY37" t="s">
        <v>848</v>
      </c>
      <c r="CZ37">
        <v>89</v>
      </c>
      <c r="DA37">
        <v>19</v>
      </c>
      <c r="DB37">
        <v>83.0337078652</v>
      </c>
      <c r="DC37">
        <v>175</v>
      </c>
      <c r="DD37">
        <v>9</v>
      </c>
      <c r="DE37">
        <v>148.88</v>
      </c>
      <c r="DF37">
        <v>139.44444444440001</v>
      </c>
      <c r="DH37" t="s">
        <v>374</v>
      </c>
      <c r="DI37" t="s">
        <v>809</v>
      </c>
      <c r="DJ37" t="s">
        <v>816</v>
      </c>
      <c r="DK37">
        <v>63</v>
      </c>
      <c r="DL37">
        <v>11</v>
      </c>
      <c r="DM37">
        <v>78.555555555599994</v>
      </c>
      <c r="DN37">
        <v>143</v>
      </c>
      <c r="DO37">
        <v>2</v>
      </c>
      <c r="DP37">
        <v>138.28671328670001</v>
      </c>
      <c r="DQ37">
        <v>105</v>
      </c>
    </row>
    <row r="38" spans="2:121" x14ac:dyDescent="0.2">
      <c r="B38" t="s">
        <v>115</v>
      </c>
      <c r="C38">
        <v>6297</v>
      </c>
      <c r="D38">
        <v>1918</v>
      </c>
      <c r="F38" t="s">
        <v>49</v>
      </c>
      <c r="G38">
        <v>3477</v>
      </c>
      <c r="H38">
        <v>426.8377911993</v>
      </c>
      <c r="I38">
        <v>4510</v>
      </c>
      <c r="J38">
        <v>1410</v>
      </c>
      <c r="K38">
        <v>5878</v>
      </c>
      <c r="L38">
        <v>4642</v>
      </c>
      <c r="M38">
        <v>2448</v>
      </c>
      <c r="N38">
        <v>1911</v>
      </c>
      <c r="O38">
        <v>787</v>
      </c>
      <c r="P38">
        <v>629</v>
      </c>
      <c r="Q38">
        <v>45</v>
      </c>
      <c r="R38">
        <v>256</v>
      </c>
      <c r="T38" t="s">
        <v>380</v>
      </c>
      <c r="U38">
        <v>8620</v>
      </c>
      <c r="V38">
        <v>100.5451276102</v>
      </c>
      <c r="W38">
        <v>9296</v>
      </c>
      <c r="X38">
        <v>1542</v>
      </c>
      <c r="Y38">
        <v>10949</v>
      </c>
      <c r="Z38">
        <v>3145</v>
      </c>
      <c r="AA38">
        <v>34</v>
      </c>
      <c r="AB38">
        <v>30</v>
      </c>
      <c r="AC38">
        <v>549</v>
      </c>
      <c r="AD38">
        <v>135</v>
      </c>
      <c r="AE38">
        <v>1304</v>
      </c>
      <c r="AF38">
        <v>1672</v>
      </c>
      <c r="AH38" t="s">
        <v>391</v>
      </c>
      <c r="AI38">
        <v>4824</v>
      </c>
      <c r="AJ38">
        <v>413.63951077939998</v>
      </c>
      <c r="AK38">
        <v>8328</v>
      </c>
      <c r="AL38">
        <v>1620</v>
      </c>
      <c r="AM38">
        <v>8421</v>
      </c>
      <c r="AN38">
        <v>5190</v>
      </c>
      <c r="AO38">
        <v>3180</v>
      </c>
      <c r="AP38">
        <v>2822</v>
      </c>
      <c r="AQ38">
        <v>4261</v>
      </c>
      <c r="AR38">
        <v>3011</v>
      </c>
      <c r="AS38">
        <v>1123</v>
      </c>
      <c r="AT38">
        <v>333</v>
      </c>
      <c r="AV38" t="s">
        <v>414</v>
      </c>
      <c r="AW38">
        <v>42</v>
      </c>
      <c r="AX38">
        <v>104</v>
      </c>
      <c r="AY38">
        <v>56</v>
      </c>
      <c r="AZ38">
        <v>9</v>
      </c>
      <c r="BA38">
        <v>58</v>
      </c>
      <c r="BB38">
        <v>20</v>
      </c>
      <c r="BC38">
        <v>2</v>
      </c>
      <c r="BD38">
        <v>2</v>
      </c>
      <c r="BE38">
        <v>0</v>
      </c>
      <c r="BG38">
        <v>7</v>
      </c>
      <c r="BH38">
        <v>17</v>
      </c>
      <c r="BJ38" t="s">
        <v>529</v>
      </c>
      <c r="BK38" t="s">
        <v>369</v>
      </c>
      <c r="BL38">
        <v>4986</v>
      </c>
      <c r="BM38">
        <v>1641</v>
      </c>
      <c r="BN38">
        <v>112.6642599278</v>
      </c>
      <c r="BO38">
        <v>8755</v>
      </c>
      <c r="BP38">
        <v>171</v>
      </c>
      <c r="BQ38">
        <v>157.2612221588</v>
      </c>
      <c r="BR38">
        <v>149.57309941520001</v>
      </c>
      <c r="BS38">
        <v>567</v>
      </c>
      <c r="BT38">
        <v>297</v>
      </c>
      <c r="BU38">
        <v>154.72310405639999</v>
      </c>
      <c r="BV38">
        <v>7485</v>
      </c>
      <c r="BW38">
        <v>188</v>
      </c>
      <c r="BX38">
        <v>169.99358717429999</v>
      </c>
      <c r="BY38">
        <v>154.7659574468</v>
      </c>
      <c r="CA38" t="s">
        <v>60</v>
      </c>
      <c r="CB38" t="s">
        <v>856</v>
      </c>
      <c r="CC38" t="s">
        <v>518</v>
      </c>
      <c r="CD38">
        <v>8777</v>
      </c>
      <c r="CE38">
        <v>2175</v>
      </c>
      <c r="CF38">
        <v>94.981770536599996</v>
      </c>
      <c r="CG38">
        <v>19062</v>
      </c>
      <c r="CH38">
        <v>258</v>
      </c>
      <c r="CI38">
        <v>130.26586926869999</v>
      </c>
      <c r="CJ38">
        <v>133.07364341089999</v>
      </c>
      <c r="CL38" t="s">
        <v>60</v>
      </c>
      <c r="CM38" t="s">
        <v>825</v>
      </c>
      <c r="CN38" t="s">
        <v>833</v>
      </c>
      <c r="CO38">
        <v>1462</v>
      </c>
      <c r="CP38">
        <v>172</v>
      </c>
      <c r="CQ38">
        <v>73.117647058800003</v>
      </c>
      <c r="CR38">
        <v>3350</v>
      </c>
      <c r="CS38">
        <v>45</v>
      </c>
      <c r="CT38">
        <v>97.699402985099994</v>
      </c>
      <c r="CU38">
        <v>100.4</v>
      </c>
      <c r="CW38" t="s">
        <v>60</v>
      </c>
      <c r="CX38" t="s">
        <v>841</v>
      </c>
      <c r="CY38" t="s">
        <v>849</v>
      </c>
      <c r="CZ38">
        <v>218</v>
      </c>
      <c r="DA38">
        <v>36</v>
      </c>
      <c r="DB38">
        <v>75.449541284399999</v>
      </c>
      <c r="DC38">
        <v>399</v>
      </c>
      <c r="DD38">
        <v>13</v>
      </c>
      <c r="DE38">
        <v>141.52631578949999</v>
      </c>
      <c r="DF38">
        <v>133.76923076919999</v>
      </c>
      <c r="DH38" t="s">
        <v>60</v>
      </c>
      <c r="DI38" t="s">
        <v>809</v>
      </c>
      <c r="DJ38" t="s">
        <v>817</v>
      </c>
      <c r="DK38">
        <v>134</v>
      </c>
      <c r="DL38">
        <v>22</v>
      </c>
      <c r="DM38">
        <v>70.6865671642</v>
      </c>
      <c r="DN38">
        <v>300</v>
      </c>
      <c r="DO38">
        <v>5</v>
      </c>
      <c r="DP38">
        <v>135.8033333333</v>
      </c>
      <c r="DQ38">
        <v>85.8</v>
      </c>
    </row>
    <row r="39" spans="2:121" x14ac:dyDescent="0.2">
      <c r="B39" t="s">
        <v>99</v>
      </c>
      <c r="C39">
        <v>15317</v>
      </c>
      <c r="D39">
        <v>3930</v>
      </c>
      <c r="F39" t="s">
        <v>60</v>
      </c>
      <c r="G39">
        <v>2667</v>
      </c>
      <c r="H39">
        <v>318.01462317210002</v>
      </c>
      <c r="I39">
        <v>5057</v>
      </c>
      <c r="J39">
        <v>1368</v>
      </c>
      <c r="K39">
        <v>3840</v>
      </c>
      <c r="L39">
        <v>2379</v>
      </c>
      <c r="M39">
        <v>2505</v>
      </c>
      <c r="N39">
        <v>2184</v>
      </c>
      <c r="O39">
        <v>4078</v>
      </c>
      <c r="P39">
        <v>1667</v>
      </c>
      <c r="Q39">
        <v>0</v>
      </c>
      <c r="R39">
        <v>2</v>
      </c>
      <c r="T39" t="s">
        <v>369</v>
      </c>
      <c r="U39">
        <v>7619</v>
      </c>
      <c r="V39">
        <v>106.6174038588</v>
      </c>
      <c r="W39">
        <v>11046</v>
      </c>
      <c r="X39">
        <v>2096</v>
      </c>
      <c r="Y39">
        <v>10058</v>
      </c>
      <c r="Z39">
        <v>3320</v>
      </c>
      <c r="AA39">
        <v>181</v>
      </c>
      <c r="AB39">
        <v>177</v>
      </c>
      <c r="AC39">
        <v>556</v>
      </c>
      <c r="AD39">
        <v>152</v>
      </c>
      <c r="AE39">
        <v>1203</v>
      </c>
      <c r="AF39">
        <v>2026</v>
      </c>
      <c r="AH39" t="s">
        <v>412</v>
      </c>
      <c r="AI39">
        <v>1888</v>
      </c>
      <c r="AJ39">
        <v>169.8776483051</v>
      </c>
      <c r="AK39">
        <v>5515</v>
      </c>
      <c r="AL39">
        <v>670</v>
      </c>
      <c r="AM39">
        <v>3029</v>
      </c>
      <c r="AN39">
        <v>836</v>
      </c>
      <c r="AO39">
        <v>1113</v>
      </c>
      <c r="AP39">
        <v>557</v>
      </c>
      <c r="AQ39">
        <v>2973</v>
      </c>
      <c r="AR39">
        <v>1731</v>
      </c>
      <c r="AS39">
        <v>10</v>
      </c>
      <c r="AT39">
        <v>27</v>
      </c>
      <c r="AV39" t="s">
        <v>391</v>
      </c>
      <c r="AW39">
        <v>618</v>
      </c>
      <c r="AX39">
        <v>69.464401294499993</v>
      </c>
      <c r="AY39">
        <v>1136</v>
      </c>
      <c r="AZ39">
        <v>109</v>
      </c>
      <c r="BA39">
        <v>951</v>
      </c>
      <c r="BB39">
        <v>102</v>
      </c>
      <c r="BC39">
        <v>6</v>
      </c>
      <c r="BD39">
        <v>4</v>
      </c>
      <c r="BE39">
        <v>94</v>
      </c>
      <c r="BF39">
        <v>19</v>
      </c>
      <c r="BG39">
        <v>147</v>
      </c>
      <c r="BH39">
        <v>112</v>
      </c>
      <c r="BJ39" t="s">
        <v>514</v>
      </c>
      <c r="BK39" t="s">
        <v>369</v>
      </c>
      <c r="BL39">
        <v>2881</v>
      </c>
      <c r="BM39">
        <v>407</v>
      </c>
      <c r="BN39">
        <v>61.743491843100003</v>
      </c>
      <c r="BO39">
        <v>14579</v>
      </c>
      <c r="BP39">
        <v>260</v>
      </c>
      <c r="BQ39">
        <v>56.9069895055</v>
      </c>
      <c r="BR39">
        <v>50.35</v>
      </c>
      <c r="BS39">
        <v>1779</v>
      </c>
      <c r="BT39">
        <v>210</v>
      </c>
      <c r="BU39">
        <v>54.025295109600002</v>
      </c>
      <c r="BV39">
        <v>17403</v>
      </c>
      <c r="BW39">
        <v>318</v>
      </c>
      <c r="BX39">
        <v>74.852094466500006</v>
      </c>
      <c r="BY39">
        <v>58.100628930799999</v>
      </c>
      <c r="CA39" t="s">
        <v>382</v>
      </c>
      <c r="CB39" t="s">
        <v>856</v>
      </c>
      <c r="CC39" t="s">
        <v>987</v>
      </c>
      <c r="CD39">
        <v>16509</v>
      </c>
      <c r="CE39">
        <v>4210</v>
      </c>
      <c r="CF39">
        <v>96.5502453207</v>
      </c>
      <c r="CG39">
        <v>34115</v>
      </c>
      <c r="CH39">
        <v>679</v>
      </c>
      <c r="CI39">
        <v>137.26425326099999</v>
      </c>
      <c r="CJ39">
        <v>137.8100147275</v>
      </c>
      <c r="CL39" t="s">
        <v>382</v>
      </c>
      <c r="CM39" t="s">
        <v>825</v>
      </c>
      <c r="CN39" t="s">
        <v>834</v>
      </c>
      <c r="CO39">
        <v>1486</v>
      </c>
      <c r="CP39">
        <v>188</v>
      </c>
      <c r="CQ39">
        <v>75.573351278600001</v>
      </c>
      <c r="CR39">
        <v>3417</v>
      </c>
      <c r="CS39">
        <v>54</v>
      </c>
      <c r="CT39">
        <v>95.719051799799999</v>
      </c>
      <c r="CU39">
        <v>93.7037037037</v>
      </c>
      <c r="CW39" t="s">
        <v>382</v>
      </c>
      <c r="CX39" t="s">
        <v>841</v>
      </c>
      <c r="CY39" t="s">
        <v>850</v>
      </c>
      <c r="CZ39">
        <v>442</v>
      </c>
      <c r="DA39">
        <v>88</v>
      </c>
      <c r="DB39">
        <v>78.180995475100005</v>
      </c>
      <c r="DC39">
        <v>947</v>
      </c>
      <c r="DD39">
        <v>19</v>
      </c>
      <c r="DE39">
        <v>151.94297782469999</v>
      </c>
      <c r="DF39">
        <v>136.42105263159999</v>
      </c>
      <c r="DH39" t="s">
        <v>382</v>
      </c>
      <c r="DI39" t="s">
        <v>809</v>
      </c>
      <c r="DJ39" t="s">
        <v>818</v>
      </c>
      <c r="DK39">
        <v>768</v>
      </c>
      <c r="DL39">
        <v>124</v>
      </c>
      <c r="DM39">
        <v>69.658854166699996</v>
      </c>
      <c r="DN39">
        <v>1648</v>
      </c>
      <c r="DO39">
        <v>41</v>
      </c>
      <c r="DP39">
        <v>145.7766990291</v>
      </c>
      <c r="DQ39">
        <v>143.19512195120001</v>
      </c>
    </row>
    <row r="40" spans="2:121" x14ac:dyDescent="0.2">
      <c r="B40" t="s">
        <v>124</v>
      </c>
      <c r="C40">
        <v>265</v>
      </c>
      <c r="D40">
        <v>87</v>
      </c>
      <c r="F40" t="s">
        <v>52</v>
      </c>
      <c r="G40">
        <v>6917</v>
      </c>
      <c r="H40">
        <v>431.03079369670002</v>
      </c>
      <c r="I40">
        <v>10176</v>
      </c>
      <c r="J40">
        <v>2005</v>
      </c>
      <c r="K40">
        <v>8618</v>
      </c>
      <c r="L40">
        <v>6462</v>
      </c>
      <c r="M40">
        <v>1049</v>
      </c>
      <c r="N40">
        <v>894</v>
      </c>
      <c r="O40">
        <v>4058</v>
      </c>
      <c r="P40">
        <v>3323</v>
      </c>
      <c r="Q40">
        <v>5</v>
      </c>
      <c r="R40">
        <v>33</v>
      </c>
      <c r="T40" t="s">
        <v>8</v>
      </c>
      <c r="U40">
        <v>193</v>
      </c>
      <c r="V40">
        <v>101.0207253886</v>
      </c>
      <c r="W40">
        <v>214</v>
      </c>
      <c r="X40">
        <v>103</v>
      </c>
      <c r="Y40">
        <v>381</v>
      </c>
      <c r="Z40">
        <v>192</v>
      </c>
      <c r="AA40">
        <v>8</v>
      </c>
      <c r="AB40">
        <v>7</v>
      </c>
      <c r="AC40">
        <v>8</v>
      </c>
      <c r="AD40">
        <v>1</v>
      </c>
      <c r="AE40">
        <v>57</v>
      </c>
      <c r="AF40">
        <v>24</v>
      </c>
      <c r="AH40" t="s">
        <v>409</v>
      </c>
      <c r="AI40">
        <v>5868</v>
      </c>
      <c r="AJ40">
        <v>473.7218813906</v>
      </c>
      <c r="AK40">
        <v>4696</v>
      </c>
      <c r="AL40">
        <v>941</v>
      </c>
      <c r="AM40">
        <v>8300</v>
      </c>
      <c r="AN40">
        <v>6174</v>
      </c>
      <c r="AO40">
        <v>3035</v>
      </c>
      <c r="AP40">
        <v>2711</v>
      </c>
      <c r="AQ40">
        <v>3207</v>
      </c>
      <c r="AR40">
        <v>2140</v>
      </c>
      <c r="AS40">
        <v>6</v>
      </c>
      <c r="AT40">
        <v>93</v>
      </c>
      <c r="AV40" t="s">
        <v>411</v>
      </c>
      <c r="AW40">
        <v>253</v>
      </c>
      <c r="AX40">
        <v>68.928853754900004</v>
      </c>
      <c r="AY40">
        <v>253</v>
      </c>
      <c r="AZ40">
        <v>27</v>
      </c>
      <c r="BA40">
        <v>341</v>
      </c>
      <c r="BB40">
        <v>27</v>
      </c>
      <c r="BC40">
        <v>4</v>
      </c>
      <c r="BD40">
        <v>3</v>
      </c>
      <c r="BE40">
        <v>30</v>
      </c>
      <c r="BF40">
        <v>6</v>
      </c>
      <c r="BG40">
        <v>86</v>
      </c>
      <c r="BH40">
        <v>31</v>
      </c>
      <c r="BJ40" t="s">
        <v>535</v>
      </c>
      <c r="BK40" t="s">
        <v>369</v>
      </c>
      <c r="BL40">
        <v>11073</v>
      </c>
      <c r="BM40">
        <v>2304</v>
      </c>
      <c r="BN40">
        <v>87.448387970699997</v>
      </c>
      <c r="BO40">
        <v>23317</v>
      </c>
      <c r="BP40">
        <v>446</v>
      </c>
      <c r="BQ40">
        <v>136.37320410000001</v>
      </c>
      <c r="BR40">
        <v>138.5448430493</v>
      </c>
      <c r="BS40">
        <v>2175</v>
      </c>
      <c r="BT40">
        <v>743</v>
      </c>
      <c r="BU40">
        <v>111.835862069</v>
      </c>
      <c r="BV40">
        <v>23308</v>
      </c>
      <c r="BW40">
        <v>440</v>
      </c>
      <c r="BX40">
        <v>132.7092414622</v>
      </c>
      <c r="BY40">
        <v>135.74318181819999</v>
      </c>
      <c r="CA40" t="s">
        <v>375</v>
      </c>
      <c r="CB40" t="s">
        <v>856</v>
      </c>
      <c r="CC40" t="s">
        <v>988</v>
      </c>
      <c r="CD40">
        <v>9584</v>
      </c>
      <c r="CE40">
        <v>2567</v>
      </c>
      <c r="CF40">
        <v>103.1439899833</v>
      </c>
      <c r="CG40">
        <v>19464</v>
      </c>
      <c r="CH40">
        <v>301</v>
      </c>
      <c r="CI40">
        <v>139.97153719689999</v>
      </c>
      <c r="CJ40">
        <v>134.03654485050001</v>
      </c>
      <c r="CL40" t="s">
        <v>375</v>
      </c>
      <c r="CM40" t="s">
        <v>825</v>
      </c>
      <c r="CN40" t="s">
        <v>835</v>
      </c>
      <c r="CO40">
        <v>1767</v>
      </c>
      <c r="CP40">
        <v>206</v>
      </c>
      <c r="CQ40">
        <v>71.590831918500001</v>
      </c>
      <c r="CR40">
        <v>3991</v>
      </c>
      <c r="CS40">
        <v>45</v>
      </c>
      <c r="CT40">
        <v>93.944374843399999</v>
      </c>
      <c r="CU40">
        <v>109.1555555556</v>
      </c>
      <c r="CW40" t="s">
        <v>375</v>
      </c>
      <c r="CX40" t="s">
        <v>841</v>
      </c>
      <c r="CY40" t="s">
        <v>851</v>
      </c>
      <c r="CZ40">
        <v>147</v>
      </c>
      <c r="DA40">
        <v>31</v>
      </c>
      <c r="DB40">
        <v>81.768707483</v>
      </c>
      <c r="DC40">
        <v>340</v>
      </c>
      <c r="DD40">
        <v>5</v>
      </c>
      <c r="DE40">
        <v>143.6911764706</v>
      </c>
      <c r="DF40">
        <v>144.19999999999999</v>
      </c>
      <c r="DH40" t="s">
        <v>375</v>
      </c>
      <c r="DI40" t="s">
        <v>809</v>
      </c>
      <c r="DJ40" t="s">
        <v>819</v>
      </c>
      <c r="DK40">
        <v>91</v>
      </c>
      <c r="DL40">
        <v>17</v>
      </c>
      <c r="DM40">
        <v>78.857142857100001</v>
      </c>
      <c r="DN40">
        <v>291</v>
      </c>
      <c r="DO40">
        <v>5</v>
      </c>
      <c r="DP40">
        <v>130.1374570447</v>
      </c>
      <c r="DQ40">
        <v>118</v>
      </c>
    </row>
    <row r="41" spans="2:121" x14ac:dyDescent="0.2">
      <c r="B41" t="s">
        <v>105</v>
      </c>
      <c r="C41">
        <v>8009</v>
      </c>
      <c r="D41">
        <v>6051</v>
      </c>
      <c r="F41" t="s">
        <v>25</v>
      </c>
      <c r="G41">
        <v>11771</v>
      </c>
      <c r="H41">
        <v>369.98377368109999</v>
      </c>
      <c r="I41">
        <v>17437</v>
      </c>
      <c r="J41">
        <v>4778</v>
      </c>
      <c r="K41">
        <v>17323</v>
      </c>
      <c r="L41">
        <v>12098</v>
      </c>
      <c r="M41">
        <v>7577</v>
      </c>
      <c r="N41">
        <v>5969</v>
      </c>
      <c r="O41">
        <v>10317</v>
      </c>
      <c r="P41">
        <v>9286</v>
      </c>
      <c r="Q41">
        <v>72</v>
      </c>
      <c r="R41">
        <v>17</v>
      </c>
      <c r="T41" t="s">
        <v>385</v>
      </c>
      <c r="U41">
        <v>3011</v>
      </c>
      <c r="V41">
        <v>86.739289272700006</v>
      </c>
      <c r="W41">
        <v>3206</v>
      </c>
      <c r="X41">
        <v>178</v>
      </c>
      <c r="Y41">
        <v>4252</v>
      </c>
      <c r="Z41">
        <v>449</v>
      </c>
      <c r="AA41">
        <v>24</v>
      </c>
      <c r="AB41">
        <v>19</v>
      </c>
      <c r="AC41">
        <v>235</v>
      </c>
      <c r="AD41">
        <v>75</v>
      </c>
      <c r="AE41">
        <v>3169</v>
      </c>
      <c r="AF41">
        <v>757</v>
      </c>
      <c r="AH41" t="s">
        <v>8</v>
      </c>
      <c r="AI41">
        <v>3399</v>
      </c>
      <c r="AJ41">
        <v>356.21329802880001</v>
      </c>
      <c r="AK41">
        <v>4556</v>
      </c>
      <c r="AL41">
        <v>1927</v>
      </c>
      <c r="AM41">
        <v>4708</v>
      </c>
      <c r="AN41">
        <v>3133</v>
      </c>
      <c r="AO41">
        <v>1402</v>
      </c>
      <c r="AP41">
        <v>973</v>
      </c>
      <c r="AQ41">
        <v>1198</v>
      </c>
      <c r="AR41">
        <v>805</v>
      </c>
      <c r="AS41">
        <v>490</v>
      </c>
      <c r="AT41">
        <v>160</v>
      </c>
      <c r="AV41" t="s">
        <v>410</v>
      </c>
      <c r="AW41">
        <v>1313</v>
      </c>
      <c r="AX41">
        <v>99.642802741799997</v>
      </c>
      <c r="AY41">
        <v>1409</v>
      </c>
      <c r="AZ41">
        <v>52</v>
      </c>
      <c r="BA41">
        <v>1900</v>
      </c>
      <c r="BB41">
        <v>164</v>
      </c>
      <c r="BC41">
        <v>9</v>
      </c>
      <c r="BD41">
        <v>9</v>
      </c>
      <c r="BE41">
        <v>89</v>
      </c>
      <c r="BF41">
        <v>43</v>
      </c>
      <c r="BG41">
        <v>1584</v>
      </c>
      <c r="BH41">
        <v>435</v>
      </c>
      <c r="BJ41" t="s">
        <v>627</v>
      </c>
      <c r="BK41" t="s">
        <v>369</v>
      </c>
      <c r="BL41">
        <v>1159</v>
      </c>
      <c r="BM41">
        <v>171</v>
      </c>
      <c r="BN41">
        <v>75.644521138900004</v>
      </c>
      <c r="BO41">
        <v>3461</v>
      </c>
      <c r="BP41">
        <v>54</v>
      </c>
      <c r="BQ41">
        <v>105.6989309448</v>
      </c>
      <c r="BR41">
        <v>79.7962962963</v>
      </c>
      <c r="BS41">
        <v>1599</v>
      </c>
      <c r="BT41">
        <v>233</v>
      </c>
      <c r="BU41">
        <v>79.876797998699999</v>
      </c>
      <c r="BV41">
        <v>11803</v>
      </c>
      <c r="BW41">
        <v>185</v>
      </c>
      <c r="BX41">
        <v>132.51071761419999</v>
      </c>
      <c r="BY41">
        <v>83.708108108100006</v>
      </c>
      <c r="CA41" t="s">
        <v>372</v>
      </c>
      <c r="CB41" t="s">
        <v>856</v>
      </c>
      <c r="CC41" t="s">
        <v>989</v>
      </c>
      <c r="CD41">
        <v>911</v>
      </c>
      <c r="CE41">
        <v>171</v>
      </c>
      <c r="CF41">
        <v>78.939626783799994</v>
      </c>
      <c r="CG41">
        <v>2294</v>
      </c>
      <c r="CH41">
        <v>36</v>
      </c>
      <c r="CI41">
        <v>107.9742807323</v>
      </c>
      <c r="CJ41">
        <v>98.388888888899999</v>
      </c>
      <c r="CL41" t="s">
        <v>372</v>
      </c>
      <c r="CM41" t="s">
        <v>825</v>
      </c>
      <c r="CN41" t="s">
        <v>836</v>
      </c>
      <c r="CO41">
        <v>122</v>
      </c>
      <c r="CP41">
        <v>13</v>
      </c>
      <c r="CQ41">
        <v>71.508196721299996</v>
      </c>
      <c r="CR41">
        <v>314</v>
      </c>
      <c r="CS41">
        <v>5</v>
      </c>
      <c r="CT41">
        <v>94.035031847100001</v>
      </c>
      <c r="CU41">
        <v>70.8</v>
      </c>
      <c r="CW41" t="s">
        <v>372</v>
      </c>
      <c r="CX41" t="s">
        <v>841</v>
      </c>
      <c r="CY41" t="s">
        <v>852</v>
      </c>
      <c r="CZ41">
        <v>6</v>
      </c>
      <c r="DA41">
        <v>1</v>
      </c>
      <c r="DB41">
        <v>62.333333333299997</v>
      </c>
      <c r="DC41">
        <v>25</v>
      </c>
      <c r="DD41">
        <v>0</v>
      </c>
      <c r="DE41">
        <v>155.88</v>
      </c>
      <c r="DF41">
        <v>0</v>
      </c>
      <c r="DH41" t="s">
        <v>372</v>
      </c>
      <c r="DI41" t="s">
        <v>809</v>
      </c>
      <c r="DJ41" t="s">
        <v>820</v>
      </c>
      <c r="DK41">
        <v>4</v>
      </c>
      <c r="DL41">
        <v>0</v>
      </c>
      <c r="DM41">
        <v>41</v>
      </c>
      <c r="DN41">
        <v>21</v>
      </c>
      <c r="DO41">
        <v>0</v>
      </c>
      <c r="DP41">
        <v>130.09523809519999</v>
      </c>
      <c r="DQ41">
        <v>0</v>
      </c>
    </row>
    <row r="42" spans="2:121" x14ac:dyDescent="0.2">
      <c r="B42" t="s">
        <v>113</v>
      </c>
      <c r="C42">
        <v>16158</v>
      </c>
      <c r="D42">
        <v>3423</v>
      </c>
      <c r="F42" t="s">
        <v>66</v>
      </c>
      <c r="G42">
        <v>5797</v>
      </c>
      <c r="H42">
        <v>471.9285837502</v>
      </c>
      <c r="I42">
        <v>4588</v>
      </c>
      <c r="J42">
        <v>886</v>
      </c>
      <c r="K42">
        <v>7305</v>
      </c>
      <c r="L42">
        <v>5386</v>
      </c>
      <c r="M42">
        <v>2924</v>
      </c>
      <c r="N42">
        <v>2708</v>
      </c>
      <c r="O42">
        <v>2139</v>
      </c>
      <c r="P42">
        <v>1488</v>
      </c>
      <c r="Q42">
        <v>0</v>
      </c>
      <c r="R42">
        <v>93</v>
      </c>
      <c r="T42" t="s">
        <v>404</v>
      </c>
      <c r="U42">
        <v>2554</v>
      </c>
      <c r="V42">
        <v>85.340642130000006</v>
      </c>
      <c r="W42">
        <v>3285</v>
      </c>
      <c r="X42">
        <v>124</v>
      </c>
      <c r="Y42">
        <v>3760</v>
      </c>
      <c r="Z42">
        <v>572</v>
      </c>
      <c r="AA42">
        <v>19</v>
      </c>
      <c r="AB42">
        <v>17</v>
      </c>
      <c r="AC42">
        <v>162</v>
      </c>
      <c r="AD42">
        <v>58</v>
      </c>
      <c r="AE42">
        <v>3647</v>
      </c>
      <c r="AF42">
        <v>810</v>
      </c>
      <c r="AH42" t="s">
        <v>375</v>
      </c>
      <c r="AI42">
        <v>6206</v>
      </c>
      <c r="AJ42">
        <v>460.9827586207</v>
      </c>
      <c r="AK42">
        <v>10123</v>
      </c>
      <c r="AL42">
        <v>2657</v>
      </c>
      <c r="AM42">
        <v>9866</v>
      </c>
      <c r="AN42">
        <v>7272</v>
      </c>
      <c r="AO42">
        <v>1875</v>
      </c>
      <c r="AP42">
        <v>1505</v>
      </c>
      <c r="AQ42">
        <v>6600</v>
      </c>
      <c r="AR42">
        <v>5248</v>
      </c>
      <c r="AS42">
        <v>1745</v>
      </c>
      <c r="AT42">
        <v>15</v>
      </c>
      <c r="AV42" t="s">
        <v>60</v>
      </c>
      <c r="AW42">
        <v>1157</v>
      </c>
      <c r="AX42">
        <v>107.1391529818</v>
      </c>
      <c r="AY42">
        <v>2294</v>
      </c>
      <c r="AZ42">
        <v>484</v>
      </c>
      <c r="BA42">
        <v>1599</v>
      </c>
      <c r="BB42">
        <v>538</v>
      </c>
      <c r="BC42">
        <v>9</v>
      </c>
      <c r="BD42">
        <v>8</v>
      </c>
      <c r="BE42">
        <v>59</v>
      </c>
      <c r="BF42">
        <v>20</v>
      </c>
      <c r="BG42">
        <v>196</v>
      </c>
      <c r="BH42">
        <v>291</v>
      </c>
      <c r="BJ42" t="s">
        <v>629</v>
      </c>
      <c r="BK42" t="s">
        <v>369</v>
      </c>
      <c r="BL42">
        <v>554</v>
      </c>
      <c r="BM42">
        <v>151</v>
      </c>
      <c r="BN42">
        <v>97.218411552299997</v>
      </c>
      <c r="BO42">
        <v>990</v>
      </c>
      <c r="BP42">
        <v>11</v>
      </c>
      <c r="BQ42">
        <v>135.21212121209999</v>
      </c>
      <c r="BR42">
        <v>143.45454545449999</v>
      </c>
      <c r="BS42">
        <v>196</v>
      </c>
      <c r="BT42">
        <v>87</v>
      </c>
      <c r="BU42">
        <v>123.59693877550001</v>
      </c>
      <c r="BV42">
        <v>1473</v>
      </c>
      <c r="BW42">
        <v>22</v>
      </c>
      <c r="BX42">
        <v>144.94908350310001</v>
      </c>
      <c r="BY42">
        <v>88.227272727300004</v>
      </c>
      <c r="CA42" t="s">
        <v>417</v>
      </c>
      <c r="CB42" t="s">
        <v>856</v>
      </c>
      <c r="CC42" t="s">
        <v>990</v>
      </c>
      <c r="CD42">
        <v>538</v>
      </c>
      <c r="CE42">
        <v>142</v>
      </c>
      <c r="CF42">
        <v>97.252788104100006</v>
      </c>
      <c r="CG42">
        <v>971</v>
      </c>
      <c r="CH42">
        <v>10</v>
      </c>
      <c r="CI42">
        <v>130.2996910402</v>
      </c>
      <c r="CJ42">
        <v>110.5</v>
      </c>
      <c r="CL42" t="s">
        <v>417</v>
      </c>
      <c r="CM42" t="s">
        <v>825</v>
      </c>
      <c r="CN42" t="s">
        <v>837</v>
      </c>
      <c r="CO42">
        <v>38</v>
      </c>
      <c r="CP42">
        <v>8</v>
      </c>
      <c r="CQ42">
        <v>77.657894736800003</v>
      </c>
      <c r="CR42">
        <v>117</v>
      </c>
      <c r="CS42">
        <v>2</v>
      </c>
      <c r="CT42">
        <v>98.632478632499996</v>
      </c>
      <c r="CU42">
        <v>105</v>
      </c>
      <c r="CW42" t="s">
        <v>417</v>
      </c>
      <c r="CX42" t="s">
        <v>841</v>
      </c>
      <c r="CY42" t="s">
        <v>853</v>
      </c>
      <c r="CZ42">
        <v>7</v>
      </c>
      <c r="DA42">
        <v>3</v>
      </c>
      <c r="DB42">
        <v>115.7142857143</v>
      </c>
      <c r="DC42">
        <v>8</v>
      </c>
      <c r="DD42">
        <v>1</v>
      </c>
      <c r="DE42">
        <v>133.5</v>
      </c>
      <c r="DF42">
        <v>120</v>
      </c>
      <c r="DH42" t="s">
        <v>417</v>
      </c>
      <c r="DI42" t="s">
        <v>809</v>
      </c>
      <c r="DJ42" t="s">
        <v>821</v>
      </c>
      <c r="DK42">
        <v>3</v>
      </c>
      <c r="DL42">
        <v>1</v>
      </c>
      <c r="DM42">
        <v>79.333333333300004</v>
      </c>
      <c r="DN42">
        <v>12</v>
      </c>
      <c r="DO42">
        <v>0</v>
      </c>
      <c r="DP42">
        <v>115.4166666667</v>
      </c>
      <c r="DQ42">
        <v>0</v>
      </c>
    </row>
    <row r="43" spans="2:121" x14ac:dyDescent="0.2">
      <c r="B43" t="s">
        <v>112</v>
      </c>
      <c r="C43">
        <v>7657</v>
      </c>
      <c r="D43">
        <v>607</v>
      </c>
      <c r="F43" t="s">
        <v>75</v>
      </c>
      <c r="G43">
        <v>3438</v>
      </c>
      <c r="H43">
        <v>219.60354857479999</v>
      </c>
      <c r="I43">
        <v>5731</v>
      </c>
      <c r="J43">
        <v>1073</v>
      </c>
      <c r="K43">
        <v>5086</v>
      </c>
      <c r="L43">
        <v>2650</v>
      </c>
      <c r="M43">
        <v>2056</v>
      </c>
      <c r="N43">
        <v>1748</v>
      </c>
      <c r="O43">
        <v>1651</v>
      </c>
      <c r="P43">
        <v>1386</v>
      </c>
      <c r="Q43">
        <v>1</v>
      </c>
      <c r="R43">
        <v>40</v>
      </c>
      <c r="AH43" t="s">
        <v>427</v>
      </c>
      <c r="AI43">
        <v>1225</v>
      </c>
      <c r="AJ43">
        <v>270.43836734690001</v>
      </c>
      <c r="AK43">
        <v>2161</v>
      </c>
      <c r="AL43">
        <v>565</v>
      </c>
      <c r="AM43">
        <v>3309</v>
      </c>
      <c r="AN43">
        <v>2420</v>
      </c>
      <c r="AO43">
        <v>1003</v>
      </c>
      <c r="AP43">
        <v>873</v>
      </c>
      <c r="AQ43">
        <v>2083</v>
      </c>
      <c r="AR43">
        <v>1425</v>
      </c>
      <c r="AS43">
        <v>436</v>
      </c>
      <c r="AT43">
        <v>2</v>
      </c>
      <c r="AV43" t="s">
        <v>416</v>
      </c>
      <c r="AW43">
        <v>123</v>
      </c>
      <c r="AX43">
        <v>120.14634146340001</v>
      </c>
      <c r="AY43">
        <v>142</v>
      </c>
      <c r="AZ43">
        <v>34</v>
      </c>
      <c r="BA43">
        <v>155</v>
      </c>
      <c r="BB43">
        <v>62</v>
      </c>
      <c r="BC43">
        <v>1</v>
      </c>
      <c r="BD43">
        <v>1</v>
      </c>
      <c r="BE43">
        <v>13</v>
      </c>
      <c r="BF43">
        <v>4</v>
      </c>
      <c r="BG43">
        <v>34</v>
      </c>
      <c r="BH43">
        <v>28</v>
      </c>
      <c r="BJ43" t="s">
        <v>643</v>
      </c>
      <c r="BK43" t="s">
        <v>369</v>
      </c>
      <c r="BL43">
        <v>732</v>
      </c>
      <c r="BM43">
        <v>151</v>
      </c>
      <c r="BN43">
        <v>88.788251366099999</v>
      </c>
      <c r="BO43">
        <v>1713</v>
      </c>
      <c r="BP43">
        <v>21</v>
      </c>
      <c r="BQ43">
        <v>141.0636310566</v>
      </c>
      <c r="BR43">
        <v>145.42857142860001</v>
      </c>
      <c r="BS43">
        <v>194</v>
      </c>
      <c r="BT43">
        <v>92</v>
      </c>
      <c r="BU43">
        <v>132.1391752577</v>
      </c>
      <c r="BV43">
        <v>1050</v>
      </c>
      <c r="BW43">
        <v>12</v>
      </c>
      <c r="BX43">
        <v>125.3466666667</v>
      </c>
      <c r="BY43">
        <v>145.3333333333</v>
      </c>
      <c r="CA43" t="s">
        <v>378</v>
      </c>
      <c r="CB43" t="s">
        <v>856</v>
      </c>
      <c r="CC43" t="s">
        <v>991</v>
      </c>
      <c r="CD43">
        <v>10839</v>
      </c>
      <c r="CE43">
        <v>2120</v>
      </c>
      <c r="CF43">
        <v>85.447273733700001</v>
      </c>
      <c r="CG43">
        <v>24250</v>
      </c>
      <c r="CH43">
        <v>464</v>
      </c>
      <c r="CI43">
        <v>131.17121649480001</v>
      </c>
      <c r="CJ43">
        <v>131.4806034483</v>
      </c>
      <c r="CL43" t="s">
        <v>378</v>
      </c>
      <c r="CM43" t="s">
        <v>825</v>
      </c>
      <c r="CN43" t="s">
        <v>838</v>
      </c>
      <c r="CO43">
        <v>1010</v>
      </c>
      <c r="CP43">
        <v>132</v>
      </c>
      <c r="CQ43">
        <v>72.459405940600007</v>
      </c>
      <c r="CR43">
        <v>2123</v>
      </c>
      <c r="CS43">
        <v>27</v>
      </c>
      <c r="CT43">
        <v>99.376354215700005</v>
      </c>
      <c r="CU43">
        <v>79.148148148100006</v>
      </c>
      <c r="CW43" t="s">
        <v>378</v>
      </c>
      <c r="CX43" t="s">
        <v>841</v>
      </c>
      <c r="CY43" t="s">
        <v>854</v>
      </c>
      <c r="CZ43">
        <v>543</v>
      </c>
      <c r="DA43">
        <v>97</v>
      </c>
      <c r="DB43">
        <v>77.484346224700005</v>
      </c>
      <c r="DC43">
        <v>1050</v>
      </c>
      <c r="DD43">
        <v>31</v>
      </c>
      <c r="DE43">
        <v>157.76380952380001</v>
      </c>
      <c r="DF43">
        <v>146.935483871</v>
      </c>
      <c r="DH43" t="s">
        <v>378</v>
      </c>
      <c r="DI43" t="s">
        <v>809</v>
      </c>
      <c r="DJ43" t="s">
        <v>822</v>
      </c>
      <c r="DK43">
        <v>769</v>
      </c>
      <c r="DL43">
        <v>142</v>
      </c>
      <c r="DM43">
        <v>73.383615084499993</v>
      </c>
      <c r="DN43">
        <v>1806</v>
      </c>
      <c r="DO43">
        <v>67</v>
      </c>
      <c r="DP43">
        <v>152.2131782946</v>
      </c>
      <c r="DQ43">
        <v>140.9850746269</v>
      </c>
    </row>
    <row r="44" spans="2:121" x14ac:dyDescent="0.2">
      <c r="B44" t="s">
        <v>127</v>
      </c>
      <c r="C44">
        <v>65538</v>
      </c>
      <c r="D44">
        <v>57034</v>
      </c>
      <c r="F44" t="s">
        <v>32</v>
      </c>
      <c r="G44">
        <v>1904</v>
      </c>
      <c r="H44">
        <v>506.60031512609999</v>
      </c>
      <c r="I44">
        <v>1073</v>
      </c>
      <c r="J44">
        <v>263</v>
      </c>
      <c r="K44">
        <v>2560</v>
      </c>
      <c r="L44">
        <v>2112</v>
      </c>
      <c r="M44">
        <v>2093</v>
      </c>
      <c r="N44">
        <v>1828</v>
      </c>
      <c r="O44">
        <v>494</v>
      </c>
      <c r="P44">
        <v>334</v>
      </c>
      <c r="Q44">
        <v>0</v>
      </c>
      <c r="R44">
        <v>4</v>
      </c>
      <c r="AH44" t="s">
        <v>372</v>
      </c>
      <c r="AI44">
        <v>266</v>
      </c>
      <c r="AJ44">
        <v>280.35338345859998</v>
      </c>
      <c r="AK44">
        <v>900</v>
      </c>
      <c r="AL44">
        <v>176</v>
      </c>
      <c r="AM44">
        <v>539</v>
      </c>
      <c r="AN44">
        <v>237</v>
      </c>
      <c r="AO44">
        <v>219</v>
      </c>
      <c r="AP44">
        <v>174</v>
      </c>
      <c r="AQ44">
        <v>228</v>
      </c>
      <c r="AR44">
        <v>126</v>
      </c>
      <c r="AS44">
        <v>214</v>
      </c>
      <c r="AT44">
        <v>3</v>
      </c>
      <c r="AV44" t="s">
        <v>394</v>
      </c>
      <c r="AW44">
        <v>545</v>
      </c>
      <c r="AX44">
        <v>91.794495412800003</v>
      </c>
      <c r="AY44">
        <v>794</v>
      </c>
      <c r="AZ44">
        <v>90</v>
      </c>
      <c r="BA44">
        <v>703</v>
      </c>
      <c r="BB44">
        <v>90</v>
      </c>
      <c r="BC44">
        <v>1</v>
      </c>
      <c r="BE44">
        <v>52</v>
      </c>
      <c r="BF44">
        <v>11</v>
      </c>
      <c r="BG44">
        <v>97</v>
      </c>
      <c r="BH44">
        <v>139</v>
      </c>
      <c r="BJ44" t="s">
        <v>543</v>
      </c>
      <c r="BK44" t="s">
        <v>369</v>
      </c>
      <c r="BL44">
        <v>17070</v>
      </c>
      <c r="BM44">
        <v>4344</v>
      </c>
      <c r="BN44">
        <v>96.266842413600003</v>
      </c>
      <c r="BO44">
        <v>33655</v>
      </c>
      <c r="BP44">
        <v>694</v>
      </c>
      <c r="BQ44">
        <v>144.8196404695</v>
      </c>
      <c r="BR44">
        <v>144.73775216140001</v>
      </c>
      <c r="BS44">
        <v>3603</v>
      </c>
      <c r="BT44">
        <v>1372</v>
      </c>
      <c r="BU44">
        <v>112.78712184290001</v>
      </c>
      <c r="BV44">
        <v>21963</v>
      </c>
      <c r="BW44">
        <v>375</v>
      </c>
      <c r="BX44">
        <v>138.14761189270001</v>
      </c>
      <c r="BY44">
        <v>175.12266666670001</v>
      </c>
      <c r="CA44" t="s">
        <v>379</v>
      </c>
      <c r="CB44" t="s">
        <v>856</v>
      </c>
      <c r="CC44" t="s">
        <v>992</v>
      </c>
      <c r="CD44">
        <v>2659</v>
      </c>
      <c r="CE44">
        <v>469</v>
      </c>
      <c r="CF44">
        <v>83.312147423799999</v>
      </c>
      <c r="CG44">
        <v>6220</v>
      </c>
      <c r="CH44">
        <v>161</v>
      </c>
      <c r="CI44">
        <v>118.29646302250001</v>
      </c>
      <c r="CJ44">
        <v>108.38509316770001</v>
      </c>
      <c r="CL44" t="s">
        <v>379</v>
      </c>
      <c r="CM44" t="s">
        <v>825</v>
      </c>
      <c r="CN44" t="s">
        <v>839</v>
      </c>
      <c r="CO44">
        <v>255</v>
      </c>
      <c r="CP44">
        <v>37</v>
      </c>
      <c r="CQ44">
        <v>75.015686274499998</v>
      </c>
      <c r="CR44">
        <v>724</v>
      </c>
      <c r="CS44">
        <v>7</v>
      </c>
      <c r="CT44">
        <v>96.888121546999997</v>
      </c>
      <c r="CU44">
        <v>173.57142857139999</v>
      </c>
      <c r="CW44" t="s">
        <v>379</v>
      </c>
      <c r="CX44" t="s">
        <v>841</v>
      </c>
      <c r="CY44" t="s">
        <v>855</v>
      </c>
      <c r="CZ44">
        <v>19</v>
      </c>
      <c r="DA44">
        <v>3</v>
      </c>
      <c r="DB44">
        <v>69.315789473699994</v>
      </c>
      <c r="DC44">
        <v>36</v>
      </c>
      <c r="DD44">
        <v>1</v>
      </c>
      <c r="DE44">
        <v>149.55555555559999</v>
      </c>
      <c r="DF44">
        <v>184</v>
      </c>
      <c r="DH44" t="s">
        <v>379</v>
      </c>
      <c r="DI44" t="s">
        <v>809</v>
      </c>
      <c r="DJ44" t="s">
        <v>823</v>
      </c>
      <c r="DK44">
        <v>23</v>
      </c>
      <c r="DL44">
        <v>4</v>
      </c>
      <c r="DM44">
        <v>61.347826087000001</v>
      </c>
      <c r="DN44">
        <v>62</v>
      </c>
      <c r="DO44">
        <v>1</v>
      </c>
      <c r="DP44">
        <v>139.22580645159999</v>
      </c>
      <c r="DQ44">
        <v>94</v>
      </c>
    </row>
    <row r="45" spans="2:121" x14ac:dyDescent="0.2">
      <c r="B45" t="s">
        <v>126</v>
      </c>
      <c r="C45">
        <v>10334</v>
      </c>
      <c r="D45">
        <v>6825</v>
      </c>
      <c r="F45" t="s">
        <v>63</v>
      </c>
      <c r="G45">
        <v>5288</v>
      </c>
      <c r="H45">
        <v>509.2906580938</v>
      </c>
      <c r="I45">
        <v>14200</v>
      </c>
      <c r="J45">
        <v>3401</v>
      </c>
      <c r="K45">
        <v>7874</v>
      </c>
      <c r="L45">
        <v>6078</v>
      </c>
      <c r="M45">
        <v>2288</v>
      </c>
      <c r="N45">
        <v>1458</v>
      </c>
      <c r="O45">
        <v>7190</v>
      </c>
      <c r="P45">
        <v>6442</v>
      </c>
      <c r="Q45">
        <v>14756</v>
      </c>
      <c r="R45">
        <v>0</v>
      </c>
      <c r="AH45" t="s">
        <v>383</v>
      </c>
      <c r="AI45">
        <v>7794</v>
      </c>
      <c r="AJ45">
        <v>335.3736207339</v>
      </c>
      <c r="AK45">
        <v>9600</v>
      </c>
      <c r="AL45">
        <v>2644</v>
      </c>
      <c r="AM45">
        <v>11004</v>
      </c>
      <c r="AN45">
        <v>7609</v>
      </c>
      <c r="AO45">
        <v>2895</v>
      </c>
      <c r="AP45">
        <v>2207</v>
      </c>
      <c r="AQ45">
        <v>3839</v>
      </c>
      <c r="AR45">
        <v>2429</v>
      </c>
      <c r="AS45">
        <v>756</v>
      </c>
      <c r="AT45">
        <v>59</v>
      </c>
      <c r="AV45" t="s">
        <v>421</v>
      </c>
      <c r="AW45">
        <v>17</v>
      </c>
      <c r="AX45">
        <v>78.764705882399994</v>
      </c>
      <c r="AY45">
        <v>38</v>
      </c>
      <c r="BA45">
        <v>40</v>
      </c>
      <c r="BB45">
        <v>11</v>
      </c>
      <c r="BC45">
        <v>0</v>
      </c>
      <c r="BE45">
        <v>0</v>
      </c>
      <c r="BG45">
        <v>73</v>
      </c>
      <c r="BH45">
        <v>7</v>
      </c>
      <c r="BJ45" t="s">
        <v>8</v>
      </c>
      <c r="BK45" t="s">
        <v>8</v>
      </c>
      <c r="BL45">
        <v>399</v>
      </c>
      <c r="BM45">
        <v>58</v>
      </c>
      <c r="BN45">
        <v>108.57894736839999</v>
      </c>
      <c r="BO45">
        <v>525</v>
      </c>
      <c r="BP45">
        <v>3</v>
      </c>
      <c r="BQ45">
        <v>224.39047619050001</v>
      </c>
      <c r="BR45">
        <v>391.3333333333</v>
      </c>
      <c r="BS45">
        <v>224722</v>
      </c>
      <c r="BT45">
        <v>41282</v>
      </c>
      <c r="BU45">
        <v>85.421498562699995</v>
      </c>
      <c r="BV45">
        <v>13</v>
      </c>
      <c r="BW45">
        <v>1</v>
      </c>
      <c r="BX45">
        <v>151.07692307689999</v>
      </c>
      <c r="BY45">
        <v>190</v>
      </c>
      <c r="CA45" t="s">
        <v>369</v>
      </c>
      <c r="CB45" t="s">
        <v>856</v>
      </c>
      <c r="CD45">
        <v>69332</v>
      </c>
      <c r="CE45">
        <v>16213</v>
      </c>
      <c r="CF45">
        <v>93.763557953000003</v>
      </c>
      <c r="CG45">
        <v>150065</v>
      </c>
      <c r="CH45">
        <v>2619</v>
      </c>
      <c r="CI45">
        <v>132.18186785730001</v>
      </c>
      <c r="CJ45">
        <v>128.25964108439999</v>
      </c>
      <c r="CL45" t="s">
        <v>369</v>
      </c>
      <c r="CM45" t="s">
        <v>825</v>
      </c>
      <c r="CO45">
        <v>8403</v>
      </c>
      <c r="CP45">
        <v>1048</v>
      </c>
      <c r="CQ45">
        <v>73.588480304699999</v>
      </c>
      <c r="CR45">
        <v>19466</v>
      </c>
      <c r="CS45">
        <v>235</v>
      </c>
      <c r="CT45">
        <v>95.794667625599999</v>
      </c>
      <c r="CU45">
        <v>97.221276595700004</v>
      </c>
      <c r="CW45" t="s">
        <v>369</v>
      </c>
      <c r="CX45" t="s">
        <v>841</v>
      </c>
      <c r="CZ45">
        <v>1842</v>
      </c>
      <c r="DA45">
        <v>336</v>
      </c>
      <c r="DB45">
        <v>76.815418023899994</v>
      </c>
      <c r="DC45">
        <v>3786</v>
      </c>
      <c r="DD45">
        <v>94</v>
      </c>
      <c r="DE45">
        <v>150.81273111460001</v>
      </c>
      <c r="DF45">
        <v>140.69148936170001</v>
      </c>
      <c r="DH45" t="s">
        <v>369</v>
      </c>
      <c r="DI45" t="s">
        <v>809</v>
      </c>
      <c r="DK45">
        <v>2215</v>
      </c>
      <c r="DL45">
        <v>378</v>
      </c>
      <c r="DM45">
        <v>71.776523702000006</v>
      </c>
      <c r="DN45">
        <v>5244</v>
      </c>
      <c r="DO45">
        <v>153</v>
      </c>
      <c r="DP45">
        <v>145.48779557590001</v>
      </c>
      <c r="DQ45">
        <v>130.39215686270001</v>
      </c>
    </row>
    <row r="46" spans="2:121" x14ac:dyDescent="0.2">
      <c r="B46" t="s">
        <v>108</v>
      </c>
      <c r="C46">
        <v>469</v>
      </c>
      <c r="D46">
        <v>384</v>
      </c>
      <c r="F46" t="s">
        <v>78</v>
      </c>
      <c r="G46">
        <v>1197</v>
      </c>
      <c r="H46">
        <v>299.79615705930001</v>
      </c>
      <c r="I46">
        <v>1103</v>
      </c>
      <c r="J46">
        <v>169</v>
      </c>
      <c r="K46">
        <v>1866</v>
      </c>
      <c r="L46">
        <v>1098</v>
      </c>
      <c r="M46">
        <v>935</v>
      </c>
      <c r="N46">
        <v>739</v>
      </c>
      <c r="O46">
        <v>241</v>
      </c>
      <c r="P46">
        <v>188</v>
      </c>
      <c r="Q46">
        <v>1</v>
      </c>
      <c r="R46">
        <v>0</v>
      </c>
      <c r="AH46" t="s">
        <v>420</v>
      </c>
      <c r="AI46">
        <v>286</v>
      </c>
      <c r="AJ46">
        <v>187.47202797200001</v>
      </c>
      <c r="AK46">
        <v>1032</v>
      </c>
      <c r="AL46">
        <v>258</v>
      </c>
      <c r="AM46">
        <v>491</v>
      </c>
      <c r="AN46">
        <v>169</v>
      </c>
      <c r="AO46">
        <v>285</v>
      </c>
      <c r="AP46">
        <v>149</v>
      </c>
      <c r="AQ46">
        <v>167</v>
      </c>
      <c r="AR46">
        <v>92</v>
      </c>
      <c r="AS46">
        <v>3</v>
      </c>
      <c r="AT46">
        <v>0</v>
      </c>
      <c r="AV46" t="s">
        <v>389</v>
      </c>
      <c r="AW46">
        <v>296</v>
      </c>
      <c r="AX46">
        <v>69.831081081099995</v>
      </c>
      <c r="AY46">
        <v>303</v>
      </c>
      <c r="AZ46">
        <v>25</v>
      </c>
      <c r="BA46">
        <v>407</v>
      </c>
      <c r="BB46">
        <v>50</v>
      </c>
      <c r="BC46">
        <v>3</v>
      </c>
      <c r="BD46">
        <v>3</v>
      </c>
      <c r="BE46">
        <v>38</v>
      </c>
      <c r="BF46">
        <v>3</v>
      </c>
      <c r="BG46">
        <v>68</v>
      </c>
      <c r="BH46">
        <v>32</v>
      </c>
      <c r="BJ46" t="s">
        <v>686</v>
      </c>
      <c r="BK46" t="s">
        <v>8</v>
      </c>
      <c r="BL46">
        <v>399</v>
      </c>
      <c r="BM46">
        <v>58</v>
      </c>
      <c r="BN46">
        <v>108.57894736839999</v>
      </c>
      <c r="BO46">
        <v>525</v>
      </c>
      <c r="BP46">
        <v>3</v>
      </c>
      <c r="BQ46">
        <v>224.39047619050001</v>
      </c>
      <c r="BR46">
        <v>391.3333333333</v>
      </c>
      <c r="BS46">
        <v>224722</v>
      </c>
      <c r="BT46">
        <v>41282</v>
      </c>
      <c r="BU46">
        <v>85.421498562699995</v>
      </c>
      <c r="BV46">
        <v>13</v>
      </c>
      <c r="BW46">
        <v>1</v>
      </c>
      <c r="BX46">
        <v>151.07692307689999</v>
      </c>
      <c r="BY46">
        <v>190</v>
      </c>
      <c r="CA46" t="s">
        <v>8</v>
      </c>
      <c r="CB46" t="s">
        <v>686</v>
      </c>
      <c r="CC46" t="s">
        <v>686</v>
      </c>
      <c r="CD46">
        <v>3750</v>
      </c>
      <c r="CE46">
        <v>1477</v>
      </c>
      <c r="CF46">
        <v>123.7213333333</v>
      </c>
      <c r="CG46">
        <v>6197</v>
      </c>
      <c r="CH46">
        <v>133</v>
      </c>
      <c r="CI46">
        <v>170.31999354530001</v>
      </c>
      <c r="CJ46">
        <v>169.12781954889999</v>
      </c>
      <c r="CL46" t="s">
        <v>8</v>
      </c>
      <c r="CM46" t="s">
        <v>858</v>
      </c>
      <c r="CN46" t="s">
        <v>858</v>
      </c>
      <c r="CO46">
        <v>226</v>
      </c>
      <c r="CP46">
        <v>30</v>
      </c>
      <c r="CQ46">
        <v>77.2610619469</v>
      </c>
      <c r="CR46">
        <v>599</v>
      </c>
      <c r="CS46">
        <v>9</v>
      </c>
      <c r="CT46">
        <v>96.803005008300005</v>
      </c>
      <c r="CU46">
        <v>100.8888888889</v>
      </c>
      <c r="CW46" t="s">
        <v>8</v>
      </c>
      <c r="CX46" t="s">
        <v>859</v>
      </c>
      <c r="CY46" t="s">
        <v>859</v>
      </c>
      <c r="CZ46">
        <v>26</v>
      </c>
      <c r="DA46">
        <v>4</v>
      </c>
      <c r="DB46">
        <v>70.346153846199996</v>
      </c>
      <c r="DC46">
        <v>40</v>
      </c>
      <c r="DD46">
        <v>0</v>
      </c>
      <c r="DE46">
        <v>135</v>
      </c>
      <c r="DF46">
        <v>0</v>
      </c>
      <c r="DH46" t="s">
        <v>8</v>
      </c>
      <c r="DI46" t="s">
        <v>857</v>
      </c>
      <c r="DJ46" t="s">
        <v>857</v>
      </c>
      <c r="DK46">
        <v>86</v>
      </c>
      <c r="DL46">
        <v>10</v>
      </c>
      <c r="DM46">
        <v>66.453488372099997</v>
      </c>
      <c r="DN46">
        <v>104</v>
      </c>
      <c r="DO46">
        <v>2</v>
      </c>
      <c r="DP46">
        <v>118.375</v>
      </c>
      <c r="DQ46">
        <v>94.5</v>
      </c>
    </row>
    <row r="47" spans="2:121" x14ac:dyDescent="0.2">
      <c r="B47" t="s">
        <v>21</v>
      </c>
      <c r="C47">
        <v>35214</v>
      </c>
      <c r="D47">
        <v>10672</v>
      </c>
      <c r="F47" t="s">
        <v>81</v>
      </c>
      <c r="G47">
        <v>1576</v>
      </c>
      <c r="H47">
        <v>214.2975888325</v>
      </c>
      <c r="I47">
        <v>2268</v>
      </c>
      <c r="J47">
        <v>354</v>
      </c>
      <c r="K47">
        <v>2190</v>
      </c>
      <c r="L47">
        <v>1112</v>
      </c>
      <c r="M47">
        <v>984</v>
      </c>
      <c r="N47">
        <v>531</v>
      </c>
      <c r="O47">
        <v>225</v>
      </c>
      <c r="P47">
        <v>126</v>
      </c>
      <c r="Q47">
        <v>0</v>
      </c>
      <c r="R47">
        <v>6</v>
      </c>
      <c r="AH47" t="s">
        <v>384</v>
      </c>
      <c r="AI47">
        <v>3996</v>
      </c>
      <c r="AJ47">
        <v>298.84759759759999</v>
      </c>
      <c r="AK47">
        <v>9006</v>
      </c>
      <c r="AL47">
        <v>1642</v>
      </c>
      <c r="AM47">
        <v>7075</v>
      </c>
      <c r="AN47">
        <v>3758</v>
      </c>
      <c r="AO47">
        <v>2834</v>
      </c>
      <c r="AP47">
        <v>2335</v>
      </c>
      <c r="AQ47">
        <v>3151</v>
      </c>
      <c r="AR47">
        <v>1965</v>
      </c>
      <c r="AS47">
        <v>759</v>
      </c>
      <c r="AT47">
        <v>282</v>
      </c>
      <c r="AV47" t="s">
        <v>423</v>
      </c>
      <c r="AW47">
        <v>64</v>
      </c>
      <c r="AX47">
        <v>116.046875</v>
      </c>
      <c r="AY47">
        <v>86</v>
      </c>
      <c r="AZ47">
        <v>23</v>
      </c>
      <c r="BA47">
        <v>86</v>
      </c>
      <c r="BB47">
        <v>33</v>
      </c>
      <c r="BC47">
        <v>2</v>
      </c>
      <c r="BD47">
        <v>2</v>
      </c>
      <c r="BE47">
        <v>8</v>
      </c>
      <c r="BF47">
        <v>1</v>
      </c>
      <c r="BG47">
        <v>15</v>
      </c>
      <c r="BH47">
        <v>13</v>
      </c>
      <c r="BJ47" t="s">
        <v>586</v>
      </c>
      <c r="BK47" t="s">
        <v>404</v>
      </c>
      <c r="BL47">
        <v>2732</v>
      </c>
      <c r="BM47">
        <v>513</v>
      </c>
      <c r="BN47">
        <v>83.952415812599995</v>
      </c>
      <c r="BO47">
        <v>6386</v>
      </c>
      <c r="BP47">
        <v>101</v>
      </c>
      <c r="BQ47">
        <v>135.90901973070001</v>
      </c>
      <c r="BR47">
        <v>117.495049505</v>
      </c>
      <c r="BS47">
        <v>592</v>
      </c>
      <c r="BT47">
        <v>214</v>
      </c>
      <c r="BU47">
        <v>109.0878378378</v>
      </c>
      <c r="BV47">
        <v>6007</v>
      </c>
      <c r="BW47">
        <v>161</v>
      </c>
      <c r="BX47">
        <v>134.83302813380001</v>
      </c>
      <c r="BY47">
        <v>112.36024844719999</v>
      </c>
      <c r="CA47" t="s">
        <v>8</v>
      </c>
      <c r="CB47" t="s">
        <v>686</v>
      </c>
      <c r="CC47" t="s">
        <v>686</v>
      </c>
      <c r="CD47">
        <v>3750</v>
      </c>
      <c r="CE47">
        <v>1477</v>
      </c>
      <c r="CF47">
        <v>123.7213333333</v>
      </c>
      <c r="CG47">
        <v>6197</v>
      </c>
      <c r="CH47">
        <v>133</v>
      </c>
      <c r="CI47">
        <v>170.31999354530001</v>
      </c>
      <c r="CJ47">
        <v>169.12781954889999</v>
      </c>
      <c r="CL47" t="s">
        <v>8</v>
      </c>
      <c r="CM47" t="s">
        <v>858</v>
      </c>
      <c r="CN47" t="s">
        <v>858</v>
      </c>
      <c r="CO47">
        <v>226</v>
      </c>
      <c r="CP47">
        <v>30</v>
      </c>
      <c r="CQ47">
        <v>77.2610619469</v>
      </c>
      <c r="CR47">
        <v>599</v>
      </c>
      <c r="CS47">
        <v>9</v>
      </c>
      <c r="CT47">
        <v>96.803005008300005</v>
      </c>
      <c r="CU47">
        <v>100.8888888889</v>
      </c>
      <c r="CW47" t="s">
        <v>8</v>
      </c>
      <c r="CX47" t="s">
        <v>859</v>
      </c>
      <c r="CY47" t="s">
        <v>859</v>
      </c>
      <c r="CZ47">
        <v>26</v>
      </c>
      <c r="DA47">
        <v>4</v>
      </c>
      <c r="DB47">
        <v>70.346153846199996</v>
      </c>
      <c r="DC47">
        <v>40</v>
      </c>
      <c r="DD47">
        <v>0</v>
      </c>
      <c r="DE47">
        <v>135</v>
      </c>
      <c r="DF47">
        <v>0</v>
      </c>
      <c r="DH47" t="s">
        <v>8</v>
      </c>
      <c r="DI47" t="s">
        <v>857</v>
      </c>
      <c r="DJ47" t="s">
        <v>857</v>
      </c>
      <c r="DK47">
        <v>86</v>
      </c>
      <c r="DL47">
        <v>10</v>
      </c>
      <c r="DM47">
        <v>66.453488372099997</v>
      </c>
      <c r="DN47">
        <v>104</v>
      </c>
      <c r="DO47">
        <v>2</v>
      </c>
      <c r="DP47">
        <v>118.375</v>
      </c>
      <c r="DQ47">
        <v>94.5</v>
      </c>
    </row>
    <row r="48" spans="2:121" x14ac:dyDescent="0.2">
      <c r="B48" t="s">
        <v>102</v>
      </c>
      <c r="C48">
        <v>22714</v>
      </c>
      <c r="D48">
        <v>16004</v>
      </c>
      <c r="F48" t="s">
        <v>48</v>
      </c>
      <c r="G48">
        <v>6208</v>
      </c>
      <c r="H48">
        <v>573.54188144329999</v>
      </c>
      <c r="I48">
        <v>4421</v>
      </c>
      <c r="J48">
        <v>814</v>
      </c>
      <c r="K48">
        <v>10027</v>
      </c>
      <c r="L48">
        <v>7937</v>
      </c>
      <c r="M48">
        <v>2155</v>
      </c>
      <c r="N48">
        <v>1597</v>
      </c>
      <c r="O48">
        <v>2337</v>
      </c>
      <c r="P48">
        <v>1682</v>
      </c>
      <c r="Q48">
        <v>1</v>
      </c>
      <c r="R48">
        <v>232</v>
      </c>
      <c r="AH48" t="s">
        <v>410</v>
      </c>
      <c r="AI48">
        <v>23893</v>
      </c>
      <c r="AJ48">
        <v>365.1628928975</v>
      </c>
      <c r="AK48">
        <v>35657</v>
      </c>
      <c r="AL48">
        <v>7459</v>
      </c>
      <c r="AM48">
        <v>33532</v>
      </c>
      <c r="AN48">
        <v>21647</v>
      </c>
      <c r="AO48">
        <v>9359</v>
      </c>
      <c r="AP48">
        <v>6702</v>
      </c>
      <c r="AQ48">
        <v>17978</v>
      </c>
      <c r="AR48">
        <v>9828</v>
      </c>
      <c r="AS48">
        <v>20</v>
      </c>
      <c r="AT48">
        <v>427</v>
      </c>
      <c r="AV48" t="s">
        <v>419</v>
      </c>
      <c r="AW48">
        <v>43</v>
      </c>
      <c r="AX48">
        <v>175.13953488370001</v>
      </c>
      <c r="AY48">
        <v>31</v>
      </c>
      <c r="AZ48">
        <v>1</v>
      </c>
      <c r="BA48">
        <v>58</v>
      </c>
      <c r="BB48">
        <v>7</v>
      </c>
      <c r="BC48">
        <v>0</v>
      </c>
      <c r="BE48">
        <v>2</v>
      </c>
      <c r="BF48">
        <v>1</v>
      </c>
      <c r="BG48">
        <v>62</v>
      </c>
      <c r="BH48">
        <v>6</v>
      </c>
      <c r="BJ48" t="s">
        <v>645</v>
      </c>
      <c r="BK48" t="s">
        <v>404</v>
      </c>
      <c r="BL48">
        <v>1127</v>
      </c>
      <c r="BM48">
        <v>271</v>
      </c>
      <c r="BN48">
        <v>101.2874889086</v>
      </c>
      <c r="BO48">
        <v>2129</v>
      </c>
      <c r="BP48">
        <v>43</v>
      </c>
      <c r="BQ48">
        <v>140.48144668859999</v>
      </c>
      <c r="BR48">
        <v>140.27906976739999</v>
      </c>
      <c r="BS48">
        <v>192</v>
      </c>
      <c r="BT48">
        <v>75</v>
      </c>
      <c r="BU48">
        <v>117.671875</v>
      </c>
      <c r="BV48">
        <v>1813</v>
      </c>
      <c r="BW48">
        <v>43</v>
      </c>
      <c r="BX48">
        <v>149.6138996139</v>
      </c>
      <c r="BY48">
        <v>127.8139534884</v>
      </c>
      <c r="CA48" t="s">
        <v>8</v>
      </c>
      <c r="CB48" t="s">
        <v>686</v>
      </c>
      <c r="CC48" t="s">
        <v>686</v>
      </c>
      <c r="CD48">
        <v>3750</v>
      </c>
      <c r="CE48">
        <v>1477</v>
      </c>
      <c r="CF48">
        <v>123.7213333333</v>
      </c>
      <c r="CG48">
        <v>6197</v>
      </c>
      <c r="CH48">
        <v>133</v>
      </c>
      <c r="CI48">
        <v>170.31999354530001</v>
      </c>
      <c r="CJ48">
        <v>169.12781954889999</v>
      </c>
      <c r="CL48" t="s">
        <v>8</v>
      </c>
      <c r="CM48" t="s">
        <v>858</v>
      </c>
      <c r="CN48" t="s">
        <v>858</v>
      </c>
      <c r="CO48">
        <v>226</v>
      </c>
      <c r="CP48">
        <v>30</v>
      </c>
      <c r="CQ48">
        <v>77.2610619469</v>
      </c>
      <c r="CR48">
        <v>599</v>
      </c>
      <c r="CS48">
        <v>9</v>
      </c>
      <c r="CT48">
        <v>96.803005008300005</v>
      </c>
      <c r="CU48">
        <v>100.8888888889</v>
      </c>
      <c r="CW48" t="s">
        <v>8</v>
      </c>
      <c r="CX48" t="s">
        <v>859</v>
      </c>
      <c r="CY48" t="s">
        <v>859</v>
      </c>
      <c r="CZ48">
        <v>26</v>
      </c>
      <c r="DA48">
        <v>4</v>
      </c>
      <c r="DB48">
        <v>70.346153846199996</v>
      </c>
      <c r="DC48">
        <v>40</v>
      </c>
      <c r="DD48">
        <v>0</v>
      </c>
      <c r="DE48">
        <v>135</v>
      </c>
      <c r="DF48">
        <v>0</v>
      </c>
      <c r="DH48" t="s">
        <v>8</v>
      </c>
      <c r="DI48" t="s">
        <v>857</v>
      </c>
      <c r="DJ48" t="s">
        <v>857</v>
      </c>
      <c r="DK48">
        <v>86</v>
      </c>
      <c r="DL48">
        <v>10</v>
      </c>
      <c r="DM48">
        <v>66.453488372099997</v>
      </c>
      <c r="DN48">
        <v>104</v>
      </c>
      <c r="DO48">
        <v>2</v>
      </c>
      <c r="DP48">
        <v>118.375</v>
      </c>
      <c r="DQ48">
        <v>94.5</v>
      </c>
    </row>
    <row r="49" spans="2:121" x14ac:dyDescent="0.2">
      <c r="B49" t="s">
        <v>117</v>
      </c>
      <c r="C49">
        <v>5212</v>
      </c>
      <c r="D49">
        <v>1072</v>
      </c>
      <c r="F49" t="s">
        <v>40</v>
      </c>
      <c r="G49">
        <v>6016</v>
      </c>
      <c r="H49">
        <v>439.23919547870003</v>
      </c>
      <c r="I49">
        <v>7187</v>
      </c>
      <c r="J49">
        <v>2329</v>
      </c>
      <c r="K49">
        <v>8302</v>
      </c>
      <c r="L49">
        <v>5702</v>
      </c>
      <c r="M49">
        <v>3498</v>
      </c>
      <c r="N49">
        <v>2865</v>
      </c>
      <c r="O49">
        <v>669</v>
      </c>
      <c r="P49">
        <v>460</v>
      </c>
      <c r="Q49">
        <v>0</v>
      </c>
      <c r="R49">
        <v>54</v>
      </c>
      <c r="AH49" t="s">
        <v>406</v>
      </c>
      <c r="AI49">
        <v>904</v>
      </c>
      <c r="AJ49">
        <v>295.66261061950001</v>
      </c>
      <c r="AK49">
        <v>2108</v>
      </c>
      <c r="AL49">
        <v>560</v>
      </c>
      <c r="AM49">
        <v>1365</v>
      </c>
      <c r="AN49">
        <v>769</v>
      </c>
      <c r="AO49">
        <v>414</v>
      </c>
      <c r="AP49">
        <v>287</v>
      </c>
      <c r="AQ49">
        <v>556</v>
      </c>
      <c r="AR49">
        <v>310</v>
      </c>
      <c r="AS49">
        <v>0</v>
      </c>
      <c r="AT49">
        <v>3</v>
      </c>
      <c r="AV49" t="s">
        <v>378</v>
      </c>
      <c r="AW49">
        <v>869</v>
      </c>
      <c r="AX49">
        <v>108.5120828539</v>
      </c>
      <c r="AY49">
        <v>955</v>
      </c>
      <c r="AZ49">
        <v>146</v>
      </c>
      <c r="BA49">
        <v>1178</v>
      </c>
      <c r="BB49">
        <v>396</v>
      </c>
      <c r="BC49">
        <v>134</v>
      </c>
      <c r="BD49">
        <v>133</v>
      </c>
      <c r="BE49">
        <v>56</v>
      </c>
      <c r="BF49">
        <v>19</v>
      </c>
      <c r="BG49">
        <v>198</v>
      </c>
      <c r="BH49">
        <v>276</v>
      </c>
      <c r="BJ49" t="s">
        <v>601</v>
      </c>
      <c r="BK49" t="s">
        <v>404</v>
      </c>
      <c r="BL49">
        <v>1564</v>
      </c>
      <c r="BM49">
        <v>364</v>
      </c>
      <c r="BN49">
        <v>93.406649616400003</v>
      </c>
      <c r="BO49">
        <v>3216</v>
      </c>
      <c r="BP49">
        <v>47</v>
      </c>
      <c r="BQ49">
        <v>113.44402985070001</v>
      </c>
      <c r="BR49">
        <v>133.55319148940001</v>
      </c>
      <c r="BS49">
        <v>457</v>
      </c>
      <c r="BT49">
        <v>163</v>
      </c>
      <c r="BU49">
        <v>112.8665207877</v>
      </c>
      <c r="BV49">
        <v>4165</v>
      </c>
      <c r="BW49">
        <v>104</v>
      </c>
      <c r="BX49">
        <v>117.6770708283</v>
      </c>
      <c r="BY49">
        <v>119.2115384615</v>
      </c>
      <c r="CA49" t="s">
        <v>8</v>
      </c>
      <c r="CB49" t="s">
        <v>686</v>
      </c>
      <c r="CD49">
        <v>3750</v>
      </c>
      <c r="CE49">
        <v>1477</v>
      </c>
      <c r="CF49">
        <v>123.7213333333</v>
      </c>
      <c r="CG49">
        <v>6197</v>
      </c>
      <c r="CH49">
        <v>133</v>
      </c>
      <c r="CI49">
        <v>170.31999354530001</v>
      </c>
      <c r="CJ49">
        <v>169.12781954889999</v>
      </c>
      <c r="CL49" t="s">
        <v>8</v>
      </c>
      <c r="CM49" t="s">
        <v>858</v>
      </c>
      <c r="CO49">
        <v>226</v>
      </c>
      <c r="CP49">
        <v>30</v>
      </c>
      <c r="CQ49">
        <v>77.2610619469</v>
      </c>
      <c r="CR49">
        <v>599</v>
      </c>
      <c r="CS49">
        <v>9</v>
      </c>
      <c r="CT49">
        <v>96.803005008300005</v>
      </c>
      <c r="CU49">
        <v>100.8888888889</v>
      </c>
      <c r="CW49" t="s">
        <v>8</v>
      </c>
      <c r="CX49" t="s">
        <v>859</v>
      </c>
      <c r="CZ49">
        <v>26</v>
      </c>
      <c r="DA49">
        <v>4</v>
      </c>
      <c r="DB49">
        <v>70.346153846199996</v>
      </c>
      <c r="DC49">
        <v>40</v>
      </c>
      <c r="DD49">
        <v>0</v>
      </c>
      <c r="DE49">
        <v>135</v>
      </c>
      <c r="DF49">
        <v>0</v>
      </c>
      <c r="DH49" t="s">
        <v>8</v>
      </c>
      <c r="DI49" t="s">
        <v>857</v>
      </c>
      <c r="DK49">
        <v>86</v>
      </c>
      <c r="DL49">
        <v>10</v>
      </c>
      <c r="DM49">
        <v>66.453488372099997</v>
      </c>
      <c r="DN49">
        <v>104</v>
      </c>
      <c r="DO49">
        <v>2</v>
      </c>
      <c r="DP49">
        <v>118.375</v>
      </c>
      <c r="DQ49">
        <v>94.5</v>
      </c>
    </row>
    <row r="50" spans="2:121" x14ac:dyDescent="0.2">
      <c r="B50" t="s">
        <v>101</v>
      </c>
      <c r="C50">
        <v>155043</v>
      </c>
      <c r="D50">
        <v>102727</v>
      </c>
      <c r="F50" t="s">
        <v>50</v>
      </c>
      <c r="G50">
        <v>1785</v>
      </c>
      <c r="H50">
        <v>134.75518207280001</v>
      </c>
      <c r="I50">
        <v>1757</v>
      </c>
      <c r="J50">
        <v>238</v>
      </c>
      <c r="K50">
        <v>2682</v>
      </c>
      <c r="L50">
        <v>1121</v>
      </c>
      <c r="M50">
        <v>802</v>
      </c>
      <c r="N50">
        <v>571</v>
      </c>
      <c r="O50">
        <v>579</v>
      </c>
      <c r="P50">
        <v>420</v>
      </c>
      <c r="Q50">
        <v>1</v>
      </c>
      <c r="R50">
        <v>18</v>
      </c>
      <c r="AH50" t="s">
        <v>417</v>
      </c>
      <c r="AI50">
        <v>480</v>
      </c>
      <c r="AJ50">
        <v>373.99583333330003</v>
      </c>
      <c r="AK50">
        <v>519</v>
      </c>
      <c r="AL50">
        <v>149</v>
      </c>
      <c r="AM50">
        <v>840</v>
      </c>
      <c r="AN50">
        <v>502</v>
      </c>
      <c r="AO50">
        <v>225</v>
      </c>
      <c r="AP50">
        <v>146</v>
      </c>
      <c r="AQ50">
        <v>189</v>
      </c>
      <c r="AR50">
        <v>87</v>
      </c>
      <c r="AS50">
        <v>70</v>
      </c>
      <c r="AT50">
        <v>1</v>
      </c>
      <c r="AV50" t="s">
        <v>406</v>
      </c>
      <c r="AW50">
        <v>110</v>
      </c>
      <c r="AX50">
        <v>90.772727272699996</v>
      </c>
      <c r="AY50">
        <v>149</v>
      </c>
      <c r="AZ50">
        <v>6</v>
      </c>
      <c r="BA50">
        <v>157</v>
      </c>
      <c r="BB50">
        <v>16</v>
      </c>
      <c r="BC50">
        <v>0</v>
      </c>
      <c r="BE50">
        <v>8</v>
      </c>
      <c r="BF50">
        <v>2</v>
      </c>
      <c r="BG50">
        <v>163</v>
      </c>
      <c r="BH50">
        <v>21</v>
      </c>
      <c r="BJ50" t="s">
        <v>641</v>
      </c>
      <c r="BK50" t="s">
        <v>404</v>
      </c>
      <c r="BL50">
        <v>2109</v>
      </c>
      <c r="BM50">
        <v>320</v>
      </c>
      <c r="BN50">
        <v>77.188240872500003</v>
      </c>
      <c r="BO50">
        <v>4926</v>
      </c>
      <c r="BP50">
        <v>64</v>
      </c>
      <c r="BQ50">
        <v>126.93930166459999</v>
      </c>
      <c r="BR50">
        <v>130.65625</v>
      </c>
      <c r="BS50">
        <v>525</v>
      </c>
      <c r="BT50">
        <v>153</v>
      </c>
      <c r="BU50">
        <v>96.744761904800001</v>
      </c>
      <c r="BV50">
        <v>4436</v>
      </c>
      <c r="BW50">
        <v>84</v>
      </c>
      <c r="BX50">
        <v>121.5236699729</v>
      </c>
      <c r="BY50">
        <v>120.80952380950001</v>
      </c>
      <c r="CA50" t="s">
        <v>424</v>
      </c>
      <c r="CB50" t="s">
        <v>890</v>
      </c>
      <c r="CC50" t="s">
        <v>1014</v>
      </c>
      <c r="CD50">
        <v>1117</v>
      </c>
      <c r="CE50">
        <v>272</v>
      </c>
      <c r="CF50">
        <v>99.867502238100002</v>
      </c>
      <c r="CG50">
        <v>2671</v>
      </c>
      <c r="CH50">
        <v>49</v>
      </c>
      <c r="CI50">
        <v>113.31860726319999</v>
      </c>
      <c r="CJ50">
        <v>120.34693877550001</v>
      </c>
      <c r="CL50" t="s">
        <v>424</v>
      </c>
      <c r="CM50" t="s">
        <v>871</v>
      </c>
      <c r="CN50" t="s">
        <v>870</v>
      </c>
      <c r="CO50">
        <v>36</v>
      </c>
      <c r="CP50">
        <v>5</v>
      </c>
      <c r="CQ50">
        <v>67.972222222200003</v>
      </c>
      <c r="CR50">
        <v>139</v>
      </c>
      <c r="CS50">
        <v>3</v>
      </c>
      <c r="CT50">
        <v>73.525179856099996</v>
      </c>
      <c r="CU50">
        <v>58</v>
      </c>
      <c r="CW50" t="s">
        <v>424</v>
      </c>
      <c r="CX50" t="s">
        <v>881</v>
      </c>
      <c r="CY50" t="s">
        <v>880</v>
      </c>
      <c r="CZ50">
        <v>19</v>
      </c>
      <c r="DA50">
        <v>2</v>
      </c>
      <c r="DB50">
        <v>58.105263157899998</v>
      </c>
      <c r="DC50">
        <v>43</v>
      </c>
      <c r="DD50">
        <v>1</v>
      </c>
      <c r="DE50">
        <v>121.2325581395</v>
      </c>
      <c r="DF50">
        <v>90</v>
      </c>
      <c r="DH50" t="s">
        <v>424</v>
      </c>
      <c r="DI50" t="s">
        <v>861</v>
      </c>
      <c r="DJ50" t="s">
        <v>860</v>
      </c>
      <c r="DK50">
        <v>28</v>
      </c>
      <c r="DL50">
        <v>5</v>
      </c>
      <c r="DM50">
        <v>64.964285714300004</v>
      </c>
      <c r="DN50">
        <v>79</v>
      </c>
      <c r="DO50">
        <v>4</v>
      </c>
      <c r="DP50">
        <v>127.0126582278</v>
      </c>
      <c r="DQ50">
        <v>99.25</v>
      </c>
    </row>
    <row r="51" spans="2:121" x14ac:dyDescent="0.2">
      <c r="B51" t="s">
        <v>125</v>
      </c>
      <c r="C51">
        <v>35915</v>
      </c>
      <c r="D51">
        <v>6597</v>
      </c>
      <c r="F51" t="s">
        <v>76</v>
      </c>
      <c r="G51">
        <v>3353</v>
      </c>
      <c r="H51">
        <v>205.14524306589999</v>
      </c>
      <c r="I51">
        <v>10413</v>
      </c>
      <c r="J51">
        <v>1571</v>
      </c>
      <c r="K51">
        <v>8613</v>
      </c>
      <c r="L51">
        <v>4048</v>
      </c>
      <c r="M51">
        <v>4944</v>
      </c>
      <c r="N51">
        <v>3947</v>
      </c>
      <c r="O51">
        <v>1111</v>
      </c>
      <c r="P51">
        <v>684</v>
      </c>
      <c r="Q51">
        <v>24</v>
      </c>
      <c r="R51">
        <v>0</v>
      </c>
      <c r="AH51" t="s">
        <v>378</v>
      </c>
      <c r="AI51">
        <v>17426</v>
      </c>
      <c r="AJ51">
        <v>385.4271203948</v>
      </c>
      <c r="AK51">
        <v>11770</v>
      </c>
      <c r="AL51">
        <v>2178</v>
      </c>
      <c r="AM51">
        <v>22026</v>
      </c>
      <c r="AN51">
        <v>14471</v>
      </c>
      <c r="AO51">
        <v>9026</v>
      </c>
      <c r="AP51">
        <v>7562</v>
      </c>
      <c r="AQ51">
        <v>7893</v>
      </c>
      <c r="AR51">
        <v>5797</v>
      </c>
      <c r="AS51">
        <v>1139</v>
      </c>
      <c r="AT51">
        <v>21</v>
      </c>
      <c r="AV51" t="s">
        <v>373</v>
      </c>
      <c r="AW51">
        <v>208</v>
      </c>
      <c r="AX51">
        <v>106.0769230769</v>
      </c>
      <c r="AY51">
        <v>378</v>
      </c>
      <c r="AZ51">
        <v>57</v>
      </c>
      <c r="BA51">
        <v>278</v>
      </c>
      <c r="BB51">
        <v>89</v>
      </c>
      <c r="BC51">
        <v>1</v>
      </c>
      <c r="BE51">
        <v>22</v>
      </c>
      <c r="BF51">
        <v>2</v>
      </c>
      <c r="BG51">
        <v>28</v>
      </c>
      <c r="BH51">
        <v>48</v>
      </c>
      <c r="BJ51" t="s">
        <v>593</v>
      </c>
      <c r="BK51" t="s">
        <v>404</v>
      </c>
      <c r="BL51">
        <v>10214</v>
      </c>
      <c r="BM51">
        <v>2207</v>
      </c>
      <c r="BN51">
        <v>85.951439201100001</v>
      </c>
      <c r="BO51">
        <v>19361</v>
      </c>
      <c r="BP51">
        <v>371</v>
      </c>
      <c r="BQ51">
        <v>133.66246578170001</v>
      </c>
      <c r="BR51">
        <v>141.1617250674</v>
      </c>
      <c r="BS51">
        <v>1995</v>
      </c>
      <c r="BT51">
        <v>909</v>
      </c>
      <c r="BU51">
        <v>121.57192982460001</v>
      </c>
      <c r="BV51">
        <v>16106</v>
      </c>
      <c r="BW51">
        <v>323</v>
      </c>
      <c r="BX51">
        <v>121.5938780579</v>
      </c>
      <c r="BY51">
        <v>151.7770897833</v>
      </c>
      <c r="CA51" t="s">
        <v>426</v>
      </c>
      <c r="CB51" t="s">
        <v>890</v>
      </c>
      <c r="CC51" t="s">
        <v>1015</v>
      </c>
      <c r="CD51">
        <v>5055</v>
      </c>
      <c r="CE51">
        <v>952</v>
      </c>
      <c r="CF51">
        <v>84.295746785399999</v>
      </c>
      <c r="CG51">
        <v>14784</v>
      </c>
      <c r="CH51">
        <v>243</v>
      </c>
      <c r="CI51">
        <v>122.74810606059999</v>
      </c>
      <c r="CJ51">
        <v>118</v>
      </c>
      <c r="CL51" t="s">
        <v>426</v>
      </c>
      <c r="CM51" t="s">
        <v>871</v>
      </c>
      <c r="CN51" t="s">
        <v>872</v>
      </c>
      <c r="CO51">
        <v>534</v>
      </c>
      <c r="CP51">
        <v>48</v>
      </c>
      <c r="CQ51">
        <v>60.6985018727</v>
      </c>
      <c r="CR51">
        <v>2332</v>
      </c>
      <c r="CS51">
        <v>26</v>
      </c>
      <c r="CT51">
        <v>68.033447684400002</v>
      </c>
      <c r="CU51">
        <v>112.69230769230001</v>
      </c>
      <c r="CW51" t="s">
        <v>426</v>
      </c>
      <c r="CX51" t="s">
        <v>881</v>
      </c>
      <c r="CY51" t="s">
        <v>882</v>
      </c>
      <c r="CZ51">
        <v>128</v>
      </c>
      <c r="DA51">
        <v>15</v>
      </c>
      <c r="DB51">
        <v>65.2578125</v>
      </c>
      <c r="DC51">
        <v>392</v>
      </c>
      <c r="DD51">
        <v>5</v>
      </c>
      <c r="DE51">
        <v>132.0306122449</v>
      </c>
      <c r="DF51">
        <v>72.599999999999994</v>
      </c>
      <c r="DH51" t="s">
        <v>426</v>
      </c>
      <c r="DI51" t="s">
        <v>861</v>
      </c>
      <c r="DJ51" t="s">
        <v>862</v>
      </c>
      <c r="DK51">
        <v>110</v>
      </c>
      <c r="DL51">
        <v>21</v>
      </c>
      <c r="DM51">
        <v>75.681818181799997</v>
      </c>
      <c r="DN51">
        <v>291</v>
      </c>
      <c r="DO51">
        <v>4</v>
      </c>
      <c r="DP51">
        <v>125.2027491409</v>
      </c>
      <c r="DQ51">
        <v>83</v>
      </c>
    </row>
    <row r="52" spans="2:121" x14ac:dyDescent="0.2">
      <c r="B52" t="s">
        <v>120</v>
      </c>
      <c r="C52">
        <v>200</v>
      </c>
      <c r="D52">
        <v>199</v>
      </c>
      <c r="F52" t="s">
        <v>72</v>
      </c>
      <c r="G52">
        <v>851</v>
      </c>
      <c r="H52">
        <v>264.7743830787</v>
      </c>
      <c r="I52">
        <v>1965</v>
      </c>
      <c r="J52">
        <v>520</v>
      </c>
      <c r="K52">
        <v>1927</v>
      </c>
      <c r="L52">
        <v>1249</v>
      </c>
      <c r="M52">
        <v>868</v>
      </c>
      <c r="N52">
        <v>793</v>
      </c>
      <c r="O52">
        <v>1259</v>
      </c>
      <c r="P52">
        <v>1010</v>
      </c>
      <c r="Q52">
        <v>0</v>
      </c>
      <c r="R52">
        <v>2</v>
      </c>
      <c r="AH52" t="s">
        <v>80</v>
      </c>
      <c r="AI52">
        <v>9373</v>
      </c>
      <c r="AJ52">
        <v>390.14840499309997</v>
      </c>
      <c r="AK52">
        <v>6987</v>
      </c>
      <c r="AL52">
        <v>1121</v>
      </c>
      <c r="AM52">
        <v>13854</v>
      </c>
      <c r="AN52">
        <v>9835</v>
      </c>
      <c r="AO52">
        <v>3886</v>
      </c>
      <c r="AP52">
        <v>2745</v>
      </c>
      <c r="AQ52">
        <v>6069</v>
      </c>
      <c r="AR52">
        <v>4427</v>
      </c>
      <c r="AS52">
        <v>12</v>
      </c>
      <c r="AT52">
        <v>142</v>
      </c>
      <c r="AV52" t="s">
        <v>392</v>
      </c>
      <c r="AW52">
        <v>330</v>
      </c>
      <c r="AX52">
        <v>84.042424242400003</v>
      </c>
      <c r="AY52">
        <v>531</v>
      </c>
      <c r="AZ52">
        <v>70</v>
      </c>
      <c r="BA52">
        <v>489</v>
      </c>
      <c r="BB52">
        <v>70</v>
      </c>
      <c r="BC52">
        <v>2</v>
      </c>
      <c r="BD52">
        <v>2</v>
      </c>
      <c r="BE52">
        <v>41</v>
      </c>
      <c r="BF52">
        <v>15</v>
      </c>
      <c r="BG52">
        <v>57</v>
      </c>
      <c r="BH52">
        <v>75</v>
      </c>
      <c r="BJ52" t="s">
        <v>615</v>
      </c>
      <c r="BK52" t="s">
        <v>404</v>
      </c>
      <c r="BL52">
        <v>742</v>
      </c>
      <c r="BM52">
        <v>207</v>
      </c>
      <c r="BN52">
        <v>110.1253369272</v>
      </c>
      <c r="BO52">
        <v>1888</v>
      </c>
      <c r="BP52">
        <v>44</v>
      </c>
      <c r="BQ52">
        <v>128.64141949149999</v>
      </c>
      <c r="BR52">
        <v>163.0227272727</v>
      </c>
      <c r="BS52">
        <v>623</v>
      </c>
      <c r="BT52">
        <v>187</v>
      </c>
      <c r="BU52">
        <v>104.36757624400001</v>
      </c>
      <c r="BV52">
        <v>3915</v>
      </c>
      <c r="BW52">
        <v>90</v>
      </c>
      <c r="BX52">
        <v>162.74048531290001</v>
      </c>
      <c r="BY52">
        <v>116.2333333333</v>
      </c>
      <c r="CA52" t="s">
        <v>407</v>
      </c>
      <c r="CB52" t="s">
        <v>890</v>
      </c>
      <c r="CC52" t="s">
        <v>1016</v>
      </c>
      <c r="CD52">
        <v>30609</v>
      </c>
      <c r="CE52">
        <v>6365</v>
      </c>
      <c r="CF52">
        <v>86.694272926300002</v>
      </c>
      <c r="CG52">
        <v>63049</v>
      </c>
      <c r="CH52">
        <v>1089</v>
      </c>
      <c r="CI52">
        <v>131.41643800849999</v>
      </c>
      <c r="CJ52">
        <v>132.6666666667</v>
      </c>
      <c r="CL52" t="s">
        <v>407</v>
      </c>
      <c r="CM52" t="s">
        <v>871</v>
      </c>
      <c r="CN52" t="s">
        <v>873</v>
      </c>
      <c r="CO52">
        <v>2069</v>
      </c>
      <c r="CP52">
        <v>145</v>
      </c>
      <c r="CQ52">
        <v>59.344127597899998</v>
      </c>
      <c r="CR52">
        <v>9426</v>
      </c>
      <c r="CS52">
        <v>115</v>
      </c>
      <c r="CT52">
        <v>66.1627413537</v>
      </c>
      <c r="CU52">
        <v>69.8434782609</v>
      </c>
      <c r="CW52" t="s">
        <v>407</v>
      </c>
      <c r="CX52" t="s">
        <v>881</v>
      </c>
      <c r="CY52" t="s">
        <v>883</v>
      </c>
      <c r="CZ52">
        <v>1059</v>
      </c>
      <c r="DA52">
        <v>158</v>
      </c>
      <c r="DB52">
        <v>69.584513692200005</v>
      </c>
      <c r="DC52">
        <v>2588</v>
      </c>
      <c r="DD52">
        <v>43</v>
      </c>
      <c r="DE52">
        <v>130.32727975270001</v>
      </c>
      <c r="DF52">
        <v>90.720930232599997</v>
      </c>
      <c r="DH52" t="s">
        <v>407</v>
      </c>
      <c r="DI52" t="s">
        <v>861</v>
      </c>
      <c r="DJ52" t="s">
        <v>863</v>
      </c>
      <c r="DK52">
        <v>594</v>
      </c>
      <c r="DL52">
        <v>85</v>
      </c>
      <c r="DM52">
        <v>71.370370370399996</v>
      </c>
      <c r="DN52">
        <v>1529</v>
      </c>
      <c r="DO52">
        <v>45</v>
      </c>
      <c r="DP52">
        <v>120.0241988228</v>
      </c>
      <c r="DQ52">
        <v>83.644444444399994</v>
      </c>
    </row>
    <row r="53" spans="2:121" x14ac:dyDescent="0.2">
      <c r="F53" t="s">
        <v>53</v>
      </c>
      <c r="G53">
        <v>7755</v>
      </c>
      <c r="H53">
        <v>511.14364925849998</v>
      </c>
      <c r="I53">
        <v>4086</v>
      </c>
      <c r="J53">
        <v>877</v>
      </c>
      <c r="K53">
        <v>10474</v>
      </c>
      <c r="L53">
        <v>8089</v>
      </c>
      <c r="M53">
        <v>3233</v>
      </c>
      <c r="N53">
        <v>3035</v>
      </c>
      <c r="O53">
        <v>1545</v>
      </c>
      <c r="P53">
        <v>985</v>
      </c>
      <c r="Q53">
        <v>86</v>
      </c>
      <c r="R53">
        <v>299</v>
      </c>
      <c r="AH53" t="s">
        <v>379</v>
      </c>
      <c r="AI53">
        <v>2052</v>
      </c>
      <c r="AJ53">
        <v>313.57943469790001</v>
      </c>
      <c r="AK53">
        <v>2685</v>
      </c>
      <c r="AL53">
        <v>488</v>
      </c>
      <c r="AM53">
        <v>3217</v>
      </c>
      <c r="AN53">
        <v>2190</v>
      </c>
      <c r="AO53">
        <v>465</v>
      </c>
      <c r="AP53">
        <v>333</v>
      </c>
      <c r="AQ53">
        <v>1480</v>
      </c>
      <c r="AR53">
        <v>1010</v>
      </c>
      <c r="AS53">
        <v>382</v>
      </c>
      <c r="AT53">
        <v>11</v>
      </c>
      <c r="AV53" t="s">
        <v>379</v>
      </c>
      <c r="AW53">
        <v>307</v>
      </c>
      <c r="AX53">
        <v>101.8175895765</v>
      </c>
      <c r="AY53">
        <v>263</v>
      </c>
      <c r="AZ53">
        <v>58</v>
      </c>
      <c r="BA53">
        <v>399</v>
      </c>
      <c r="BB53">
        <v>116</v>
      </c>
      <c r="BC53">
        <v>0</v>
      </c>
      <c r="BE53">
        <v>21</v>
      </c>
      <c r="BF53">
        <v>7</v>
      </c>
      <c r="BG53">
        <v>55</v>
      </c>
      <c r="BH53">
        <v>77</v>
      </c>
      <c r="BJ53" t="s">
        <v>591</v>
      </c>
      <c r="BK53" t="s">
        <v>404</v>
      </c>
      <c r="BL53">
        <v>11595</v>
      </c>
      <c r="BM53">
        <v>2634</v>
      </c>
      <c r="BN53">
        <v>93.151530832299997</v>
      </c>
      <c r="BO53">
        <v>20764</v>
      </c>
      <c r="BP53">
        <v>362</v>
      </c>
      <c r="BQ53">
        <v>147.5003852822</v>
      </c>
      <c r="BR53">
        <v>139.07458563540001</v>
      </c>
      <c r="BS53">
        <v>2153</v>
      </c>
      <c r="BT53">
        <v>788</v>
      </c>
      <c r="BU53">
        <v>123.11379470510001</v>
      </c>
      <c r="BV53">
        <v>12032</v>
      </c>
      <c r="BW53">
        <v>161</v>
      </c>
      <c r="BX53">
        <v>148.74085771279999</v>
      </c>
      <c r="BY53">
        <v>170.5838509317</v>
      </c>
      <c r="CA53" t="s">
        <v>428</v>
      </c>
      <c r="CB53" t="s">
        <v>890</v>
      </c>
      <c r="CC53" t="s">
        <v>1017</v>
      </c>
      <c r="CD53">
        <v>1711</v>
      </c>
      <c r="CE53">
        <v>260</v>
      </c>
      <c r="CF53">
        <v>75.669783752200004</v>
      </c>
      <c r="CG53">
        <v>5048</v>
      </c>
      <c r="CH53">
        <v>57</v>
      </c>
      <c r="CI53">
        <v>108.9960380349</v>
      </c>
      <c r="CJ53">
        <v>121.77192982459999</v>
      </c>
      <c r="CL53" t="s">
        <v>428</v>
      </c>
      <c r="CM53" t="s">
        <v>871</v>
      </c>
      <c r="CN53" t="s">
        <v>874</v>
      </c>
      <c r="CO53">
        <v>75</v>
      </c>
      <c r="CP53">
        <v>9</v>
      </c>
      <c r="CQ53">
        <v>74.173333333299993</v>
      </c>
      <c r="CR53">
        <v>288</v>
      </c>
      <c r="CS53">
        <v>4</v>
      </c>
      <c r="CT53">
        <v>71.111111111100001</v>
      </c>
      <c r="CU53">
        <v>77.25</v>
      </c>
      <c r="CW53" t="s">
        <v>428</v>
      </c>
      <c r="CX53" t="s">
        <v>881</v>
      </c>
      <c r="CY53" t="s">
        <v>884</v>
      </c>
      <c r="CZ53">
        <v>33</v>
      </c>
      <c r="DA53">
        <v>5</v>
      </c>
      <c r="DB53">
        <v>56.909090909100001</v>
      </c>
      <c r="DC53">
        <v>79</v>
      </c>
      <c r="DD53">
        <v>0</v>
      </c>
      <c r="DE53">
        <v>128.6708860759</v>
      </c>
      <c r="DF53">
        <v>0</v>
      </c>
      <c r="DH53" t="s">
        <v>428</v>
      </c>
      <c r="DI53" t="s">
        <v>861</v>
      </c>
      <c r="DJ53" t="s">
        <v>864</v>
      </c>
      <c r="DK53">
        <v>89</v>
      </c>
      <c r="DL53">
        <v>11</v>
      </c>
      <c r="DM53">
        <v>50.337078651699997</v>
      </c>
      <c r="DN53">
        <v>154</v>
      </c>
      <c r="DO53">
        <v>1</v>
      </c>
      <c r="DP53">
        <v>117.3441558442</v>
      </c>
      <c r="DQ53">
        <v>64</v>
      </c>
    </row>
    <row r="54" spans="2:121" x14ac:dyDescent="0.2">
      <c r="F54" t="s">
        <v>42</v>
      </c>
      <c r="G54">
        <v>3146</v>
      </c>
      <c r="H54">
        <v>350.01748251750001</v>
      </c>
      <c r="I54">
        <v>7338</v>
      </c>
      <c r="J54">
        <v>2018</v>
      </c>
      <c r="K54">
        <v>8488</v>
      </c>
      <c r="L54">
        <v>4398</v>
      </c>
      <c r="M54">
        <v>2649</v>
      </c>
      <c r="N54">
        <v>2222</v>
      </c>
      <c r="O54">
        <v>1499</v>
      </c>
      <c r="P54">
        <v>500</v>
      </c>
      <c r="Q54">
        <v>2</v>
      </c>
      <c r="R54">
        <v>219</v>
      </c>
      <c r="AH54" t="s">
        <v>396</v>
      </c>
      <c r="AI54">
        <v>3194</v>
      </c>
      <c r="AJ54">
        <v>238.33281152160001</v>
      </c>
      <c r="AK54">
        <v>3672</v>
      </c>
      <c r="AL54">
        <v>519</v>
      </c>
      <c r="AM54">
        <v>4312</v>
      </c>
      <c r="AN54">
        <v>2455</v>
      </c>
      <c r="AO54">
        <v>994</v>
      </c>
      <c r="AP54">
        <v>791</v>
      </c>
      <c r="AQ54">
        <v>1113</v>
      </c>
      <c r="AR54">
        <v>617</v>
      </c>
      <c r="AS54">
        <v>588</v>
      </c>
      <c r="AT54">
        <v>7</v>
      </c>
      <c r="AV54" t="s">
        <v>401</v>
      </c>
      <c r="AW54">
        <v>347</v>
      </c>
      <c r="AX54">
        <v>92.783861671500006</v>
      </c>
      <c r="AY54">
        <v>298</v>
      </c>
      <c r="AZ54">
        <v>5</v>
      </c>
      <c r="BA54">
        <v>421</v>
      </c>
      <c r="BB54">
        <v>30</v>
      </c>
      <c r="BC54">
        <v>1</v>
      </c>
      <c r="BD54">
        <v>1</v>
      </c>
      <c r="BE54">
        <v>14</v>
      </c>
      <c r="BF54">
        <v>3</v>
      </c>
      <c r="BG54">
        <v>817</v>
      </c>
      <c r="BH54">
        <v>66</v>
      </c>
      <c r="BJ54" t="s">
        <v>404</v>
      </c>
      <c r="BK54" t="s">
        <v>404</v>
      </c>
      <c r="BL54">
        <v>60575</v>
      </c>
      <c r="BM54">
        <v>11975</v>
      </c>
      <c r="BN54">
        <v>85.521733388399994</v>
      </c>
      <c r="BO54">
        <v>148900</v>
      </c>
      <c r="BP54">
        <v>2475</v>
      </c>
      <c r="BQ54">
        <v>115.6813969107</v>
      </c>
      <c r="BR54">
        <v>113.6391919192</v>
      </c>
      <c r="BS54">
        <v>17359</v>
      </c>
      <c r="BT54">
        <v>5103</v>
      </c>
      <c r="BU54">
        <v>100.39627858750001</v>
      </c>
      <c r="BV54">
        <v>145373</v>
      </c>
      <c r="BW54">
        <v>2574</v>
      </c>
      <c r="BX54">
        <v>113.6120049803</v>
      </c>
      <c r="BY54">
        <v>112.1375291375</v>
      </c>
      <c r="CA54" t="s">
        <v>408</v>
      </c>
      <c r="CB54" t="s">
        <v>890</v>
      </c>
      <c r="CC54" t="s">
        <v>1018</v>
      </c>
      <c r="CD54">
        <v>1616</v>
      </c>
      <c r="CE54">
        <v>386</v>
      </c>
      <c r="CF54">
        <v>93.331683168300003</v>
      </c>
      <c r="CG54">
        <v>3502</v>
      </c>
      <c r="CH54">
        <v>53</v>
      </c>
      <c r="CI54">
        <v>111.7595659623</v>
      </c>
      <c r="CJ54">
        <v>132.71698113209999</v>
      </c>
      <c r="CL54" t="s">
        <v>408</v>
      </c>
      <c r="CM54" t="s">
        <v>871</v>
      </c>
      <c r="CN54" t="s">
        <v>875</v>
      </c>
      <c r="CO54">
        <v>123</v>
      </c>
      <c r="CP54">
        <v>13</v>
      </c>
      <c r="CQ54">
        <v>67.430894308899994</v>
      </c>
      <c r="CR54">
        <v>550</v>
      </c>
      <c r="CS54">
        <v>4</v>
      </c>
      <c r="CT54">
        <v>64.154545454499996</v>
      </c>
      <c r="CU54">
        <v>46.75</v>
      </c>
      <c r="CW54" t="s">
        <v>408</v>
      </c>
      <c r="CX54" t="s">
        <v>881</v>
      </c>
      <c r="CY54" t="s">
        <v>885</v>
      </c>
      <c r="CZ54">
        <v>42</v>
      </c>
      <c r="DA54">
        <v>8</v>
      </c>
      <c r="DB54">
        <v>76.047619047599994</v>
      </c>
      <c r="DC54">
        <v>66</v>
      </c>
      <c r="DD54">
        <v>2</v>
      </c>
      <c r="DE54">
        <v>139.1818181818</v>
      </c>
      <c r="DF54">
        <v>137</v>
      </c>
      <c r="DH54" t="s">
        <v>408</v>
      </c>
      <c r="DI54" t="s">
        <v>861</v>
      </c>
      <c r="DJ54" t="s">
        <v>865</v>
      </c>
      <c r="DK54">
        <v>37</v>
      </c>
      <c r="DL54">
        <v>5</v>
      </c>
      <c r="DM54">
        <v>61.864864864899999</v>
      </c>
      <c r="DN54">
        <v>106</v>
      </c>
      <c r="DO54">
        <v>0</v>
      </c>
      <c r="DP54">
        <v>118.86792452829999</v>
      </c>
      <c r="DQ54">
        <v>0</v>
      </c>
    </row>
    <row r="55" spans="2:121" x14ac:dyDescent="0.2">
      <c r="F55" t="s">
        <v>430</v>
      </c>
      <c r="G55">
        <v>5390</v>
      </c>
      <c r="H55">
        <v>463.08515769939999</v>
      </c>
      <c r="I55">
        <v>882</v>
      </c>
      <c r="J55">
        <v>246</v>
      </c>
      <c r="K55">
        <v>5730</v>
      </c>
      <c r="L55">
        <v>4616</v>
      </c>
      <c r="M55">
        <v>1123</v>
      </c>
      <c r="N55">
        <v>734</v>
      </c>
      <c r="O55">
        <v>1262</v>
      </c>
      <c r="P55">
        <v>1234</v>
      </c>
      <c r="Q55">
        <v>0</v>
      </c>
      <c r="R55">
        <v>0</v>
      </c>
      <c r="AH55" t="s">
        <v>421</v>
      </c>
      <c r="AI55">
        <v>340</v>
      </c>
      <c r="AJ55">
        <v>386.78235294119997</v>
      </c>
      <c r="AK55">
        <v>675</v>
      </c>
      <c r="AL55">
        <v>100</v>
      </c>
      <c r="AM55">
        <v>626</v>
      </c>
      <c r="AN55">
        <v>380</v>
      </c>
      <c r="AO55">
        <v>201</v>
      </c>
      <c r="AP55">
        <v>115</v>
      </c>
      <c r="AQ55">
        <v>190</v>
      </c>
      <c r="AR55">
        <v>114</v>
      </c>
      <c r="AS55">
        <v>2</v>
      </c>
      <c r="AT55">
        <v>1</v>
      </c>
      <c r="AV55" t="s">
        <v>424</v>
      </c>
      <c r="AW55">
        <v>22</v>
      </c>
      <c r="AX55">
        <v>157.6818181818</v>
      </c>
      <c r="AY55">
        <v>18</v>
      </c>
      <c r="BA55">
        <v>35</v>
      </c>
      <c r="BB55">
        <v>11</v>
      </c>
      <c r="BC55">
        <v>0</v>
      </c>
      <c r="BE55">
        <v>2</v>
      </c>
      <c r="BF55">
        <v>1</v>
      </c>
      <c r="BG55">
        <v>41</v>
      </c>
      <c r="BH55">
        <v>10</v>
      </c>
      <c r="BJ55" t="s">
        <v>595</v>
      </c>
      <c r="BK55" t="s">
        <v>404</v>
      </c>
      <c r="BL55">
        <v>4287</v>
      </c>
      <c r="BM55">
        <v>742</v>
      </c>
      <c r="BN55">
        <v>78.107767669699996</v>
      </c>
      <c r="BO55">
        <v>11248</v>
      </c>
      <c r="BP55">
        <v>183</v>
      </c>
      <c r="BQ55">
        <v>125.4132290185</v>
      </c>
      <c r="BR55">
        <v>121.3879781421</v>
      </c>
      <c r="BS55">
        <v>1856</v>
      </c>
      <c r="BT55">
        <v>444</v>
      </c>
      <c r="BU55">
        <v>100.2720905172</v>
      </c>
      <c r="BV55">
        <v>16667</v>
      </c>
      <c r="BW55">
        <v>365</v>
      </c>
      <c r="BX55">
        <v>129.40481190380001</v>
      </c>
      <c r="BY55">
        <v>113.6082191781</v>
      </c>
      <c r="CA55" t="s">
        <v>413</v>
      </c>
      <c r="CB55" t="s">
        <v>890</v>
      </c>
      <c r="CC55" t="s">
        <v>1019</v>
      </c>
      <c r="CD55">
        <v>4041</v>
      </c>
      <c r="CE55">
        <v>1036</v>
      </c>
      <c r="CF55">
        <v>97.718139074500002</v>
      </c>
      <c r="CG55">
        <v>7725</v>
      </c>
      <c r="CH55">
        <v>166</v>
      </c>
      <c r="CI55">
        <v>138.39779935280001</v>
      </c>
      <c r="CJ55">
        <v>125.54216867469999</v>
      </c>
      <c r="CL55" t="s">
        <v>413</v>
      </c>
      <c r="CM55" t="s">
        <v>871</v>
      </c>
      <c r="CN55" t="s">
        <v>876</v>
      </c>
      <c r="CO55">
        <v>224</v>
      </c>
      <c r="CP55">
        <v>27</v>
      </c>
      <c r="CQ55">
        <v>70.691964285699996</v>
      </c>
      <c r="CR55">
        <v>1035</v>
      </c>
      <c r="CS55">
        <v>14</v>
      </c>
      <c r="CT55">
        <v>66.435748792300004</v>
      </c>
      <c r="CU55">
        <v>60.785714285700003</v>
      </c>
      <c r="CW55" t="s">
        <v>413</v>
      </c>
      <c r="CX55" t="s">
        <v>881</v>
      </c>
      <c r="CY55" t="s">
        <v>886</v>
      </c>
      <c r="CZ55">
        <v>67</v>
      </c>
      <c r="DA55">
        <v>13</v>
      </c>
      <c r="DB55">
        <v>72.208955223900006</v>
      </c>
      <c r="DC55">
        <v>203</v>
      </c>
      <c r="DD55">
        <v>4</v>
      </c>
      <c r="DE55">
        <v>132.43842364529999</v>
      </c>
      <c r="DF55">
        <v>117.25</v>
      </c>
      <c r="DH55" t="s">
        <v>413</v>
      </c>
      <c r="DI55" t="s">
        <v>861</v>
      </c>
      <c r="DJ55" t="s">
        <v>866</v>
      </c>
      <c r="DK55">
        <v>85</v>
      </c>
      <c r="DL55">
        <v>10</v>
      </c>
      <c r="DM55">
        <v>66.647058823500004</v>
      </c>
      <c r="DN55">
        <v>228</v>
      </c>
      <c r="DO55">
        <v>2</v>
      </c>
      <c r="DP55">
        <v>117.9298245614</v>
      </c>
      <c r="DQ55">
        <v>154.5</v>
      </c>
    </row>
    <row r="56" spans="2:121" x14ac:dyDescent="0.2">
      <c r="F56" t="s">
        <v>62</v>
      </c>
      <c r="G56">
        <v>8925</v>
      </c>
      <c r="H56">
        <v>462.85647058820001</v>
      </c>
      <c r="I56">
        <v>11679</v>
      </c>
      <c r="J56">
        <v>2599</v>
      </c>
      <c r="K56">
        <v>12137</v>
      </c>
      <c r="L56">
        <v>9573</v>
      </c>
      <c r="M56">
        <v>3833</v>
      </c>
      <c r="N56">
        <v>3497</v>
      </c>
      <c r="O56">
        <v>2608</v>
      </c>
      <c r="P56">
        <v>2091</v>
      </c>
      <c r="Q56">
        <v>0</v>
      </c>
      <c r="R56">
        <v>43</v>
      </c>
      <c r="BJ56" t="s">
        <v>603</v>
      </c>
      <c r="BK56" t="s">
        <v>404</v>
      </c>
      <c r="BL56">
        <v>4960</v>
      </c>
      <c r="BM56">
        <v>897</v>
      </c>
      <c r="BN56">
        <v>86.433266129000003</v>
      </c>
      <c r="BO56">
        <v>10410</v>
      </c>
      <c r="BP56">
        <v>172</v>
      </c>
      <c r="BQ56">
        <v>137.16138328529999</v>
      </c>
      <c r="BR56">
        <v>124.5697674419</v>
      </c>
      <c r="BS56">
        <v>1778</v>
      </c>
      <c r="BT56">
        <v>463</v>
      </c>
      <c r="BU56">
        <v>94.320584926899997</v>
      </c>
      <c r="BV56">
        <v>10348</v>
      </c>
      <c r="BW56">
        <v>114</v>
      </c>
      <c r="BX56">
        <v>135.9330305373</v>
      </c>
      <c r="BY56">
        <v>139.28070175440001</v>
      </c>
      <c r="CA56" t="s">
        <v>405</v>
      </c>
      <c r="CB56" t="s">
        <v>890</v>
      </c>
      <c r="CC56" t="s">
        <v>1020</v>
      </c>
      <c r="CD56">
        <v>2452</v>
      </c>
      <c r="CE56">
        <v>494</v>
      </c>
      <c r="CF56">
        <v>87.095432300200002</v>
      </c>
      <c r="CG56">
        <v>5984</v>
      </c>
      <c r="CH56">
        <v>97</v>
      </c>
      <c r="CI56">
        <v>135.32118983960001</v>
      </c>
      <c r="CJ56">
        <v>115.5670103093</v>
      </c>
      <c r="CL56" t="s">
        <v>405</v>
      </c>
      <c r="CM56" t="s">
        <v>871</v>
      </c>
      <c r="CN56" t="s">
        <v>877</v>
      </c>
      <c r="CO56">
        <v>198</v>
      </c>
      <c r="CP56">
        <v>16</v>
      </c>
      <c r="CQ56">
        <v>66.535353535400006</v>
      </c>
      <c r="CR56">
        <v>829</v>
      </c>
      <c r="CS56">
        <v>8</v>
      </c>
      <c r="CT56">
        <v>59.148371531999999</v>
      </c>
      <c r="CU56">
        <v>74.5</v>
      </c>
      <c r="CW56" t="s">
        <v>405</v>
      </c>
      <c r="CX56" t="s">
        <v>881</v>
      </c>
      <c r="CY56" t="s">
        <v>887</v>
      </c>
      <c r="CZ56">
        <v>54</v>
      </c>
      <c r="DA56">
        <v>9</v>
      </c>
      <c r="DB56">
        <v>76.277777777799997</v>
      </c>
      <c r="DC56">
        <v>107</v>
      </c>
      <c r="DD56">
        <v>5</v>
      </c>
      <c r="DE56">
        <v>150.39252336449999</v>
      </c>
      <c r="DF56">
        <v>91.2</v>
      </c>
      <c r="DH56" t="s">
        <v>405</v>
      </c>
      <c r="DI56" t="s">
        <v>861</v>
      </c>
      <c r="DJ56" t="s">
        <v>867</v>
      </c>
      <c r="DK56">
        <v>51</v>
      </c>
      <c r="DL56">
        <v>8</v>
      </c>
      <c r="DM56">
        <v>59.568627450999998</v>
      </c>
      <c r="DN56">
        <v>149</v>
      </c>
      <c r="DO56">
        <v>2</v>
      </c>
      <c r="DP56">
        <v>127.8523489933</v>
      </c>
      <c r="DQ56">
        <v>158</v>
      </c>
    </row>
    <row r="57" spans="2:121" x14ac:dyDescent="0.2">
      <c r="F57" t="s">
        <v>64</v>
      </c>
      <c r="G57">
        <v>3183</v>
      </c>
      <c r="H57">
        <v>238.04712535339999</v>
      </c>
      <c r="I57">
        <v>4127</v>
      </c>
      <c r="J57">
        <v>740</v>
      </c>
      <c r="K57">
        <v>4101</v>
      </c>
      <c r="L57">
        <v>2051</v>
      </c>
      <c r="M57">
        <v>865</v>
      </c>
      <c r="N57">
        <v>607</v>
      </c>
      <c r="O57">
        <v>1317</v>
      </c>
      <c r="P57">
        <v>687</v>
      </c>
      <c r="Q57">
        <v>0</v>
      </c>
      <c r="R57">
        <v>73</v>
      </c>
      <c r="BJ57" t="s">
        <v>611</v>
      </c>
      <c r="BK57" t="s">
        <v>404</v>
      </c>
      <c r="BL57">
        <v>3932</v>
      </c>
      <c r="BM57">
        <v>1014</v>
      </c>
      <c r="BN57">
        <v>98.136571719200006</v>
      </c>
      <c r="BO57">
        <v>7086</v>
      </c>
      <c r="BP57">
        <v>163</v>
      </c>
      <c r="BQ57">
        <v>142.90050804399999</v>
      </c>
      <c r="BR57">
        <v>131.92024539880001</v>
      </c>
      <c r="BS57">
        <v>485</v>
      </c>
      <c r="BT57">
        <v>194</v>
      </c>
      <c r="BU57">
        <v>115.5010309278</v>
      </c>
      <c r="BV57">
        <v>6258</v>
      </c>
      <c r="BW57">
        <v>129</v>
      </c>
      <c r="BX57">
        <v>128.81080217319999</v>
      </c>
      <c r="BY57">
        <v>133.97674418599999</v>
      </c>
      <c r="CA57" t="s">
        <v>409</v>
      </c>
      <c r="CB57" t="s">
        <v>890</v>
      </c>
      <c r="CC57" t="s">
        <v>1021</v>
      </c>
      <c r="CD57">
        <v>4874</v>
      </c>
      <c r="CE57">
        <v>921</v>
      </c>
      <c r="CF57">
        <v>86.099507591299997</v>
      </c>
      <c r="CG57">
        <v>10510</v>
      </c>
      <c r="CH57">
        <v>162</v>
      </c>
      <c r="CI57">
        <v>136.9392007612</v>
      </c>
      <c r="CJ57">
        <v>126.5679012346</v>
      </c>
      <c r="CL57" t="s">
        <v>409</v>
      </c>
      <c r="CM57" t="s">
        <v>871</v>
      </c>
      <c r="CN57" t="s">
        <v>878</v>
      </c>
      <c r="CO57">
        <v>317</v>
      </c>
      <c r="CP57">
        <v>23</v>
      </c>
      <c r="CQ57">
        <v>61.889589905400001</v>
      </c>
      <c r="CR57">
        <v>1537</v>
      </c>
      <c r="CS57">
        <v>24</v>
      </c>
      <c r="CT57">
        <v>68.097592713099999</v>
      </c>
      <c r="CU57">
        <v>75.083333333300004</v>
      </c>
      <c r="CW57" t="s">
        <v>409</v>
      </c>
      <c r="CX57" t="s">
        <v>881</v>
      </c>
      <c r="CY57" t="s">
        <v>888</v>
      </c>
      <c r="CZ57">
        <v>58</v>
      </c>
      <c r="DA57">
        <v>13</v>
      </c>
      <c r="DB57">
        <v>88.379310344800004</v>
      </c>
      <c r="DC57">
        <v>191</v>
      </c>
      <c r="DD57">
        <v>4</v>
      </c>
      <c r="DE57">
        <v>136.76963350790001</v>
      </c>
      <c r="DF57">
        <v>85.75</v>
      </c>
      <c r="DH57" t="s">
        <v>409</v>
      </c>
      <c r="DI57" t="s">
        <v>861</v>
      </c>
      <c r="DJ57" t="s">
        <v>868</v>
      </c>
      <c r="DK57">
        <v>30</v>
      </c>
      <c r="DL57">
        <v>7</v>
      </c>
      <c r="DM57">
        <v>93.633333333300001</v>
      </c>
      <c r="DN57">
        <v>104</v>
      </c>
      <c r="DO57">
        <v>2</v>
      </c>
      <c r="DP57">
        <v>123.19230769230001</v>
      </c>
      <c r="DQ57">
        <v>175</v>
      </c>
    </row>
    <row r="58" spans="2:121" x14ac:dyDescent="0.2">
      <c r="F58" t="s">
        <v>54</v>
      </c>
      <c r="G58">
        <v>1052</v>
      </c>
      <c r="H58">
        <v>285.6768060837</v>
      </c>
      <c r="I58">
        <v>1094</v>
      </c>
      <c r="J58">
        <v>149</v>
      </c>
      <c r="K58">
        <v>1515</v>
      </c>
      <c r="L58">
        <v>943</v>
      </c>
      <c r="M58">
        <v>217</v>
      </c>
      <c r="N58">
        <v>157</v>
      </c>
      <c r="O58">
        <v>122</v>
      </c>
      <c r="P58">
        <v>49</v>
      </c>
      <c r="Q58">
        <v>0</v>
      </c>
      <c r="R58">
        <v>1</v>
      </c>
      <c r="BJ58" t="s">
        <v>624</v>
      </c>
      <c r="BK58" t="s">
        <v>404</v>
      </c>
      <c r="BL58">
        <v>9668</v>
      </c>
      <c r="BM58">
        <v>1700</v>
      </c>
      <c r="BN58">
        <v>79.917045924700005</v>
      </c>
      <c r="BO58">
        <v>22854</v>
      </c>
      <c r="BP58">
        <v>327</v>
      </c>
      <c r="BQ58">
        <v>123.2125667279</v>
      </c>
      <c r="BR58">
        <v>120.37920489299999</v>
      </c>
      <c r="BS58">
        <v>3231</v>
      </c>
      <c r="BT58">
        <v>946</v>
      </c>
      <c r="BU58">
        <v>98.664500154799995</v>
      </c>
      <c r="BV58">
        <v>23227</v>
      </c>
      <c r="BW58">
        <v>340</v>
      </c>
      <c r="BX58">
        <v>127.7131786283</v>
      </c>
      <c r="BY58">
        <v>121.1088235294</v>
      </c>
      <c r="CA58" t="s">
        <v>80</v>
      </c>
      <c r="CB58" t="s">
        <v>890</v>
      </c>
      <c r="CC58" t="s">
        <v>1022</v>
      </c>
      <c r="CD58">
        <v>6446</v>
      </c>
      <c r="CE58">
        <v>1028</v>
      </c>
      <c r="CF58">
        <v>80.297859137399996</v>
      </c>
      <c r="CG58">
        <v>16820</v>
      </c>
      <c r="CH58">
        <v>264</v>
      </c>
      <c r="CI58">
        <v>108.805469679</v>
      </c>
      <c r="CJ58">
        <v>97.276515151500007</v>
      </c>
      <c r="CL58" t="s">
        <v>80</v>
      </c>
      <c r="CM58" t="s">
        <v>871</v>
      </c>
      <c r="CN58" t="s">
        <v>879</v>
      </c>
      <c r="CO58">
        <v>520</v>
      </c>
      <c r="CP58">
        <v>47</v>
      </c>
      <c r="CQ58">
        <v>65.623076923100001</v>
      </c>
      <c r="CR58">
        <v>2319</v>
      </c>
      <c r="CS58">
        <v>29</v>
      </c>
      <c r="CT58">
        <v>70.401466149200004</v>
      </c>
      <c r="CU58">
        <v>62.620689655200003</v>
      </c>
      <c r="CW58" t="s">
        <v>80</v>
      </c>
      <c r="CX58" t="s">
        <v>881</v>
      </c>
      <c r="CY58" t="s">
        <v>889</v>
      </c>
      <c r="CZ58">
        <v>276</v>
      </c>
      <c r="DA58">
        <v>36</v>
      </c>
      <c r="DB58">
        <v>64.079710144900005</v>
      </c>
      <c r="DC58">
        <v>604</v>
      </c>
      <c r="DD58">
        <v>11</v>
      </c>
      <c r="DE58">
        <v>127.95033112580001</v>
      </c>
      <c r="DF58">
        <v>96.181818181799997</v>
      </c>
      <c r="DH58" t="s">
        <v>80</v>
      </c>
      <c r="DI58" t="s">
        <v>861</v>
      </c>
      <c r="DJ58" t="s">
        <v>869</v>
      </c>
      <c r="DK58">
        <v>343</v>
      </c>
      <c r="DL58">
        <v>34</v>
      </c>
      <c r="DM58">
        <v>56.571428571399998</v>
      </c>
      <c r="DN58">
        <v>987</v>
      </c>
      <c r="DO58">
        <v>26</v>
      </c>
      <c r="DP58">
        <v>118.82978723399999</v>
      </c>
      <c r="DQ58">
        <v>79.307692307699995</v>
      </c>
    </row>
    <row r="59" spans="2:121" x14ac:dyDescent="0.2">
      <c r="F59" t="s">
        <v>46</v>
      </c>
      <c r="G59">
        <v>11352</v>
      </c>
      <c r="H59">
        <v>395.1381254405</v>
      </c>
      <c r="I59">
        <v>16877</v>
      </c>
      <c r="J59">
        <v>4271</v>
      </c>
      <c r="K59">
        <v>15187</v>
      </c>
      <c r="L59">
        <v>11232</v>
      </c>
      <c r="M59">
        <v>3704</v>
      </c>
      <c r="N59">
        <v>2972</v>
      </c>
      <c r="O59">
        <v>3436</v>
      </c>
      <c r="P59">
        <v>2831</v>
      </c>
      <c r="Q59">
        <v>1</v>
      </c>
      <c r="R59">
        <v>239</v>
      </c>
      <c r="BJ59" t="s">
        <v>597</v>
      </c>
      <c r="BK59" t="s">
        <v>404</v>
      </c>
      <c r="BL59">
        <v>7645</v>
      </c>
      <c r="BM59">
        <v>1106</v>
      </c>
      <c r="BN59">
        <v>74.075997383900003</v>
      </c>
      <c r="BO59">
        <v>38632</v>
      </c>
      <c r="BP59">
        <v>598</v>
      </c>
      <c r="BQ59">
        <v>64.905208117599997</v>
      </c>
      <c r="BR59">
        <v>57.396321070200003</v>
      </c>
      <c r="BS59">
        <v>3472</v>
      </c>
      <c r="BT59">
        <v>567</v>
      </c>
      <c r="BU59">
        <v>72.581797234999996</v>
      </c>
      <c r="BV59">
        <v>40399</v>
      </c>
      <c r="BW59">
        <v>660</v>
      </c>
      <c r="BX59">
        <v>66.453006262499997</v>
      </c>
      <c r="BY59">
        <v>60.2363636364</v>
      </c>
      <c r="CA59" t="s">
        <v>404</v>
      </c>
      <c r="CB59" t="s">
        <v>890</v>
      </c>
      <c r="CD59">
        <v>57921</v>
      </c>
      <c r="CE59">
        <v>11714</v>
      </c>
      <c r="CF59">
        <v>86.622692978399996</v>
      </c>
      <c r="CG59">
        <v>130093</v>
      </c>
      <c r="CH59">
        <v>2180</v>
      </c>
      <c r="CI59">
        <v>126.77757450439999</v>
      </c>
      <c r="CJ59">
        <v>124.4288990826</v>
      </c>
      <c r="CL59" t="s">
        <v>404</v>
      </c>
      <c r="CM59" t="s">
        <v>871</v>
      </c>
      <c r="CO59">
        <v>4096</v>
      </c>
      <c r="CP59">
        <v>333</v>
      </c>
      <c r="CQ59">
        <v>62.0732421875</v>
      </c>
      <c r="CR59">
        <v>18455</v>
      </c>
      <c r="CS59">
        <v>227</v>
      </c>
      <c r="CT59">
        <v>66.865944188599997</v>
      </c>
      <c r="CU59">
        <v>73.555066079300005</v>
      </c>
      <c r="CW59" t="s">
        <v>404</v>
      </c>
      <c r="CX59" t="s">
        <v>881</v>
      </c>
      <c r="CZ59">
        <v>1736</v>
      </c>
      <c r="DA59">
        <v>259</v>
      </c>
      <c r="DB59">
        <v>69.117511520700006</v>
      </c>
      <c r="DC59">
        <v>4273</v>
      </c>
      <c r="DD59">
        <v>75</v>
      </c>
      <c r="DE59">
        <v>131.052890241</v>
      </c>
      <c r="DF59">
        <v>92.72</v>
      </c>
      <c r="DH59" t="s">
        <v>404</v>
      </c>
      <c r="DI59" t="s">
        <v>861</v>
      </c>
      <c r="DK59">
        <v>1367</v>
      </c>
      <c r="DL59">
        <v>186</v>
      </c>
      <c r="DM59">
        <v>66.000731528900005</v>
      </c>
      <c r="DN59">
        <v>3627</v>
      </c>
      <c r="DO59">
        <v>86</v>
      </c>
      <c r="DP59">
        <v>120.400055142</v>
      </c>
      <c r="DQ59">
        <v>88.302325581399998</v>
      </c>
    </row>
    <row r="60" spans="2:121" x14ac:dyDescent="0.2">
      <c r="F60" t="s">
        <v>135</v>
      </c>
      <c r="G60">
        <v>549</v>
      </c>
      <c r="H60">
        <v>359.31147540979998</v>
      </c>
      <c r="I60">
        <v>505</v>
      </c>
      <c r="J60">
        <v>149</v>
      </c>
      <c r="K60">
        <v>807</v>
      </c>
      <c r="L60">
        <v>474</v>
      </c>
      <c r="M60">
        <v>152</v>
      </c>
      <c r="N60">
        <v>83</v>
      </c>
      <c r="O60">
        <v>178</v>
      </c>
      <c r="P60">
        <v>82</v>
      </c>
      <c r="Q60">
        <v>0</v>
      </c>
      <c r="R60">
        <v>1</v>
      </c>
      <c r="BJ60" t="s">
        <v>539</v>
      </c>
      <c r="BK60" t="s">
        <v>380</v>
      </c>
      <c r="BL60">
        <v>16977</v>
      </c>
      <c r="BM60">
        <v>4767</v>
      </c>
      <c r="BN60">
        <v>101.4814160335</v>
      </c>
      <c r="BO60">
        <v>31418</v>
      </c>
      <c r="BP60">
        <v>571</v>
      </c>
      <c r="BQ60">
        <v>145.74839264120001</v>
      </c>
      <c r="BR60">
        <v>136.45534150610001</v>
      </c>
      <c r="BS60">
        <v>3849</v>
      </c>
      <c r="BT60">
        <v>1377</v>
      </c>
      <c r="BU60">
        <v>115.6669264744</v>
      </c>
      <c r="BV60">
        <v>25984</v>
      </c>
      <c r="BW60">
        <v>315</v>
      </c>
      <c r="BX60">
        <v>137.14008620690001</v>
      </c>
      <c r="BY60">
        <v>169.20317460320001</v>
      </c>
      <c r="CA60" t="s">
        <v>388</v>
      </c>
      <c r="CB60" t="s">
        <v>915</v>
      </c>
      <c r="CC60" t="s">
        <v>1023</v>
      </c>
      <c r="CD60">
        <v>7993</v>
      </c>
      <c r="CE60">
        <v>2161</v>
      </c>
      <c r="CF60">
        <v>106.8621293632</v>
      </c>
      <c r="CG60">
        <v>16342</v>
      </c>
      <c r="CH60">
        <v>209</v>
      </c>
      <c r="CI60">
        <v>144.04246726229999</v>
      </c>
      <c r="CJ60">
        <v>186.75598086119999</v>
      </c>
      <c r="CL60" t="s">
        <v>388</v>
      </c>
      <c r="CM60" t="s">
        <v>900</v>
      </c>
      <c r="CN60" t="s">
        <v>899</v>
      </c>
      <c r="CO60">
        <v>658</v>
      </c>
      <c r="CP60">
        <v>93</v>
      </c>
      <c r="CQ60">
        <v>74.056231002999994</v>
      </c>
      <c r="CR60">
        <v>3169</v>
      </c>
      <c r="CS60">
        <v>45</v>
      </c>
      <c r="CT60">
        <v>66.742821079199999</v>
      </c>
      <c r="CU60">
        <v>67.644444444399994</v>
      </c>
      <c r="CW60" t="s">
        <v>388</v>
      </c>
      <c r="CX60" t="s">
        <v>908</v>
      </c>
      <c r="CY60" t="s">
        <v>907</v>
      </c>
      <c r="CZ60">
        <v>147</v>
      </c>
      <c r="DA60">
        <v>30</v>
      </c>
      <c r="DB60">
        <v>84.646258503400006</v>
      </c>
      <c r="DC60">
        <v>291</v>
      </c>
      <c r="DD60">
        <v>6</v>
      </c>
      <c r="DE60">
        <v>155.93127147769999</v>
      </c>
      <c r="DF60">
        <v>136.8333333333</v>
      </c>
      <c r="DH60" t="s">
        <v>388</v>
      </c>
      <c r="DI60" t="s">
        <v>892</v>
      </c>
      <c r="DJ60" t="s">
        <v>891</v>
      </c>
      <c r="DK60">
        <v>143</v>
      </c>
      <c r="DL60">
        <v>30</v>
      </c>
      <c r="DM60">
        <v>79.090909090899999</v>
      </c>
      <c r="DN60">
        <v>346</v>
      </c>
      <c r="DO60">
        <v>4</v>
      </c>
      <c r="DP60">
        <v>149.54624277459999</v>
      </c>
      <c r="DQ60">
        <v>195</v>
      </c>
    </row>
    <row r="61" spans="2:121" x14ac:dyDescent="0.2">
      <c r="F61" t="s">
        <v>56</v>
      </c>
      <c r="G61">
        <v>4452</v>
      </c>
      <c r="H61">
        <v>188.09478885889999</v>
      </c>
      <c r="I61">
        <v>6350</v>
      </c>
      <c r="J61">
        <v>942</v>
      </c>
      <c r="K61">
        <v>5796</v>
      </c>
      <c r="L61">
        <v>2558</v>
      </c>
      <c r="M61">
        <v>742</v>
      </c>
      <c r="N61">
        <v>514</v>
      </c>
      <c r="O61">
        <v>668</v>
      </c>
      <c r="P61">
        <v>358</v>
      </c>
      <c r="Q61">
        <v>8684</v>
      </c>
      <c r="R61">
        <v>0</v>
      </c>
      <c r="BJ61" t="s">
        <v>547</v>
      </c>
      <c r="BK61" t="s">
        <v>380</v>
      </c>
      <c r="BL61">
        <v>9060</v>
      </c>
      <c r="BM61">
        <v>2443</v>
      </c>
      <c r="BN61">
        <v>100.9001103753</v>
      </c>
      <c r="BO61">
        <v>17537</v>
      </c>
      <c r="BP61">
        <v>251</v>
      </c>
      <c r="BQ61">
        <v>133.97850259449999</v>
      </c>
      <c r="BR61">
        <v>158.81274900400001</v>
      </c>
      <c r="BS61">
        <v>3044</v>
      </c>
      <c r="BT61">
        <v>1276</v>
      </c>
      <c r="BU61">
        <v>121.1409329829</v>
      </c>
      <c r="BV61">
        <v>18295</v>
      </c>
      <c r="BW61">
        <v>249</v>
      </c>
      <c r="BX61">
        <v>131.41393823449999</v>
      </c>
      <c r="BY61">
        <v>144.42570281120001</v>
      </c>
      <c r="CA61" t="s">
        <v>425</v>
      </c>
      <c r="CB61" t="s">
        <v>915</v>
      </c>
      <c r="CC61" t="s">
        <v>1024</v>
      </c>
      <c r="CD61">
        <v>23591</v>
      </c>
      <c r="CE61">
        <v>5443</v>
      </c>
      <c r="CF61">
        <v>95.0170827858</v>
      </c>
      <c r="CG61">
        <v>49628</v>
      </c>
      <c r="CH61">
        <v>744</v>
      </c>
      <c r="CI61">
        <v>138.8625574273</v>
      </c>
      <c r="CJ61">
        <v>133.02284946239999</v>
      </c>
      <c r="CL61" t="s">
        <v>425</v>
      </c>
      <c r="CM61" t="s">
        <v>900</v>
      </c>
      <c r="CN61" t="s">
        <v>901</v>
      </c>
      <c r="CO61">
        <v>2999</v>
      </c>
      <c r="CP61">
        <v>322</v>
      </c>
      <c r="CQ61">
        <v>70.8072690897</v>
      </c>
      <c r="CR61">
        <v>6966</v>
      </c>
      <c r="CS61">
        <v>90</v>
      </c>
      <c r="CT61">
        <v>93.402239448800003</v>
      </c>
      <c r="CU61">
        <v>96.155555555600003</v>
      </c>
      <c r="CW61" t="s">
        <v>425</v>
      </c>
      <c r="CX61" t="s">
        <v>908</v>
      </c>
      <c r="CY61" t="s">
        <v>909</v>
      </c>
      <c r="CZ61">
        <v>657</v>
      </c>
      <c r="DA61">
        <v>141</v>
      </c>
      <c r="DB61">
        <v>80.401826483999997</v>
      </c>
      <c r="DC61">
        <v>1284</v>
      </c>
      <c r="DD61">
        <v>36</v>
      </c>
      <c r="DE61">
        <v>154.17990654210001</v>
      </c>
      <c r="DF61">
        <v>140.1388888889</v>
      </c>
      <c r="DH61" t="s">
        <v>425</v>
      </c>
      <c r="DI61" t="s">
        <v>892</v>
      </c>
      <c r="DJ61" t="s">
        <v>893</v>
      </c>
      <c r="DK61">
        <v>733</v>
      </c>
      <c r="DL61">
        <v>139</v>
      </c>
      <c r="DM61">
        <v>80.188267394299999</v>
      </c>
      <c r="DN61">
        <v>1809</v>
      </c>
      <c r="DO61">
        <v>54</v>
      </c>
      <c r="DP61">
        <v>144.65726920949999</v>
      </c>
      <c r="DQ61">
        <v>124.0740740741</v>
      </c>
    </row>
    <row r="62" spans="2:121" x14ac:dyDescent="0.2">
      <c r="BJ62" t="s">
        <v>563</v>
      </c>
      <c r="BK62" t="s">
        <v>380</v>
      </c>
      <c r="BL62">
        <v>3948</v>
      </c>
      <c r="BM62">
        <v>730</v>
      </c>
      <c r="BN62">
        <v>90.216058763899994</v>
      </c>
      <c r="BO62">
        <v>10890</v>
      </c>
      <c r="BP62">
        <v>137</v>
      </c>
      <c r="BQ62">
        <v>131.8595959596</v>
      </c>
      <c r="BR62">
        <v>110.7226277372</v>
      </c>
      <c r="BS62">
        <v>1426</v>
      </c>
      <c r="BT62">
        <v>587</v>
      </c>
      <c r="BU62">
        <v>132.9726507714</v>
      </c>
      <c r="BV62">
        <v>14903</v>
      </c>
      <c r="BW62">
        <v>234</v>
      </c>
      <c r="BX62">
        <v>153.7356236999</v>
      </c>
      <c r="BY62">
        <v>124.0341880342</v>
      </c>
      <c r="CA62" t="s">
        <v>381</v>
      </c>
      <c r="CB62" t="s">
        <v>915</v>
      </c>
      <c r="CC62" t="s">
        <v>1025</v>
      </c>
      <c r="CD62">
        <v>18676</v>
      </c>
      <c r="CE62">
        <v>4967</v>
      </c>
      <c r="CF62">
        <v>98.0458877704</v>
      </c>
      <c r="CG62">
        <v>35278</v>
      </c>
      <c r="CH62">
        <v>648</v>
      </c>
      <c r="CI62">
        <v>137.20967741940001</v>
      </c>
      <c r="CJ62">
        <v>132.12191358019999</v>
      </c>
      <c r="CL62" t="s">
        <v>381</v>
      </c>
      <c r="CM62" t="s">
        <v>900</v>
      </c>
      <c r="CN62" t="s">
        <v>902</v>
      </c>
      <c r="CO62">
        <v>1515</v>
      </c>
      <c r="CP62">
        <v>206</v>
      </c>
      <c r="CQ62">
        <v>73.489108910900001</v>
      </c>
      <c r="CR62">
        <v>3514</v>
      </c>
      <c r="CS62">
        <v>41</v>
      </c>
      <c r="CT62">
        <v>96.422310757000005</v>
      </c>
      <c r="CU62">
        <v>144.34146341460001</v>
      </c>
      <c r="CW62" t="s">
        <v>381</v>
      </c>
      <c r="CX62" t="s">
        <v>908</v>
      </c>
      <c r="CY62" t="s">
        <v>910</v>
      </c>
      <c r="CZ62">
        <v>436</v>
      </c>
      <c r="DA62">
        <v>84</v>
      </c>
      <c r="DB62">
        <v>80.25</v>
      </c>
      <c r="DC62">
        <v>738</v>
      </c>
      <c r="DD62">
        <v>20</v>
      </c>
      <c r="DE62">
        <v>155.99457994580001</v>
      </c>
      <c r="DF62">
        <v>139.44999999999999</v>
      </c>
      <c r="DH62" t="s">
        <v>381</v>
      </c>
      <c r="DI62" t="s">
        <v>892</v>
      </c>
      <c r="DJ62" t="s">
        <v>894</v>
      </c>
      <c r="DK62">
        <v>373</v>
      </c>
      <c r="DL62">
        <v>71</v>
      </c>
      <c r="DM62">
        <v>77.386058981199994</v>
      </c>
      <c r="DN62">
        <v>923</v>
      </c>
      <c r="DO62">
        <v>34</v>
      </c>
      <c r="DP62">
        <v>142.1928494041</v>
      </c>
      <c r="DQ62">
        <v>123.6764705882</v>
      </c>
    </row>
    <row r="63" spans="2:121" x14ac:dyDescent="0.2">
      <c r="BJ63" t="s">
        <v>553</v>
      </c>
      <c r="BK63" t="s">
        <v>380</v>
      </c>
      <c r="BL63">
        <v>7951</v>
      </c>
      <c r="BM63">
        <v>2329</v>
      </c>
      <c r="BN63">
        <v>112.40183624700001</v>
      </c>
      <c r="BO63">
        <v>15651</v>
      </c>
      <c r="BP63">
        <v>221</v>
      </c>
      <c r="BQ63">
        <v>149.59753370390001</v>
      </c>
      <c r="BR63">
        <v>197.76018099550001</v>
      </c>
      <c r="BS63">
        <v>1842</v>
      </c>
      <c r="BT63">
        <v>735</v>
      </c>
      <c r="BU63">
        <v>119.9353963084</v>
      </c>
      <c r="BV63">
        <v>14829</v>
      </c>
      <c r="BW63">
        <v>189</v>
      </c>
      <c r="BX63">
        <v>145.77382156589999</v>
      </c>
      <c r="BY63">
        <v>198.6666666667</v>
      </c>
      <c r="CA63" t="s">
        <v>393</v>
      </c>
      <c r="CB63" t="s">
        <v>915</v>
      </c>
      <c r="CC63" t="s">
        <v>1026</v>
      </c>
      <c r="CD63">
        <v>3525</v>
      </c>
      <c r="CE63">
        <v>473</v>
      </c>
      <c r="CF63">
        <v>75.441985815600006</v>
      </c>
      <c r="CG63">
        <v>11074</v>
      </c>
      <c r="CH63">
        <v>150</v>
      </c>
      <c r="CI63">
        <v>117.1814159292</v>
      </c>
      <c r="CJ63">
        <v>101.8333333333</v>
      </c>
      <c r="CL63" t="s">
        <v>393</v>
      </c>
      <c r="CM63" t="s">
        <v>900</v>
      </c>
      <c r="CN63" t="s">
        <v>903</v>
      </c>
      <c r="CO63">
        <v>347</v>
      </c>
      <c r="CP63">
        <v>41</v>
      </c>
      <c r="CQ63">
        <v>66.279538904899994</v>
      </c>
      <c r="CR63">
        <v>1693</v>
      </c>
      <c r="CS63">
        <v>18</v>
      </c>
      <c r="CT63">
        <v>70.943295924400005</v>
      </c>
      <c r="CU63">
        <v>74.222222222200003</v>
      </c>
      <c r="CW63" t="s">
        <v>393</v>
      </c>
      <c r="CX63" t="s">
        <v>908</v>
      </c>
      <c r="CY63" t="s">
        <v>911</v>
      </c>
      <c r="CZ63">
        <v>86</v>
      </c>
      <c r="DA63">
        <v>9</v>
      </c>
      <c r="DB63">
        <v>71.534883720899998</v>
      </c>
      <c r="DC63">
        <v>181</v>
      </c>
      <c r="DD63">
        <v>8</v>
      </c>
      <c r="DE63">
        <v>151.29281767960001</v>
      </c>
      <c r="DF63">
        <v>175.25</v>
      </c>
      <c r="DH63" t="s">
        <v>393</v>
      </c>
      <c r="DI63" t="s">
        <v>892</v>
      </c>
      <c r="DJ63" t="s">
        <v>895</v>
      </c>
      <c r="DK63">
        <v>153</v>
      </c>
      <c r="DL63">
        <v>15</v>
      </c>
      <c r="DM63">
        <v>61.039215686299997</v>
      </c>
      <c r="DN63">
        <v>278</v>
      </c>
      <c r="DO63">
        <v>14</v>
      </c>
      <c r="DP63">
        <v>144.74460431649999</v>
      </c>
      <c r="DQ63">
        <v>114.07142857140001</v>
      </c>
    </row>
    <row r="64" spans="2:121" x14ac:dyDescent="0.2">
      <c r="BJ64" t="s">
        <v>549</v>
      </c>
      <c r="BK64" t="s">
        <v>380</v>
      </c>
      <c r="BL64">
        <v>8668</v>
      </c>
      <c r="BM64">
        <v>1428</v>
      </c>
      <c r="BN64">
        <v>76.095523765600007</v>
      </c>
      <c r="BO64">
        <v>21619</v>
      </c>
      <c r="BP64">
        <v>327</v>
      </c>
      <c r="BQ64">
        <v>120.921781766</v>
      </c>
      <c r="BR64">
        <v>115.9908256881</v>
      </c>
      <c r="BS64">
        <v>2873</v>
      </c>
      <c r="BT64">
        <v>811</v>
      </c>
      <c r="BU64">
        <v>100.1768186565</v>
      </c>
      <c r="BV64">
        <v>22351</v>
      </c>
      <c r="BW64">
        <v>325</v>
      </c>
      <c r="BX64">
        <v>125.8846584045</v>
      </c>
      <c r="BY64">
        <v>123.42153846150001</v>
      </c>
      <c r="CA64" t="s">
        <v>427</v>
      </c>
      <c r="CB64" t="s">
        <v>915</v>
      </c>
      <c r="CC64" t="s">
        <v>1027</v>
      </c>
      <c r="CD64">
        <v>2076</v>
      </c>
      <c r="CE64">
        <v>550</v>
      </c>
      <c r="CF64">
        <v>112.51252408480001</v>
      </c>
      <c r="CG64">
        <v>6532</v>
      </c>
      <c r="CH64">
        <v>111</v>
      </c>
      <c r="CI64">
        <v>150.77372933250001</v>
      </c>
      <c r="CJ64">
        <v>132.12612612609999</v>
      </c>
      <c r="CL64" t="s">
        <v>427</v>
      </c>
      <c r="CM64" t="s">
        <v>900</v>
      </c>
      <c r="CN64" t="s">
        <v>904</v>
      </c>
      <c r="CO64">
        <v>549</v>
      </c>
      <c r="CP64">
        <v>79</v>
      </c>
      <c r="CQ64">
        <v>78.533697632100001</v>
      </c>
      <c r="CR64">
        <v>1260</v>
      </c>
      <c r="CS64">
        <v>15</v>
      </c>
      <c r="CT64">
        <v>104.496031746</v>
      </c>
      <c r="CU64">
        <v>140.6</v>
      </c>
      <c r="CW64" t="s">
        <v>427</v>
      </c>
      <c r="CX64" t="s">
        <v>908</v>
      </c>
      <c r="CY64" t="s">
        <v>912</v>
      </c>
      <c r="CZ64">
        <v>20</v>
      </c>
      <c r="DA64">
        <v>3</v>
      </c>
      <c r="DB64">
        <v>63.45</v>
      </c>
      <c r="DC64">
        <v>14</v>
      </c>
      <c r="DD64">
        <v>0</v>
      </c>
      <c r="DE64">
        <v>142.42857142860001</v>
      </c>
      <c r="DF64">
        <v>0</v>
      </c>
      <c r="DH64" t="s">
        <v>427</v>
      </c>
      <c r="DI64" t="s">
        <v>892</v>
      </c>
      <c r="DJ64" t="s">
        <v>896</v>
      </c>
      <c r="DK64">
        <v>10</v>
      </c>
      <c r="DL64">
        <v>3</v>
      </c>
      <c r="DM64">
        <v>114.9</v>
      </c>
      <c r="DN64">
        <v>36</v>
      </c>
      <c r="DO64">
        <v>3</v>
      </c>
      <c r="DP64">
        <v>117.19444444440001</v>
      </c>
      <c r="DQ64">
        <v>125</v>
      </c>
    </row>
    <row r="65" spans="62:121" x14ac:dyDescent="0.2">
      <c r="BJ65" t="s">
        <v>613</v>
      </c>
      <c r="BK65" t="s">
        <v>380</v>
      </c>
      <c r="BL65">
        <v>2026</v>
      </c>
      <c r="BM65">
        <v>548</v>
      </c>
      <c r="BN65">
        <v>113.5695952616</v>
      </c>
      <c r="BO65">
        <v>6485</v>
      </c>
      <c r="BP65">
        <v>119</v>
      </c>
      <c r="BQ65">
        <v>153.50223592910001</v>
      </c>
      <c r="BR65">
        <v>138.31092436969999</v>
      </c>
      <c r="BS65">
        <v>508</v>
      </c>
      <c r="BT65">
        <v>252</v>
      </c>
      <c r="BU65">
        <v>149.8799212598</v>
      </c>
      <c r="BV65">
        <v>6923</v>
      </c>
      <c r="BW65">
        <v>165</v>
      </c>
      <c r="BX65">
        <v>155.89527661419999</v>
      </c>
      <c r="BY65">
        <v>118.9333333333</v>
      </c>
      <c r="CA65" t="s">
        <v>383</v>
      </c>
      <c r="CB65" t="s">
        <v>915</v>
      </c>
      <c r="CC65" t="s">
        <v>1028</v>
      </c>
      <c r="CD65">
        <v>9083</v>
      </c>
      <c r="CE65">
        <v>2532</v>
      </c>
      <c r="CF65">
        <v>102.4386216008</v>
      </c>
      <c r="CG65">
        <v>18743</v>
      </c>
      <c r="CH65">
        <v>264</v>
      </c>
      <c r="CI65">
        <v>131.30053886779999</v>
      </c>
      <c r="CJ65">
        <v>142.625</v>
      </c>
      <c r="CL65" t="s">
        <v>383</v>
      </c>
      <c r="CM65" t="s">
        <v>900</v>
      </c>
      <c r="CN65" t="s">
        <v>905</v>
      </c>
      <c r="CO65">
        <v>998</v>
      </c>
      <c r="CP65">
        <v>101</v>
      </c>
      <c r="CQ65">
        <v>72.557114228499998</v>
      </c>
      <c r="CR65">
        <v>2074</v>
      </c>
      <c r="CS65">
        <v>26</v>
      </c>
      <c r="CT65">
        <v>93.031822565100001</v>
      </c>
      <c r="CU65">
        <v>97.884615384599996</v>
      </c>
      <c r="CW65" t="s">
        <v>383</v>
      </c>
      <c r="CX65" t="s">
        <v>908</v>
      </c>
      <c r="CY65" t="s">
        <v>913</v>
      </c>
      <c r="CZ65">
        <v>203</v>
      </c>
      <c r="DA65">
        <v>47</v>
      </c>
      <c r="DB65">
        <v>96.689655172399995</v>
      </c>
      <c r="DC65">
        <v>377</v>
      </c>
      <c r="DD65">
        <v>6</v>
      </c>
      <c r="DE65">
        <v>161.5305039788</v>
      </c>
      <c r="DF65">
        <v>179.6666666667</v>
      </c>
      <c r="DH65" t="s">
        <v>383</v>
      </c>
      <c r="DI65" t="s">
        <v>892</v>
      </c>
      <c r="DJ65" t="s">
        <v>897</v>
      </c>
      <c r="DK65">
        <v>222</v>
      </c>
      <c r="DL65">
        <v>41</v>
      </c>
      <c r="DM65">
        <v>81.1576576577</v>
      </c>
      <c r="DN65">
        <v>454</v>
      </c>
      <c r="DO65">
        <v>19</v>
      </c>
      <c r="DP65">
        <v>142.98017621150001</v>
      </c>
      <c r="DQ65">
        <v>111.8947368421</v>
      </c>
    </row>
    <row r="66" spans="62:121" x14ac:dyDescent="0.2">
      <c r="BJ66" t="s">
        <v>380</v>
      </c>
      <c r="BK66" t="s">
        <v>380</v>
      </c>
      <c r="BL66">
        <v>70658</v>
      </c>
      <c r="BM66">
        <v>17413</v>
      </c>
      <c r="BN66">
        <v>97.089911970299994</v>
      </c>
      <c r="BO66">
        <v>148768</v>
      </c>
      <c r="BP66">
        <v>2281</v>
      </c>
      <c r="BQ66">
        <v>139.67860695850001</v>
      </c>
      <c r="BR66">
        <v>141.57430951340001</v>
      </c>
      <c r="BS66">
        <v>21234</v>
      </c>
      <c r="BT66">
        <v>7505</v>
      </c>
      <c r="BU66">
        <v>112.9077423001</v>
      </c>
      <c r="BV66">
        <v>144159</v>
      </c>
      <c r="BW66">
        <v>1891</v>
      </c>
      <c r="BX66">
        <v>137.6557342934</v>
      </c>
      <c r="BY66">
        <v>150.9307244844</v>
      </c>
      <c r="CA66" t="s">
        <v>384</v>
      </c>
      <c r="CB66" t="s">
        <v>915</v>
      </c>
      <c r="CC66" t="s">
        <v>1029</v>
      </c>
      <c r="CD66">
        <v>8877</v>
      </c>
      <c r="CE66">
        <v>1494</v>
      </c>
      <c r="CF66">
        <v>77.803875183100004</v>
      </c>
      <c r="CG66">
        <v>22083</v>
      </c>
      <c r="CH66">
        <v>343</v>
      </c>
      <c r="CI66">
        <v>118.21749762260001</v>
      </c>
      <c r="CJ66">
        <v>116.2827988338</v>
      </c>
      <c r="CL66" t="s">
        <v>384</v>
      </c>
      <c r="CM66" t="s">
        <v>900</v>
      </c>
      <c r="CN66" t="s">
        <v>906</v>
      </c>
      <c r="CO66">
        <v>637</v>
      </c>
      <c r="CP66">
        <v>98</v>
      </c>
      <c r="CQ66">
        <v>76.527472527499995</v>
      </c>
      <c r="CR66">
        <v>2848</v>
      </c>
      <c r="CS66">
        <v>42</v>
      </c>
      <c r="CT66">
        <v>68.315660112399996</v>
      </c>
      <c r="CU66">
        <v>76.523809523799997</v>
      </c>
      <c r="CW66" t="s">
        <v>384</v>
      </c>
      <c r="CX66" t="s">
        <v>908</v>
      </c>
      <c r="CY66" t="s">
        <v>914</v>
      </c>
      <c r="CZ66">
        <v>211</v>
      </c>
      <c r="DA66">
        <v>54</v>
      </c>
      <c r="DB66">
        <v>92.369668246399996</v>
      </c>
      <c r="DC66">
        <v>370</v>
      </c>
      <c r="DD66">
        <v>11</v>
      </c>
      <c r="DE66">
        <v>156.86216216220001</v>
      </c>
      <c r="DF66">
        <v>147.54545454550001</v>
      </c>
      <c r="DH66" t="s">
        <v>384</v>
      </c>
      <c r="DI66" t="s">
        <v>892</v>
      </c>
      <c r="DJ66" t="s">
        <v>898</v>
      </c>
      <c r="DK66">
        <v>316</v>
      </c>
      <c r="DL66">
        <v>52</v>
      </c>
      <c r="DM66">
        <v>73.756329113899994</v>
      </c>
      <c r="DN66">
        <v>741</v>
      </c>
      <c r="DO66">
        <v>20</v>
      </c>
      <c r="DP66">
        <v>146.4304993252</v>
      </c>
      <c r="DQ66">
        <v>103.9</v>
      </c>
    </row>
    <row r="67" spans="62:121" x14ac:dyDescent="0.2">
      <c r="BJ67" t="s">
        <v>541</v>
      </c>
      <c r="BK67" t="s">
        <v>380</v>
      </c>
      <c r="BL67">
        <v>22028</v>
      </c>
      <c r="BM67">
        <v>5168</v>
      </c>
      <c r="BN67">
        <v>94.588977664799998</v>
      </c>
      <c r="BO67">
        <v>45168</v>
      </c>
      <c r="BP67">
        <v>655</v>
      </c>
      <c r="BQ67">
        <v>143.11085281620001</v>
      </c>
      <c r="BR67">
        <v>140.2916030534</v>
      </c>
      <c r="BS67">
        <v>7692</v>
      </c>
      <c r="BT67">
        <v>2467</v>
      </c>
      <c r="BU67">
        <v>105.1795371815</v>
      </c>
      <c r="BV67">
        <v>40874</v>
      </c>
      <c r="BW67">
        <v>414</v>
      </c>
      <c r="BX67">
        <v>135.31668053039999</v>
      </c>
      <c r="BY67">
        <v>168.69806763290001</v>
      </c>
      <c r="CA67" t="s">
        <v>380</v>
      </c>
      <c r="CB67" t="s">
        <v>915</v>
      </c>
      <c r="CD67">
        <v>73821</v>
      </c>
      <c r="CE67">
        <v>17620</v>
      </c>
      <c r="CF67">
        <v>95.466411996600002</v>
      </c>
      <c r="CG67">
        <v>159680</v>
      </c>
      <c r="CH67">
        <v>2469</v>
      </c>
      <c r="CI67">
        <v>134.26841182359999</v>
      </c>
      <c r="CJ67">
        <v>134.10085054679999</v>
      </c>
      <c r="CL67" t="s">
        <v>380</v>
      </c>
      <c r="CM67" t="s">
        <v>900</v>
      </c>
      <c r="CO67">
        <v>7703</v>
      </c>
      <c r="CP67">
        <v>940</v>
      </c>
      <c r="CQ67">
        <v>72.658704400900007</v>
      </c>
      <c r="CR67">
        <v>21524</v>
      </c>
      <c r="CS67">
        <v>277</v>
      </c>
      <c r="CT67">
        <v>85.498002230099999</v>
      </c>
      <c r="CU67">
        <v>96.823104693100007</v>
      </c>
      <c r="CW67" t="s">
        <v>380</v>
      </c>
      <c r="CX67" t="s">
        <v>908</v>
      </c>
      <c r="CZ67">
        <v>1760</v>
      </c>
      <c r="DA67">
        <v>368</v>
      </c>
      <c r="DB67">
        <v>83.40625</v>
      </c>
      <c r="DC67">
        <v>3255</v>
      </c>
      <c r="DD67">
        <v>87</v>
      </c>
      <c r="DE67">
        <v>155.69308755759999</v>
      </c>
      <c r="DF67">
        <v>146.64367816090001</v>
      </c>
      <c r="DH67" t="s">
        <v>380</v>
      </c>
      <c r="DI67" t="s">
        <v>892</v>
      </c>
      <c r="DK67">
        <v>1950</v>
      </c>
      <c r="DL67">
        <v>351</v>
      </c>
      <c r="DM67">
        <v>77.315384615400006</v>
      </c>
      <c r="DN67">
        <v>4587</v>
      </c>
      <c r="DO67">
        <v>148</v>
      </c>
      <c r="DP67">
        <v>144.4403749727</v>
      </c>
      <c r="DQ67">
        <v>120.68243243240001</v>
      </c>
    </row>
    <row r="68" spans="62:121" x14ac:dyDescent="0.2">
      <c r="BJ68" t="s">
        <v>308</v>
      </c>
      <c r="BK68" t="s">
        <v>695</v>
      </c>
      <c r="BL68">
        <v>6920</v>
      </c>
      <c r="BM68">
        <v>1117</v>
      </c>
      <c r="BN68">
        <v>72.030346820800006</v>
      </c>
      <c r="BO68">
        <v>16545</v>
      </c>
      <c r="BP68">
        <v>441</v>
      </c>
      <c r="BQ68">
        <v>131.1720157147</v>
      </c>
      <c r="BR68">
        <v>110.01133786849999</v>
      </c>
      <c r="BS68">
        <v>7173</v>
      </c>
      <c r="BT68">
        <v>1098</v>
      </c>
      <c r="BU68">
        <v>67.829360100399995</v>
      </c>
      <c r="BV68">
        <v>4776</v>
      </c>
      <c r="BW68">
        <v>284</v>
      </c>
      <c r="BX68">
        <v>128.43676716920001</v>
      </c>
      <c r="BY68">
        <v>112.338028169</v>
      </c>
      <c r="CA68" t="s">
        <v>698</v>
      </c>
      <c r="CD68">
        <v>360502</v>
      </c>
      <c r="CE68">
        <v>76201</v>
      </c>
      <c r="CF68">
        <v>89.191482987599997</v>
      </c>
      <c r="CG68">
        <v>855563</v>
      </c>
      <c r="CH68">
        <v>13918</v>
      </c>
      <c r="CI68">
        <v>123.4740399012</v>
      </c>
      <c r="CJ68">
        <v>121.8819514298</v>
      </c>
      <c r="CL68" t="s">
        <v>698</v>
      </c>
      <c r="CO68">
        <v>360502</v>
      </c>
      <c r="CP68">
        <v>76201</v>
      </c>
      <c r="CQ68">
        <v>89.191482987599997</v>
      </c>
      <c r="CR68">
        <v>855563</v>
      </c>
      <c r="CS68">
        <v>13918</v>
      </c>
      <c r="CT68">
        <v>123.4740399012</v>
      </c>
      <c r="CU68">
        <v>121.8819514298</v>
      </c>
      <c r="CW68" t="s">
        <v>698</v>
      </c>
      <c r="CZ68">
        <v>360502</v>
      </c>
      <c r="DA68">
        <v>76201</v>
      </c>
      <c r="DB68">
        <v>89.191482987599997</v>
      </c>
      <c r="DC68">
        <v>855563</v>
      </c>
      <c r="DD68">
        <v>13918</v>
      </c>
      <c r="DE68">
        <v>123.4740399012</v>
      </c>
      <c r="DF68">
        <v>121.8819514298</v>
      </c>
      <c r="DH68" t="s">
        <v>698</v>
      </c>
      <c r="DK68">
        <v>360502</v>
      </c>
      <c r="DL68">
        <v>76201</v>
      </c>
      <c r="DM68">
        <v>89.191482987599997</v>
      </c>
      <c r="DN68">
        <v>855563</v>
      </c>
      <c r="DO68">
        <v>13918</v>
      </c>
      <c r="DP68">
        <v>123.4740399012</v>
      </c>
      <c r="DQ68">
        <v>121.8819514298</v>
      </c>
    </row>
    <row r="69" spans="62:121" x14ac:dyDescent="0.2">
      <c r="BJ69" t="s">
        <v>211</v>
      </c>
      <c r="BK69" t="s">
        <v>695</v>
      </c>
      <c r="BL69">
        <v>53</v>
      </c>
      <c r="BM69">
        <v>12</v>
      </c>
      <c r="BN69">
        <v>93.792452830200006</v>
      </c>
      <c r="BO69">
        <v>152</v>
      </c>
      <c r="BP69">
        <v>6</v>
      </c>
      <c r="BQ69">
        <v>124.0921052632</v>
      </c>
      <c r="BR69">
        <v>82.833333333300004</v>
      </c>
      <c r="BS69">
        <v>221</v>
      </c>
      <c r="BT69">
        <v>67</v>
      </c>
      <c r="BU69">
        <v>110.1945701357</v>
      </c>
      <c r="BV69">
        <v>7905</v>
      </c>
      <c r="BW69">
        <v>127</v>
      </c>
      <c r="BX69">
        <v>119.231372549</v>
      </c>
      <c r="BY69">
        <v>88.070866141699995</v>
      </c>
    </row>
    <row r="70" spans="62:121" x14ac:dyDescent="0.2">
      <c r="BJ70" t="s">
        <v>695</v>
      </c>
      <c r="BK70" t="s">
        <v>695</v>
      </c>
      <c r="BL70">
        <v>8033</v>
      </c>
      <c r="BM70">
        <v>1356</v>
      </c>
      <c r="BN70">
        <v>73.198306983699993</v>
      </c>
      <c r="BO70">
        <v>19902</v>
      </c>
      <c r="BP70">
        <v>518</v>
      </c>
      <c r="BQ70">
        <v>133.520198975</v>
      </c>
      <c r="BR70">
        <v>112.51930501930001</v>
      </c>
      <c r="BS70">
        <v>8033</v>
      </c>
      <c r="BT70">
        <v>1356</v>
      </c>
      <c r="BU70">
        <v>73.198306983699993</v>
      </c>
      <c r="BV70">
        <v>19902</v>
      </c>
      <c r="BW70">
        <v>518</v>
      </c>
      <c r="BX70">
        <v>133.520198975</v>
      </c>
      <c r="BY70">
        <v>112.51930501930001</v>
      </c>
    </row>
    <row r="71" spans="62:121" x14ac:dyDescent="0.2">
      <c r="BJ71" t="s">
        <v>213</v>
      </c>
      <c r="BK71" t="s">
        <v>695</v>
      </c>
      <c r="BL71">
        <v>1060</v>
      </c>
      <c r="BM71">
        <v>227</v>
      </c>
      <c r="BN71">
        <v>79.793396226400006</v>
      </c>
      <c r="BO71">
        <v>3205</v>
      </c>
      <c r="BP71">
        <v>71</v>
      </c>
      <c r="BQ71">
        <v>146.08923556939999</v>
      </c>
      <c r="BR71">
        <v>130.60563380280001</v>
      </c>
      <c r="BS71">
        <v>639</v>
      </c>
      <c r="BT71">
        <v>191</v>
      </c>
      <c r="BU71">
        <v>120.6713615023</v>
      </c>
      <c r="BV71">
        <v>7221</v>
      </c>
      <c r="BW71">
        <v>107</v>
      </c>
      <c r="BX71">
        <v>152.52471956790001</v>
      </c>
      <c r="BY71">
        <v>142.01869158880001</v>
      </c>
    </row>
    <row r="72" spans="62:121" x14ac:dyDescent="0.2">
      <c r="BJ72" t="s">
        <v>209</v>
      </c>
      <c r="BK72" t="s">
        <v>696</v>
      </c>
      <c r="BL72">
        <v>5891</v>
      </c>
      <c r="BM72">
        <v>717</v>
      </c>
      <c r="BN72">
        <v>68.461551519300002</v>
      </c>
      <c r="BO72">
        <v>27969</v>
      </c>
      <c r="BP72">
        <v>371</v>
      </c>
      <c r="BQ72">
        <v>70.652722657200002</v>
      </c>
      <c r="BR72">
        <v>69.754716981100003</v>
      </c>
      <c r="BS72">
        <v>5871</v>
      </c>
      <c r="BT72">
        <v>700</v>
      </c>
      <c r="BU72">
        <v>67.608073582000003</v>
      </c>
      <c r="BV72">
        <v>28131</v>
      </c>
      <c r="BW72">
        <v>373</v>
      </c>
      <c r="BX72">
        <v>70.839429810499993</v>
      </c>
      <c r="BY72">
        <v>69.7506702413</v>
      </c>
    </row>
    <row r="73" spans="62:121" x14ac:dyDescent="0.2">
      <c r="BJ73" t="s">
        <v>224</v>
      </c>
      <c r="BK73" t="s">
        <v>696</v>
      </c>
      <c r="BL73">
        <v>879</v>
      </c>
      <c r="BM73">
        <v>417</v>
      </c>
      <c r="BN73">
        <v>174.78156996589999</v>
      </c>
      <c r="BO73">
        <v>3611</v>
      </c>
      <c r="BP73">
        <v>27</v>
      </c>
      <c r="BQ73">
        <v>59.002769315999998</v>
      </c>
      <c r="BR73">
        <v>100.8148148148</v>
      </c>
      <c r="BS73">
        <v>817</v>
      </c>
      <c r="BT73">
        <v>440</v>
      </c>
      <c r="BU73">
        <v>192.62423500610001</v>
      </c>
      <c r="BV73">
        <v>2976</v>
      </c>
      <c r="BW73">
        <v>16</v>
      </c>
      <c r="BX73">
        <v>45.984206989199997</v>
      </c>
      <c r="BY73">
        <v>101.5</v>
      </c>
    </row>
    <row r="74" spans="62:121" x14ac:dyDescent="0.2">
      <c r="BJ74" t="s">
        <v>210</v>
      </c>
      <c r="BK74" t="s">
        <v>696</v>
      </c>
      <c r="BL74">
        <v>14163</v>
      </c>
      <c r="BM74">
        <v>1572</v>
      </c>
      <c r="BN74">
        <v>70.020405281400002</v>
      </c>
      <c r="BO74">
        <v>31679</v>
      </c>
      <c r="BP74">
        <v>400</v>
      </c>
      <c r="BQ74">
        <v>96.7834843272</v>
      </c>
      <c r="BR74">
        <v>100.91249999999999</v>
      </c>
      <c r="BS74">
        <v>14246</v>
      </c>
      <c r="BT74">
        <v>1578</v>
      </c>
      <c r="BU74">
        <v>70.046820159999996</v>
      </c>
      <c r="BV74">
        <v>31875</v>
      </c>
      <c r="BW74">
        <v>404</v>
      </c>
      <c r="BX74">
        <v>97.188831372500005</v>
      </c>
      <c r="BY74">
        <v>101.6683168317</v>
      </c>
    </row>
    <row r="75" spans="62:121" x14ac:dyDescent="0.2">
      <c r="BJ75" t="s">
        <v>212</v>
      </c>
      <c r="BK75" t="s">
        <v>696</v>
      </c>
      <c r="BL75">
        <v>7989</v>
      </c>
      <c r="BM75">
        <v>558</v>
      </c>
      <c r="BN75">
        <v>58.953310802399997</v>
      </c>
      <c r="BO75">
        <v>35254</v>
      </c>
      <c r="BP75">
        <v>455</v>
      </c>
      <c r="BQ75">
        <v>67.454388154499995</v>
      </c>
      <c r="BR75">
        <v>70.1956043956</v>
      </c>
      <c r="BS75">
        <v>7987</v>
      </c>
      <c r="BT75">
        <v>545</v>
      </c>
      <c r="BU75">
        <v>58.4645048203</v>
      </c>
      <c r="BV75">
        <v>35531</v>
      </c>
      <c r="BW75">
        <v>460</v>
      </c>
      <c r="BX75">
        <v>67.705918775200004</v>
      </c>
      <c r="BY75">
        <v>69.978260869600007</v>
      </c>
    </row>
    <row r="76" spans="62:121" x14ac:dyDescent="0.2">
      <c r="BJ76" t="s">
        <v>696</v>
      </c>
      <c r="BK76" t="s">
        <v>696</v>
      </c>
      <c r="BL76">
        <v>28922</v>
      </c>
      <c r="BM76">
        <v>3264</v>
      </c>
      <c r="BN76">
        <v>69.829783555800006</v>
      </c>
      <c r="BO76">
        <v>98513</v>
      </c>
      <c r="BP76">
        <v>1253</v>
      </c>
      <c r="BQ76">
        <v>77.484047790600002</v>
      </c>
      <c r="BR76">
        <v>80.530726256999998</v>
      </c>
      <c r="BS76">
        <v>28921</v>
      </c>
      <c r="BT76">
        <v>3263</v>
      </c>
      <c r="BU76">
        <v>69.815843158999996</v>
      </c>
      <c r="BV76">
        <v>98513</v>
      </c>
      <c r="BW76">
        <v>1253</v>
      </c>
      <c r="BX76">
        <v>77.484047790600002</v>
      </c>
      <c r="BY76">
        <v>80.530726256999998</v>
      </c>
    </row>
    <row r="77" spans="62:121" x14ac:dyDescent="0.2">
      <c r="BJ77" t="s">
        <v>307</v>
      </c>
      <c r="BK77" t="s">
        <v>697</v>
      </c>
      <c r="BL77">
        <v>5557</v>
      </c>
      <c r="BM77">
        <v>1032</v>
      </c>
      <c r="BN77">
        <v>77.919201007699996</v>
      </c>
      <c r="BO77">
        <v>11067</v>
      </c>
      <c r="BP77">
        <v>297</v>
      </c>
      <c r="BQ77">
        <v>143.2213788741</v>
      </c>
      <c r="BR77">
        <v>124.8114478114</v>
      </c>
      <c r="BS77">
        <v>6157</v>
      </c>
      <c r="BT77">
        <v>908</v>
      </c>
      <c r="BU77">
        <v>66.878999512700005</v>
      </c>
      <c r="BV77">
        <v>3348</v>
      </c>
      <c r="BW77">
        <v>74</v>
      </c>
      <c r="BX77">
        <v>135.0525686977</v>
      </c>
      <c r="BY77">
        <v>124.4189189189</v>
      </c>
    </row>
    <row r="78" spans="62:121" x14ac:dyDescent="0.2">
      <c r="BJ78" t="s">
        <v>956</v>
      </c>
      <c r="BK78" t="s">
        <v>697</v>
      </c>
      <c r="BL78">
        <v>1124</v>
      </c>
      <c r="BM78">
        <v>154</v>
      </c>
      <c r="BN78">
        <v>67.154804270499994</v>
      </c>
      <c r="BO78">
        <v>3339</v>
      </c>
      <c r="BP78">
        <v>41</v>
      </c>
      <c r="BQ78">
        <v>126.42767295599999</v>
      </c>
      <c r="BR78">
        <v>115.3170731707</v>
      </c>
      <c r="BS78">
        <v>976</v>
      </c>
      <c r="BT78">
        <v>255</v>
      </c>
      <c r="BU78">
        <v>98.847336065600004</v>
      </c>
      <c r="BV78">
        <v>7483</v>
      </c>
      <c r="BW78">
        <v>174</v>
      </c>
      <c r="BX78">
        <v>128.36656421219999</v>
      </c>
      <c r="BY78">
        <v>104.58045977010001</v>
      </c>
    </row>
    <row r="79" spans="62:121" x14ac:dyDescent="0.2">
      <c r="BJ79" t="s">
        <v>697</v>
      </c>
      <c r="BK79" t="s">
        <v>697</v>
      </c>
      <c r="BL79">
        <v>7785</v>
      </c>
      <c r="BM79">
        <v>1418</v>
      </c>
      <c r="BN79">
        <v>76.237251123999997</v>
      </c>
      <c r="BO79">
        <v>17192</v>
      </c>
      <c r="BP79">
        <v>393</v>
      </c>
      <c r="BQ79">
        <v>141.69288040949999</v>
      </c>
      <c r="BR79">
        <v>123.9134860051</v>
      </c>
      <c r="BS79">
        <v>7785</v>
      </c>
      <c r="BT79">
        <v>1418</v>
      </c>
      <c r="BU79">
        <v>76.237251123999997</v>
      </c>
      <c r="BV79">
        <v>17192</v>
      </c>
      <c r="BW79">
        <v>393</v>
      </c>
      <c r="BX79">
        <v>141.69288040949999</v>
      </c>
      <c r="BY79">
        <v>123.9134860051</v>
      </c>
    </row>
    <row r="80" spans="62:121" x14ac:dyDescent="0.2">
      <c r="BJ80" t="s">
        <v>957</v>
      </c>
      <c r="BK80" t="s">
        <v>697</v>
      </c>
      <c r="BL80">
        <v>1104</v>
      </c>
      <c r="BM80">
        <v>232</v>
      </c>
      <c r="BN80">
        <v>77.018115941999994</v>
      </c>
      <c r="BO80">
        <v>2786</v>
      </c>
      <c r="BP80">
        <v>55</v>
      </c>
      <c r="BQ80">
        <v>153.916367552</v>
      </c>
      <c r="BR80">
        <v>125.4727272727</v>
      </c>
      <c r="BS80">
        <v>652</v>
      </c>
      <c r="BT80">
        <v>255</v>
      </c>
      <c r="BU80">
        <v>130.76380368100001</v>
      </c>
      <c r="BV80">
        <v>6361</v>
      </c>
      <c r="BW80">
        <v>145</v>
      </c>
      <c r="BX80">
        <v>160.86480113190001</v>
      </c>
      <c r="BY80">
        <v>146.85517241380001</v>
      </c>
    </row>
    <row r="81" spans="62:77" x14ac:dyDescent="0.2">
      <c r="BJ81" t="s">
        <v>698</v>
      </c>
      <c r="BL81">
        <v>360502</v>
      </c>
      <c r="BM81">
        <v>76201</v>
      </c>
      <c r="BN81" s="153">
        <v>89.191482987599997</v>
      </c>
      <c r="BO81">
        <v>855563</v>
      </c>
      <c r="BP81">
        <v>13918</v>
      </c>
      <c r="BQ81">
        <v>123.4740399012</v>
      </c>
      <c r="BR81">
        <v>121.8819514298</v>
      </c>
      <c r="BS81">
        <v>360502</v>
      </c>
      <c r="BT81">
        <v>76201</v>
      </c>
      <c r="BU81">
        <v>89.191482987599997</v>
      </c>
      <c r="BV81">
        <v>855563</v>
      </c>
      <c r="BW81">
        <v>13918</v>
      </c>
      <c r="BX81">
        <v>123.4740399012</v>
      </c>
      <c r="BY81">
        <v>121.8819514298</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360502</CP_Inventory>
    <Fiscal_Year xmlns="c9744be7-b815-40bc-84fa-afc9c406d9bc">2016</Fiscal_Year>
    <CP_Backlog xmlns="c9744be7-b815-40bc-84fa-afc9c406d9bc">76201</CP_Backlog>
    <Creation_date xmlns="c9744be7-b815-40bc-84fa-afc9c406d9bc">2016-06-06T01:00:00-05:00</Creation_date>
    <Data_date xmlns="c9744be7-b815-40bc-84fa-afc9c406d9bc">2016-06-04T01:00:00-05:00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www.w3.org/XML/1998/namespace"/>
    <ds:schemaRef ds:uri="http://purl.org/dc/terms/"/>
    <ds:schemaRef ds:uri="http://schemas.microsoft.com/office/infopath/2007/PartnerControls"/>
    <ds:schemaRef ds:uri="fef9c9dc-374b-4157-9e06-089f148416e5"/>
    <ds:schemaRef ds:uri="c9744be7-b815-40bc-84fa-afc9c406d9bc"/>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6,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2016-06-06T12:41:11Z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