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65401" windowWidth="18105" windowHeight="11250"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'Accrued_Data'!$A$2:$D$51</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'Transformation_Data'!$A$2:$B$50</definedName>
    <definedName name="Query_from_MS_Access_Database_6" localSheetId="9">'Transformation_Data'!$C$2:$D$50</definedName>
    <definedName name="Query_from_MS_Access_Database_7" localSheetId="9">'Transformation_Data'!$A$54:$A$56</definedName>
    <definedName name="Query_from_MS_Access_Database_8" localSheetId="9">'Transformation_Data'!$C$54:$C$56</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2"/>
          </rPr>
          <t>PA Tom Elwell:</t>
        </r>
        <r>
          <rPr>
            <sz val="8"/>
            <rFont val="Tahoma"/>
            <family val="2"/>
          </rPr>
          <t xml:space="preserve">
All SB cases attributed to Denver</t>
        </r>
      </text>
    </comment>
    <comment ref="H4" authorId="0">
      <text>
        <r>
          <rPr>
            <b/>
            <sz val="8"/>
            <rFont val="Tahoma"/>
            <family val="2"/>
          </rPr>
          <t>PA Tom Elwell:</t>
        </r>
        <r>
          <rPr>
            <sz val="8"/>
            <rFont val="Tahoma"/>
            <family val="2"/>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2"/>
          </rPr>
          <t>PA Tom Elwell:</t>
        </r>
        <r>
          <rPr>
            <sz val="8"/>
            <rFont val="Tahoma"/>
            <family val="2"/>
          </rPr>
          <t xml:space="preserve">
Includes Non-Ros: AMC, Washington CO, and the St. Louis RMC</t>
        </r>
      </text>
    </comment>
    <comment ref="E9" authorId="0">
      <text>
        <r>
          <rPr>
            <b/>
            <sz val="8"/>
            <rFont val="Tahoma"/>
            <family val="2"/>
          </rPr>
          <t>PA Tom Elwell:</t>
        </r>
        <r>
          <rPr>
            <sz val="8"/>
            <rFont val="Tahoma"/>
            <family val="2"/>
          </rPr>
          <t xml:space="preserve">
135s at Milwaukee, Philadelphia and St. Paul are attributed to PMCs only</t>
        </r>
      </text>
    </comment>
    <comment ref="P9" authorId="0">
      <text>
        <r>
          <rPr>
            <b/>
            <sz val="8"/>
            <rFont val="Tahoma"/>
            <family val="2"/>
          </rPr>
          <t>PA Tom Elwell:</t>
        </r>
        <r>
          <rPr>
            <sz val="8"/>
            <rFont val="Tahoma"/>
            <family val="2"/>
          </rPr>
          <t xml:space="preserve">
From standard MMWL VACOLS report </t>
        </r>
      </text>
    </comment>
    <comment ref="A57" authorId="1">
      <text>
        <r>
          <rPr>
            <b/>
            <sz val="8"/>
            <rFont val="Tahoma"/>
            <family val="2"/>
          </rPr>
          <t>dmokwall:</t>
        </r>
        <r>
          <rPr>
            <sz val="8"/>
            <rFont val="Tahoma"/>
            <family val="2"/>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2"/>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<sst xmlns="http://schemas.openxmlformats.org/spreadsheetml/2006/main" count="1441" uniqueCount="597">
  <si>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</si>
  <si>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</si>
  <si>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</si>
  <si>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</si>
  <si>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</si>
  <si>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</si>
  <si>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</si>
  <si>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</si>
  <si>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</si>
  <si>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</si>
  <si>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</si>
  <si>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</si>
  <si>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</si>
  <si>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</si>
  <si>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</si>
  <si>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</si>
  <si>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</si>
  <si>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</si>
  <si>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</si>
  <si>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</si>
  <si>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</si>
  <si>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</si>
  <si>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</si>
  <si>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</si>
  <si>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</si>
  <si>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</si>
  <si>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</si>
  <si>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</si>
  <si>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</si>
  <si>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</si>
  <si>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</si>
  <si>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</si>
  <si>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</si>
  <si>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</si>
  <si>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</si>
  <si>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</si>
  <si>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</si>
  <si>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</si>
  <si>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</si>
  <si>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</si>
  <si>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</si>
  <si>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</si>
  <si>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</si>
  <si>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</si>
  <si>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</si>
  <si>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</si>
  <si>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</si>
  <si>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</si>
  <si>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</si>
  <si>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</si>
  <si>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</si>
  <si>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</si>
  <si>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</si>
  <si>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</si>
  <si>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</si>
  <si>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</si>
  <si>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</si>
  <si>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</si>
  <si>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</si>
  <si>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</si>
  <si>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</si>
  <si>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</si>
  <si>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</si>
  <si>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</si>
  <si>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</si>
  <si>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</si>
  <si>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</si>
  <si>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</si>
  <si>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</si>
  <si>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</si>
  <si>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</si>
  <si>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</si>
  <si>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</si>
  <si>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</si>
  <si>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</si>
  <si>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</si>
  <si>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</si>
  <si>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</si>
  <si>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</si>
  <si>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</si>
  <si>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</si>
  <si>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</si>
  <si>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</si>
  <si>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</si>
  <si>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</si>
  <si>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</si>
  <si>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</si>
  <si>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</si>
  <si>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</si>
  <si>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</si>
  <si>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</si>
  <si>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</si>
  <si>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</si>
  <si>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</si>
  <si>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</si>
  <si>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</si>
  <si>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</si>
  <si>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</si>
  <si>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</si>
  <si>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</si>
  <si>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</si>
  <si>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</si>
  <si>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</si>
  <si>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</si>
  <si>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</si>
  <si>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</si>
  <si>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</si>
  <si>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</si>
  <si>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</si>
  <si>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</si>
  <si>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</si>
  <si>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</si>
  <si>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</si>
  <si>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</si>
  <si>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</si>
  <si>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</si>
  <si>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</si>
  <si>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</si>
  <si>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</si>
  <si>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</si>
  <si>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</si>
  <si>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</si>
  <si>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</si>
  <si>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</si>
  <si>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</si>
  <si>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</si>
  <si>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</si>
  <si>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</si>
  <si>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</si>
  <si>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</si>
  <si>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</si>
  <si>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</si>
  <si>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</si>
  <si>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</si>
  <si>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</si>
  <si>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</si>
  <si>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</si>
  <si>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</si>
  <si>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</si>
  <si>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</si>
  <si>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</si>
  <si>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</si>
  <si>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</si>
  <si>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</si>
  <si>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</si>
  <si>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</si>
  <si>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</si>
  <si>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</si>
  <si>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</si>
  <si>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</si>
  <si>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</si>
  <si>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</si>
  <si>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</si>
  <si>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</si>
  <si>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</si>
  <si>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</si>
  <si>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</si>
  <si>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</si>
  <si>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</si>
  <si>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</si>
  <si>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</si>
  <si>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</si>
  <si>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</si>
  <si>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</si>
  <si>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</si>
  <si>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</si>
  <si>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</si>
  <si>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</si>
  <si>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</si>
  <si>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</si>
  <si>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</si>
  <si>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</si>
  <si>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</si>
  <si>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</si>
  <si>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</si>
  <si>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</si>
  <si>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</si>
  <si>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</si>
  <si>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</si>
  <si>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</si>
  <si>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</si>
  <si>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</si>
  <si>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</si>
  <si>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</si>
  <si>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</si>
  <si>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</si>
  <si>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</si>
  <si>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</si>
  <si>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</si>
  <si>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</si>
  <si>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</si>
  <si>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</si>
  <si>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</si>
  <si>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</si>
  <si>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</si>
  <si>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</si>
  <si>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</si>
  <si>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</si>
  <si>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</si>
  <si>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</si>
  <si>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</si>
  <si>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</si>
  <si>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</si>
  <si>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</si>
  <si>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</si>
  <si>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</si>
  <si>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</si>
  <si>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</si>
  <si>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</si>
  <si>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</si>
  <si>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</si>
  <si>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</si>
  <si>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</si>
  <si>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</si>
  <si>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</si>
  <si>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</si>
  <si>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</si>
  <si>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</si>
  <si>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</si>
  <si>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</si>
  <si>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</si>
  <si>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</si>
  <si>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</si>
  <si>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</si>
  <si>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</si>
  <si>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</si>
  <si>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</si>
  <si>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</si>
  <si>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</si>
  <si>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</si>
  <si>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</si>
  <si>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</si>
  <si>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</si>
  <si>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</si>
  <si>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</si>
  <si>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</si>
  <si>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</si>
  <si>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</si>
  <si>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</si>
  <si>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</si>
  <si>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</si>
  <si>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</si>
  <si>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</si>
  <si>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</si>
  <si>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</si>
  <si>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</si>
  <si>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</si>
  <si>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</si>
  <si>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</si>
  <si>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</si>
  <si>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</si>
  <si>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</si>
  <si>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</si>
  <si>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</si>
  <si>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</si>
  <si>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</si>
  <si>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</si>
  <si>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</si>
  <si>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</si>
  <si>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</si>
  <si>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</si>
  <si>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</si>
  <si>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</si>
  <si>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</si>
  <si>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</si>
  <si>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</si>
  <si>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</si>
  <si>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</si>
  <si>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</si>
  <si>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</si>
  <si>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</si>
  <si>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</si>
  <si>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</si>
  <si>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</si>
  <si>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</si>
  <si>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</si>
  <si>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</si>
  <si>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</si>
  <si>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</si>
  <si>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</si>
  <si>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</si>
  <si>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</si>
  <si>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</si>
  <si>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</si>
  <si>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</si>
  <si>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</si>
  <si>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</si>
  <si>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</si>
  <si>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</si>
  <si>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</si>
  <si>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</si>
  <si>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</si>
  <si>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</si>
  <si>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</si>
  <si>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</si>
  <si>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</si>
  <si>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</si>
  <si>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</si>
  <si>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</si>
  <si>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</si>
  <si>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</si>
  <si>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</si>
  <si>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</si>
  <si>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</si>
  <si>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</si>
  <si>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</si>
  <si>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</si>
  <si>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</si>
  <si>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</si>
  <si>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</si>
  <si>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</si>
  <si>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</si>
  <si>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</si>
  <si>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</si>
  <si>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</si>
  <si>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</si>
  <si>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</si>
  <si>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</si>
  <si>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</si>
  <si>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</si>
  <si>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</si>
  <si>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</si>
  <si>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</si>
  <si>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</si>
  <si>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</si>
  <si>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</si>
  <si>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</si>
  <si>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</si>
  <si>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</si>
  <si>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</si>
  <si>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</si>
  <si>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</si>
  <si>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</si>
  <si>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</si>
  <si>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</si>
  <si>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</si>
  <si>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</si>
  <si>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</si>
  <si>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</si>
  <si>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</si>
  <si>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</si>
  <si>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</si>
  <si>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</si>
  <si>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</si>
  <si>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</si>
  <si>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</si>
  <si>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</si>
  <si>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</si>
  <si>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</si>
  <si>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</si>
  <si>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</si>
  <si>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</si>
  <si>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</si>
  <si>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</si>
  <si>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</si>
  <si>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</si>
  <si>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</si>
  <si>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</si>
  <si>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</si>
  <si>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</si>
  <si>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</si>
  <si>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</si>
  <si>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</si>
  <si>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</si>
  <si>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</si>
  <si>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</si>
  <si>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</si>
  <si>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</si>
  <si>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</si>
  <si>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</si>
  <si>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</si>
  <si>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</si>
  <si>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</si>
  <si>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</si>
  <si>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</si>
  <si>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</si>
  <si>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</si>
  <si>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</si>
  <si>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</si>
  <si>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</si>
  <si>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</si>
  <si>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</si>
  <si>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</si>
  <si>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</si>
  <si>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</si>
  <si>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</si>
  <si>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</si>
  <si>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</si>
  <si>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</si>
  <si>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</si>
  <si>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</si>
  <si>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</si>
  <si>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</si>
  <si>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</si>
  <si>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</si>
  <si>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</si>
  <si>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</si>
  <si>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</si>
  <si>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</si>
  <si>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</si>
  <si>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</si>
  <si>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</si>
  <si>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</si>
  <si>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</si>
  <si>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</si>
  <si>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</si>
  <si>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</si>
  <si>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</si>
  <si>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</si>
  <si>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</si>
  <si>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</si>
  <si>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</si>
  <si>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</si>
  <si>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</si>
  <si>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</si>
  <si>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</si>
  <si>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</si>
  <si>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</si>
  <si>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</si>
  <si>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</si>
  <si>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</si>
  <si>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</si>
  <si>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</si>
  <si>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</si>
  <si>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</si>
  <si>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</si>
  <si>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</si>
  <si>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</si>
  <si>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</si>
  <si>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</si>
  <si>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</si>
  <si>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</si>
  <si>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</si>
  <si>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</si>
  <si>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</si>
  <si>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</si>
  <si>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</si>
  <si>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</si>
  <si>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</si>
  <si>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</si>
  <si>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</si>
  <si>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</si>
  <si>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</si>
  <si>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</si>
  <si>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</si>
  <si>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</si>
  <si>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</si>
  <si>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</si>
  <si>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</si>
  <si>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</si>
  <si>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</si>
  <si>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</si>
  <si>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</si>
  <si>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</si>
  <si>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</si>
  <si>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</si>
  <si>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</si>
  <si>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</si>
  <si>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</si>
  <si>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</si>
  <si>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</si>
  <si>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</si>
  <si>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</si>
  <si>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</si>
  <si>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</si>
  <si>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</si>
  <si>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</si>
  <si>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</si>
  <si>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</si>
  <si>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</si>
  <si>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</si>
  <si>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</si>
  <si>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</si>
  <si>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</si>
  <si>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</si>
  <si>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</si>
  <si>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</si>
  <si>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</si>
  <si>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</si>
  <si>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</si>
  <si>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</si>
  <si>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</si>
  <si>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</si>
  <si>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</si>
  <si>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</si>
  <si>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</si>
  <si>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</si>
  <si>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</si>
  <si>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</si>
  <si>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</si>
  <si>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</si>
  <si>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</si>
  <si>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</si>
  <si>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</si>
  <si>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</si>
  <si>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</si>
  <si>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</si>
  <si>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</si>
  <si>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</si>
  <si>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</si>
  <si>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</si>
  <si>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</si>
  <si>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</si>
  <si>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</si>
  <si>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</si>
  <si>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</si>
  <si>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</si>
  <si>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</si>
  <si>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</si>
  <si>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</si>
  <si>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</si>
  <si>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</si>
  <si>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</si>
  <si>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</si>
  <si>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</si>
  <si>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</si>
  <si>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</si>
  <si>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</si>
  <si>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</si>
  <si>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</si>
  <si>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</si>
  <si>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</si>
  <si>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</si>
  <si>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</si>
  <si>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</si>
  <si>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</si>
  <si>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</si>
  <si>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</si>
  <si>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</si>
  <si>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</si>
  <si>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</si>
  <si>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</si>
  <si>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</si>
  <si>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</si>
  <si>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</si>
  <si>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</si>
  <si>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</si>
  <si>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</si>
  <si>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</si>
  <si>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</si>
  <si>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</si>
  <si>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</si>
  <si>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</si>
  <si>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</si>
  <si>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</si>
  <si>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</si>
  <si>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</si>
  <si>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</si>
  <si>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</si>
  <si>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</si>
  <si>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</si>
  <si>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</si>
  <si>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</si>
  <si>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</si>
  <si>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</si>
  <si>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</si>
  <si>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</si>
  <si>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</si>
  <si>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</si>
  <si>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</si>
  <si>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</si>
  <si>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</si>
  <si>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</si>
  <si>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</si>
  <si>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</si>
  <si>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</si>
  <si>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</si>
  <si>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</si>
  <si>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</si>
  <si>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</si>
  <si>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</si>
  <si>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</si>
  <si>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</si>
  <si>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</si>
  <si>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</si>
  <si>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</si>
  <si>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</si>
  <si>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</si>
  <si>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</si>
  <si>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</si>
  <si>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</si>
  <si>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</si>
  <si>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</si>
  <si>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</si>
  <si>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</si>
  <si>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</si>
  <si>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</si>
  <si>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</si>
  <si>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</si>
  <si>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</si>
  <si>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</si>
  <si>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</si>
  <si>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Reopened or new Agent Orange claims prior to After 9/01/10</t>
  </si>
  <si>
    <t>Agent Orange claims where an interim decision was provided</t>
  </si>
  <si>
    <r>
      <t xml:space="preserve">Agent Orange presumptives </t>
    </r>
    <r>
      <rPr>
        <vertAlign val="superscript"/>
        <sz val="12"/>
        <rFont val="Arial"/>
        <family val="2"/>
      </rPr>
      <t>3</t>
    </r>
  </si>
  <si>
    <t>0</t>
  </si>
  <si>
    <t>As Of October 22, 2012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</si>
</sst>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79">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2"/>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68">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4"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4"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4" applyNumberFormat="1" applyFont="1" applyBorder="1" applyAlignment="1">
      <alignment/>
    </xf>
    <xf numFmtId="3" fontId="0" fillId="0" borderId="15" xfId="0" applyNumberFormat="1" applyBorder="1" applyAlignment="1">
      <alignment/>
    </xf>
    <xf numFmtId="174" fontId="0" fillId="33" borderId="0" xfId="64"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4" applyNumberFormat="1" applyFont="1" applyBorder="1" applyAlignment="1">
      <alignment horizontal="center"/>
    </xf>
    <xf numFmtId="0" fontId="3" fillId="0" borderId="0" xfId="0" applyFont="1" applyBorder="1" applyAlignment="1">
      <alignment wrapText="1"/>
    </xf>
    <xf numFmtId="4" fontId="6" fillId="33" borderId="15" xfId="0" applyNumberFormat="1" applyFont="1" applyFill="1" applyBorder="1" applyAlignment="1">
      <alignment vertical="center" wrapText="1"/>
    </xf>
    <xf numFmtId="174" fontId="0" fillId="33" borderId="15" xfId="64" applyNumberFormat="1" applyFont="1" applyFill="1" applyBorder="1" applyAlignment="1">
      <alignment/>
    </xf>
    <xf numFmtId="3" fontId="0" fillId="33" borderId="15"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0" fontId="10" fillId="34" borderId="18" xfId="0" applyFont="1" applyFill="1" applyBorder="1" applyAlignment="1">
      <alignment vertical="center" wrapText="1"/>
    </xf>
    <xf numFmtId="0" fontId="11" fillId="34" borderId="18" xfId="0" applyFont="1" applyFill="1" applyBorder="1" applyAlignment="1">
      <alignment vertical="center" wrapText="1"/>
    </xf>
    <xf numFmtId="0" fontId="16" fillId="34" borderId="18"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5"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19" xfId="42" applyNumberFormat="1" applyFont="1" applyFill="1" applyBorder="1" applyAlignment="1">
      <alignment horizontal="center" vertical="center" wrapText="1"/>
    </xf>
    <xf numFmtId="3" fontId="17" fillId="33" borderId="14"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4" applyNumberFormat="1" applyFont="1" applyFill="1" applyBorder="1" applyAlignment="1">
      <alignment horizontal="center" vertical="center" wrapText="1"/>
    </xf>
    <xf numFmtId="174" fontId="18" fillId="34" borderId="0" xfId="64"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4" applyNumberFormat="1" applyFont="1" applyBorder="1" applyAlignment="1">
      <alignment horizontal="center"/>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0" xfId="64" applyNumberFormat="1" applyFont="1" applyBorder="1" applyAlignment="1">
      <alignment horizontal="right"/>
    </xf>
    <xf numFmtId="4" fontId="2" fillId="0" borderId="21" xfId="0" applyNumberFormat="1" applyFont="1" applyFill="1" applyBorder="1" applyAlignment="1">
      <alignment vertical="center" wrapText="1"/>
    </xf>
    <xf numFmtId="173" fontId="0" fillId="0" borderId="16" xfId="42" applyNumberFormat="1" applyFont="1" applyFill="1" applyBorder="1" applyAlignment="1">
      <alignment horizontal="center"/>
    </xf>
    <xf numFmtId="174" fontId="0" fillId="0" borderId="16" xfId="64" applyNumberFormat="1" applyFont="1" applyFill="1" applyBorder="1" applyAlignment="1">
      <alignment horizontal="right"/>
    </xf>
    <xf numFmtId="4" fontId="1" fillId="0" borderId="16" xfId="0" applyNumberFormat="1" applyFont="1" applyFill="1" applyBorder="1" applyAlignment="1">
      <alignment vertical="center" wrapText="1"/>
    </xf>
    <xf numFmtId="173" fontId="0" fillId="0" borderId="16" xfId="42" applyNumberFormat="1" applyFont="1" applyBorder="1" applyAlignment="1">
      <alignment horizontal="center"/>
    </xf>
    <xf numFmtId="174" fontId="0" fillId="0" borderId="16" xfId="64" applyNumberFormat="1" applyFont="1" applyBorder="1" applyAlignment="1">
      <alignment horizontal="right"/>
    </xf>
    <xf numFmtId="173" fontId="0" fillId="0" borderId="20" xfId="42" applyNumberFormat="1" applyFont="1" applyBorder="1" applyAlignment="1">
      <alignment horizontal="center"/>
    </xf>
    <xf numFmtId="4" fontId="1" fillId="0" borderId="2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4" applyNumberFormat="1" applyFont="1" applyBorder="1" applyAlignment="1">
      <alignment/>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5"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8" xfId="0" applyNumberFormat="1"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61">
      <alignment/>
      <protection/>
    </xf>
    <xf numFmtId="0" fontId="26" fillId="0" borderId="0" xfId="61" applyFont="1">
      <alignment/>
      <protection/>
    </xf>
    <xf numFmtId="0" fontId="0" fillId="0" borderId="0" xfId="61" applyAlignment="1">
      <alignment horizontal="right"/>
      <protection/>
    </xf>
    <xf numFmtId="14" fontId="27" fillId="0" borderId="0" xfId="61" applyNumberFormat="1" applyFont="1">
      <alignment/>
      <protection/>
    </xf>
    <xf numFmtId="14" fontId="0" fillId="0" borderId="0" xfId="61" applyNumberFormat="1">
      <alignment/>
      <protection/>
    </xf>
    <xf numFmtId="0" fontId="0" fillId="35" borderId="17" xfId="0" applyFill="1" applyBorder="1" applyAlignment="1">
      <alignment/>
    </xf>
    <xf numFmtId="3" fontId="29" fillId="33" borderId="19"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19" xfId="64" applyNumberFormat="1" applyFont="1" applyFill="1" applyBorder="1" applyAlignment="1">
      <alignment horizontal="center" vertical="center" wrapText="1"/>
    </xf>
    <xf numFmtId="3" fontId="30" fillId="33" borderId="17" xfId="42" applyNumberFormat="1" applyFont="1" applyFill="1" applyBorder="1" applyAlignment="1">
      <alignment horizontal="center" vertical="center" wrapText="1"/>
    </xf>
    <xf numFmtId="3" fontId="30" fillId="33" borderId="22" xfId="42" applyNumberFormat="1" applyFont="1" applyFill="1" applyBorder="1" applyAlignment="1">
      <alignment horizontal="center" vertical="center" wrapText="1"/>
    </xf>
    <xf numFmtId="174" fontId="30" fillId="33" borderId="0" xfId="64" applyNumberFormat="1" applyFont="1" applyFill="1" applyBorder="1" applyAlignment="1">
      <alignment horizontal="center" vertical="center" wrapText="1"/>
    </xf>
    <xf numFmtId="174" fontId="29" fillId="33" borderId="15" xfId="64" applyNumberFormat="1" applyFont="1" applyFill="1" applyBorder="1" applyAlignment="1">
      <alignment horizontal="center" vertical="center" wrapText="1"/>
    </xf>
    <xf numFmtId="3" fontId="29" fillId="33" borderId="14" xfId="42" applyNumberFormat="1" applyFont="1" applyFill="1" applyBorder="1" applyAlignment="1">
      <alignment horizontal="center" vertical="center" wrapText="1"/>
    </xf>
    <xf numFmtId="3" fontId="29" fillId="33" borderId="26"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61" applyFont="1" applyFill="1">
      <alignment/>
      <protection/>
    </xf>
    <xf numFmtId="0" fontId="26" fillId="0" borderId="0" xfId="61"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61"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35" borderId="22" xfId="0" applyFill="1" applyBorder="1" applyAlignment="1">
      <alignment/>
    </xf>
    <xf numFmtId="0" fontId="0" fillId="35"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7" applyAlignment="1" applyProtection="1">
      <alignment/>
      <protection/>
    </xf>
    <xf numFmtId="0" fontId="8" fillId="0" borderId="0" xfId="61" applyFont="1" applyBorder="1" applyAlignment="1">
      <alignment horizontal="center" wrapText="1"/>
      <protection/>
    </xf>
    <xf numFmtId="0" fontId="0" fillId="0" borderId="0" xfId="61" applyAlignment="1">
      <alignment wrapText="1"/>
      <protection/>
    </xf>
    <xf numFmtId="0" fontId="0" fillId="35" borderId="22"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10" fillId="34" borderId="24"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17"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33" borderId="36" xfId="0" applyNumberFormat="1" applyFont="1" applyFill="1" applyBorder="1" applyAlignment="1">
      <alignment horizontal="center" vertical="center" wrapText="1"/>
    </xf>
    <xf numFmtId="49" fontId="29" fillId="33" borderId="17"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1" fillId="33" borderId="37"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4" xfId="42" applyNumberFormat="1" applyFont="1" applyBorder="1" applyAlignment="1">
      <alignment horizontal="center"/>
    </xf>
    <xf numFmtId="173" fontId="0" fillId="0" borderId="16" xfId="42" applyNumberFormat="1" applyFont="1" applyBorder="1" applyAlignment="1">
      <alignment horizontal="right"/>
    </xf>
    <xf numFmtId="173" fontId="0" fillId="0" borderId="20" xfId="42" applyNumberFormat="1" applyFont="1" applyBorder="1" applyAlignment="1">
      <alignment horizontal="right"/>
    </xf>
    <xf numFmtId="173" fontId="0" fillId="0" borderId="16" xfId="42" applyNumberFormat="1" applyFont="1" applyFill="1" applyBorder="1" applyAlignment="1">
      <alignment horizontal="right"/>
    </xf>
    <xf numFmtId="0" fontId="0" fillId="0" borderId="0" xfId="61" applyFill="1">
      <alignment/>
      <protection/>
    </xf>
    <xf numFmtId="0" fontId="0" fillId="0" borderId="0" xfId="61" applyFill="1" applyAlignment="1">
      <alignment wrapText="1"/>
      <protection/>
    </xf>
    <xf numFmtId="0" fontId="0" fillId="0" borderId="0" xfId="61" applyFill="1" applyAlignment="1">
      <alignment horizontal="right"/>
      <protection/>
    </xf>
    <xf numFmtId="174" fontId="30" fillId="33" borderId="38" xfId="64" applyNumberFormat="1" applyFont="1" applyFill="1" applyBorder="1" applyAlignment="1">
      <alignment horizontal="center" vertical="center" wrapText="1"/>
    </xf>
    <xf numFmtId="174" fontId="30" fillId="33" borderId="25" xfId="64"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61"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61" applyFill="1" applyBorder="1">
      <alignment/>
      <protection/>
    </xf>
    <xf numFmtId="0" fontId="32" fillId="0" borderId="43" xfId="61" applyFont="1" applyFill="1" applyBorder="1" applyAlignment="1">
      <alignment horizontal="center"/>
      <protection/>
    </xf>
    <xf numFmtId="0" fontId="32" fillId="0" borderId="26" xfId="61" applyFont="1" applyBorder="1">
      <alignment/>
      <protection/>
    </xf>
    <xf numFmtId="0" fontId="32" fillId="0" borderId="0" xfId="61" applyFont="1">
      <alignment/>
      <protection/>
    </xf>
    <xf numFmtId="0" fontId="5" fillId="34" borderId="0" xfId="0" applyFont="1" applyFill="1" applyBorder="1" applyAlignment="1">
      <alignment wrapText="1"/>
    </xf>
    <xf numFmtId="0" fontId="21" fillId="34" borderId="37" xfId="0" applyFont="1" applyFill="1" applyBorder="1" applyAlignment="1">
      <alignment vertical="center" wrapText="1"/>
    </xf>
    <xf numFmtId="0" fontId="21" fillId="34" borderId="37" xfId="0" applyFont="1" applyFill="1" applyBorder="1" applyAlignment="1">
      <alignment horizontal="left" vertical="center" wrapText="1"/>
    </xf>
    <xf numFmtId="0" fontId="9" fillId="34" borderId="37" xfId="0" applyFont="1" applyFill="1" applyBorder="1" applyAlignment="1">
      <alignment horizontal="center" vertical="center" wrapText="1"/>
    </xf>
    <xf numFmtId="0" fontId="17" fillId="34" borderId="37" xfId="0" applyFont="1" applyFill="1" applyBorder="1" applyAlignment="1">
      <alignment horizontal="right" vertical="center" wrapText="1"/>
    </xf>
    <xf numFmtId="0" fontId="10" fillId="3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0"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4" applyNumberFormat="1" applyFont="1" applyBorder="1" applyAlignment="1">
      <alignment/>
    </xf>
    <xf numFmtId="173" fontId="8" fillId="0" borderId="20" xfId="0" applyNumberFormat="1" applyFont="1" applyBorder="1" applyAlignment="1">
      <alignment horizontal="center"/>
    </xf>
    <xf numFmtId="174" fontId="8" fillId="0" borderId="20" xfId="64" applyNumberFormat="1" applyFont="1" applyBorder="1" applyAlignment="1">
      <alignment horizontal="right"/>
    </xf>
    <xf numFmtId="173" fontId="8" fillId="0" borderId="14" xfId="0" applyNumberFormat="1" applyFont="1" applyBorder="1" applyAlignment="1">
      <alignment horizontal="center"/>
    </xf>
    <xf numFmtId="173" fontId="8" fillId="0" borderId="13" xfId="42" applyNumberFormat="1" applyFont="1" applyBorder="1" applyAlignment="1">
      <alignment/>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8" xfId="0" applyFont="1" applyFill="1" applyBorder="1" applyAlignment="1">
      <alignment vertical="center"/>
    </xf>
    <xf numFmtId="0" fontId="5" fillId="34" borderId="17" xfId="0" applyFont="1" applyFill="1" applyBorder="1" applyAlignment="1">
      <alignment vertical="center"/>
    </xf>
    <xf numFmtId="0" fontId="5" fillId="3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7"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7" xfId="0" applyNumberFormat="1" applyFill="1"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7" xfId="0" applyNumberFormat="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4" applyNumberFormat="1" applyFont="1" applyFill="1" applyBorder="1" applyAlignment="1" applyProtection="1">
      <alignment/>
      <protection/>
    </xf>
    <xf numFmtId="173" fontId="0" fillId="0" borderId="13" xfId="0" applyNumberForma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36" borderId="19" xfId="0" applyFont="1" applyFill="1" applyBorder="1" applyAlignment="1" applyProtection="1">
      <alignment horizontal="center" wrapText="1"/>
      <protection/>
    </xf>
    <xf numFmtId="0" fontId="0" fillId="0" borderId="0" xfId="0" applyAlignment="1" applyProtection="1">
      <alignment wrapText="1"/>
      <protection/>
    </xf>
    <xf numFmtId="0" fontId="8" fillId="0" borderId="15" xfId="0" applyFont="1" applyBorder="1" applyAlignment="1" applyProtection="1">
      <alignment wrapText="1"/>
      <protection/>
    </xf>
    <xf numFmtId="0" fontId="8" fillId="0" borderId="15" xfId="0" applyFont="1" applyFill="1" applyBorder="1" applyAlignment="1" applyProtection="1">
      <alignment wrapText="1"/>
      <protection/>
    </xf>
    <xf numFmtId="0" fontId="8" fillId="0" borderId="19" xfId="0" applyFont="1" applyBorder="1" applyAlignment="1" applyProtection="1">
      <alignment wrapText="1"/>
      <protection/>
    </xf>
    <xf numFmtId="0" fontId="33" fillId="0" borderId="0" xfId="0" applyFont="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4" applyNumberFormat="1" applyFont="1" applyFill="1" applyBorder="1" applyAlignment="1" applyProtection="1">
      <alignment horizontal="right"/>
      <protection/>
    </xf>
    <xf numFmtId="177" fontId="0" fillId="35" borderId="0" xfId="0" applyNumberFormat="1" applyFont="1" applyFill="1" applyAlignment="1" applyProtection="1">
      <alignment/>
      <protection locked="0"/>
    </xf>
    <xf numFmtId="0" fontId="27" fillId="0" borderId="0" xfId="61" applyFont="1" applyAlignment="1">
      <alignment horizontal="right"/>
      <protection/>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3" borderId="0" xfId="42" applyNumberFormat="1" applyFont="1" applyFill="1" applyAlignment="1" applyProtection="1">
      <alignment/>
      <protection locked="0"/>
    </xf>
    <xf numFmtId="3" fontId="0" fillId="0" borderId="0" xfId="0" applyNumberFormat="1" applyFill="1" applyAlignment="1">
      <alignment/>
    </xf>
    <xf numFmtId="174" fontId="0" fillId="0" borderId="0" xfId="64" applyNumberFormat="1" applyFont="1" applyFill="1" applyAlignment="1">
      <alignment/>
    </xf>
    <xf numFmtId="3" fontId="0" fillId="0" borderId="15" xfId="0" applyNumberFormat="1" applyFill="1" applyBorder="1" applyAlignment="1">
      <alignment/>
    </xf>
    <xf numFmtId="174" fontId="0" fillId="0" borderId="15" xfId="64"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0" xfId="0" applyNumberFormat="1" applyFont="1" applyFill="1" applyBorder="1" applyAlignment="1">
      <alignment/>
    </xf>
    <xf numFmtId="0" fontId="8" fillId="0" borderId="15" xfId="0" applyFont="1" applyBorder="1" applyAlignment="1" applyProtection="1">
      <alignment horizontal="center" wrapText="1"/>
      <protection/>
    </xf>
    <xf numFmtId="0" fontId="36" fillId="0" borderId="0" xfId="57"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7" borderId="15" xfId="0" applyFont="1" applyFill="1" applyBorder="1" applyAlignment="1" applyProtection="1">
      <alignment wrapText="1"/>
      <protection/>
    </xf>
    <xf numFmtId="3" fontId="28" fillId="35"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35" borderId="0" xfId="0" applyFont="1" applyFill="1" applyAlignment="1" applyProtection="1">
      <alignment/>
      <protection locked="0"/>
    </xf>
    <xf numFmtId="173" fontId="28" fillId="35"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38" borderId="0" xfId="0" applyFill="1" applyAlignment="1" applyProtection="1">
      <alignment/>
      <protection locked="0"/>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35" borderId="12" xfId="0" applyNumberFormat="1" applyFill="1" applyBorder="1" applyAlignment="1" applyProtection="1">
      <alignment/>
      <protection locked="0"/>
    </xf>
    <xf numFmtId="3" fontId="0" fillId="0" borderId="0" xfId="0" applyNumberFormat="1" applyFill="1" applyBorder="1" applyAlignment="1">
      <alignment/>
    </xf>
    <xf numFmtId="0" fontId="29" fillId="33" borderId="15" xfId="0" applyFont="1" applyFill="1" applyBorder="1" applyAlignment="1">
      <alignment horizontal="center" vertical="center" wrapText="1"/>
    </xf>
    <xf numFmtId="174" fontId="30" fillId="33" borderId="48" xfId="64" applyNumberFormat="1" applyFont="1" applyFill="1" applyBorder="1" applyAlignment="1">
      <alignment horizontal="center" vertical="center" wrapText="1"/>
    </xf>
    <xf numFmtId="0" fontId="29" fillId="33" borderId="0" xfId="0" applyFont="1" applyFill="1" applyBorder="1" applyAlignment="1">
      <alignment horizontal="center" vertical="center" wrapText="1"/>
    </xf>
    <xf numFmtId="0" fontId="0" fillId="35" borderId="0" xfId="0" applyFill="1" applyAlignment="1">
      <alignment/>
    </xf>
    <xf numFmtId="3" fontId="8" fillId="35" borderId="49" xfId="0" applyNumberFormat="1" applyFont="1" applyFill="1" applyBorder="1" applyAlignment="1">
      <alignment/>
    </xf>
    <xf numFmtId="174" fontId="0" fillId="0" borderId="15" xfId="64"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33" borderId="19" xfId="0" applyNumberFormat="1" applyFill="1" applyBorder="1" applyAlignment="1">
      <alignment/>
    </xf>
    <xf numFmtId="0" fontId="8" fillId="39" borderId="0" xfId="0" applyFont="1" applyFill="1" applyAlignment="1" applyProtection="1">
      <alignment wrapText="1"/>
      <protection/>
    </xf>
    <xf numFmtId="0" fontId="0" fillId="39" borderId="0" xfId="0" applyFill="1" applyAlignment="1" applyProtection="1">
      <alignment wrapText="1"/>
      <protection/>
    </xf>
    <xf numFmtId="0" fontId="0" fillId="39" borderId="0" xfId="0" applyFill="1" applyAlignment="1" applyProtection="1">
      <alignment/>
      <protection locked="0"/>
    </xf>
    <xf numFmtId="3" fontId="0" fillId="33" borderId="17" xfId="0" applyNumberFormat="1" applyFill="1" applyBorder="1" applyAlignment="1">
      <alignment/>
    </xf>
    <xf numFmtId="3" fontId="0" fillId="0" borderId="19" xfId="0" applyNumberFormat="1" applyBorder="1" applyAlignment="1">
      <alignment/>
    </xf>
    <xf numFmtId="3" fontId="0" fillId="33"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40" fillId="39" borderId="49" xfId="0" applyFont="1" applyFill="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25" xfId="0" applyFont="1" applyBorder="1" applyAlignment="1">
      <alignment horizontal="right"/>
    </xf>
    <xf numFmtId="0" fontId="40" fillId="39" borderId="25" xfId="0" applyFont="1" applyFill="1" applyBorder="1" applyAlignment="1">
      <alignment horizontal="right"/>
    </xf>
    <xf numFmtId="0" fontId="41" fillId="0" borderId="25" xfId="0" applyFont="1" applyBorder="1" applyAlignment="1">
      <alignment horizontal="right"/>
    </xf>
    <xf numFmtId="0" fontId="40" fillId="39" borderId="51" xfId="0" applyFont="1" applyFill="1" applyBorder="1" applyAlignment="1">
      <alignment horizontal="right"/>
    </xf>
    <xf numFmtId="0" fontId="22" fillId="0" borderId="3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39" borderId="16" xfId="0" applyNumberFormat="1" applyFont="1" applyFill="1" applyBorder="1" applyAlignment="1">
      <alignment vertical="center" wrapText="1"/>
    </xf>
    <xf numFmtId="0" fontId="0" fillId="0" borderId="15" xfId="0" applyBorder="1" applyAlignment="1">
      <alignment/>
    </xf>
    <xf numFmtId="3" fontId="0" fillId="33"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0" fontId="0" fillId="0" borderId="0" xfId="0" applyNumberFormat="1" applyAlignment="1">
      <alignment horizontal="right"/>
    </xf>
    <xf numFmtId="3" fontId="0" fillId="0" borderId="15" xfId="0" applyNumberFormat="1" applyFill="1" applyBorder="1" applyAlignment="1">
      <alignment horizontal="right"/>
    </xf>
    <xf numFmtId="174" fontId="0" fillId="0" borderId="15" xfId="64" applyNumberFormat="1" applyFont="1" applyBorder="1" applyAlignment="1">
      <alignment horizontal="right"/>
    </xf>
    <xf numFmtId="0" fontId="8" fillId="40"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34" borderId="52" xfId="0" applyFont="1" applyFill="1" applyBorder="1" applyAlignment="1">
      <alignment vertical="center"/>
    </xf>
    <xf numFmtId="0" fontId="5" fillId="34" borderId="0" xfId="0" applyFont="1" applyFill="1" applyBorder="1" applyAlignment="1">
      <alignment vertical="center"/>
    </xf>
    <xf numFmtId="178" fontId="0" fillId="34" borderId="37" xfId="0" applyNumberFormat="1" applyFont="1" applyFill="1" applyBorder="1" applyAlignment="1">
      <alignment horizontal="left" vertical="center"/>
    </xf>
    <xf numFmtId="0" fontId="22" fillId="34" borderId="52" xfId="0" applyFont="1" applyFill="1" applyBorder="1" applyAlignment="1">
      <alignment vertical="center" wrapText="1"/>
    </xf>
    <xf numFmtId="0" fontId="22" fillId="0" borderId="1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2" fillId="34"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34" borderId="52"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33" borderId="0" xfId="0" applyFill="1" applyAlignment="1">
      <alignment horizontal="left"/>
    </xf>
    <xf numFmtId="0" fontId="0" fillId="33"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33" borderId="0" xfId="0" applyFill="1" applyBorder="1" applyAlignment="1">
      <alignment horizontal="left"/>
    </xf>
    <xf numFmtId="174" fontId="30" fillId="33" borderId="53" xfId="64"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0" fontId="21" fillId="33" borderId="54" xfId="0" applyFont="1" applyFill="1" applyBorder="1" applyAlignment="1">
      <alignment horizontal="left" vertical="center" wrapText="1"/>
    </xf>
    <xf numFmtId="0" fontId="0" fillId="33" borderId="55" xfId="0" applyFill="1" applyBorder="1" applyAlignment="1">
      <alignment horizontal="left"/>
    </xf>
    <xf numFmtId="3" fontId="30" fillId="33" borderId="36" xfId="42" applyNumberFormat="1" applyFont="1" applyFill="1" applyBorder="1" applyAlignment="1">
      <alignment horizontal="center" vertical="center" wrapText="1"/>
    </xf>
    <xf numFmtId="174" fontId="30" fillId="33" borderId="56" xfId="64" applyNumberFormat="1" applyFont="1" applyFill="1" applyBorder="1" applyAlignment="1">
      <alignment horizontal="center" vertical="center" wrapText="1"/>
    </xf>
    <xf numFmtId="173" fontId="0" fillId="35" borderId="33" xfId="0" applyNumberFormat="1" applyFill="1" applyBorder="1" applyAlignment="1" applyProtection="1">
      <alignment/>
      <protection locked="0"/>
    </xf>
    <xf numFmtId="173" fontId="0" fillId="0" borderId="34" xfId="0" applyNumberFormat="1" applyFill="1" applyBorder="1" applyAlignment="1" applyProtection="1">
      <alignment/>
      <protection/>
    </xf>
    <xf numFmtId="174" fontId="0" fillId="0" borderId="57" xfId="64" applyNumberFormat="1" applyFont="1" applyFill="1" applyBorder="1" applyAlignment="1" applyProtection="1">
      <alignment/>
      <protection/>
    </xf>
    <xf numFmtId="174" fontId="0" fillId="0" borderId="40" xfId="64" applyNumberFormat="1" applyFont="1" applyFill="1" applyBorder="1" applyAlignment="1" applyProtection="1">
      <alignment/>
      <protection/>
    </xf>
    <xf numFmtId="173" fontId="0" fillId="35" borderId="30" xfId="0" applyNumberFormat="1" applyFill="1" applyBorder="1" applyAlignment="1" applyProtection="1">
      <alignment/>
      <protection locked="0"/>
    </xf>
    <xf numFmtId="173" fontId="0" fillId="0" borderId="47" xfId="0" applyNumberFormat="1" applyFill="1" applyBorder="1" applyAlignment="1" applyProtection="1">
      <alignment/>
      <protection/>
    </xf>
    <xf numFmtId="174" fontId="0" fillId="0" borderId="58" xfId="64" applyNumberFormat="1" applyFont="1" applyFill="1" applyBorder="1" applyAlignment="1" applyProtection="1">
      <alignment/>
      <protection/>
    </xf>
    <xf numFmtId="173" fontId="0" fillId="35" borderId="33" xfId="42" applyNumberFormat="1" applyFont="1" applyFill="1" applyBorder="1" applyAlignment="1" applyProtection="1">
      <alignment/>
      <protection locked="0"/>
    </xf>
    <xf numFmtId="173" fontId="0" fillId="35" borderId="30" xfId="42" applyNumberFormat="1" applyFont="1" applyFill="1" applyBorder="1" applyAlignment="1" applyProtection="1">
      <alignment/>
      <protection locked="0"/>
    </xf>
    <xf numFmtId="173" fontId="0" fillId="7" borderId="59" xfId="0" applyNumberFormat="1" applyFill="1" applyBorder="1" applyAlignment="1" applyProtection="1">
      <alignment/>
      <protection/>
    </xf>
    <xf numFmtId="173" fontId="0" fillId="7" borderId="60" xfId="0" applyNumberFormat="1" applyFill="1" applyBorder="1" applyAlignment="1" applyProtection="1">
      <alignment/>
      <protection/>
    </xf>
    <xf numFmtId="173" fontId="0" fillId="7" borderId="61" xfId="0" applyNumberFormat="1" applyFill="1" applyBorder="1" applyAlignment="1" applyProtection="1">
      <alignment/>
      <protection/>
    </xf>
    <xf numFmtId="3" fontId="30" fillId="7" borderId="62" xfId="0" applyNumberFormat="1" applyFont="1" applyFill="1" applyBorder="1" applyAlignment="1">
      <alignment horizontal="center"/>
    </xf>
    <xf numFmtId="3" fontId="30" fillId="7" borderId="63" xfId="0" applyNumberFormat="1" applyFont="1" applyFill="1" applyBorder="1" applyAlignment="1">
      <alignment horizontal="center"/>
    </xf>
    <xf numFmtId="3" fontId="30" fillId="7" borderId="51" xfId="0" applyNumberFormat="1" applyFont="1" applyFill="1" applyBorder="1" applyAlignment="1">
      <alignment horizontal="center"/>
    </xf>
    <xf numFmtId="174" fontId="29" fillId="33" borderId="64" xfId="64" applyNumberFormat="1" applyFont="1" applyFill="1" applyBorder="1" applyAlignment="1">
      <alignment horizontal="center" vertical="center" wrapText="1"/>
    </xf>
    <xf numFmtId="174" fontId="29" fillId="33" borderId="25" xfId="64"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3" fontId="29" fillId="33" borderId="64"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8" fillId="34" borderId="45"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37" fillId="34" borderId="65" xfId="0" applyFont="1" applyFill="1" applyBorder="1" applyAlignment="1">
      <alignment horizontal="left" vertical="center" wrapText="1"/>
    </xf>
    <xf numFmtId="0" fontId="23" fillId="33" borderId="41" xfId="0" applyFont="1" applyFill="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33" borderId="54" xfId="0" applyNumberFormat="1" applyFont="1" applyFill="1" applyBorder="1" applyAlignment="1">
      <alignment horizontal="left" wrapText="1"/>
    </xf>
    <xf numFmtId="0" fontId="0" fillId="0" borderId="55" xfId="0" applyBorder="1" applyAlignment="1">
      <alignment horizontal="left" wrapText="1"/>
    </xf>
    <xf numFmtId="0" fontId="0" fillId="0" borderId="56" xfId="0" applyBorder="1" applyAlignment="1">
      <alignment horizontal="left" wrapText="1"/>
    </xf>
    <xf numFmtId="0" fontId="5" fillId="34" borderId="37" xfId="0" applyFont="1" applyFill="1" applyBorder="1" applyAlignment="1">
      <alignment horizontal="center" wrapText="1"/>
    </xf>
    <xf numFmtId="0" fontId="21" fillId="33" borderId="41" xfId="0" applyFont="1" applyFill="1" applyBorder="1" applyAlignment="1">
      <alignment horizontal="left" wrapText="1"/>
    </xf>
    <xf numFmtId="0" fontId="21" fillId="33" borderId="37" xfId="0" applyFont="1" applyFill="1" applyBorder="1" applyAlignment="1">
      <alignment horizontal="left" wrapText="1"/>
    </xf>
    <xf numFmtId="0" fontId="21" fillId="33" borderId="41" xfId="0" applyFont="1" applyFill="1" applyBorder="1" applyAlignment="1">
      <alignment wrapText="1"/>
    </xf>
    <xf numFmtId="0" fontId="0" fillId="0" borderId="37" xfId="0" applyBorder="1" applyAlignment="1">
      <alignment wrapText="1"/>
    </xf>
    <xf numFmtId="0" fontId="0" fillId="0" borderId="37" xfId="0" applyBorder="1" applyAlignment="1">
      <alignment horizontal="left" wrapText="1"/>
    </xf>
    <xf numFmtId="0" fontId="29" fillId="0" borderId="0" xfId="0" applyFont="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39" fillId="34" borderId="55"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16"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3" fontId="0" fillId="0" borderId="10" xfId="0" applyNumberFormat="1" applyFont="1" applyFill="1" applyBorder="1" applyAlignment="1">
      <alignment horizontal="center" wrapText="1"/>
    </xf>
    <xf numFmtId="0" fontId="19" fillId="0" borderId="15" xfId="0" applyFont="1" applyFill="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34" fillId="0" borderId="0" xfId="0" applyFont="1" applyAlignment="1" applyProtection="1">
      <alignment wrapText="1"/>
      <protection/>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0" fontId="8" fillId="40" borderId="0" xfId="0" applyFont="1" applyFill="1" applyAlignment="1">
      <alignment horizontal="center"/>
    </xf>
    <xf numFmtId="0" fontId="8" fillId="41" borderId="0" xfId="0" applyFont="1" applyFill="1" applyAlignment="1">
      <alignment horizontal="center"/>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66" xfId="61" applyFont="1" applyBorder="1" applyAlignment="1">
      <alignment horizontal="center" wrapText="1"/>
      <protection/>
    </xf>
    <xf numFmtId="0" fontId="8" fillId="0" borderId="31" xfId="61" applyFont="1" applyBorder="1" applyAlignment="1">
      <alignment horizontal="center" wrapText="1"/>
      <protection/>
    </xf>
    <xf numFmtId="0" fontId="35" fillId="0" borderId="0" xfId="61"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Spina Bifada Adjustments" xfId="61"/>
    <cellStyle name="Note" xfId="62"/>
    <cellStyle name="Output" xfId="63"/>
    <cellStyle name="Percent" xfId="64"/>
    <cellStyle name="Percent 2" xfId="65"/>
    <cellStyle name="Percent 3" xfId="66"/>
    <cellStyle name="Title" xfId="67"/>
    <cellStyle name="Total" xfId="68"/>
    <cellStyle name="Warning Text" xfId="69"/>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zoomScalePageLayoutView="0" workbookViewId="0" topLeftCell="A1">
      <selection activeCell="A1" sqref="A1"/>
    </sheetView>
  </sheetViews>
  <sheetFormatPr defaultColWidth="9.140625" defaultRowHeight="12.75"/>
  <sheetData>
    <row r="8" spans="1:8" ht="12.75">
      <c r="A8" s="292" t="s">
        <v>381</v>
      </c>
      <c r="B8" s="292"/>
      <c r="C8" s="292"/>
      <c r="D8" s="292"/>
      <c r="E8" s="292"/>
      <c r="F8" s="292"/>
      <c r="G8" s="292"/>
      <c r="H8" s="292"/>
    </row>
    <row r="12" ht="13.5" thickBot="1"/>
    <row r="13" spans="6:13" ht="16.5" thickBot="1">
      <c r="F13" s="314">
        <v>95</v>
      </c>
      <c r="G13" s="315" t="s">
        <v>401</v>
      </c>
      <c r="H13" s="315" t="s">
        <v>402</v>
      </c>
      <c r="I13" s="315" t="s">
        <v>403</v>
      </c>
      <c r="J13" s="315" t="s">
        <v>404</v>
      </c>
      <c r="K13" s="315" t="s">
        <v>405</v>
      </c>
      <c r="L13" s="315" t="s">
        <v>406</v>
      </c>
      <c r="M13" s="315">
        <v>133</v>
      </c>
    </row>
    <row r="14" spans="6:13" ht="16.5" thickBot="1">
      <c r="F14" s="316" t="s">
        <v>407</v>
      </c>
      <c r="G14" s="317" t="s">
        <v>408</v>
      </c>
      <c r="H14" s="317" t="s">
        <v>409</v>
      </c>
      <c r="I14" s="317">
        <v>314</v>
      </c>
      <c r="J14" s="317">
        <v>680</v>
      </c>
      <c r="K14" s="317">
        <v>682</v>
      </c>
      <c r="L14" s="317">
        <v>684</v>
      </c>
      <c r="M14" s="317">
        <v>685</v>
      </c>
    </row>
    <row r="15" spans="6:13" ht="16.5" thickBot="1">
      <c r="F15" s="316">
        <v>690</v>
      </c>
      <c r="G15" s="317" t="s">
        <v>410</v>
      </c>
      <c r="H15" s="317">
        <v>173</v>
      </c>
      <c r="I15" s="318" t="s">
        <v>411</v>
      </c>
      <c r="J15" s="318" t="s">
        <v>412</v>
      </c>
      <c r="K15" s="318">
        <v>510</v>
      </c>
      <c r="L15" s="318" t="s">
        <v>413</v>
      </c>
      <c r="M15" s="317" t="s">
        <v>414</v>
      </c>
    </row>
    <row r="16" spans="6:13" ht="16.5" thickBot="1">
      <c r="F16" s="316" t="s">
        <v>415</v>
      </c>
      <c r="G16" s="317" t="s">
        <v>416</v>
      </c>
      <c r="H16" s="317" t="s">
        <v>417</v>
      </c>
      <c r="I16" s="319" t="s">
        <v>418</v>
      </c>
      <c r="J16" s="318">
        <v>135</v>
      </c>
      <c r="K16" s="318">
        <v>137</v>
      </c>
      <c r="L16" s="318" t="s">
        <v>419</v>
      </c>
      <c r="M16" s="318">
        <v>155</v>
      </c>
    </row>
    <row r="17" spans="6:13" ht="16.5" thickBot="1">
      <c r="F17" s="320">
        <v>297</v>
      </c>
      <c r="G17" s="318">
        <v>607</v>
      </c>
      <c r="H17" s="318">
        <v>154</v>
      </c>
      <c r="I17" s="317">
        <v>696</v>
      </c>
      <c r="J17" s="317">
        <v>697</v>
      </c>
      <c r="K17" s="318">
        <v>407</v>
      </c>
      <c r="L17" s="318">
        <v>507</v>
      </c>
      <c r="M17" s="318">
        <v>937</v>
      </c>
    </row>
    <row r="18" spans="6:13" ht="16.5" thickBot="1">
      <c r="F18" s="316">
        <v>967</v>
      </c>
      <c r="G18" s="317" t="s">
        <v>420</v>
      </c>
      <c r="H18" s="317">
        <v>165</v>
      </c>
      <c r="I18" s="317">
        <v>167</v>
      </c>
      <c r="J18" s="317">
        <v>681</v>
      </c>
      <c r="K18" s="317">
        <v>687</v>
      </c>
      <c r="L18" s="321" t="s">
        <v>421</v>
      </c>
      <c r="M18" s="317" t="s">
        <v>422</v>
      </c>
    </row>
  </sheetData>
  <sheetProtection/>
  <printOptions/>
  <pageMargins left="0.75" right="0.75" top="1" bottom="1" header="0.5" footer="0.5"/>
  <pageSetup horizontalDpi="600" verticalDpi="600" orientation="portrait" r:id="rId3"/>
  <legacyDrawing r:id="rId2"/>
  <oleObjects>
    <oleObject progId="Document" dvAspect="DVASPECT_ICON" shapeId="3744023" r:id="rId1"/>
  </oleObjects>
</worksheet>
</file>

<file path=xl/worksheets/sheet10.xml><?xml version="1.0" encoding="utf-8"?>
<worksheet xmlns="http://schemas.openxmlformats.org/spreadsheetml/2006/main" xmlns:r="http://schemas.openxmlformats.org/officeDocument/2006/relationships">
  <sheetPr codeName="Sheet11"/>
  <dimension ref="A1:D55"/>
  <sheetViews>
    <sheetView zoomScalePageLayoutView="0" workbookViewId="0" topLeftCell="A1">
      <selection activeCell="A1" sqref="A1"/>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59" t="s">
        <v>498</v>
      </c>
      <c r="B1" s="459"/>
      <c r="C1" s="459" t="s">
        <v>557</v>
      </c>
      <c r="D1" s="459"/>
    </row>
    <row r="2" spans="1:4" ht="12.75">
      <c r="A2" s="292" t="s">
        <v>486</v>
      </c>
      <c r="B2" s="292" t="s">
        <v>556</v>
      </c>
      <c r="C2" s="292" t="s">
        <v>486</v>
      </c>
      <c r="D2" s="292" t="s">
        <v>556</v>
      </c>
    </row>
    <row r="3" spans="2:4" ht="12.75">
      <c r="B3">
        <v>22</v>
      </c>
      <c r="D3">
        <v>14</v>
      </c>
    </row>
    <row r="4" spans="1:4" ht="12.75">
      <c r="A4" t="s">
        <v>499</v>
      </c>
      <c r="B4">
        <v>11385</v>
      </c>
      <c r="C4" t="s">
        <v>499</v>
      </c>
      <c r="D4">
        <v>6689</v>
      </c>
    </row>
    <row r="5" spans="1:4" ht="12.75">
      <c r="A5" t="s">
        <v>560</v>
      </c>
      <c r="B5">
        <v>75928</v>
      </c>
      <c r="C5" t="s">
        <v>560</v>
      </c>
      <c r="D5">
        <v>28602</v>
      </c>
    </row>
    <row r="6" spans="1:4" ht="12.75">
      <c r="A6" t="s">
        <v>500</v>
      </c>
      <c r="B6">
        <v>21109</v>
      </c>
      <c r="C6" t="s">
        <v>500</v>
      </c>
      <c r="D6">
        <v>12643</v>
      </c>
    </row>
    <row r="7" spans="1:4" ht="12.75">
      <c r="A7" t="s">
        <v>501</v>
      </c>
      <c r="B7">
        <v>6459</v>
      </c>
      <c r="C7" t="s">
        <v>501</v>
      </c>
      <c r="D7">
        <v>6448</v>
      </c>
    </row>
    <row r="8" spans="1:4" ht="12.75">
      <c r="A8" t="s">
        <v>502</v>
      </c>
      <c r="B8">
        <v>9714</v>
      </c>
      <c r="C8" t="s">
        <v>502</v>
      </c>
      <c r="D8">
        <v>5670</v>
      </c>
    </row>
    <row r="9" spans="1:4" ht="12.75">
      <c r="A9" t="s">
        <v>503</v>
      </c>
      <c r="B9">
        <v>691</v>
      </c>
      <c r="C9" t="s">
        <v>503</v>
      </c>
      <c r="D9">
        <v>514</v>
      </c>
    </row>
    <row r="10" spans="1:4" ht="12.75">
      <c r="A10" t="s">
        <v>487</v>
      </c>
      <c r="B10">
        <v>285</v>
      </c>
      <c r="C10" t="s">
        <v>487</v>
      </c>
      <c r="D10">
        <v>187</v>
      </c>
    </row>
    <row r="11" spans="1:4" ht="12.75">
      <c r="A11" t="s">
        <v>488</v>
      </c>
      <c r="B11">
        <v>103</v>
      </c>
      <c r="C11" t="s">
        <v>488</v>
      </c>
      <c r="D11">
        <v>75</v>
      </c>
    </row>
    <row r="12" spans="1:4" ht="12.75">
      <c r="A12" t="s">
        <v>490</v>
      </c>
      <c r="B12">
        <v>7</v>
      </c>
      <c r="C12" t="s">
        <v>490</v>
      </c>
      <c r="D12">
        <v>5</v>
      </c>
    </row>
    <row r="13" spans="1:4" ht="12.75">
      <c r="A13" t="s">
        <v>504</v>
      </c>
      <c r="B13">
        <v>1571</v>
      </c>
      <c r="C13" t="s">
        <v>504</v>
      </c>
      <c r="D13">
        <v>160</v>
      </c>
    </row>
    <row r="14" spans="1:4" ht="12.75">
      <c r="A14" t="s">
        <v>505</v>
      </c>
      <c r="B14">
        <v>21457</v>
      </c>
      <c r="C14" t="s">
        <v>505</v>
      </c>
      <c r="D14">
        <v>6843</v>
      </c>
    </row>
    <row r="15" spans="1:4" ht="12.75">
      <c r="A15" t="s">
        <v>506</v>
      </c>
      <c r="B15">
        <v>224</v>
      </c>
      <c r="C15" t="s">
        <v>506</v>
      </c>
      <c r="D15">
        <v>63</v>
      </c>
    </row>
    <row r="16" spans="1:4" ht="12.75">
      <c r="A16" t="s">
        <v>27</v>
      </c>
      <c r="B16">
        <v>12235</v>
      </c>
      <c r="C16" t="s">
        <v>27</v>
      </c>
      <c r="D16">
        <v>8941</v>
      </c>
    </row>
    <row r="17" spans="1:4" ht="12.75">
      <c r="A17" t="s">
        <v>234</v>
      </c>
      <c r="B17">
        <v>63320</v>
      </c>
      <c r="C17" t="s">
        <v>234</v>
      </c>
      <c r="D17">
        <v>32097</v>
      </c>
    </row>
    <row r="18" spans="1:4" ht="12.75">
      <c r="A18" t="s">
        <v>508</v>
      </c>
      <c r="B18">
        <v>9170</v>
      </c>
      <c r="C18" t="s">
        <v>508</v>
      </c>
      <c r="D18">
        <v>5671</v>
      </c>
    </row>
    <row r="19" spans="1:4" ht="12.75">
      <c r="A19" t="s">
        <v>509</v>
      </c>
      <c r="B19">
        <v>1221</v>
      </c>
      <c r="C19" t="s">
        <v>509</v>
      </c>
      <c r="D19">
        <v>248</v>
      </c>
    </row>
    <row r="20" spans="1:4" ht="12.75">
      <c r="A20" t="s">
        <v>510</v>
      </c>
      <c r="B20">
        <v>1086</v>
      </c>
      <c r="C20" t="s">
        <v>510</v>
      </c>
      <c r="D20">
        <v>393</v>
      </c>
    </row>
    <row r="21" spans="1:4" ht="12.75">
      <c r="A21" t="s">
        <v>511</v>
      </c>
      <c r="B21">
        <v>22710</v>
      </c>
      <c r="C21" t="s">
        <v>511</v>
      </c>
      <c r="D21">
        <v>17582</v>
      </c>
    </row>
    <row r="22" spans="1:4" ht="12.75">
      <c r="A22" t="s">
        <v>512</v>
      </c>
      <c r="B22">
        <v>158</v>
      </c>
      <c r="C22" t="s">
        <v>512</v>
      </c>
      <c r="D22">
        <v>150</v>
      </c>
    </row>
    <row r="23" spans="1:4" ht="12.75">
      <c r="A23" t="s">
        <v>214</v>
      </c>
      <c r="B23">
        <v>160109</v>
      </c>
      <c r="C23" t="s">
        <v>214</v>
      </c>
      <c r="D23">
        <v>97644</v>
      </c>
    </row>
    <row r="24" spans="1:4" ht="12.75">
      <c r="A24" t="s">
        <v>513</v>
      </c>
      <c r="B24">
        <v>41194</v>
      </c>
      <c r="C24" t="s">
        <v>513</v>
      </c>
      <c r="D24">
        <v>17766</v>
      </c>
    </row>
    <row r="25" spans="1:4" ht="12.75">
      <c r="A25" t="s">
        <v>514</v>
      </c>
      <c r="B25">
        <v>6182</v>
      </c>
      <c r="C25" t="s">
        <v>514</v>
      </c>
      <c r="D25">
        <v>5869</v>
      </c>
    </row>
    <row r="26" spans="1:4" ht="12.75">
      <c r="A26" t="s">
        <v>515</v>
      </c>
      <c r="B26">
        <v>25720</v>
      </c>
      <c r="C26" t="s">
        <v>515</v>
      </c>
      <c r="D26">
        <v>12146</v>
      </c>
    </row>
    <row r="27" spans="1:4" ht="12.75">
      <c r="A27" t="s">
        <v>516</v>
      </c>
      <c r="B27">
        <v>13613</v>
      </c>
      <c r="C27" t="s">
        <v>516</v>
      </c>
      <c r="D27">
        <v>5519</v>
      </c>
    </row>
    <row r="28" spans="1:4" ht="12.75">
      <c r="A28" t="s">
        <v>517</v>
      </c>
      <c r="B28">
        <v>1892</v>
      </c>
      <c r="C28" t="s">
        <v>517</v>
      </c>
      <c r="D28">
        <v>647</v>
      </c>
    </row>
    <row r="29" spans="1:4" ht="12.75">
      <c r="A29" t="s">
        <v>518</v>
      </c>
      <c r="B29">
        <v>481432</v>
      </c>
      <c r="C29" t="s">
        <v>518</v>
      </c>
      <c r="D29">
        <v>323748</v>
      </c>
    </row>
    <row r="30" spans="1:4" ht="12.75">
      <c r="A30" t="s">
        <v>519</v>
      </c>
      <c r="B30">
        <v>46876</v>
      </c>
      <c r="C30" t="s">
        <v>519</v>
      </c>
      <c r="D30">
        <v>34670</v>
      </c>
    </row>
    <row r="31" spans="1:4" ht="12.75">
      <c r="A31" t="s">
        <v>520</v>
      </c>
      <c r="B31">
        <v>8151</v>
      </c>
      <c r="C31" t="s">
        <v>520</v>
      </c>
      <c r="D31">
        <v>2739</v>
      </c>
    </row>
    <row r="32" spans="1:4" ht="12.75">
      <c r="A32" t="s">
        <v>521</v>
      </c>
      <c r="B32">
        <v>16667</v>
      </c>
      <c r="C32" t="s">
        <v>521</v>
      </c>
      <c r="D32">
        <v>5186</v>
      </c>
    </row>
    <row r="33" spans="1:4" ht="12.75">
      <c r="A33" t="s">
        <v>522</v>
      </c>
      <c r="B33">
        <v>2092</v>
      </c>
      <c r="C33" t="s">
        <v>522</v>
      </c>
      <c r="D33">
        <v>667</v>
      </c>
    </row>
    <row r="34" spans="1:4" ht="12.75">
      <c r="A34" t="s">
        <v>523</v>
      </c>
      <c r="B34">
        <v>239059</v>
      </c>
      <c r="C34" t="s">
        <v>523</v>
      </c>
      <c r="D34">
        <v>165997</v>
      </c>
    </row>
    <row r="35" spans="1:4" ht="12.75">
      <c r="A35" t="s">
        <v>524</v>
      </c>
      <c r="B35">
        <v>73617</v>
      </c>
      <c r="C35" t="s">
        <v>524</v>
      </c>
      <c r="D35">
        <v>49663</v>
      </c>
    </row>
    <row r="36" spans="1:4" ht="12.75">
      <c r="A36" t="s">
        <v>525</v>
      </c>
      <c r="B36">
        <v>13871</v>
      </c>
      <c r="C36" t="s">
        <v>525</v>
      </c>
      <c r="D36">
        <v>5671</v>
      </c>
    </row>
    <row r="37" spans="1:4" ht="12.75">
      <c r="A37" t="s">
        <v>526</v>
      </c>
      <c r="B37">
        <v>47950</v>
      </c>
      <c r="C37" t="s">
        <v>526</v>
      </c>
      <c r="D37">
        <v>28243</v>
      </c>
    </row>
    <row r="38" spans="1:4" ht="12.75">
      <c r="A38" t="s">
        <v>527</v>
      </c>
      <c r="B38">
        <v>12155</v>
      </c>
      <c r="C38" t="s">
        <v>527</v>
      </c>
      <c r="D38">
        <v>4474</v>
      </c>
    </row>
    <row r="39" spans="1:4" ht="12.75">
      <c r="A39" t="s">
        <v>558</v>
      </c>
      <c r="B39">
        <v>2454</v>
      </c>
      <c r="C39" t="s">
        <v>558</v>
      </c>
      <c r="D39">
        <v>1900</v>
      </c>
    </row>
    <row r="40" spans="1:4" ht="12.75">
      <c r="A40" t="s">
        <v>528</v>
      </c>
      <c r="B40">
        <v>71754</v>
      </c>
      <c r="C40" t="s">
        <v>528</v>
      </c>
      <c r="D40">
        <v>42751</v>
      </c>
    </row>
    <row r="41" spans="1:4" ht="12.75">
      <c r="A41" t="s">
        <v>529</v>
      </c>
      <c r="B41">
        <v>1172</v>
      </c>
      <c r="C41" t="s">
        <v>529</v>
      </c>
      <c r="D41">
        <v>419</v>
      </c>
    </row>
    <row r="42" spans="1:4" ht="12.75">
      <c r="A42" t="s">
        <v>530</v>
      </c>
      <c r="B42">
        <v>2223</v>
      </c>
      <c r="C42" t="s">
        <v>530</v>
      </c>
      <c r="D42">
        <v>1649</v>
      </c>
    </row>
    <row r="43" spans="1:4" ht="12.75">
      <c r="A43" t="s">
        <v>531</v>
      </c>
      <c r="B43">
        <v>141</v>
      </c>
      <c r="C43" t="s">
        <v>531</v>
      </c>
      <c r="D43">
        <v>138</v>
      </c>
    </row>
    <row r="44" spans="1:4" ht="12.75">
      <c r="A44" t="s">
        <v>532</v>
      </c>
      <c r="B44">
        <v>29</v>
      </c>
      <c r="C44" t="s">
        <v>532</v>
      </c>
      <c r="D44">
        <v>25</v>
      </c>
    </row>
    <row r="45" spans="1:4" ht="12.75">
      <c r="A45" t="s">
        <v>533</v>
      </c>
      <c r="B45">
        <v>29873</v>
      </c>
      <c r="C45" t="s">
        <v>533</v>
      </c>
      <c r="D45">
        <v>23460</v>
      </c>
    </row>
    <row r="46" spans="1:4" ht="12.75">
      <c r="A46" t="s">
        <v>534</v>
      </c>
      <c r="B46">
        <v>793</v>
      </c>
      <c r="C46" t="s">
        <v>534</v>
      </c>
      <c r="D46">
        <v>16</v>
      </c>
    </row>
    <row r="47" spans="1:4" ht="12.75">
      <c r="A47" t="s">
        <v>535</v>
      </c>
      <c r="B47">
        <v>1019</v>
      </c>
      <c r="C47" t="s">
        <v>535</v>
      </c>
      <c r="D47">
        <v>911</v>
      </c>
    </row>
    <row r="48" spans="1:4" ht="12.75">
      <c r="A48" t="s">
        <v>536</v>
      </c>
      <c r="B48">
        <v>36075</v>
      </c>
      <c r="C48" t="s">
        <v>536</v>
      </c>
      <c r="D48">
        <v>22040</v>
      </c>
    </row>
    <row r="49" spans="1:4" ht="12.75">
      <c r="A49" t="s">
        <v>537</v>
      </c>
      <c r="B49">
        <v>31</v>
      </c>
      <c r="C49" t="s">
        <v>537</v>
      </c>
      <c r="D49">
        <v>13</v>
      </c>
    </row>
    <row r="50" spans="1:4" ht="12.75">
      <c r="A50" t="s">
        <v>538</v>
      </c>
      <c r="B50">
        <v>1935</v>
      </c>
      <c r="C50" t="s">
        <v>538</v>
      </c>
      <c r="D50">
        <v>1554</v>
      </c>
    </row>
    <row r="54" spans="1:3" ht="12.75">
      <c r="A54" s="292" t="s">
        <v>561</v>
      </c>
      <c r="C54" s="292" t="s">
        <v>562</v>
      </c>
    </row>
    <row r="55" spans="1:4" ht="12.75">
      <c r="A55">
        <v>1683</v>
      </c>
      <c r="B55">
        <f>VLOOKUP(Transformation!C35,Query_from_MS_Access_Database_5,2,FALSE)-A55</f>
        <v>209</v>
      </c>
      <c r="C55">
        <v>500</v>
      </c>
      <c r="D55">
        <f>VLOOKUP(Transformation!C35,Query_from_MS_Access_Database_6,2,FALSE)-C55</f>
        <v>147</v>
      </c>
    </row>
  </sheetData>
  <sheetProtection/>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58" t="s">
        <v>563</v>
      </c>
      <c r="B1" s="458"/>
      <c r="C1" s="458"/>
      <c r="D1" s="458"/>
      <c r="E1" s="458"/>
      <c r="F1" s="338"/>
      <c r="G1" s="338"/>
      <c r="H1" s="338"/>
      <c r="I1" s="338"/>
      <c r="J1" s="338"/>
      <c r="K1" s="338"/>
    </row>
    <row r="2" spans="1:5" ht="12.75">
      <c r="A2" s="292" t="s">
        <v>426</v>
      </c>
      <c r="B2" s="292" t="s">
        <v>564</v>
      </c>
      <c r="C2" s="292" t="s">
        <v>493</v>
      </c>
      <c r="D2" s="292" t="s">
        <v>565</v>
      </c>
      <c r="E2" s="292" t="s">
        <v>544</v>
      </c>
    </row>
    <row r="3" ht="12.75">
      <c r="A3" t="s">
        <v>69</v>
      </c>
    </row>
    <row r="4" spans="1:5" ht="12.75">
      <c r="A4" t="s">
        <v>431</v>
      </c>
      <c r="B4">
        <v>488</v>
      </c>
      <c r="C4">
        <v>426</v>
      </c>
      <c r="D4">
        <v>3</v>
      </c>
      <c r="E4">
        <v>3</v>
      </c>
    </row>
    <row r="5" spans="1:5" ht="12.75">
      <c r="A5" t="s">
        <v>433</v>
      </c>
      <c r="B5">
        <v>775</v>
      </c>
      <c r="C5">
        <v>509</v>
      </c>
      <c r="D5">
        <v>4</v>
      </c>
      <c r="E5">
        <v>4</v>
      </c>
    </row>
    <row r="6" spans="1:3" ht="12.75">
      <c r="A6" t="s">
        <v>334</v>
      </c>
      <c r="B6">
        <v>149</v>
      </c>
      <c r="C6">
        <v>110</v>
      </c>
    </row>
    <row r="7" spans="1:3" ht="12.75">
      <c r="A7" t="s">
        <v>436</v>
      </c>
      <c r="B7">
        <v>1226</v>
      </c>
      <c r="C7">
        <v>1132</v>
      </c>
    </row>
    <row r="8" spans="1:5" ht="12.75">
      <c r="A8" t="s">
        <v>440</v>
      </c>
      <c r="B8">
        <v>564</v>
      </c>
      <c r="C8">
        <v>321</v>
      </c>
      <c r="D8">
        <v>3</v>
      </c>
      <c r="E8">
        <v>3</v>
      </c>
    </row>
    <row r="9" spans="1:5" ht="12.75">
      <c r="A9" t="s">
        <v>443</v>
      </c>
      <c r="B9">
        <v>22</v>
      </c>
      <c r="C9">
        <v>7</v>
      </c>
      <c r="D9">
        <v>2</v>
      </c>
      <c r="E9">
        <v>2</v>
      </c>
    </row>
    <row r="10" spans="1:5" ht="12.75">
      <c r="A10" t="s">
        <v>447</v>
      </c>
      <c r="B10">
        <v>509</v>
      </c>
      <c r="C10">
        <v>357</v>
      </c>
      <c r="D10">
        <v>2</v>
      </c>
      <c r="E10">
        <v>2</v>
      </c>
    </row>
    <row r="11" spans="1:5" ht="12.75">
      <c r="A11" t="s">
        <v>453</v>
      </c>
      <c r="B11">
        <v>108</v>
      </c>
      <c r="C11">
        <v>69</v>
      </c>
      <c r="D11">
        <v>2</v>
      </c>
      <c r="E11">
        <v>2</v>
      </c>
    </row>
    <row r="12" spans="1:5" ht="12.75">
      <c r="A12" t="s">
        <v>459</v>
      </c>
      <c r="B12">
        <v>416</v>
      </c>
      <c r="C12">
        <v>248</v>
      </c>
      <c r="D12">
        <v>2</v>
      </c>
      <c r="E12">
        <v>2</v>
      </c>
    </row>
    <row r="13" spans="1:3" ht="12.75">
      <c r="A13" t="s">
        <v>460</v>
      </c>
      <c r="B13">
        <v>164</v>
      </c>
      <c r="C13">
        <v>40</v>
      </c>
    </row>
    <row r="14" spans="1:5" ht="12.75">
      <c r="A14" t="s">
        <v>462</v>
      </c>
      <c r="B14">
        <v>6090</v>
      </c>
      <c r="C14">
        <v>3030</v>
      </c>
      <c r="D14">
        <v>30196</v>
      </c>
      <c r="E14">
        <v>12948</v>
      </c>
    </row>
    <row r="15" spans="1:5" ht="12.75">
      <c r="A15" t="s">
        <v>464</v>
      </c>
      <c r="B15">
        <v>540</v>
      </c>
      <c r="C15">
        <v>390</v>
      </c>
      <c r="D15">
        <v>39</v>
      </c>
      <c r="E15">
        <v>38</v>
      </c>
    </row>
    <row r="16" spans="1:5" ht="12.75">
      <c r="A16" t="s">
        <v>466</v>
      </c>
      <c r="B16">
        <v>298</v>
      </c>
      <c r="C16">
        <v>178</v>
      </c>
      <c r="D16">
        <v>1</v>
      </c>
      <c r="E16">
        <v>1</v>
      </c>
    </row>
    <row r="17" spans="1:3" ht="12.75">
      <c r="A17" t="s">
        <v>477</v>
      </c>
      <c r="B17">
        <v>664</v>
      </c>
      <c r="C17">
        <v>226</v>
      </c>
    </row>
    <row r="18" spans="1:3" ht="12.75">
      <c r="A18" t="s">
        <v>481</v>
      </c>
      <c r="B18">
        <v>48</v>
      </c>
      <c r="C18">
        <v>28</v>
      </c>
    </row>
    <row r="19" spans="1:3" ht="12.75">
      <c r="A19" t="s">
        <v>483</v>
      </c>
      <c r="B19">
        <v>19</v>
      </c>
      <c r="C19">
        <v>5</v>
      </c>
    </row>
    <row r="20" spans="1:5" ht="12.75">
      <c r="A20" t="s">
        <v>335</v>
      </c>
      <c r="B20">
        <v>621</v>
      </c>
      <c r="C20">
        <v>387</v>
      </c>
      <c r="D20">
        <v>3</v>
      </c>
      <c r="E20">
        <v>3</v>
      </c>
    </row>
    <row r="21" spans="1:5" ht="12.75">
      <c r="A21" t="s">
        <v>437</v>
      </c>
      <c r="B21">
        <v>603</v>
      </c>
      <c r="C21">
        <v>365</v>
      </c>
      <c r="D21">
        <v>4</v>
      </c>
      <c r="E21">
        <v>3</v>
      </c>
    </row>
    <row r="22" spans="1:5" ht="12.75">
      <c r="A22" t="s">
        <v>446</v>
      </c>
      <c r="B22">
        <v>187</v>
      </c>
      <c r="C22">
        <v>111</v>
      </c>
      <c r="D22">
        <v>1</v>
      </c>
      <c r="E22">
        <v>1</v>
      </c>
    </row>
    <row r="23" spans="1:5" ht="12.75">
      <c r="A23" t="s">
        <v>448</v>
      </c>
      <c r="B23">
        <v>1263</v>
      </c>
      <c r="C23">
        <v>1056</v>
      </c>
      <c r="D23">
        <v>6</v>
      </c>
      <c r="E23">
        <v>6</v>
      </c>
    </row>
    <row r="24" spans="1:5" ht="12.75">
      <c r="A24" t="s">
        <v>452</v>
      </c>
      <c r="B24">
        <v>1152</v>
      </c>
      <c r="C24">
        <v>993</v>
      </c>
      <c r="D24">
        <v>1</v>
      </c>
      <c r="E24">
        <v>1</v>
      </c>
    </row>
    <row r="25" spans="1:5" ht="12.75">
      <c r="A25" t="s">
        <v>456</v>
      </c>
      <c r="B25">
        <v>2654</v>
      </c>
      <c r="C25">
        <v>1398</v>
      </c>
      <c r="D25">
        <v>2</v>
      </c>
      <c r="E25">
        <v>2</v>
      </c>
    </row>
    <row r="26" spans="1:5" ht="12.75">
      <c r="A26" t="s">
        <v>457</v>
      </c>
      <c r="B26">
        <v>390</v>
      </c>
      <c r="C26">
        <v>288</v>
      </c>
      <c r="D26">
        <v>2</v>
      </c>
      <c r="E26">
        <v>2</v>
      </c>
    </row>
    <row r="27" spans="1:5" ht="12.75">
      <c r="A27" t="s">
        <v>468</v>
      </c>
      <c r="B27">
        <v>504</v>
      </c>
      <c r="C27">
        <v>299</v>
      </c>
      <c r="D27">
        <v>3</v>
      </c>
      <c r="E27">
        <v>3</v>
      </c>
    </row>
    <row r="28" spans="1:5" ht="12.75">
      <c r="A28" t="s">
        <v>471</v>
      </c>
      <c r="B28">
        <v>192</v>
      </c>
      <c r="C28">
        <v>139</v>
      </c>
      <c r="D28">
        <v>2</v>
      </c>
      <c r="E28">
        <v>2</v>
      </c>
    </row>
    <row r="29" spans="1:5" ht="12.75">
      <c r="A29" t="s">
        <v>476</v>
      </c>
      <c r="B29">
        <v>1019</v>
      </c>
      <c r="C29">
        <v>449</v>
      </c>
      <c r="D29">
        <v>11</v>
      </c>
      <c r="E29">
        <v>9</v>
      </c>
    </row>
    <row r="30" spans="1:3" ht="12.75">
      <c r="A30" t="s">
        <v>479</v>
      </c>
      <c r="B30">
        <v>40</v>
      </c>
      <c r="C30">
        <v>29</v>
      </c>
    </row>
    <row r="31" spans="1:5" ht="12.75">
      <c r="A31" t="s">
        <v>484</v>
      </c>
      <c r="B31">
        <v>5676</v>
      </c>
      <c r="C31">
        <v>5274</v>
      </c>
      <c r="D31">
        <v>16</v>
      </c>
      <c r="E31">
        <v>5</v>
      </c>
    </row>
    <row r="32" spans="1:4" ht="12.75">
      <c r="A32" t="s">
        <v>435</v>
      </c>
      <c r="B32">
        <v>844</v>
      </c>
      <c r="C32">
        <v>699</v>
      </c>
      <c r="D32">
        <v>1</v>
      </c>
    </row>
    <row r="33" spans="1:3" ht="12.75">
      <c r="A33" t="s">
        <v>439</v>
      </c>
      <c r="B33">
        <v>187</v>
      </c>
      <c r="C33">
        <v>99</v>
      </c>
    </row>
    <row r="34" spans="1:3" ht="12.75">
      <c r="A34" t="s">
        <v>441</v>
      </c>
      <c r="B34">
        <v>65</v>
      </c>
      <c r="C34">
        <v>18</v>
      </c>
    </row>
    <row r="35" spans="1:5" ht="12.75">
      <c r="A35" t="s">
        <v>445</v>
      </c>
      <c r="B35">
        <v>1082</v>
      </c>
      <c r="C35">
        <v>918</v>
      </c>
      <c r="D35">
        <v>2</v>
      </c>
      <c r="E35">
        <v>2</v>
      </c>
    </row>
    <row r="36" spans="1:3" ht="12.75">
      <c r="A36" t="s">
        <v>449</v>
      </c>
      <c r="B36">
        <v>215</v>
      </c>
      <c r="C36">
        <v>49</v>
      </c>
    </row>
    <row r="37" spans="1:5" ht="12.75">
      <c r="A37" t="s">
        <v>450</v>
      </c>
      <c r="B37">
        <v>1289</v>
      </c>
      <c r="C37">
        <v>833</v>
      </c>
      <c r="D37">
        <v>2</v>
      </c>
      <c r="E37">
        <v>2</v>
      </c>
    </row>
    <row r="38" spans="1:5" ht="12.75">
      <c r="A38" t="s">
        <v>455</v>
      </c>
      <c r="B38">
        <v>1800</v>
      </c>
      <c r="C38">
        <v>319</v>
      </c>
      <c r="D38">
        <v>21986</v>
      </c>
      <c r="E38">
        <v>6141</v>
      </c>
    </row>
    <row r="39" spans="1:5" ht="12.75">
      <c r="A39" t="s">
        <v>337</v>
      </c>
      <c r="B39">
        <v>830</v>
      </c>
      <c r="C39">
        <v>228</v>
      </c>
      <c r="D39">
        <v>2</v>
      </c>
      <c r="E39">
        <v>2</v>
      </c>
    </row>
    <row r="40" spans="1:5" ht="12.75">
      <c r="A40" t="s">
        <v>458</v>
      </c>
      <c r="B40">
        <v>256</v>
      </c>
      <c r="C40">
        <v>194</v>
      </c>
      <c r="D40">
        <v>6</v>
      </c>
      <c r="E40">
        <v>6</v>
      </c>
    </row>
    <row r="41" spans="1:3" ht="12.75">
      <c r="A41" t="s">
        <v>473</v>
      </c>
      <c r="B41">
        <v>152</v>
      </c>
      <c r="C41">
        <v>18</v>
      </c>
    </row>
    <row r="42" spans="1:5" ht="12.75">
      <c r="A42" t="s">
        <v>474</v>
      </c>
      <c r="B42">
        <v>1035</v>
      </c>
      <c r="C42">
        <v>590</v>
      </c>
      <c r="D42">
        <v>2</v>
      </c>
      <c r="E42">
        <v>2</v>
      </c>
    </row>
    <row r="43" spans="1:5" ht="12.75">
      <c r="A43" t="s">
        <v>475</v>
      </c>
      <c r="B43">
        <v>6796</v>
      </c>
      <c r="C43">
        <v>958</v>
      </c>
      <c r="D43">
        <v>24857</v>
      </c>
      <c r="E43">
        <v>9899</v>
      </c>
    </row>
    <row r="44" spans="1:5" ht="12.75">
      <c r="A44" t="s">
        <v>478</v>
      </c>
      <c r="B44">
        <v>1069</v>
      </c>
      <c r="C44">
        <v>544</v>
      </c>
      <c r="D44">
        <v>6</v>
      </c>
      <c r="E44">
        <v>6</v>
      </c>
    </row>
    <row r="45" spans="1:5" ht="12.75">
      <c r="A45" t="s">
        <v>482</v>
      </c>
      <c r="B45">
        <v>64</v>
      </c>
      <c r="C45">
        <v>39</v>
      </c>
      <c r="D45">
        <v>1</v>
      </c>
      <c r="E45">
        <v>1</v>
      </c>
    </row>
    <row r="46" spans="1:5" ht="12.75">
      <c r="A46" t="s">
        <v>428</v>
      </c>
      <c r="B46">
        <v>183</v>
      </c>
      <c r="C46">
        <v>107</v>
      </c>
      <c r="D46">
        <v>2</v>
      </c>
      <c r="E46">
        <v>2</v>
      </c>
    </row>
    <row r="47" spans="1:3" ht="12.75">
      <c r="A47" t="s">
        <v>430</v>
      </c>
      <c r="B47">
        <v>997</v>
      </c>
      <c r="C47">
        <v>701</v>
      </c>
    </row>
    <row r="48" spans="1:3" ht="12.75">
      <c r="A48" t="s">
        <v>432</v>
      </c>
      <c r="B48">
        <v>120</v>
      </c>
      <c r="C48">
        <v>68</v>
      </c>
    </row>
    <row r="49" spans="1:5" ht="12.75">
      <c r="A49" t="s">
        <v>438</v>
      </c>
      <c r="B49">
        <v>1173</v>
      </c>
      <c r="C49">
        <v>496</v>
      </c>
      <c r="D49">
        <v>1</v>
      </c>
      <c r="E49">
        <v>1</v>
      </c>
    </row>
    <row r="50" spans="1:3" ht="12.75">
      <c r="A50" t="s">
        <v>434</v>
      </c>
      <c r="B50">
        <v>34</v>
      </c>
      <c r="C50">
        <v>28</v>
      </c>
    </row>
    <row r="51" spans="1:3" ht="12.75">
      <c r="A51" t="s">
        <v>442</v>
      </c>
      <c r="B51">
        <v>131</v>
      </c>
      <c r="C51">
        <v>66</v>
      </c>
    </row>
    <row r="52" spans="1:5" ht="12.75">
      <c r="A52" t="s">
        <v>444</v>
      </c>
      <c r="B52">
        <v>137</v>
      </c>
      <c r="C52">
        <v>35</v>
      </c>
      <c r="D52">
        <v>1</v>
      </c>
      <c r="E52">
        <v>1</v>
      </c>
    </row>
    <row r="53" spans="1:4" ht="12.75">
      <c r="A53" t="s">
        <v>451</v>
      </c>
      <c r="B53">
        <v>1657</v>
      </c>
      <c r="C53">
        <v>987</v>
      </c>
      <c r="D53">
        <v>1</v>
      </c>
    </row>
    <row r="54" spans="1:5" ht="12.75">
      <c r="A54" t="s">
        <v>454</v>
      </c>
      <c r="B54">
        <v>126</v>
      </c>
      <c r="C54">
        <v>99</v>
      </c>
      <c r="D54">
        <v>73</v>
      </c>
      <c r="E54">
        <v>54</v>
      </c>
    </row>
    <row r="55" spans="1:5" ht="12.75">
      <c r="A55" t="s">
        <v>461</v>
      </c>
      <c r="B55">
        <v>935</v>
      </c>
      <c r="C55">
        <v>751</v>
      </c>
      <c r="D55">
        <v>3</v>
      </c>
      <c r="E55">
        <v>3</v>
      </c>
    </row>
    <row r="56" spans="1:5" ht="12.75">
      <c r="A56" t="s">
        <v>463</v>
      </c>
      <c r="B56">
        <v>728</v>
      </c>
      <c r="C56">
        <v>621</v>
      </c>
      <c r="D56">
        <v>1</v>
      </c>
      <c r="E56">
        <v>1</v>
      </c>
    </row>
    <row r="57" spans="1:5" ht="12.75">
      <c r="A57" t="s">
        <v>465</v>
      </c>
      <c r="B57">
        <v>1519</v>
      </c>
      <c r="C57">
        <v>1025</v>
      </c>
      <c r="D57">
        <v>2</v>
      </c>
      <c r="E57">
        <v>2</v>
      </c>
    </row>
    <row r="58" spans="1:5" ht="12.75">
      <c r="A58" t="s">
        <v>467</v>
      </c>
      <c r="B58">
        <v>143</v>
      </c>
      <c r="C58">
        <v>84</v>
      </c>
      <c r="D58">
        <v>1</v>
      </c>
      <c r="E58">
        <v>1</v>
      </c>
    </row>
    <row r="59" spans="1:3" ht="12.75">
      <c r="A59" t="s">
        <v>469</v>
      </c>
      <c r="B59">
        <v>1018</v>
      </c>
      <c r="C59">
        <v>772</v>
      </c>
    </row>
    <row r="60" spans="1:5" ht="12.75">
      <c r="A60" t="s">
        <v>470</v>
      </c>
      <c r="B60">
        <v>1834</v>
      </c>
      <c r="C60">
        <v>1252</v>
      </c>
      <c r="D60">
        <v>2</v>
      </c>
      <c r="E60">
        <v>2</v>
      </c>
    </row>
    <row r="61" spans="1:5" ht="12.75">
      <c r="A61" t="s">
        <v>472</v>
      </c>
      <c r="B61">
        <v>2578</v>
      </c>
      <c r="C61">
        <v>1078</v>
      </c>
      <c r="D61">
        <v>1</v>
      </c>
      <c r="E61">
        <v>1</v>
      </c>
    </row>
    <row r="62" ht="12.75">
      <c r="A62" t="s">
        <v>480</v>
      </c>
    </row>
    <row r="63" ht="12.75">
      <c r="A63" t="s">
        <v>539</v>
      </c>
    </row>
    <row r="64" ht="12.75">
      <c r="A64" t="s">
        <v>429</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A1" sqref="A1"/>
    </sheetView>
  </sheetViews>
  <sheetFormatPr defaultColWidth="9.140625" defaultRowHeight="12.75"/>
  <cols>
    <col min="2" max="2" width="21.28125" style="0" customWidth="1"/>
    <col min="3" max="3" width="21.421875" style="0" customWidth="1"/>
  </cols>
  <sheetData>
    <row r="1" spans="1:4" ht="12.75">
      <c r="A1" s="458" t="s">
        <v>570</v>
      </c>
      <c r="B1" s="458"/>
      <c r="C1" s="337" t="s">
        <v>571</v>
      </c>
      <c r="D1" s="337"/>
    </row>
    <row r="2" spans="1:3" ht="12.75">
      <c r="A2" t="s">
        <v>175</v>
      </c>
      <c r="B2" s="332">
        <f>SUM(B3:B4)</f>
        <v>0</v>
      </c>
      <c r="C2" s="332">
        <f>SUM(C3:C4)</f>
        <v>0</v>
      </c>
    </row>
    <row r="3" spans="1:3" ht="12.75">
      <c r="A3" t="s">
        <v>480</v>
      </c>
      <c r="B3" s="339">
        <f>IF(ISNA(VLOOKUP(A3,Program_Review_Data!A2:E67,2,FALSE)),"0",(VLOOKUP(A3,Program_Review_Data!A2:E67,2,FALSE)))</f>
        <v>0</v>
      </c>
      <c r="C3" s="339">
        <f>IF(ISNA(VLOOKUP(A3,Program_Review_Data!A2:E65,3,FALSE)),"0",(VLOOKUP(A3,Program_Review_Data!A2:E65,3,FALSE)))</f>
        <v>0</v>
      </c>
    </row>
    <row r="4" spans="1:3" ht="12.75">
      <c r="A4" t="s">
        <v>429</v>
      </c>
      <c r="B4" s="339">
        <f>IF(ISNA(VLOOKUP(A4,Program_Review_Data!A3:E68,2,FALSE)),"0",(VLOOKUP(A4,Program_Review_Data!A3:E68,2,FALSE)))</f>
        <v>0</v>
      </c>
      <c r="C4" s="339">
        <f>IF(ISNA(VLOOKUP(A4,Program_Review_Data!A3:E66,3,FALSE)),"0",(VLOOKUP(A4,Program_Review_Data!A3:E66,3,FALSE)))</f>
        <v>0</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58" t="s">
        <v>569</v>
      </c>
      <c r="B1" s="458"/>
      <c r="C1" s="458"/>
      <c r="D1" s="458"/>
      <c r="E1" s="458"/>
    </row>
    <row r="2" spans="1:5" ht="12.75">
      <c r="A2" s="292" t="s">
        <v>426</v>
      </c>
      <c r="B2" s="292" t="s">
        <v>564</v>
      </c>
      <c r="C2" s="292" t="s">
        <v>493</v>
      </c>
      <c r="D2" s="292" t="s">
        <v>565</v>
      </c>
      <c r="E2" s="292" t="s">
        <v>544</v>
      </c>
    </row>
    <row r="3" ht="12.75">
      <c r="A3" t="s">
        <v>69</v>
      </c>
    </row>
    <row r="4" spans="1:5" ht="12.75">
      <c r="A4" t="s">
        <v>431</v>
      </c>
      <c r="B4">
        <v>2175</v>
      </c>
      <c r="C4">
        <v>1487</v>
      </c>
      <c r="D4">
        <v>4</v>
      </c>
      <c r="E4">
        <v>3</v>
      </c>
    </row>
    <row r="5" spans="1:5" ht="12.75">
      <c r="A5" t="s">
        <v>433</v>
      </c>
      <c r="B5">
        <v>846</v>
      </c>
      <c r="C5">
        <v>613</v>
      </c>
      <c r="D5">
        <v>7</v>
      </c>
      <c r="E5">
        <v>6</v>
      </c>
    </row>
    <row r="6" spans="1:5" ht="12.75">
      <c r="A6" t="s">
        <v>334</v>
      </c>
      <c r="B6">
        <v>694</v>
      </c>
      <c r="C6">
        <v>475</v>
      </c>
      <c r="D6">
        <v>11</v>
      </c>
      <c r="E6">
        <v>10</v>
      </c>
    </row>
    <row r="7" spans="1:5" ht="12.75">
      <c r="A7" t="s">
        <v>436</v>
      </c>
      <c r="B7">
        <v>2100</v>
      </c>
      <c r="C7">
        <v>1349</v>
      </c>
      <c r="D7">
        <v>13</v>
      </c>
      <c r="E7">
        <v>12</v>
      </c>
    </row>
    <row r="8" spans="1:5" ht="12.75">
      <c r="A8" t="s">
        <v>440</v>
      </c>
      <c r="B8">
        <v>1804</v>
      </c>
      <c r="C8">
        <v>1487</v>
      </c>
      <c r="D8">
        <v>3</v>
      </c>
      <c r="E8">
        <v>3</v>
      </c>
    </row>
    <row r="9" spans="1:3" ht="12.75">
      <c r="A9" t="s">
        <v>443</v>
      </c>
      <c r="B9">
        <v>142</v>
      </c>
      <c r="C9">
        <v>77</v>
      </c>
    </row>
    <row r="10" spans="1:5" ht="12.75">
      <c r="A10" t="s">
        <v>447</v>
      </c>
      <c r="B10">
        <v>2203</v>
      </c>
      <c r="C10">
        <v>1617</v>
      </c>
      <c r="D10">
        <v>8</v>
      </c>
      <c r="E10">
        <v>7</v>
      </c>
    </row>
    <row r="11" spans="1:5" ht="12.75">
      <c r="A11" t="s">
        <v>453</v>
      </c>
      <c r="B11">
        <v>158</v>
      </c>
      <c r="C11">
        <v>109</v>
      </c>
      <c r="D11">
        <v>1</v>
      </c>
      <c r="E11">
        <v>1</v>
      </c>
    </row>
    <row r="12" spans="1:5" ht="12.75">
      <c r="A12" t="s">
        <v>459</v>
      </c>
      <c r="B12">
        <v>809</v>
      </c>
      <c r="C12">
        <v>611</v>
      </c>
      <c r="D12">
        <v>16</v>
      </c>
      <c r="E12">
        <v>16</v>
      </c>
    </row>
    <row r="13" spans="1:5" ht="12.75">
      <c r="A13" t="s">
        <v>460</v>
      </c>
      <c r="B13">
        <v>422</v>
      </c>
      <c r="C13">
        <v>262</v>
      </c>
      <c r="D13">
        <v>5</v>
      </c>
      <c r="E13">
        <v>5</v>
      </c>
    </row>
    <row r="14" spans="1:5" ht="12.75">
      <c r="A14" t="s">
        <v>462</v>
      </c>
      <c r="B14">
        <v>3590</v>
      </c>
      <c r="C14">
        <v>2596</v>
      </c>
      <c r="D14">
        <v>7821</v>
      </c>
      <c r="E14">
        <v>3886</v>
      </c>
    </row>
    <row r="15" spans="1:5" ht="12.75">
      <c r="A15" t="s">
        <v>464</v>
      </c>
      <c r="B15">
        <v>957</v>
      </c>
      <c r="C15">
        <v>650</v>
      </c>
      <c r="D15">
        <v>13</v>
      </c>
      <c r="E15">
        <v>11</v>
      </c>
    </row>
    <row r="16" spans="1:3" ht="12.75">
      <c r="A16" t="s">
        <v>466</v>
      </c>
      <c r="B16">
        <v>668</v>
      </c>
      <c r="C16">
        <v>149</v>
      </c>
    </row>
    <row r="17" spans="1:5" ht="12.75">
      <c r="A17" t="s">
        <v>477</v>
      </c>
      <c r="B17">
        <v>145</v>
      </c>
      <c r="C17">
        <v>96</v>
      </c>
      <c r="D17">
        <v>2</v>
      </c>
      <c r="E17">
        <v>2</v>
      </c>
    </row>
    <row r="18" spans="1:5" ht="12.75">
      <c r="A18" t="s">
        <v>481</v>
      </c>
      <c r="B18">
        <v>136</v>
      </c>
      <c r="C18">
        <v>92</v>
      </c>
      <c r="D18">
        <v>1</v>
      </c>
      <c r="E18">
        <v>1</v>
      </c>
    </row>
    <row r="19" spans="1:5" ht="12.75">
      <c r="A19" t="s">
        <v>483</v>
      </c>
      <c r="B19">
        <v>202</v>
      </c>
      <c r="C19">
        <v>127</v>
      </c>
      <c r="D19">
        <v>1</v>
      </c>
      <c r="E19">
        <v>1</v>
      </c>
    </row>
    <row r="20" spans="1:5" ht="12.75">
      <c r="A20" t="s">
        <v>335</v>
      </c>
      <c r="B20">
        <v>4789</v>
      </c>
      <c r="C20">
        <v>3108</v>
      </c>
      <c r="D20">
        <v>12</v>
      </c>
      <c r="E20">
        <v>11</v>
      </c>
    </row>
    <row r="21" spans="1:5" ht="12.75">
      <c r="A21" t="s">
        <v>437</v>
      </c>
      <c r="B21">
        <v>991</v>
      </c>
      <c r="C21">
        <v>711</v>
      </c>
      <c r="D21">
        <v>42</v>
      </c>
      <c r="E21">
        <v>31</v>
      </c>
    </row>
    <row r="22" spans="1:3" ht="12.75">
      <c r="A22" t="s">
        <v>446</v>
      </c>
      <c r="B22">
        <v>656</v>
      </c>
      <c r="C22">
        <v>292</v>
      </c>
    </row>
    <row r="23" spans="1:5" ht="12.75">
      <c r="A23" t="s">
        <v>448</v>
      </c>
      <c r="B23">
        <v>811</v>
      </c>
      <c r="C23">
        <v>570</v>
      </c>
      <c r="D23">
        <v>14</v>
      </c>
      <c r="E23">
        <v>10</v>
      </c>
    </row>
    <row r="24" spans="1:5" ht="12.75">
      <c r="A24" t="s">
        <v>452</v>
      </c>
      <c r="B24">
        <v>1488</v>
      </c>
      <c r="C24">
        <v>1045</v>
      </c>
      <c r="D24">
        <v>6</v>
      </c>
      <c r="E24">
        <v>5</v>
      </c>
    </row>
    <row r="25" spans="1:5" ht="12.75">
      <c r="A25" t="s">
        <v>456</v>
      </c>
      <c r="B25">
        <v>1209</v>
      </c>
      <c r="C25">
        <v>810</v>
      </c>
      <c r="D25">
        <v>6</v>
      </c>
      <c r="E25">
        <v>5</v>
      </c>
    </row>
    <row r="26" spans="1:5" ht="12.75">
      <c r="A26" t="s">
        <v>457</v>
      </c>
      <c r="B26">
        <v>1422</v>
      </c>
      <c r="C26">
        <v>547</v>
      </c>
      <c r="D26">
        <v>5</v>
      </c>
      <c r="E26">
        <v>5</v>
      </c>
    </row>
    <row r="27" spans="1:5" ht="12.75">
      <c r="A27" t="s">
        <v>468</v>
      </c>
      <c r="B27">
        <v>2626</v>
      </c>
      <c r="C27">
        <v>1808</v>
      </c>
      <c r="D27">
        <v>13</v>
      </c>
      <c r="E27">
        <v>12</v>
      </c>
    </row>
    <row r="28" spans="1:5" ht="12.75">
      <c r="A28" t="s">
        <v>471</v>
      </c>
      <c r="B28">
        <v>949</v>
      </c>
      <c r="C28">
        <v>775</v>
      </c>
      <c r="D28">
        <v>2</v>
      </c>
      <c r="E28">
        <v>2</v>
      </c>
    </row>
    <row r="29" spans="1:5" ht="12.75">
      <c r="A29" t="s">
        <v>476</v>
      </c>
      <c r="B29">
        <v>2690</v>
      </c>
      <c r="C29">
        <v>1604</v>
      </c>
      <c r="D29">
        <v>3</v>
      </c>
      <c r="E29">
        <v>3</v>
      </c>
    </row>
    <row r="30" spans="1:3" ht="12.75">
      <c r="A30" t="s">
        <v>479</v>
      </c>
      <c r="B30">
        <v>1097</v>
      </c>
      <c r="C30">
        <v>1091</v>
      </c>
    </row>
    <row r="31" spans="1:5" ht="12.75">
      <c r="A31" t="s">
        <v>484</v>
      </c>
      <c r="B31">
        <v>2939</v>
      </c>
      <c r="C31">
        <v>1453</v>
      </c>
      <c r="D31">
        <v>78</v>
      </c>
      <c r="E31">
        <v>65</v>
      </c>
    </row>
    <row r="32" spans="1:5" ht="12.75">
      <c r="A32" t="s">
        <v>435</v>
      </c>
      <c r="B32">
        <v>2871</v>
      </c>
      <c r="C32">
        <v>2291</v>
      </c>
      <c r="D32">
        <v>3</v>
      </c>
      <c r="E32">
        <v>2</v>
      </c>
    </row>
    <row r="33" spans="1:3" ht="12.75">
      <c r="A33" t="s">
        <v>439</v>
      </c>
      <c r="B33">
        <v>284</v>
      </c>
      <c r="C33">
        <v>230</v>
      </c>
    </row>
    <row r="34" spans="1:3" ht="12.75">
      <c r="A34" t="s">
        <v>441</v>
      </c>
      <c r="B34">
        <v>61</v>
      </c>
      <c r="C34">
        <v>25</v>
      </c>
    </row>
    <row r="35" spans="1:5" ht="12.75">
      <c r="A35" t="s">
        <v>445</v>
      </c>
      <c r="B35">
        <v>6194</v>
      </c>
      <c r="C35">
        <v>4919</v>
      </c>
      <c r="D35">
        <v>24</v>
      </c>
      <c r="E35">
        <v>20</v>
      </c>
    </row>
    <row r="36" spans="1:5" ht="12.75">
      <c r="A36" t="s">
        <v>449</v>
      </c>
      <c r="B36">
        <v>540</v>
      </c>
      <c r="C36">
        <v>207</v>
      </c>
      <c r="D36">
        <v>3</v>
      </c>
      <c r="E36">
        <v>1</v>
      </c>
    </row>
    <row r="37" spans="1:5" ht="12.75">
      <c r="A37" t="s">
        <v>450</v>
      </c>
      <c r="B37">
        <v>1414</v>
      </c>
      <c r="C37">
        <v>1059</v>
      </c>
      <c r="D37">
        <v>2</v>
      </c>
      <c r="E37">
        <v>2</v>
      </c>
    </row>
    <row r="38" spans="1:5" ht="12.75">
      <c r="A38" t="s">
        <v>455</v>
      </c>
      <c r="B38">
        <v>657</v>
      </c>
      <c r="C38">
        <v>239</v>
      </c>
      <c r="D38">
        <v>559</v>
      </c>
      <c r="E38">
        <v>271</v>
      </c>
    </row>
    <row r="39" spans="1:5" ht="12.75">
      <c r="A39" t="s">
        <v>337</v>
      </c>
      <c r="B39">
        <v>742</v>
      </c>
      <c r="C39">
        <v>384</v>
      </c>
      <c r="D39">
        <v>3</v>
      </c>
      <c r="E39">
        <v>3</v>
      </c>
    </row>
    <row r="40" spans="1:5" ht="12.75">
      <c r="A40" t="s">
        <v>458</v>
      </c>
      <c r="B40">
        <v>1834</v>
      </c>
      <c r="C40">
        <v>1349</v>
      </c>
      <c r="D40">
        <v>4</v>
      </c>
      <c r="E40">
        <v>4</v>
      </c>
    </row>
    <row r="41" spans="1:4" ht="12.75">
      <c r="A41" t="s">
        <v>473</v>
      </c>
      <c r="B41">
        <v>166</v>
      </c>
      <c r="C41">
        <v>69</v>
      </c>
      <c r="D41">
        <v>1</v>
      </c>
    </row>
    <row r="42" spans="1:5" ht="12.75">
      <c r="A42" t="s">
        <v>474</v>
      </c>
      <c r="B42">
        <v>1537</v>
      </c>
      <c r="C42">
        <v>995</v>
      </c>
      <c r="D42">
        <v>4</v>
      </c>
      <c r="E42">
        <v>4</v>
      </c>
    </row>
    <row r="43" spans="1:5" ht="12.75">
      <c r="A43" t="s">
        <v>475</v>
      </c>
      <c r="B43">
        <v>505</v>
      </c>
      <c r="C43">
        <v>271</v>
      </c>
      <c r="D43">
        <v>5011</v>
      </c>
      <c r="E43">
        <v>3279</v>
      </c>
    </row>
    <row r="44" spans="1:5" ht="12.75">
      <c r="A44" t="s">
        <v>478</v>
      </c>
      <c r="B44">
        <v>3361</v>
      </c>
      <c r="C44">
        <v>2310</v>
      </c>
      <c r="D44">
        <v>4</v>
      </c>
      <c r="E44">
        <v>2</v>
      </c>
    </row>
    <row r="45" spans="1:5" ht="12.75">
      <c r="A45" t="s">
        <v>482</v>
      </c>
      <c r="B45">
        <v>571</v>
      </c>
      <c r="C45">
        <v>363</v>
      </c>
      <c r="D45">
        <v>1</v>
      </c>
      <c r="E45">
        <v>1</v>
      </c>
    </row>
    <row r="46" spans="1:5" ht="12.75">
      <c r="A46" t="s">
        <v>428</v>
      </c>
      <c r="B46">
        <v>609</v>
      </c>
      <c r="C46">
        <v>365</v>
      </c>
      <c r="D46">
        <v>2</v>
      </c>
      <c r="E46">
        <v>2</v>
      </c>
    </row>
    <row r="47" spans="1:3" ht="12.75">
      <c r="A47" t="s">
        <v>430</v>
      </c>
      <c r="B47">
        <v>369</v>
      </c>
      <c r="C47">
        <v>310</v>
      </c>
    </row>
    <row r="48" spans="1:3" ht="12.75">
      <c r="A48" t="s">
        <v>432</v>
      </c>
      <c r="B48">
        <v>357</v>
      </c>
      <c r="C48">
        <v>204</v>
      </c>
    </row>
    <row r="49" spans="1:5" ht="12.75">
      <c r="A49" t="s">
        <v>438</v>
      </c>
      <c r="B49">
        <v>1597</v>
      </c>
      <c r="C49">
        <v>837</v>
      </c>
      <c r="D49">
        <v>3</v>
      </c>
      <c r="E49">
        <v>3</v>
      </c>
    </row>
    <row r="50" spans="1:3" ht="12.75">
      <c r="A50" t="s">
        <v>434</v>
      </c>
      <c r="B50">
        <v>168</v>
      </c>
      <c r="C50">
        <v>83</v>
      </c>
    </row>
    <row r="51" spans="1:3" ht="12.75">
      <c r="A51" t="s">
        <v>442</v>
      </c>
      <c r="B51">
        <v>374</v>
      </c>
      <c r="C51">
        <v>232</v>
      </c>
    </row>
    <row r="52" spans="1:3" ht="12.75">
      <c r="A52" t="s">
        <v>444</v>
      </c>
      <c r="B52">
        <v>801</v>
      </c>
      <c r="C52">
        <v>707</v>
      </c>
    </row>
    <row r="53" spans="1:5" ht="12.75">
      <c r="A53" t="s">
        <v>451</v>
      </c>
      <c r="B53">
        <v>1223</v>
      </c>
      <c r="C53">
        <v>1116</v>
      </c>
      <c r="D53">
        <v>3</v>
      </c>
      <c r="E53">
        <v>2</v>
      </c>
    </row>
    <row r="54" spans="1:3" ht="12.75">
      <c r="A54" t="s">
        <v>454</v>
      </c>
      <c r="B54">
        <v>730</v>
      </c>
      <c r="C54">
        <v>490</v>
      </c>
    </row>
    <row r="55" spans="1:5" ht="12.75">
      <c r="A55" t="s">
        <v>461</v>
      </c>
      <c r="B55">
        <v>4231</v>
      </c>
      <c r="C55">
        <v>3826</v>
      </c>
      <c r="D55">
        <v>2</v>
      </c>
      <c r="E55">
        <v>2</v>
      </c>
    </row>
    <row r="56" spans="1:5" ht="12.75">
      <c r="A56" t="s">
        <v>463</v>
      </c>
      <c r="B56">
        <v>3142</v>
      </c>
      <c r="C56">
        <v>789</v>
      </c>
      <c r="D56">
        <v>1</v>
      </c>
      <c r="E56">
        <v>1</v>
      </c>
    </row>
    <row r="57" spans="1:5" ht="12.75">
      <c r="A57" t="s">
        <v>465</v>
      </c>
      <c r="B57">
        <v>634</v>
      </c>
      <c r="C57">
        <v>420</v>
      </c>
      <c r="D57">
        <v>2</v>
      </c>
      <c r="E57">
        <v>2</v>
      </c>
    </row>
    <row r="58" spans="1:5" ht="12.75">
      <c r="A58" t="s">
        <v>467</v>
      </c>
      <c r="B58">
        <v>689</v>
      </c>
      <c r="C58">
        <v>551</v>
      </c>
      <c r="D58">
        <v>1</v>
      </c>
      <c r="E58">
        <v>1</v>
      </c>
    </row>
    <row r="59" spans="1:5" ht="12.75">
      <c r="A59" t="s">
        <v>469</v>
      </c>
      <c r="B59">
        <v>2729</v>
      </c>
      <c r="C59">
        <v>2033</v>
      </c>
      <c r="D59">
        <v>3</v>
      </c>
      <c r="E59">
        <v>3</v>
      </c>
    </row>
    <row r="60" spans="1:5" ht="12.75">
      <c r="A60" t="s">
        <v>470</v>
      </c>
      <c r="B60">
        <v>2937</v>
      </c>
      <c r="C60">
        <v>1283</v>
      </c>
      <c r="D60">
        <v>37</v>
      </c>
      <c r="E60">
        <v>25</v>
      </c>
    </row>
    <row r="61" spans="1:5" ht="12.75">
      <c r="A61" t="s">
        <v>472</v>
      </c>
      <c r="B61">
        <v>2646</v>
      </c>
      <c r="C61">
        <v>1819</v>
      </c>
      <c r="D61">
        <v>1</v>
      </c>
      <c r="E61">
        <v>1</v>
      </c>
    </row>
    <row r="62" spans="1:3" ht="12.75">
      <c r="A62" t="s">
        <v>480</v>
      </c>
      <c r="B62">
        <v>86</v>
      </c>
      <c r="C62">
        <v>84</v>
      </c>
    </row>
    <row r="63" ht="12.75">
      <c r="A63" t="s">
        <v>539</v>
      </c>
    </row>
    <row r="64" spans="1:3" ht="12.75">
      <c r="A64" t="s">
        <v>429</v>
      </c>
      <c r="B64">
        <v>56</v>
      </c>
      <c r="C64">
        <v>7</v>
      </c>
    </row>
  </sheetData>
  <sheetProtection/>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A1" sqref="A1"/>
    </sheetView>
  </sheetViews>
  <sheetFormatPr defaultColWidth="9.140625" defaultRowHeight="12.75"/>
  <cols>
    <col min="3" max="3" width="17.00390625" style="0" customWidth="1"/>
  </cols>
  <sheetData>
    <row r="1" spans="1:3" ht="12.75">
      <c r="A1" s="458" t="s">
        <v>567</v>
      </c>
      <c r="B1" s="458"/>
      <c r="C1" s="337" t="s">
        <v>566</v>
      </c>
    </row>
    <row r="2" spans="1:3" ht="12.75">
      <c r="A2" t="s">
        <v>175</v>
      </c>
      <c r="B2" s="332">
        <f>SUM(B3:B4)</f>
        <v>142</v>
      </c>
      <c r="C2" s="332">
        <f>SUM(C3:C4)</f>
        <v>91</v>
      </c>
    </row>
    <row r="3" spans="1:3" ht="12.75">
      <c r="A3" t="s">
        <v>480</v>
      </c>
      <c r="B3" s="339">
        <f>IF(ISNA(VLOOKUP(A3,Other_Data!A2:E65,2,FALSE)),"0",(VLOOKUP(A3,Other_Data!A2:E65,2,FALSE)))</f>
        <v>86</v>
      </c>
      <c r="C3" s="339">
        <f>IF(ISNA(VLOOKUP(A3,Other_Data!A2:E65,3,FALSE)),"0",(VLOOKUP(A3,Other_Data!A2:E65,3,FALSE)))</f>
        <v>84</v>
      </c>
    </row>
    <row r="4" spans="1:3" ht="12.75">
      <c r="A4" t="s">
        <v>429</v>
      </c>
      <c r="B4" s="339">
        <f>IF(ISNA(VLOOKUP(A4,Other_Data!A3:E66,2,FALSE)),"0",(VLOOKUP(A4,Other_Data!A3:E66,2,FALSE)))</f>
        <v>56</v>
      </c>
      <c r="C4" s="339">
        <f>IF(ISNA(VLOOKUP(A4,Other_Data!A2:E65,3,FALSE)),"0",(VLOOKUP(A4,Other_Data!A2:E65,3,FALSE)))</f>
        <v>7</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A1" sqref="A1"/>
    </sheetView>
  </sheetViews>
  <sheetFormatPr defaultColWidth="9.140625" defaultRowHeight="12.75"/>
  <cols>
    <col min="1" max="1" width="14.28125" style="0" customWidth="1"/>
    <col min="2" max="2" width="13.421875" style="0" customWidth="1"/>
    <col min="3" max="3" width="11.57421875" style="0" customWidth="1"/>
  </cols>
  <sheetData>
    <row r="1" spans="1:5" ht="12.75">
      <c r="A1" s="458" t="s">
        <v>572</v>
      </c>
      <c r="B1" s="458"/>
      <c r="C1" s="458"/>
      <c r="D1" s="458"/>
      <c r="E1" s="458"/>
    </row>
    <row r="2" spans="1:3" ht="12.75">
      <c r="A2" s="292" t="s">
        <v>426</v>
      </c>
      <c r="B2" s="292" t="s">
        <v>573</v>
      </c>
      <c r="C2" s="292" t="s">
        <v>574</v>
      </c>
    </row>
    <row r="3" ht="12.75">
      <c r="A3" t="s">
        <v>69</v>
      </c>
    </row>
    <row r="4" spans="1:3" ht="12.75">
      <c r="A4" t="s">
        <v>431</v>
      </c>
      <c r="B4">
        <v>2</v>
      </c>
      <c r="C4">
        <v>3</v>
      </c>
    </row>
    <row r="5" spans="1:3" ht="12.75">
      <c r="A5" t="s">
        <v>433</v>
      </c>
      <c r="B5">
        <v>2</v>
      </c>
      <c r="C5">
        <v>2</v>
      </c>
    </row>
    <row r="6" spans="1:3" ht="12.75">
      <c r="A6" t="s">
        <v>334</v>
      </c>
      <c r="B6">
        <v>2</v>
      </c>
      <c r="C6">
        <v>1</v>
      </c>
    </row>
    <row r="7" spans="1:3" ht="12.75">
      <c r="A7" t="s">
        <v>436</v>
      </c>
      <c r="B7">
        <v>6</v>
      </c>
      <c r="C7">
        <v>3</v>
      </c>
    </row>
    <row r="8" spans="1:2" ht="12.75">
      <c r="A8" t="s">
        <v>440</v>
      </c>
      <c r="B8">
        <v>4</v>
      </c>
    </row>
    <row r="9" ht="12.75">
      <c r="A9" t="s">
        <v>443</v>
      </c>
    </row>
    <row r="10" spans="1:3" ht="12.75">
      <c r="A10" t="s">
        <v>447</v>
      </c>
      <c r="B10">
        <v>7</v>
      </c>
      <c r="C10">
        <v>1</v>
      </c>
    </row>
    <row r="11" spans="1:2" ht="12.75">
      <c r="A11" t="s">
        <v>453</v>
      </c>
      <c r="B11">
        <v>1</v>
      </c>
    </row>
    <row r="12" spans="1:2" ht="12.75">
      <c r="A12" t="s">
        <v>459</v>
      </c>
      <c r="B12">
        <v>2</v>
      </c>
    </row>
    <row r="13" ht="12.75">
      <c r="A13" t="s">
        <v>460</v>
      </c>
    </row>
    <row r="14" spans="1:3" ht="12.75">
      <c r="A14" t="s">
        <v>462</v>
      </c>
      <c r="B14">
        <v>17477</v>
      </c>
      <c r="C14">
        <v>8570</v>
      </c>
    </row>
    <row r="15" spans="1:2" ht="12.75">
      <c r="A15" t="s">
        <v>464</v>
      </c>
      <c r="B15">
        <v>3</v>
      </c>
    </row>
    <row r="16" ht="12.75">
      <c r="A16" t="s">
        <v>466</v>
      </c>
    </row>
    <row r="17" ht="12.75">
      <c r="A17" t="s">
        <v>477</v>
      </c>
    </row>
    <row r="18" spans="1:2" ht="12.75">
      <c r="A18" t="s">
        <v>481</v>
      </c>
      <c r="B18">
        <v>1</v>
      </c>
    </row>
    <row r="19" ht="12.75">
      <c r="A19" t="s">
        <v>483</v>
      </c>
    </row>
    <row r="20" spans="1:2" ht="12.75">
      <c r="A20" t="s">
        <v>335</v>
      </c>
      <c r="B20">
        <v>1</v>
      </c>
    </row>
    <row r="21" spans="1:3" ht="12.75">
      <c r="A21" t="s">
        <v>437</v>
      </c>
      <c r="B21">
        <v>2</v>
      </c>
      <c r="C21">
        <v>2</v>
      </c>
    </row>
    <row r="22" spans="1:2" ht="12.75">
      <c r="A22" t="s">
        <v>446</v>
      </c>
      <c r="B22">
        <v>1</v>
      </c>
    </row>
    <row r="23" spans="1:2" ht="12.75">
      <c r="A23" t="s">
        <v>448</v>
      </c>
      <c r="B23">
        <v>36</v>
      </c>
    </row>
    <row r="24" spans="1:3" ht="12.75">
      <c r="A24" t="s">
        <v>452</v>
      </c>
      <c r="B24">
        <v>23</v>
      </c>
      <c r="C24">
        <v>15</v>
      </c>
    </row>
    <row r="25" spans="1:3" ht="12.75">
      <c r="A25" t="s">
        <v>456</v>
      </c>
      <c r="B25">
        <v>4</v>
      </c>
      <c r="C25">
        <v>3</v>
      </c>
    </row>
    <row r="26" spans="1:2" ht="12.75">
      <c r="A26" t="s">
        <v>457</v>
      </c>
      <c r="B26">
        <v>4</v>
      </c>
    </row>
    <row r="27" spans="1:3" ht="12.75">
      <c r="A27" t="s">
        <v>468</v>
      </c>
      <c r="B27">
        <v>3</v>
      </c>
      <c r="C27">
        <v>1</v>
      </c>
    </row>
    <row r="28" ht="12.75">
      <c r="A28" t="s">
        <v>471</v>
      </c>
    </row>
    <row r="29" spans="1:3" ht="12.75">
      <c r="A29" t="s">
        <v>476</v>
      </c>
      <c r="B29">
        <v>14</v>
      </c>
      <c r="C29">
        <v>4</v>
      </c>
    </row>
    <row r="30" ht="12.75">
      <c r="A30" t="s">
        <v>479</v>
      </c>
    </row>
    <row r="31" spans="1:3" ht="12.75">
      <c r="A31" t="s">
        <v>484</v>
      </c>
      <c r="B31">
        <v>2</v>
      </c>
      <c r="C31">
        <v>2</v>
      </c>
    </row>
    <row r="32" spans="1:3" ht="12.75">
      <c r="A32" t="s">
        <v>435</v>
      </c>
      <c r="B32">
        <v>10</v>
      </c>
      <c r="C32">
        <v>3</v>
      </c>
    </row>
    <row r="33" ht="12.75">
      <c r="A33" t="s">
        <v>439</v>
      </c>
    </row>
    <row r="34" ht="12.75">
      <c r="A34" t="s">
        <v>441</v>
      </c>
    </row>
    <row r="35" spans="1:3" ht="12.75">
      <c r="A35" t="s">
        <v>445</v>
      </c>
      <c r="B35">
        <v>6</v>
      </c>
      <c r="C35">
        <v>3</v>
      </c>
    </row>
    <row r="36" ht="12.75">
      <c r="A36" t="s">
        <v>449</v>
      </c>
    </row>
    <row r="37" spans="1:3" ht="12.75">
      <c r="A37" t="s">
        <v>450</v>
      </c>
      <c r="B37">
        <v>2</v>
      </c>
      <c r="C37">
        <v>1</v>
      </c>
    </row>
    <row r="38" spans="1:3" ht="12.75">
      <c r="A38" t="s">
        <v>455</v>
      </c>
      <c r="B38">
        <v>11537</v>
      </c>
      <c r="C38">
        <v>2496</v>
      </c>
    </row>
    <row r="39" spans="1:3" ht="12.75">
      <c r="A39" t="s">
        <v>337</v>
      </c>
      <c r="B39">
        <v>1</v>
      </c>
      <c r="C39">
        <v>1</v>
      </c>
    </row>
    <row r="40" spans="1:3" ht="12.75">
      <c r="A40" t="s">
        <v>458</v>
      </c>
      <c r="B40">
        <v>14</v>
      </c>
      <c r="C40">
        <v>3</v>
      </c>
    </row>
    <row r="41" ht="12.75">
      <c r="A41" t="s">
        <v>473</v>
      </c>
    </row>
    <row r="42" spans="1:3" ht="12.75">
      <c r="A42" t="s">
        <v>474</v>
      </c>
      <c r="B42">
        <v>12</v>
      </c>
      <c r="C42">
        <v>7</v>
      </c>
    </row>
    <row r="43" spans="1:3" ht="12.75">
      <c r="A43" t="s">
        <v>475</v>
      </c>
      <c r="B43">
        <v>19058</v>
      </c>
      <c r="C43">
        <v>3428</v>
      </c>
    </row>
    <row r="44" spans="1:3" ht="12.75">
      <c r="A44" t="s">
        <v>478</v>
      </c>
      <c r="B44">
        <v>4</v>
      </c>
      <c r="C44">
        <v>1</v>
      </c>
    </row>
    <row r="45" ht="12.75">
      <c r="A45" t="s">
        <v>482</v>
      </c>
    </row>
    <row r="46" spans="1:2" ht="12.75">
      <c r="A46" t="s">
        <v>428</v>
      </c>
      <c r="B46">
        <v>1</v>
      </c>
    </row>
    <row r="47" ht="12.75">
      <c r="A47" t="s">
        <v>430</v>
      </c>
    </row>
    <row r="48" ht="12.75">
      <c r="A48" t="s">
        <v>432</v>
      </c>
    </row>
    <row r="49" spans="1:3" ht="12.75">
      <c r="A49" t="s">
        <v>438</v>
      </c>
      <c r="B49">
        <v>9</v>
      </c>
      <c r="C49">
        <v>1</v>
      </c>
    </row>
    <row r="50" spans="1:3" ht="12.75">
      <c r="A50" t="s">
        <v>434</v>
      </c>
      <c r="B50">
        <v>2</v>
      </c>
      <c r="C50">
        <v>1</v>
      </c>
    </row>
    <row r="51" ht="12.75">
      <c r="A51" t="s">
        <v>442</v>
      </c>
    </row>
    <row r="52" spans="1:3" ht="12.75">
      <c r="A52" t="s">
        <v>444</v>
      </c>
      <c r="B52">
        <v>3</v>
      </c>
      <c r="C52">
        <v>1</v>
      </c>
    </row>
    <row r="53" spans="1:2" ht="12.75">
      <c r="A53" t="s">
        <v>451</v>
      </c>
      <c r="B53">
        <v>3</v>
      </c>
    </row>
    <row r="54" spans="1:2" ht="12.75">
      <c r="A54" t="s">
        <v>454</v>
      </c>
      <c r="B54">
        <v>406</v>
      </c>
    </row>
    <row r="55" spans="1:3" ht="12.75">
      <c r="A55" t="s">
        <v>461</v>
      </c>
      <c r="B55">
        <v>13</v>
      </c>
      <c r="C55">
        <v>1</v>
      </c>
    </row>
    <row r="56" spans="1:3" ht="12.75">
      <c r="A56" t="s">
        <v>463</v>
      </c>
      <c r="B56">
        <v>1</v>
      </c>
      <c r="C56">
        <v>1</v>
      </c>
    </row>
    <row r="57" spans="1:3" ht="12.75">
      <c r="A57" t="s">
        <v>465</v>
      </c>
      <c r="B57">
        <v>2</v>
      </c>
      <c r="C57">
        <v>2</v>
      </c>
    </row>
    <row r="58" spans="1:3" ht="12.75">
      <c r="A58" t="s">
        <v>467</v>
      </c>
      <c r="B58">
        <v>8</v>
      </c>
      <c r="C58">
        <v>1</v>
      </c>
    </row>
    <row r="59" ht="12.75">
      <c r="A59" t="s">
        <v>469</v>
      </c>
    </row>
    <row r="60" spans="1:3" ht="12.75">
      <c r="A60" t="s">
        <v>470</v>
      </c>
      <c r="C60">
        <v>1</v>
      </c>
    </row>
    <row r="61" spans="1:3" ht="12.75">
      <c r="A61" t="s">
        <v>472</v>
      </c>
      <c r="B61">
        <v>69</v>
      </c>
      <c r="C61">
        <v>3</v>
      </c>
    </row>
    <row r="62" ht="12.75">
      <c r="A62" t="s">
        <v>480</v>
      </c>
    </row>
    <row r="63" ht="12.75">
      <c r="A63" t="s">
        <v>539</v>
      </c>
    </row>
    <row r="64" ht="12.75">
      <c r="A64" t="s">
        <v>429</v>
      </c>
    </row>
  </sheetData>
  <sheetProtection/>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A1" sqref="A1"/>
    </sheetView>
  </sheetViews>
  <sheetFormatPr defaultColWidth="9.140625" defaultRowHeight="12.75"/>
  <sheetData>
    <row r="1" spans="1:2" ht="12.75">
      <c r="A1" s="458" t="s">
        <v>577</v>
      </c>
      <c r="B1" s="458"/>
    </row>
    <row r="2" spans="1:2" ht="12.75">
      <c r="A2" t="s">
        <v>175</v>
      </c>
      <c r="B2" s="332">
        <f>SUM(B3:B4)</f>
        <v>0</v>
      </c>
    </row>
    <row r="3" spans="1:2" ht="12.75">
      <c r="A3" t="s">
        <v>480</v>
      </c>
      <c r="B3" s="339">
        <f>IF(ISNA(VLOOKUP(A3,Burial_Data!A2:C67,2,FALSE)),"0",(VLOOKUP(A3,Burial_Data!A2:C67,2,FALSE)))</f>
        <v>0</v>
      </c>
    </row>
    <row r="4" spans="1:2" ht="12.75">
      <c r="A4" t="s">
        <v>429</v>
      </c>
      <c r="B4" s="339">
        <f>IF(ISNA(VLOOKUP(A4,Burial_Data!A2:C68,2,FALSE)),"0",(VLOOKUP(A4,Burial_Data!A2:C68,2,FALSE)))</f>
        <v>0</v>
      </c>
    </row>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51"/>
  <sheetViews>
    <sheetView zoomScalePageLayoutView="0" workbookViewId="0" topLeftCell="A1">
      <selection activeCell="A1" sqref="A1"/>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58" t="s">
        <v>575</v>
      </c>
      <c r="B1" s="458"/>
      <c r="C1" s="458"/>
      <c r="D1" s="458"/>
      <c r="E1" s="458"/>
    </row>
    <row r="2" spans="1:4" ht="12.75">
      <c r="A2" s="292" t="s">
        <v>426</v>
      </c>
      <c r="B2" s="292" t="s">
        <v>576</v>
      </c>
      <c r="C2" s="292" t="s">
        <v>427</v>
      </c>
      <c r="D2" s="292" t="s">
        <v>486</v>
      </c>
    </row>
    <row r="3" spans="1:4" ht="12.75">
      <c r="A3" t="s">
        <v>428</v>
      </c>
      <c r="B3">
        <v>340</v>
      </c>
      <c r="C3">
        <v>1</v>
      </c>
      <c r="D3" t="s">
        <v>27</v>
      </c>
    </row>
    <row r="4" spans="1:4" ht="12.75">
      <c r="A4" t="s">
        <v>429</v>
      </c>
      <c r="B4">
        <v>397</v>
      </c>
      <c r="C4">
        <v>3</v>
      </c>
      <c r="D4" t="s">
        <v>27</v>
      </c>
    </row>
    <row r="5" spans="1:4" ht="12.75">
      <c r="A5" t="s">
        <v>335</v>
      </c>
      <c r="B5">
        <v>316</v>
      </c>
      <c r="C5">
        <v>1</v>
      </c>
      <c r="D5" t="s">
        <v>27</v>
      </c>
    </row>
    <row r="6" spans="1:4" ht="12.75">
      <c r="A6" t="s">
        <v>431</v>
      </c>
      <c r="B6">
        <v>313</v>
      </c>
      <c r="C6">
        <v>2</v>
      </c>
      <c r="D6" t="s">
        <v>27</v>
      </c>
    </row>
    <row r="7" spans="1:4" ht="12.75">
      <c r="A7" t="s">
        <v>432</v>
      </c>
      <c r="B7">
        <v>347</v>
      </c>
      <c r="C7">
        <v>1</v>
      </c>
      <c r="D7" t="s">
        <v>27</v>
      </c>
    </row>
    <row r="8" spans="1:4" ht="12.75">
      <c r="A8" t="s">
        <v>433</v>
      </c>
      <c r="B8">
        <v>301</v>
      </c>
      <c r="C8">
        <v>1</v>
      </c>
      <c r="D8" t="s">
        <v>27</v>
      </c>
    </row>
    <row r="9" spans="1:4" ht="12.75">
      <c r="A9" t="s">
        <v>334</v>
      </c>
      <c r="B9">
        <v>307</v>
      </c>
      <c r="C9">
        <v>2</v>
      </c>
      <c r="D9" t="s">
        <v>27</v>
      </c>
    </row>
    <row r="10" spans="1:4" ht="12.75">
      <c r="A10" t="s">
        <v>434</v>
      </c>
      <c r="B10">
        <v>442</v>
      </c>
      <c r="C10">
        <v>4</v>
      </c>
      <c r="D10" t="s">
        <v>27</v>
      </c>
    </row>
    <row r="11" spans="1:4" ht="12.75">
      <c r="A11" t="s">
        <v>435</v>
      </c>
      <c r="B11">
        <v>328</v>
      </c>
      <c r="C11">
        <v>129</v>
      </c>
      <c r="D11" t="s">
        <v>27</v>
      </c>
    </row>
    <row r="12" spans="1:4" ht="12.75">
      <c r="A12" t="s">
        <v>436</v>
      </c>
      <c r="B12">
        <v>325</v>
      </c>
      <c r="C12">
        <v>95</v>
      </c>
      <c r="D12" t="s">
        <v>27</v>
      </c>
    </row>
    <row r="13" spans="1:4" ht="12.75">
      <c r="A13" t="s">
        <v>437</v>
      </c>
      <c r="B13">
        <v>319</v>
      </c>
      <c r="C13">
        <v>5</v>
      </c>
      <c r="D13" t="s">
        <v>27</v>
      </c>
    </row>
    <row r="14" spans="1:4" ht="12.75">
      <c r="A14" t="s">
        <v>438</v>
      </c>
      <c r="B14">
        <v>339</v>
      </c>
      <c r="C14">
        <v>4</v>
      </c>
      <c r="D14" t="s">
        <v>27</v>
      </c>
    </row>
    <row r="15" spans="1:4" ht="12.75">
      <c r="A15" t="s">
        <v>439</v>
      </c>
      <c r="B15">
        <v>333</v>
      </c>
      <c r="C15">
        <v>2</v>
      </c>
      <c r="D15" t="s">
        <v>27</v>
      </c>
    </row>
    <row r="16" spans="1:4" ht="12.75">
      <c r="A16" t="s">
        <v>440</v>
      </c>
      <c r="B16">
        <v>329</v>
      </c>
      <c r="C16">
        <v>32</v>
      </c>
      <c r="D16" t="s">
        <v>27</v>
      </c>
    </row>
    <row r="17" spans="1:4" ht="12.75">
      <c r="A17" t="s">
        <v>444</v>
      </c>
      <c r="B17">
        <v>459</v>
      </c>
      <c r="C17">
        <v>1</v>
      </c>
      <c r="D17" t="s">
        <v>27</v>
      </c>
    </row>
    <row r="18" spans="1:4" ht="12.75">
      <c r="A18" t="s">
        <v>445</v>
      </c>
      <c r="B18">
        <v>362</v>
      </c>
      <c r="C18">
        <v>4</v>
      </c>
      <c r="D18" t="s">
        <v>27</v>
      </c>
    </row>
    <row r="19" spans="1:4" ht="12.75">
      <c r="A19" t="s">
        <v>446</v>
      </c>
      <c r="B19">
        <v>315</v>
      </c>
      <c r="C19">
        <v>4</v>
      </c>
      <c r="D19" t="s">
        <v>27</v>
      </c>
    </row>
    <row r="20" spans="1:4" ht="12.75">
      <c r="A20" t="s">
        <v>447</v>
      </c>
      <c r="B20">
        <v>326</v>
      </c>
      <c r="C20">
        <v>65</v>
      </c>
      <c r="D20" t="s">
        <v>27</v>
      </c>
    </row>
    <row r="21" spans="1:4" ht="12.75">
      <c r="A21" t="s">
        <v>448</v>
      </c>
      <c r="B21">
        <v>323</v>
      </c>
      <c r="C21">
        <v>5</v>
      </c>
      <c r="D21" t="s">
        <v>27</v>
      </c>
    </row>
    <row r="22" spans="1:4" ht="12.75">
      <c r="A22" t="s">
        <v>450</v>
      </c>
      <c r="B22">
        <v>350</v>
      </c>
      <c r="C22">
        <v>40</v>
      </c>
      <c r="D22" t="s">
        <v>27</v>
      </c>
    </row>
    <row r="23" spans="1:4" ht="12.75">
      <c r="A23" t="s">
        <v>451</v>
      </c>
      <c r="B23">
        <v>344</v>
      </c>
      <c r="C23">
        <v>7</v>
      </c>
      <c r="D23" t="s">
        <v>27</v>
      </c>
    </row>
    <row r="24" spans="1:4" ht="12.75">
      <c r="A24" t="s">
        <v>452</v>
      </c>
      <c r="B24">
        <v>327</v>
      </c>
      <c r="C24">
        <v>50</v>
      </c>
      <c r="D24" t="s">
        <v>27</v>
      </c>
    </row>
    <row r="25" spans="1:4" ht="12.75">
      <c r="A25" t="s">
        <v>453</v>
      </c>
      <c r="B25">
        <v>373</v>
      </c>
      <c r="C25">
        <v>1</v>
      </c>
      <c r="D25" t="s">
        <v>27</v>
      </c>
    </row>
    <row r="26" spans="1:4" ht="12.75">
      <c r="A26" t="s">
        <v>454</v>
      </c>
      <c r="B26">
        <v>358</v>
      </c>
      <c r="C26">
        <v>84</v>
      </c>
      <c r="D26" t="s">
        <v>27</v>
      </c>
    </row>
    <row r="27" spans="1:4" ht="12.75">
      <c r="A27" t="s">
        <v>455</v>
      </c>
      <c r="B27">
        <v>330</v>
      </c>
      <c r="C27">
        <v>1532</v>
      </c>
      <c r="D27" t="s">
        <v>27</v>
      </c>
    </row>
    <row r="28" spans="1:4" ht="12.75">
      <c r="A28" t="s">
        <v>456</v>
      </c>
      <c r="B28">
        <v>322</v>
      </c>
      <c r="C28">
        <v>64</v>
      </c>
      <c r="D28" t="s">
        <v>27</v>
      </c>
    </row>
    <row r="29" spans="1:4" ht="12.75">
      <c r="A29" t="s">
        <v>337</v>
      </c>
      <c r="B29">
        <v>351</v>
      </c>
      <c r="C29">
        <v>7</v>
      </c>
      <c r="D29" t="s">
        <v>27</v>
      </c>
    </row>
    <row r="30" spans="1:4" ht="12.75">
      <c r="A30" t="s">
        <v>457</v>
      </c>
      <c r="B30">
        <v>320</v>
      </c>
      <c r="C30">
        <v>41</v>
      </c>
      <c r="D30" t="s">
        <v>27</v>
      </c>
    </row>
    <row r="31" spans="1:4" ht="12.75">
      <c r="A31" t="s">
        <v>458</v>
      </c>
      <c r="B31">
        <v>321</v>
      </c>
      <c r="C31">
        <v>102</v>
      </c>
      <c r="D31" t="s">
        <v>27</v>
      </c>
    </row>
    <row r="32" spans="1:4" ht="12.75">
      <c r="A32" t="s">
        <v>459</v>
      </c>
      <c r="B32">
        <v>306</v>
      </c>
      <c r="C32">
        <v>3</v>
      </c>
      <c r="D32" t="s">
        <v>27</v>
      </c>
    </row>
    <row r="33" spans="1:4" ht="12.75">
      <c r="A33" t="s">
        <v>460</v>
      </c>
      <c r="B33">
        <v>309</v>
      </c>
      <c r="C33">
        <v>1</v>
      </c>
      <c r="D33" t="s">
        <v>27</v>
      </c>
    </row>
    <row r="34" spans="1:4" ht="12.75">
      <c r="A34" t="s">
        <v>461</v>
      </c>
      <c r="B34">
        <v>343</v>
      </c>
      <c r="C34">
        <v>4</v>
      </c>
      <c r="D34" t="s">
        <v>27</v>
      </c>
    </row>
    <row r="35" spans="1:4" ht="12.75">
      <c r="A35" t="s">
        <v>462</v>
      </c>
      <c r="B35">
        <v>310</v>
      </c>
      <c r="C35">
        <v>5031</v>
      </c>
      <c r="D35" t="s">
        <v>27</v>
      </c>
    </row>
    <row r="36" spans="1:4" ht="12.75">
      <c r="A36" t="s">
        <v>463</v>
      </c>
      <c r="B36">
        <v>345</v>
      </c>
      <c r="C36">
        <v>4</v>
      </c>
      <c r="D36" t="s">
        <v>27</v>
      </c>
    </row>
    <row r="37" spans="1:4" ht="12.75">
      <c r="A37" t="s">
        <v>464</v>
      </c>
      <c r="B37">
        <v>311</v>
      </c>
      <c r="C37">
        <v>1</v>
      </c>
      <c r="D37" t="s">
        <v>27</v>
      </c>
    </row>
    <row r="38" spans="1:4" ht="12.75">
      <c r="A38" t="s">
        <v>465</v>
      </c>
      <c r="B38">
        <v>348</v>
      </c>
      <c r="C38">
        <v>20</v>
      </c>
      <c r="D38" t="s">
        <v>27</v>
      </c>
    </row>
    <row r="39" spans="1:4" ht="12.75">
      <c r="A39" t="s">
        <v>466</v>
      </c>
      <c r="B39">
        <v>304</v>
      </c>
      <c r="C39">
        <v>1</v>
      </c>
      <c r="D39" t="s">
        <v>27</v>
      </c>
    </row>
    <row r="40" spans="1:4" ht="12.75">
      <c r="A40" t="s">
        <v>467</v>
      </c>
      <c r="B40">
        <v>354</v>
      </c>
      <c r="C40">
        <v>1</v>
      </c>
      <c r="D40" t="s">
        <v>27</v>
      </c>
    </row>
    <row r="41" spans="1:4" ht="12.75">
      <c r="A41" t="s">
        <v>468</v>
      </c>
      <c r="B41">
        <v>314</v>
      </c>
      <c r="C41">
        <v>15</v>
      </c>
      <c r="D41" t="s">
        <v>27</v>
      </c>
    </row>
    <row r="42" spans="1:4" ht="12.75">
      <c r="A42" t="s">
        <v>469</v>
      </c>
      <c r="B42">
        <v>341</v>
      </c>
      <c r="C42">
        <v>3</v>
      </c>
      <c r="D42" t="s">
        <v>27</v>
      </c>
    </row>
    <row r="43" spans="1:4" ht="12.75">
      <c r="A43" t="s">
        <v>470</v>
      </c>
      <c r="B43">
        <v>377</v>
      </c>
      <c r="C43">
        <v>1</v>
      </c>
      <c r="D43" t="s">
        <v>27</v>
      </c>
    </row>
    <row r="44" spans="1:4" ht="12.75">
      <c r="A44" t="s">
        <v>472</v>
      </c>
      <c r="B44">
        <v>346</v>
      </c>
      <c r="C44">
        <v>57</v>
      </c>
      <c r="D44" t="s">
        <v>27</v>
      </c>
    </row>
    <row r="45" spans="1:4" ht="12.75">
      <c r="A45" t="s">
        <v>473</v>
      </c>
      <c r="B45">
        <v>438</v>
      </c>
      <c r="C45">
        <v>1</v>
      </c>
      <c r="D45" t="s">
        <v>27</v>
      </c>
    </row>
    <row r="46" spans="1:4" ht="12.75">
      <c r="A46" t="s">
        <v>474</v>
      </c>
      <c r="B46">
        <v>331</v>
      </c>
      <c r="C46">
        <v>99</v>
      </c>
      <c r="D46" t="s">
        <v>27</v>
      </c>
    </row>
    <row r="47" spans="1:4" ht="12.75">
      <c r="A47" t="s">
        <v>475</v>
      </c>
      <c r="B47">
        <v>335</v>
      </c>
      <c r="C47">
        <v>4599</v>
      </c>
      <c r="D47" t="s">
        <v>27</v>
      </c>
    </row>
    <row r="48" spans="1:4" ht="12.75">
      <c r="A48" t="s">
        <v>476</v>
      </c>
      <c r="B48">
        <v>317</v>
      </c>
      <c r="C48">
        <v>91</v>
      </c>
      <c r="D48" t="s">
        <v>27</v>
      </c>
    </row>
    <row r="49" spans="1:4" ht="12.75">
      <c r="A49" t="s">
        <v>478</v>
      </c>
      <c r="B49">
        <v>349</v>
      </c>
      <c r="C49">
        <v>8</v>
      </c>
      <c r="D49" t="s">
        <v>27</v>
      </c>
    </row>
    <row r="50" spans="1:4" ht="12.75">
      <c r="A50" t="s">
        <v>481</v>
      </c>
      <c r="B50">
        <v>405</v>
      </c>
      <c r="C50">
        <v>1</v>
      </c>
      <c r="D50" t="s">
        <v>27</v>
      </c>
    </row>
    <row r="51" spans="1:4" ht="12.75">
      <c r="A51" t="s">
        <v>484</v>
      </c>
      <c r="B51">
        <v>318</v>
      </c>
      <c r="C51">
        <v>5</v>
      </c>
      <c r="D51" t="s">
        <v>27</v>
      </c>
    </row>
  </sheetData>
  <sheetProtection/>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A1" sqref="A1"/>
    </sheetView>
  </sheetViews>
  <sheetFormatPr defaultColWidth="9.140625" defaultRowHeight="12.75"/>
  <cols>
    <col min="2" max="2" width="11.7109375" style="0" customWidth="1"/>
  </cols>
  <sheetData>
    <row r="1" spans="1:2" ht="12.75">
      <c r="A1" s="458" t="s">
        <v>578</v>
      </c>
      <c r="B1" s="458"/>
    </row>
    <row r="2" spans="1:2" ht="12.75">
      <c r="A2" t="s">
        <v>175</v>
      </c>
      <c r="B2" s="332">
        <f>SUM(B3:B4)</f>
        <v>3</v>
      </c>
    </row>
    <row r="3" spans="1:2" ht="12.75">
      <c r="A3" t="s">
        <v>480</v>
      </c>
      <c r="B3" s="339" t="str">
        <f>IF(ISNA(VLOOKUP(A3,Accrued_Data!$A$2:$D$54,3,FALSE)),"0",(VLOOKUP(A3,Accrued_Data!$A$2:$D$54,3,FALSE)))</f>
        <v>0</v>
      </c>
    </row>
    <row r="4" spans="1:2" ht="12.75">
      <c r="A4" t="s">
        <v>429</v>
      </c>
      <c r="B4" s="339">
        <f>IF(ISNA(VLOOKUP(A4,Accrued_Data!$A$2:$D$54,3,FALSE)),"0",(VLOOKUP(A4,Accrued_Data!$A$2:$D$54,3,FALSE)))</f>
        <v>3</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A1" sqref="A1"/>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65" t="s">
        <v>326</v>
      </c>
      <c r="B1" s="465"/>
      <c r="C1" s="465"/>
      <c r="D1" s="465"/>
      <c r="E1" s="465"/>
      <c r="F1" s="465"/>
      <c r="P1" s="188"/>
      <c r="Q1" s="188"/>
    </row>
    <row r="2" spans="1:18" ht="26.25" customHeight="1">
      <c r="A2" s="123"/>
      <c r="B2" s="124"/>
      <c r="C2" s="124"/>
      <c r="H2" s="145"/>
      <c r="I2" s="466" t="s">
        <v>238</v>
      </c>
      <c r="J2" s="466"/>
      <c r="K2" s="467"/>
      <c r="L2" s="460" t="s">
        <v>11</v>
      </c>
      <c r="M2" s="461"/>
      <c r="N2" s="462"/>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63" t="s">
        <v>324</v>
      </c>
      <c r="B4" s="464"/>
      <c r="C4" s="154"/>
      <c r="D4" s="463" t="s">
        <v>1</v>
      </c>
      <c r="E4" s="464"/>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3"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40"/>
      <c r="D2" s="224"/>
      <c r="E2" s="162" t="s">
        <v>39</v>
      </c>
      <c r="F2" s="160" t="s">
        <v>30</v>
      </c>
      <c r="G2" s="160" t="s">
        <v>31</v>
      </c>
    </row>
    <row r="3" spans="2:7" ht="3.75" customHeight="1">
      <c r="B3" s="225"/>
      <c r="C3" s="341"/>
      <c r="D3" s="226"/>
      <c r="E3" s="386">
        <v>896540</v>
      </c>
      <c r="F3" s="388">
        <v>592490</v>
      </c>
      <c r="G3" s="384">
        <v>0.660862872822183</v>
      </c>
    </row>
    <row r="4" spans="2:7" ht="14.25" customHeight="1" thickBot="1">
      <c r="B4" s="258">
        <v>41202</v>
      </c>
      <c r="C4" s="342"/>
      <c r="D4" s="227"/>
      <c r="E4" s="387"/>
      <c r="F4" s="389"/>
      <c r="G4" s="385"/>
    </row>
    <row r="5" spans="2:7" ht="10.5" customHeight="1" thickBot="1">
      <c r="B5" s="105"/>
      <c r="C5" s="105"/>
      <c r="D5" s="106"/>
      <c r="E5" s="53"/>
      <c r="F5" s="53"/>
      <c r="G5" s="53"/>
    </row>
    <row r="6" spans="2:7" ht="25.5">
      <c r="B6" s="390" t="s">
        <v>328</v>
      </c>
      <c r="C6" s="391"/>
      <c r="D6" s="392"/>
      <c r="E6" s="162" t="s">
        <v>39</v>
      </c>
      <c r="F6" s="160" t="s">
        <v>30</v>
      </c>
      <c r="G6" s="160" t="s">
        <v>31</v>
      </c>
    </row>
    <row r="7" spans="2:7" ht="12" customHeight="1">
      <c r="B7" s="393"/>
      <c r="C7" s="394"/>
      <c r="D7" s="395"/>
      <c r="E7" s="386">
        <v>859880</v>
      </c>
      <c r="F7" s="388">
        <v>567950</v>
      </c>
      <c r="G7" s="384">
        <v>0.6604991394148021</v>
      </c>
    </row>
    <row r="8" spans="2:7" ht="2.25" customHeight="1" thickBot="1">
      <c r="B8" s="396"/>
      <c r="C8" s="397"/>
      <c r="D8" s="398"/>
      <c r="E8" s="387"/>
      <c r="F8" s="389"/>
      <c r="G8" s="385"/>
    </row>
    <row r="9" spans="2:7" ht="18.75" customHeight="1" thickBot="1">
      <c r="B9" s="108" t="s">
        <v>308</v>
      </c>
      <c r="C9" s="108"/>
      <c r="D9" s="106"/>
      <c r="E9" s="54"/>
      <c r="F9" s="54"/>
      <c r="G9" s="54"/>
    </row>
    <row r="10" spans="2:8" ht="27" customHeight="1">
      <c r="B10" s="109"/>
      <c r="C10" s="343"/>
      <c r="D10" s="399" t="s">
        <v>24</v>
      </c>
      <c r="E10" s="162" t="s">
        <v>39</v>
      </c>
      <c r="F10" s="163" t="s">
        <v>30</v>
      </c>
      <c r="G10" s="164" t="s">
        <v>31</v>
      </c>
      <c r="H10" s="50"/>
    </row>
    <row r="11" spans="2:8" ht="15" customHeight="1">
      <c r="B11" s="137" t="s">
        <v>23</v>
      </c>
      <c r="C11" s="344"/>
      <c r="D11" s="400"/>
      <c r="E11" s="127">
        <v>819768</v>
      </c>
      <c r="F11" s="128">
        <v>554587</v>
      </c>
      <c r="G11" s="129">
        <v>0.6765170145699759</v>
      </c>
      <c r="H11" s="50"/>
    </row>
    <row r="12" spans="1:8" s="113" customFormat="1" ht="21" customHeight="1">
      <c r="A12" s="111"/>
      <c r="B12" s="112" t="s">
        <v>7</v>
      </c>
      <c r="C12" s="345"/>
      <c r="D12" s="110"/>
      <c r="E12" s="58"/>
      <c r="F12" s="59"/>
      <c r="G12" s="55"/>
      <c r="H12" s="51"/>
    </row>
    <row r="13" spans="2:8" ht="15">
      <c r="B13" s="114" t="s">
        <v>309</v>
      </c>
      <c r="C13" s="358" t="s">
        <v>538</v>
      </c>
      <c r="D13" s="178" t="s">
        <v>322</v>
      </c>
      <c r="E13" s="130">
        <v>1935</v>
      </c>
      <c r="F13" s="130">
        <v>1554</v>
      </c>
      <c r="G13" s="132">
        <v>0.8031007751937984</v>
      </c>
      <c r="H13" s="50"/>
    </row>
    <row r="14" spans="2:8" ht="15">
      <c r="B14" s="114" t="s">
        <v>310</v>
      </c>
      <c r="C14" s="358" t="s">
        <v>524</v>
      </c>
      <c r="D14" s="179" t="s">
        <v>323</v>
      </c>
      <c r="E14" s="130">
        <v>73617</v>
      </c>
      <c r="F14" s="130">
        <v>49663</v>
      </c>
      <c r="G14" s="132">
        <v>0.6746132007552603</v>
      </c>
      <c r="H14" s="50"/>
    </row>
    <row r="15" spans="2:8" ht="15">
      <c r="B15" s="114" t="s">
        <v>19</v>
      </c>
      <c r="C15" s="358" t="s">
        <v>523</v>
      </c>
      <c r="D15" s="170">
        <v>110</v>
      </c>
      <c r="E15" s="130">
        <v>239059</v>
      </c>
      <c r="F15" s="130">
        <v>165997</v>
      </c>
      <c r="G15" s="132">
        <v>0.6943767019857022</v>
      </c>
      <c r="H15" s="50"/>
    </row>
    <row r="16" spans="2:8" ht="24.75" customHeight="1">
      <c r="B16" s="112" t="s">
        <v>8</v>
      </c>
      <c r="C16" s="345"/>
      <c r="D16" s="180"/>
      <c r="E16" s="58"/>
      <c r="F16" s="59"/>
      <c r="G16" s="191"/>
      <c r="H16" s="50"/>
    </row>
    <row r="17" spans="2:8" ht="15">
      <c r="B17" s="115" t="s">
        <v>311</v>
      </c>
      <c r="C17" s="358" t="s">
        <v>525</v>
      </c>
      <c r="D17" s="170">
        <v>140</v>
      </c>
      <c r="E17" s="130">
        <v>13871</v>
      </c>
      <c r="F17" s="130">
        <v>5671</v>
      </c>
      <c r="G17" s="132">
        <v>0.40883858409631607</v>
      </c>
      <c r="H17" s="50"/>
    </row>
    <row r="18" spans="2:8" ht="15">
      <c r="B18" s="115" t="s">
        <v>320</v>
      </c>
      <c r="C18" s="358" t="s">
        <v>487</v>
      </c>
      <c r="D18" s="170">
        <v>410</v>
      </c>
      <c r="E18" s="130">
        <v>285</v>
      </c>
      <c r="F18" s="130">
        <v>187</v>
      </c>
      <c r="G18" s="132">
        <v>0.656140350877193</v>
      </c>
      <c r="H18" s="50"/>
    </row>
    <row r="19" spans="2:8" ht="21.75" customHeight="1">
      <c r="B19" s="112" t="s">
        <v>20</v>
      </c>
      <c r="C19" s="345"/>
      <c r="D19" s="180"/>
      <c r="E19" s="58"/>
      <c r="F19" s="59"/>
      <c r="G19" s="191"/>
      <c r="H19" s="50"/>
    </row>
    <row r="20" spans="2:8" ht="15">
      <c r="B20" s="114" t="s">
        <v>312</v>
      </c>
      <c r="C20" s="358" t="s">
        <v>518</v>
      </c>
      <c r="D20" s="179" t="s">
        <v>327</v>
      </c>
      <c r="E20" s="130">
        <v>481432</v>
      </c>
      <c r="F20" s="130">
        <v>323748</v>
      </c>
      <c r="G20" s="132">
        <v>0.6724688014091295</v>
      </c>
      <c r="H20" s="52"/>
    </row>
    <row r="21" spans="2:8" ht="15">
      <c r="B21" s="115" t="s">
        <v>313</v>
      </c>
      <c r="C21" s="358" t="s">
        <v>522</v>
      </c>
      <c r="D21" s="170">
        <v>320</v>
      </c>
      <c r="E21" s="130">
        <v>2092</v>
      </c>
      <c r="F21" s="130">
        <v>667</v>
      </c>
      <c r="G21" s="132">
        <v>0.3188336520076482</v>
      </c>
      <c r="H21" s="50"/>
    </row>
    <row r="22" spans="2:8" ht="15">
      <c r="B22" s="115" t="s">
        <v>319</v>
      </c>
      <c r="C22" s="358" t="s">
        <v>488</v>
      </c>
      <c r="D22" s="170">
        <v>420</v>
      </c>
      <c r="E22" s="130">
        <v>103</v>
      </c>
      <c r="F22" s="130">
        <v>75</v>
      </c>
      <c r="G22" s="132">
        <v>0.7281553398058253</v>
      </c>
      <c r="H22" s="50"/>
    </row>
    <row r="23" spans="2:8" ht="15">
      <c r="B23" s="365" t="s">
        <v>590</v>
      </c>
      <c r="C23" s="366" t="s">
        <v>506</v>
      </c>
      <c r="D23" s="169">
        <v>681</v>
      </c>
      <c r="E23" s="367">
        <v>224</v>
      </c>
      <c r="F23" s="367">
        <v>63</v>
      </c>
      <c r="G23" s="368">
        <v>0.28125</v>
      </c>
      <c r="H23" s="50"/>
    </row>
    <row r="24" spans="2:8" ht="15">
      <c r="B24" s="115" t="s">
        <v>591</v>
      </c>
      <c r="C24" s="358" t="s">
        <v>507</v>
      </c>
      <c r="D24" s="170">
        <v>687</v>
      </c>
      <c r="E24" s="130" t="s">
        <v>595</v>
      </c>
      <c r="F24" s="130" t="s">
        <v>595</v>
      </c>
      <c r="G24" s="132" t="e">
        <v>#DIV/0!</v>
      </c>
      <c r="H24" s="50"/>
    </row>
    <row r="25" spans="2:8" ht="15">
      <c r="B25" s="115" t="s">
        <v>592</v>
      </c>
      <c r="C25" s="358" t="s">
        <v>501</v>
      </c>
      <c r="D25" s="298">
        <v>405</v>
      </c>
      <c r="E25" s="131">
        <v>6459</v>
      </c>
      <c r="F25" s="130">
        <v>6448</v>
      </c>
      <c r="G25" s="132">
        <v>0.9982969499922588</v>
      </c>
      <c r="H25" s="50"/>
    </row>
    <row r="26" spans="2:8" ht="15">
      <c r="B26" s="115" t="s">
        <v>593</v>
      </c>
      <c r="C26" s="359" t="s">
        <v>503</v>
      </c>
      <c r="D26" s="298">
        <v>409</v>
      </c>
      <c r="E26" s="131">
        <v>691</v>
      </c>
      <c r="F26" s="131">
        <v>514</v>
      </c>
      <c r="G26" s="363">
        <v>0.743849493487699</v>
      </c>
      <c r="H26" s="50"/>
    </row>
    <row r="27" spans="2:8" ht="18">
      <c r="B27" s="112" t="s">
        <v>594</v>
      </c>
      <c r="C27" s="362"/>
      <c r="D27" s="296"/>
      <c r="E27" s="364"/>
      <c r="F27" s="364"/>
      <c r="G27" s="297"/>
      <c r="H27" s="50"/>
    </row>
    <row r="28" spans="2:8" ht="33.75" customHeight="1">
      <c r="B28" s="405" t="s">
        <v>583</v>
      </c>
      <c r="C28" s="406"/>
      <c r="D28" s="406"/>
      <c r="E28" s="406"/>
      <c r="F28" s="406"/>
      <c r="G28" s="407"/>
      <c r="H28" s="50"/>
    </row>
    <row r="29" spans="2:8" ht="72.75" customHeight="1" thickBot="1">
      <c r="B29" s="402" t="s">
        <v>582</v>
      </c>
      <c r="C29" s="403"/>
      <c r="D29" s="403"/>
      <c r="E29" s="403"/>
      <c r="F29" s="403"/>
      <c r="G29" s="404"/>
      <c r="H29" s="50"/>
    </row>
    <row r="30" spans="2:7" ht="31.5" customHeight="1" thickBot="1">
      <c r="B30" s="401"/>
      <c r="C30" s="401"/>
      <c r="D30" s="401"/>
      <c r="E30" s="401"/>
      <c r="F30" s="401"/>
      <c r="G30" s="401"/>
    </row>
    <row r="31" spans="2:8" ht="27" customHeight="1">
      <c r="B31" s="116"/>
      <c r="C31" s="347"/>
      <c r="D31" s="399" t="s">
        <v>24</v>
      </c>
      <c r="E31" s="162" t="s">
        <v>39</v>
      </c>
      <c r="F31" s="163" t="s">
        <v>30</v>
      </c>
      <c r="G31" s="164" t="s">
        <v>31</v>
      </c>
      <c r="H31" s="50"/>
    </row>
    <row r="32" spans="2:8" ht="15" customHeight="1">
      <c r="B32" s="136" t="s">
        <v>213</v>
      </c>
      <c r="C32" s="348"/>
      <c r="D32" s="400"/>
      <c r="E32" s="127">
        <v>286917</v>
      </c>
      <c r="F32" s="128">
        <v>163845</v>
      </c>
      <c r="G32" s="133">
        <v>0.5710536496617489</v>
      </c>
      <c r="H32" s="50"/>
    </row>
    <row r="33" spans="2:8" ht="15">
      <c r="B33" s="115" t="s">
        <v>214</v>
      </c>
      <c r="C33" s="358" t="s">
        <v>214</v>
      </c>
      <c r="D33" s="169">
        <v>130</v>
      </c>
      <c r="E33" s="131">
        <v>160109</v>
      </c>
      <c r="F33" s="131">
        <v>97644</v>
      </c>
      <c r="G33" s="132">
        <v>0.6098595331930122</v>
      </c>
      <c r="H33" s="50"/>
    </row>
    <row r="34" spans="2:8" ht="15">
      <c r="B34" s="115" t="s">
        <v>215</v>
      </c>
      <c r="C34" s="358" t="s">
        <v>537</v>
      </c>
      <c r="D34" s="170">
        <v>133</v>
      </c>
      <c r="E34" s="131">
        <v>31</v>
      </c>
      <c r="F34" s="131">
        <v>13</v>
      </c>
      <c r="G34" s="132">
        <v>0.41935483870967744</v>
      </c>
      <c r="H34" s="50"/>
    </row>
    <row r="35" spans="2:8" ht="15">
      <c r="B35" s="115" t="s">
        <v>216</v>
      </c>
      <c r="C35" s="358" t="s">
        <v>517</v>
      </c>
      <c r="D35" s="170">
        <v>135</v>
      </c>
      <c r="E35" s="131">
        <v>209</v>
      </c>
      <c r="F35" s="131">
        <v>147</v>
      </c>
      <c r="G35" s="132">
        <v>0.7033492822966507</v>
      </c>
      <c r="H35" s="50"/>
    </row>
    <row r="36" spans="2:8" ht="15">
      <c r="B36" s="115" t="s">
        <v>217</v>
      </c>
      <c r="C36" s="358" t="s">
        <v>528</v>
      </c>
      <c r="D36" s="170">
        <v>290</v>
      </c>
      <c r="E36" s="131">
        <v>71754</v>
      </c>
      <c r="F36" s="131">
        <v>42751</v>
      </c>
      <c r="G36" s="132">
        <v>0.5957995373080246</v>
      </c>
      <c r="H36" s="50"/>
    </row>
    <row r="37" spans="2:8" ht="15">
      <c r="B37" s="115" t="s">
        <v>321</v>
      </c>
      <c r="C37" s="358" t="s">
        <v>490</v>
      </c>
      <c r="D37" s="170">
        <v>450</v>
      </c>
      <c r="E37" s="131">
        <v>7</v>
      </c>
      <c r="F37" s="131">
        <v>5</v>
      </c>
      <c r="G37" s="132">
        <v>0.7142857142857143</v>
      </c>
      <c r="H37" s="50"/>
    </row>
    <row r="38" spans="2:8" ht="15">
      <c r="B38" s="115" t="s">
        <v>218</v>
      </c>
      <c r="C38" s="358" t="s">
        <v>516</v>
      </c>
      <c r="D38" s="170">
        <v>310</v>
      </c>
      <c r="E38" s="131">
        <v>13613</v>
      </c>
      <c r="F38" s="131">
        <v>5519</v>
      </c>
      <c r="G38" s="132">
        <v>0.4054212884742526</v>
      </c>
      <c r="H38" s="50"/>
    </row>
    <row r="39" spans="2:8" ht="15">
      <c r="B39" s="115" t="s">
        <v>219</v>
      </c>
      <c r="C39" s="358" t="s">
        <v>513</v>
      </c>
      <c r="D39" s="170">
        <v>600</v>
      </c>
      <c r="E39" s="131">
        <v>41194</v>
      </c>
      <c r="F39" s="131">
        <v>17766</v>
      </c>
      <c r="G39" s="132">
        <v>0.4312763994756518</v>
      </c>
      <c r="H39" s="50"/>
    </row>
    <row r="40" spans="2:8" ht="58.5" customHeight="1" thickBot="1">
      <c r="B40" s="409" t="s">
        <v>584</v>
      </c>
      <c r="C40" s="410"/>
      <c r="D40" s="410"/>
      <c r="E40" s="410"/>
      <c r="F40" s="410"/>
      <c r="G40" s="117"/>
      <c r="H40" s="50"/>
    </row>
    <row r="41" spans="2:7" ht="18" customHeight="1" thickBot="1">
      <c r="B41" s="108"/>
      <c r="C41" s="108"/>
      <c r="D41" s="106"/>
      <c r="E41" s="53"/>
      <c r="F41" s="53"/>
      <c r="G41" s="53"/>
    </row>
    <row r="42" spans="2:8" ht="27" customHeight="1">
      <c r="B42" s="116"/>
      <c r="C42" s="347"/>
      <c r="D42" s="399" t="s">
        <v>24</v>
      </c>
      <c r="E42" s="162" t="s">
        <v>39</v>
      </c>
      <c r="F42" s="163" t="s">
        <v>30</v>
      </c>
      <c r="G42" s="164" t="s">
        <v>31</v>
      </c>
      <c r="H42" s="50"/>
    </row>
    <row r="43" spans="2:8" ht="15" customHeight="1">
      <c r="B43" s="136" t="s">
        <v>390</v>
      </c>
      <c r="C43" s="348"/>
      <c r="D43" s="400"/>
      <c r="E43" s="127">
        <v>55378</v>
      </c>
      <c r="F43" s="134">
        <v>31540</v>
      </c>
      <c r="G43" s="133">
        <v>0.5695402506410487</v>
      </c>
      <c r="H43" s="50"/>
    </row>
    <row r="44" spans="2:8" ht="15">
      <c r="B44" s="115" t="s">
        <v>221</v>
      </c>
      <c r="C44" s="358" t="s">
        <v>520</v>
      </c>
      <c r="D44" s="169">
        <v>314</v>
      </c>
      <c r="E44" s="131">
        <v>8151</v>
      </c>
      <c r="F44" s="131">
        <v>2739</v>
      </c>
      <c r="G44" s="132">
        <v>0.3360323886639676</v>
      </c>
      <c r="H44" s="50"/>
    </row>
    <row r="45" spans="2:8" ht="15">
      <c r="B45" s="115" t="s">
        <v>389</v>
      </c>
      <c r="C45" s="358" t="s">
        <v>532</v>
      </c>
      <c r="D45" s="170">
        <v>680</v>
      </c>
      <c r="E45" s="131">
        <v>29</v>
      </c>
      <c r="F45" s="131">
        <v>25</v>
      </c>
      <c r="G45" s="132">
        <v>0.8620689655172413</v>
      </c>
      <c r="H45" s="50"/>
    </row>
    <row r="46" spans="2:8" ht="15">
      <c r="B46" s="115" t="s">
        <v>222</v>
      </c>
      <c r="C46" s="358" t="s">
        <v>535</v>
      </c>
      <c r="D46" s="170">
        <v>682</v>
      </c>
      <c r="E46" s="131">
        <v>1019</v>
      </c>
      <c r="F46" s="131">
        <v>911</v>
      </c>
      <c r="G46" s="132">
        <v>0.8940137389597644</v>
      </c>
      <c r="H46" s="50"/>
    </row>
    <row r="47" spans="2:8" ht="15">
      <c r="B47" s="115" t="s">
        <v>223</v>
      </c>
      <c r="C47" s="358" t="s">
        <v>534</v>
      </c>
      <c r="D47" s="170">
        <v>684</v>
      </c>
      <c r="E47" s="131">
        <v>793</v>
      </c>
      <c r="F47" s="131">
        <v>16</v>
      </c>
      <c r="G47" s="132">
        <v>0.0201765447667087</v>
      </c>
      <c r="H47" s="50"/>
    </row>
    <row r="48" spans="2:8" ht="15.75" customHeight="1">
      <c r="B48" s="115" t="s">
        <v>270</v>
      </c>
      <c r="C48" s="358" t="s">
        <v>531</v>
      </c>
      <c r="D48" s="170">
        <v>685</v>
      </c>
      <c r="E48" s="131">
        <v>141</v>
      </c>
      <c r="F48" s="131">
        <v>138</v>
      </c>
      <c r="G48" s="132">
        <v>0.9787234042553191</v>
      </c>
      <c r="H48" s="50"/>
    </row>
    <row r="49" spans="2:8" ht="15">
      <c r="B49" s="115" t="s">
        <v>271</v>
      </c>
      <c r="C49" s="358" t="s">
        <v>508</v>
      </c>
      <c r="D49" s="170">
        <v>690</v>
      </c>
      <c r="E49" s="131">
        <v>9170</v>
      </c>
      <c r="F49" s="131">
        <v>5671</v>
      </c>
      <c r="G49" s="132">
        <v>0.6184296619411124</v>
      </c>
      <c r="H49" s="50"/>
    </row>
    <row r="50" spans="2:8" ht="15">
      <c r="B50" s="115" t="s">
        <v>272</v>
      </c>
      <c r="C50" s="358" t="s">
        <v>536</v>
      </c>
      <c r="D50" s="170" t="s">
        <v>2</v>
      </c>
      <c r="E50" s="131">
        <v>36075</v>
      </c>
      <c r="F50" s="131">
        <v>22040</v>
      </c>
      <c r="G50" s="132">
        <v>0.6109494109494109</v>
      </c>
      <c r="H50" s="50"/>
    </row>
    <row r="51" spans="2:8" ht="63" customHeight="1" thickBot="1">
      <c r="B51" s="411" t="s">
        <v>585</v>
      </c>
      <c r="C51" s="412"/>
      <c r="D51" s="412"/>
      <c r="E51" s="412"/>
      <c r="F51" s="412"/>
      <c r="G51" s="117"/>
      <c r="H51" s="50"/>
    </row>
    <row r="52" spans="2:7" ht="15.75" thickBot="1">
      <c r="B52" s="401"/>
      <c r="C52" s="401"/>
      <c r="D52" s="401"/>
      <c r="E52" s="401"/>
      <c r="F52" s="401"/>
      <c r="G52" s="401"/>
    </row>
    <row r="53" spans="2:8" ht="27" customHeight="1">
      <c r="B53" s="116"/>
      <c r="C53" s="347"/>
      <c r="D53" s="399" t="s">
        <v>24</v>
      </c>
      <c r="E53" s="162" t="s">
        <v>39</v>
      </c>
      <c r="F53" s="163" t="s">
        <v>30</v>
      </c>
      <c r="G53" s="164" t="s">
        <v>31</v>
      </c>
      <c r="H53" s="50"/>
    </row>
    <row r="54" spans="2:8" ht="15" customHeight="1">
      <c r="B54" s="136" t="s">
        <v>265</v>
      </c>
      <c r="C54" s="348"/>
      <c r="D54" s="400"/>
      <c r="E54" s="127">
        <v>82833</v>
      </c>
      <c r="F54" s="134">
        <v>55478</v>
      </c>
      <c r="G54" s="133">
        <v>0.6697572223630679</v>
      </c>
      <c r="H54" s="50"/>
    </row>
    <row r="55" spans="2:8" ht="15">
      <c r="B55" s="115" t="s">
        <v>273</v>
      </c>
      <c r="C55" s="358" t="s">
        <v>530</v>
      </c>
      <c r="D55" s="169">
        <v>173</v>
      </c>
      <c r="E55" s="131">
        <v>2223</v>
      </c>
      <c r="F55" s="131">
        <v>1649</v>
      </c>
      <c r="G55" s="132">
        <v>0.7417903733693207</v>
      </c>
      <c r="H55" s="50"/>
    </row>
    <row r="56" spans="2:8" ht="15">
      <c r="B56" s="115" t="s">
        <v>274</v>
      </c>
      <c r="C56" s="358" t="s">
        <v>511</v>
      </c>
      <c r="D56" s="170">
        <v>400</v>
      </c>
      <c r="E56" s="131">
        <v>22710</v>
      </c>
      <c r="F56" s="131">
        <v>17582</v>
      </c>
      <c r="G56" s="132">
        <v>0.7741963892558344</v>
      </c>
      <c r="H56" s="50"/>
    </row>
    <row r="57" spans="2:8" ht="15">
      <c r="B57" s="115" t="s">
        <v>275</v>
      </c>
      <c r="C57" s="358" t="s">
        <v>509</v>
      </c>
      <c r="D57" s="170">
        <v>500</v>
      </c>
      <c r="E57" s="131">
        <v>1221</v>
      </c>
      <c r="F57" s="131">
        <v>248</v>
      </c>
      <c r="G57" s="132">
        <v>0.2031122031122031</v>
      </c>
      <c r="H57" s="50"/>
    </row>
    <row r="58" spans="2:8" ht="15">
      <c r="B58" s="115" t="s">
        <v>276</v>
      </c>
      <c r="C58" s="358" t="s">
        <v>515</v>
      </c>
      <c r="D58" s="170">
        <v>510</v>
      </c>
      <c r="E58" s="131">
        <v>25720</v>
      </c>
      <c r="F58" s="131">
        <v>12146</v>
      </c>
      <c r="G58" s="132">
        <v>0.4722395023328149</v>
      </c>
      <c r="H58" s="50"/>
    </row>
    <row r="59" spans="2:8" ht="15">
      <c r="B59" s="115" t="s">
        <v>277</v>
      </c>
      <c r="C59" s="358" t="s">
        <v>533</v>
      </c>
      <c r="D59" s="170">
        <v>930</v>
      </c>
      <c r="E59" s="131">
        <v>29873</v>
      </c>
      <c r="F59" s="131">
        <v>23460</v>
      </c>
      <c r="G59" s="132">
        <v>0.7853245405550162</v>
      </c>
      <c r="H59" s="50"/>
    </row>
    <row r="60" spans="2:8" ht="15">
      <c r="B60" s="115" t="s">
        <v>278</v>
      </c>
      <c r="C60" s="358" t="s">
        <v>510</v>
      </c>
      <c r="D60" s="170">
        <v>960</v>
      </c>
      <c r="E60" s="131">
        <v>1086</v>
      </c>
      <c r="F60" s="131">
        <v>393</v>
      </c>
      <c r="G60" s="132">
        <v>0.36187845303867405</v>
      </c>
      <c r="H60" s="50"/>
    </row>
    <row r="61" spans="2:8" ht="36" customHeight="1" thickBot="1">
      <c r="B61" s="409" t="s">
        <v>586</v>
      </c>
      <c r="C61" s="413"/>
      <c r="D61" s="413"/>
      <c r="E61" s="413"/>
      <c r="F61" s="413"/>
      <c r="G61" s="117"/>
      <c r="H61" s="50"/>
    </row>
    <row r="62" spans="2:7" ht="25.5" customHeight="1" thickBot="1">
      <c r="B62" s="204" t="s">
        <v>279</v>
      </c>
      <c r="C62" s="204"/>
      <c r="D62" s="106"/>
      <c r="E62" s="53"/>
      <c r="F62" s="53"/>
      <c r="G62" s="53"/>
    </row>
    <row r="63" spans="2:8" ht="27" customHeight="1">
      <c r="B63" s="109"/>
      <c r="C63" s="343"/>
      <c r="D63" s="399" t="s">
        <v>24</v>
      </c>
      <c r="E63" s="165" t="s">
        <v>39</v>
      </c>
      <c r="F63" s="163" t="s">
        <v>30</v>
      </c>
      <c r="G63" s="164" t="s">
        <v>31</v>
      </c>
      <c r="H63" s="50"/>
    </row>
    <row r="64" spans="2:8" ht="15" customHeight="1">
      <c r="B64" s="136" t="s">
        <v>280</v>
      </c>
      <c r="C64" s="348"/>
      <c r="D64" s="400"/>
      <c r="E64" s="127">
        <v>76772</v>
      </c>
      <c r="F64" s="128">
        <v>37903</v>
      </c>
      <c r="G64" s="133">
        <v>0.4937086437763768</v>
      </c>
      <c r="H64" s="50"/>
    </row>
    <row r="65" spans="2:8" ht="15">
      <c r="B65" s="114" t="s">
        <v>281</v>
      </c>
      <c r="C65" s="358" t="s">
        <v>521</v>
      </c>
      <c r="D65" s="169">
        <v>120</v>
      </c>
      <c r="E65" s="131">
        <v>16667</v>
      </c>
      <c r="F65" s="131">
        <v>5186</v>
      </c>
      <c r="G65" s="132">
        <v>0.3111537769244615</v>
      </c>
      <c r="H65" s="50"/>
    </row>
    <row r="66" spans="2:8" ht="15">
      <c r="B66" s="115" t="s">
        <v>282</v>
      </c>
      <c r="C66" s="358" t="s">
        <v>527</v>
      </c>
      <c r="D66" s="170">
        <v>180</v>
      </c>
      <c r="E66" s="131">
        <v>12155</v>
      </c>
      <c r="F66" s="131">
        <v>4474</v>
      </c>
      <c r="G66" s="132">
        <v>0.3680789798436857</v>
      </c>
      <c r="H66" s="50"/>
    </row>
    <row r="67" spans="2:8" ht="15">
      <c r="B67" s="115" t="s">
        <v>330</v>
      </c>
      <c r="C67" s="358" t="s">
        <v>526</v>
      </c>
      <c r="D67" s="170">
        <v>190</v>
      </c>
      <c r="E67" s="131">
        <v>47950</v>
      </c>
      <c r="F67" s="131">
        <v>28243</v>
      </c>
      <c r="G67" s="132">
        <v>0.5890093847758081</v>
      </c>
      <c r="H67" s="50"/>
    </row>
    <row r="68" spans="2:8" ht="51.75" customHeight="1" thickBot="1">
      <c r="B68" s="409" t="s">
        <v>224</v>
      </c>
      <c r="C68" s="410"/>
      <c r="D68" s="410"/>
      <c r="E68" s="410"/>
      <c r="F68" s="410"/>
      <c r="G68" s="117"/>
      <c r="H68" s="50"/>
    </row>
    <row r="69" spans="2:7" ht="24" customHeight="1" thickBot="1">
      <c r="B69" s="105"/>
      <c r="C69" s="105"/>
      <c r="D69" s="106"/>
      <c r="E69" s="53"/>
      <c r="F69" s="53"/>
      <c r="G69" s="53"/>
    </row>
    <row r="70" spans="2:8" ht="27" customHeight="1">
      <c r="B70" s="116"/>
      <c r="C70" s="347"/>
      <c r="D70" s="399" t="s">
        <v>24</v>
      </c>
      <c r="E70" s="162" t="s">
        <v>39</v>
      </c>
      <c r="F70" s="163" t="s">
        <v>30</v>
      </c>
      <c r="G70" s="164" t="s">
        <v>31</v>
      </c>
      <c r="H70" s="50"/>
    </row>
    <row r="71" spans="2:8" ht="15.75" customHeight="1">
      <c r="B71" s="136" t="s">
        <v>213</v>
      </c>
      <c r="C71" s="348"/>
      <c r="D71" s="400"/>
      <c r="E71" s="127">
        <v>108692</v>
      </c>
      <c r="F71" s="128">
        <v>67214</v>
      </c>
      <c r="G71" s="133">
        <v>0.6183895778898171</v>
      </c>
      <c r="H71" s="50"/>
    </row>
    <row r="72" spans="2:8" ht="15">
      <c r="B72" s="115" t="s">
        <v>216</v>
      </c>
      <c r="C72" s="358" t="s">
        <v>517</v>
      </c>
      <c r="D72" s="170">
        <v>135</v>
      </c>
      <c r="E72" s="131">
        <v>1683</v>
      </c>
      <c r="F72" s="131">
        <v>500</v>
      </c>
      <c r="G72" s="132">
        <v>0.29708853238265004</v>
      </c>
      <c r="H72" s="50"/>
    </row>
    <row r="73" spans="2:8" ht="15" customHeight="1">
      <c r="B73" s="115" t="s">
        <v>214</v>
      </c>
      <c r="C73" s="358" t="s">
        <v>499</v>
      </c>
      <c r="D73" s="170">
        <v>137</v>
      </c>
      <c r="E73" s="131">
        <v>11385</v>
      </c>
      <c r="F73" s="131">
        <v>6689</v>
      </c>
      <c r="G73" s="132">
        <v>0.5875274483970137</v>
      </c>
      <c r="H73" s="50"/>
    </row>
    <row r="74" spans="2:8" ht="15">
      <c r="B74" s="115" t="s">
        <v>225</v>
      </c>
      <c r="C74" s="358" t="s">
        <v>519</v>
      </c>
      <c r="D74" s="170">
        <v>150</v>
      </c>
      <c r="E74" s="131">
        <v>46876</v>
      </c>
      <c r="F74" s="131">
        <v>34670</v>
      </c>
      <c r="G74" s="132">
        <v>0.7396108883010496</v>
      </c>
      <c r="H74" s="50"/>
    </row>
    <row r="75" spans="2:8" ht="15">
      <c r="B75" s="115" t="s">
        <v>226</v>
      </c>
      <c r="C75" s="358" t="s">
        <v>514</v>
      </c>
      <c r="D75" s="170">
        <v>155</v>
      </c>
      <c r="E75" s="131">
        <v>6182</v>
      </c>
      <c r="F75" s="131">
        <v>5869</v>
      </c>
      <c r="G75" s="132">
        <v>0.9493691362018765</v>
      </c>
      <c r="H75" s="50"/>
    </row>
    <row r="76" spans="2:8" ht="15">
      <c r="B76" s="115" t="s">
        <v>217</v>
      </c>
      <c r="C76" s="358" t="s">
        <v>500</v>
      </c>
      <c r="D76" s="170">
        <v>297</v>
      </c>
      <c r="E76" s="131">
        <v>21109</v>
      </c>
      <c r="F76" s="131">
        <v>12643</v>
      </c>
      <c r="G76" s="132">
        <v>0.5989388412525463</v>
      </c>
      <c r="H76" s="50"/>
    </row>
    <row r="77" spans="2:8" ht="15">
      <c r="B77" s="115" t="s">
        <v>219</v>
      </c>
      <c r="C77" s="358" t="s">
        <v>559</v>
      </c>
      <c r="D77" s="170">
        <v>607</v>
      </c>
      <c r="E77" s="131">
        <v>21457</v>
      </c>
      <c r="F77" s="131">
        <v>6843</v>
      </c>
      <c r="G77" s="132">
        <v>0.318916903574591</v>
      </c>
      <c r="H77" s="50"/>
    </row>
    <row r="78" spans="2:8" ht="40.5" customHeight="1" thickBot="1">
      <c r="B78" s="409" t="s">
        <v>587</v>
      </c>
      <c r="C78" s="410"/>
      <c r="D78" s="410"/>
      <c r="E78" s="410"/>
      <c r="F78" s="181"/>
      <c r="G78" s="192"/>
      <c r="H78" s="50"/>
    </row>
    <row r="79" spans="2:7" ht="15.75" thickBot="1">
      <c r="B79" s="105"/>
      <c r="C79" s="105"/>
      <c r="D79" s="106"/>
      <c r="E79" s="53"/>
      <c r="F79" s="53"/>
      <c r="G79" s="53"/>
    </row>
    <row r="80" spans="2:8" ht="27" customHeight="1">
      <c r="B80" s="116"/>
      <c r="C80" s="347"/>
      <c r="D80" s="399" t="s">
        <v>24</v>
      </c>
      <c r="E80" s="162" t="s">
        <v>39</v>
      </c>
      <c r="F80" s="163" t="s">
        <v>30</v>
      </c>
      <c r="G80" s="164" t="s">
        <v>31</v>
      </c>
      <c r="H80" s="50"/>
    </row>
    <row r="81" spans="2:8" ht="15.75" customHeight="1">
      <c r="B81" s="136" t="s">
        <v>220</v>
      </c>
      <c r="C81" s="348"/>
      <c r="D81" s="400"/>
      <c r="E81" s="127">
        <v>77258</v>
      </c>
      <c r="F81" s="128">
        <v>29171</v>
      </c>
      <c r="G81" s="133">
        <v>0.377579020942815</v>
      </c>
      <c r="H81" s="50"/>
    </row>
    <row r="82" spans="2:8" ht="15" customHeight="1">
      <c r="B82" s="115" t="s">
        <v>227</v>
      </c>
      <c r="C82" s="358" t="s">
        <v>560</v>
      </c>
      <c r="D82" s="169">
        <v>154</v>
      </c>
      <c r="E82" s="131">
        <v>75928</v>
      </c>
      <c r="F82" s="131">
        <v>28602</v>
      </c>
      <c r="G82" s="132">
        <v>0.37669897797913815</v>
      </c>
      <c r="H82" s="50"/>
    </row>
    <row r="83" spans="2:8" ht="15" hidden="1">
      <c r="B83" s="115" t="s">
        <v>228</v>
      </c>
      <c r="C83" s="346"/>
      <c r="D83" s="170" t="s">
        <v>229</v>
      </c>
      <c r="E83" s="131" t="s">
        <v>595</v>
      </c>
      <c r="F83" s="131" t="s">
        <v>595</v>
      </c>
      <c r="G83" s="132" t="e">
        <v>#DIV/0!</v>
      </c>
      <c r="H83" s="50"/>
    </row>
    <row r="84" spans="2:8" ht="15">
      <c r="B84" s="115" t="s">
        <v>230</v>
      </c>
      <c r="C84" s="358" t="s">
        <v>512</v>
      </c>
      <c r="D84" s="170">
        <v>696</v>
      </c>
      <c r="E84" s="131">
        <v>158</v>
      </c>
      <c r="F84" s="131">
        <v>150</v>
      </c>
      <c r="G84" s="132">
        <v>0.9493670886075949</v>
      </c>
      <c r="H84" s="50"/>
    </row>
    <row r="85" spans="2:8" ht="15">
      <c r="B85" s="115" t="s">
        <v>231</v>
      </c>
      <c r="C85" s="358" t="s">
        <v>529</v>
      </c>
      <c r="D85" s="170">
        <v>697</v>
      </c>
      <c r="E85" s="131">
        <v>1172</v>
      </c>
      <c r="F85" s="131">
        <v>419</v>
      </c>
      <c r="G85" s="132">
        <v>0.3575085324232082</v>
      </c>
      <c r="H85" s="50"/>
    </row>
    <row r="86" spans="2:8" ht="69" customHeight="1" thickBot="1">
      <c r="B86" s="409" t="s">
        <v>0</v>
      </c>
      <c r="C86" s="410"/>
      <c r="D86" s="410"/>
      <c r="E86" s="410"/>
      <c r="F86" s="181"/>
      <c r="G86" s="117"/>
      <c r="H86" s="50"/>
    </row>
    <row r="87" spans="2:7" ht="15.75" thickBot="1">
      <c r="B87" s="105"/>
      <c r="C87" s="105"/>
      <c r="D87" s="106"/>
      <c r="E87" s="53"/>
      <c r="F87" s="53"/>
      <c r="G87" s="53"/>
    </row>
    <row r="88" spans="2:8" ht="27" customHeight="1">
      <c r="B88" s="116"/>
      <c r="C88" s="347"/>
      <c r="D88" s="399" t="s">
        <v>24</v>
      </c>
      <c r="E88" s="162" t="s">
        <v>39</v>
      </c>
      <c r="F88" s="163" t="s">
        <v>30</v>
      </c>
      <c r="G88" s="164" t="s">
        <v>31</v>
      </c>
      <c r="H88" s="50"/>
    </row>
    <row r="89" spans="2:8" ht="15" customHeight="1">
      <c r="B89" s="136" t="s">
        <v>175</v>
      </c>
      <c r="C89" s="348"/>
      <c r="D89" s="400"/>
      <c r="E89" s="127">
        <v>13739</v>
      </c>
      <c r="F89" s="127">
        <v>7730</v>
      </c>
      <c r="G89" s="133">
        <v>0.5626319237207948</v>
      </c>
      <c r="H89" s="50"/>
    </row>
    <row r="90" spans="2:8" ht="15">
      <c r="B90" s="115" t="s">
        <v>274</v>
      </c>
      <c r="C90" s="358" t="s">
        <v>502</v>
      </c>
      <c r="D90" s="169">
        <v>407</v>
      </c>
      <c r="E90" s="131">
        <v>9714</v>
      </c>
      <c r="F90" s="131">
        <v>5670</v>
      </c>
      <c r="G90" s="132">
        <v>0.5836936380481779</v>
      </c>
      <c r="H90" s="50"/>
    </row>
    <row r="91" spans="2:8" ht="15">
      <c r="B91" s="115" t="s">
        <v>232</v>
      </c>
      <c r="C91" s="358" t="s">
        <v>504</v>
      </c>
      <c r="D91" s="170">
        <v>507</v>
      </c>
      <c r="E91" s="131">
        <v>1571</v>
      </c>
      <c r="F91" s="131">
        <v>160</v>
      </c>
      <c r="G91" s="132">
        <v>0.10184595798854233</v>
      </c>
      <c r="H91" s="50"/>
    </row>
    <row r="92" spans="2:8" ht="15">
      <c r="B92" s="115" t="s">
        <v>233</v>
      </c>
      <c r="C92" s="358" t="s">
        <v>558</v>
      </c>
      <c r="D92" s="170">
        <v>937</v>
      </c>
      <c r="E92" s="131">
        <v>2454</v>
      </c>
      <c r="F92" s="131">
        <v>1900</v>
      </c>
      <c r="G92" s="132">
        <v>0.7742461287693562</v>
      </c>
      <c r="H92" s="50"/>
    </row>
    <row r="93" spans="2:8" ht="35.25" customHeight="1" thickBot="1">
      <c r="B93" s="409" t="s">
        <v>586</v>
      </c>
      <c r="C93" s="410"/>
      <c r="D93" s="410"/>
      <c r="E93" s="410"/>
      <c r="F93" s="410"/>
      <c r="G93" s="117"/>
      <c r="H93" s="50"/>
    </row>
    <row r="94" spans="1:8" ht="18" customHeight="1" thickBot="1">
      <c r="A94" s="205"/>
      <c r="B94" s="206"/>
      <c r="C94" s="206"/>
      <c r="D94" s="207"/>
      <c r="E94" s="208"/>
      <c r="F94" s="208"/>
      <c r="G94" s="208"/>
      <c r="H94" s="209"/>
    </row>
    <row r="95" spans="2:7" ht="31.5" customHeight="1" thickBot="1">
      <c r="B95" s="408" t="s">
        <v>348</v>
      </c>
      <c r="C95" s="408"/>
      <c r="D95" s="408"/>
      <c r="E95" s="408"/>
      <c r="F95" s="53"/>
      <c r="G95" s="53"/>
    </row>
    <row r="96" spans="2:7" ht="18.75" customHeight="1">
      <c r="B96" s="416" t="s">
        <v>234</v>
      </c>
      <c r="C96" s="349"/>
      <c r="D96" s="166" t="s">
        <v>24</v>
      </c>
      <c r="E96" s="161" t="s">
        <v>39</v>
      </c>
      <c r="F96" s="61"/>
      <c r="G96" s="61"/>
    </row>
    <row r="97" spans="2:7" ht="15.75" customHeight="1">
      <c r="B97" s="417"/>
      <c r="C97" s="358" t="s">
        <v>234</v>
      </c>
      <c r="D97" s="167">
        <v>160</v>
      </c>
      <c r="E97" s="128">
        <v>63320</v>
      </c>
      <c r="F97" s="64"/>
      <c r="G97" s="62"/>
    </row>
    <row r="98" spans="2:7" ht="76.5" customHeight="1" thickBot="1">
      <c r="B98" s="409" t="s">
        <v>588</v>
      </c>
      <c r="C98" s="410"/>
      <c r="D98" s="410"/>
      <c r="E98" s="415"/>
      <c r="F98" s="104"/>
      <c r="G98" s="105"/>
    </row>
    <row r="99" spans="2:7" ht="15.75" thickBot="1">
      <c r="B99" s="105"/>
      <c r="C99" s="105"/>
      <c r="D99" s="106"/>
      <c r="E99" s="53"/>
      <c r="F99" s="53"/>
      <c r="G99" s="53"/>
    </row>
    <row r="100" spans="2:11" ht="20.25" customHeight="1">
      <c r="B100" s="418" t="s">
        <v>27</v>
      </c>
      <c r="C100" s="350"/>
      <c r="D100" s="166" t="s">
        <v>24</v>
      </c>
      <c r="E100" s="161" t="s">
        <v>39</v>
      </c>
      <c r="F100" s="61"/>
      <c r="G100" s="61"/>
      <c r="J100" s="118"/>
      <c r="K100" s="118"/>
    </row>
    <row r="101" spans="2:11" ht="15">
      <c r="B101" s="419"/>
      <c r="C101" s="358" t="s">
        <v>27</v>
      </c>
      <c r="D101" s="167">
        <v>165</v>
      </c>
      <c r="E101" s="128">
        <v>12235</v>
      </c>
      <c r="F101" s="64"/>
      <c r="G101" s="62"/>
      <c r="J101" s="118"/>
      <c r="K101" s="118"/>
    </row>
    <row r="102" spans="2:11" ht="36.75" customHeight="1" thickBot="1">
      <c r="B102" s="409" t="s">
        <v>21</v>
      </c>
      <c r="C102" s="410"/>
      <c r="D102" s="410"/>
      <c r="E102" s="415"/>
      <c r="F102" s="104"/>
      <c r="G102" s="105"/>
      <c r="J102" s="118"/>
      <c r="K102" s="118"/>
    </row>
    <row r="103" spans="4:11" ht="15.75" thickBot="1">
      <c r="D103" s="106"/>
      <c r="E103" s="53"/>
      <c r="F103" s="53"/>
      <c r="G103" s="53"/>
      <c r="J103" s="118"/>
      <c r="K103" s="118"/>
    </row>
    <row r="104" spans="2:11" ht="19.5" customHeight="1">
      <c r="B104" s="109" t="s">
        <v>5</v>
      </c>
      <c r="C104" s="343"/>
      <c r="D104" s="166" t="s">
        <v>24</v>
      </c>
      <c r="E104" s="160" t="s">
        <v>39</v>
      </c>
      <c r="F104" s="61"/>
      <c r="G104" s="61"/>
      <c r="J104" s="118"/>
      <c r="K104" s="118"/>
    </row>
    <row r="105" spans="2:7" ht="16.5" customHeight="1">
      <c r="B105" s="291" t="s">
        <v>596</v>
      </c>
      <c r="C105" s="351"/>
      <c r="D105" s="168" t="s">
        <v>184</v>
      </c>
      <c r="E105" s="135">
        <v>254633</v>
      </c>
      <c r="F105" s="65"/>
      <c r="G105" s="63"/>
    </row>
    <row r="106" spans="2:8" ht="36" customHeight="1" thickBot="1">
      <c r="B106" s="409" t="s">
        <v>589</v>
      </c>
      <c r="C106" s="410"/>
      <c r="D106" s="410"/>
      <c r="E106" s="415"/>
      <c r="F106" s="104"/>
      <c r="G106" s="105"/>
      <c r="H106" s="60"/>
    </row>
    <row r="107" spans="2:7" ht="14.25" customHeight="1" thickBot="1">
      <c r="B107" s="105"/>
      <c r="C107" s="105"/>
      <c r="D107" s="106"/>
      <c r="E107" s="56"/>
      <c r="F107" s="56"/>
      <c r="G107" s="56"/>
    </row>
    <row r="108" spans="2:11" ht="18.75" customHeight="1">
      <c r="B108" s="109" t="s">
        <v>332</v>
      </c>
      <c r="C108" s="343"/>
      <c r="D108" s="166" t="s">
        <v>345</v>
      </c>
      <c r="E108" s="160" t="s">
        <v>39</v>
      </c>
      <c r="F108" s="61"/>
      <c r="G108" s="61"/>
      <c r="J108" s="118"/>
      <c r="K108" s="118"/>
    </row>
    <row r="109" spans="2:7" ht="13.5" customHeight="1">
      <c r="B109" s="220"/>
      <c r="C109" s="352"/>
      <c r="D109" s="168" t="s">
        <v>347</v>
      </c>
      <c r="E109" s="135">
        <v>25673</v>
      </c>
      <c r="F109" s="65"/>
      <c r="G109" s="63"/>
    </row>
    <row r="110" spans="2:7" ht="15" customHeight="1">
      <c r="B110" s="159"/>
      <c r="C110" s="353"/>
      <c r="D110" s="168" t="s">
        <v>346</v>
      </c>
      <c r="E110" s="135">
        <v>219413</v>
      </c>
      <c r="F110" s="65"/>
      <c r="G110" s="63"/>
    </row>
    <row r="111" spans="2:8" ht="39.75" customHeight="1" thickBot="1">
      <c r="B111" s="409" t="s">
        <v>355</v>
      </c>
      <c r="C111" s="410"/>
      <c r="D111" s="410"/>
      <c r="E111" s="415"/>
      <c r="F111" s="104"/>
      <c r="G111" s="105"/>
      <c r="H111" s="60"/>
    </row>
    <row r="112" ht="3.75" customHeight="1"/>
    <row r="113" spans="2:5" ht="32.25" customHeight="1">
      <c r="B113" s="414"/>
      <c r="C113" s="414"/>
      <c r="D113" s="414"/>
      <c r="E113" s="414"/>
    </row>
    <row r="114" spans="2:5" ht="15">
      <c r="B114" s="277"/>
      <c r="C114" s="277"/>
      <c r="D114" s="278"/>
      <c r="E114" s="279"/>
    </row>
  </sheetData>
  <sheetProtection/>
  <mergeCells count="34">
    <mergeCell ref="D88:D89"/>
    <mergeCell ref="B113:E113"/>
    <mergeCell ref="B106:E106"/>
    <mergeCell ref="B96:B97"/>
    <mergeCell ref="B100:B101"/>
    <mergeCell ref="B98:E98"/>
    <mergeCell ref="B102:E102"/>
    <mergeCell ref="B111:E111"/>
    <mergeCell ref="B40:F40"/>
    <mergeCell ref="D53:D54"/>
    <mergeCell ref="B51:F51"/>
    <mergeCell ref="B86:E86"/>
    <mergeCell ref="D63:D64"/>
    <mergeCell ref="D42:D43"/>
    <mergeCell ref="B52:G52"/>
    <mergeCell ref="B61:F61"/>
    <mergeCell ref="D80:D81"/>
    <mergeCell ref="D31:D32"/>
    <mergeCell ref="B30:G30"/>
    <mergeCell ref="D10:D11"/>
    <mergeCell ref="B29:G29"/>
    <mergeCell ref="B28:G28"/>
    <mergeCell ref="B95:E95"/>
    <mergeCell ref="B68:F68"/>
    <mergeCell ref="B93:F93"/>
    <mergeCell ref="B78:E78"/>
    <mergeCell ref="D70:D71"/>
    <mergeCell ref="G3:G4"/>
    <mergeCell ref="E3:E4"/>
    <mergeCell ref="F3:F4"/>
    <mergeCell ref="F7:F8"/>
    <mergeCell ref="G7:G8"/>
    <mergeCell ref="B6:D8"/>
    <mergeCell ref="E7:E8"/>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56"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21" t="s">
        <v>350</v>
      </c>
      <c r="D1" s="422"/>
      <c r="E1" s="422"/>
      <c r="F1" s="422"/>
      <c r="G1" s="422"/>
      <c r="H1" s="422"/>
      <c r="I1" s="422"/>
      <c r="J1" s="422"/>
      <c r="K1" s="422"/>
      <c r="L1" s="422"/>
      <c r="M1" s="422"/>
      <c r="N1" s="422"/>
      <c r="O1" s="422"/>
      <c r="P1" s="422"/>
      <c r="Q1" s="422"/>
    </row>
    <row r="2" spans="3:17" ht="15.75" customHeight="1">
      <c r="C2" s="429">
        <v>41202</v>
      </c>
      <c r="D2" s="430"/>
      <c r="E2" s="430"/>
      <c r="F2" s="430"/>
      <c r="G2" s="430"/>
      <c r="H2" s="430"/>
      <c r="I2" s="430"/>
      <c r="J2" s="430"/>
      <c r="K2" s="430"/>
      <c r="L2" s="430"/>
      <c r="M2" s="430"/>
      <c r="N2" s="430"/>
      <c r="O2" s="430"/>
      <c r="P2" s="430"/>
      <c r="Q2" s="430"/>
    </row>
    <row r="3" spans="3:5" ht="12.75">
      <c r="C3" s="423" t="s">
        <v>172</v>
      </c>
      <c r="D3" s="424"/>
      <c r="E3" s="425"/>
    </row>
    <row r="4" spans="3:17" ht="51">
      <c r="C4" s="78" t="s">
        <v>179</v>
      </c>
      <c r="D4" s="78" t="s">
        <v>32</v>
      </c>
      <c r="E4" s="71" t="s">
        <v>33</v>
      </c>
      <c r="F4" s="426" t="s">
        <v>6</v>
      </c>
      <c r="G4" s="427"/>
      <c r="H4" s="427"/>
      <c r="I4" s="427"/>
      <c r="J4" s="427"/>
      <c r="K4" s="427"/>
      <c r="L4" s="427"/>
      <c r="M4" s="427"/>
      <c r="N4" s="427"/>
      <c r="O4" s="427"/>
      <c r="P4" s="427"/>
      <c r="Q4" s="427"/>
    </row>
    <row r="5" spans="2:5" ht="12.75">
      <c r="B5" s="72" t="s">
        <v>69</v>
      </c>
      <c r="C5" s="73">
        <v>896540</v>
      </c>
      <c r="D5" s="73">
        <v>592490</v>
      </c>
      <c r="E5" s="74">
        <v>0.660862872822183</v>
      </c>
    </row>
    <row r="6" ht="7.5" customHeight="1"/>
    <row r="7" spans="3:17" ht="26.25">
      <c r="C7" s="428" t="s">
        <v>262</v>
      </c>
      <c r="D7" s="428"/>
      <c r="E7" s="428"/>
      <c r="F7" s="428"/>
      <c r="G7" s="428"/>
      <c r="H7" s="428"/>
      <c r="I7" s="428"/>
      <c r="J7" s="428"/>
      <c r="K7" s="428"/>
      <c r="L7" s="428"/>
      <c r="M7" s="428"/>
      <c r="N7" s="428"/>
      <c r="O7" s="428"/>
      <c r="P7" s="428"/>
      <c r="Q7" s="428"/>
    </row>
    <row r="8" spans="3:17" ht="12.75">
      <c r="C8" s="423" t="s">
        <v>388</v>
      </c>
      <c r="D8" s="424"/>
      <c r="E8" s="425"/>
      <c r="F8" s="423" t="s">
        <v>173</v>
      </c>
      <c r="G8" s="424"/>
      <c r="H8" s="425"/>
      <c r="I8" s="423" t="s">
        <v>391</v>
      </c>
      <c r="J8" s="424"/>
      <c r="K8" s="425"/>
      <c r="L8" s="423" t="s">
        <v>175</v>
      </c>
      <c r="M8" s="424"/>
      <c r="N8" s="425"/>
      <c r="O8" s="69" t="s">
        <v>176</v>
      </c>
      <c r="P8" s="75" t="s">
        <v>177</v>
      </c>
      <c r="Q8" s="75" t="s">
        <v>178</v>
      </c>
    </row>
    <row r="9" spans="2:17" s="79" customFormat="1" ht="51">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v>819768</v>
      </c>
      <c r="D10" s="216">
        <v>554587</v>
      </c>
      <c r="E10" s="217">
        <v>0.6765170145699759</v>
      </c>
      <c r="F10" s="216">
        <v>286917</v>
      </c>
      <c r="G10" s="216">
        <v>163845</v>
      </c>
      <c r="H10" s="217">
        <v>0.5710536496617489</v>
      </c>
      <c r="I10" s="216">
        <v>55378</v>
      </c>
      <c r="J10" s="216">
        <v>31540</v>
      </c>
      <c r="K10" s="217">
        <v>0.5695402506410487</v>
      </c>
      <c r="L10" s="216">
        <v>82833</v>
      </c>
      <c r="M10" s="216">
        <v>55478</v>
      </c>
      <c r="N10" s="217">
        <v>0.6697572223630679</v>
      </c>
      <c r="O10" s="216">
        <v>48758</v>
      </c>
      <c r="P10" s="216">
        <v>1073</v>
      </c>
      <c r="Q10" s="218">
        <v>252364</v>
      </c>
    </row>
    <row r="11" spans="2:17" ht="12.75">
      <c r="B11" s="82" t="s">
        <v>263</v>
      </c>
      <c r="C11" s="83">
        <v>164407</v>
      </c>
      <c r="D11" s="83">
        <v>112576</v>
      </c>
      <c r="E11" s="84">
        <v>0.6847397008643185</v>
      </c>
      <c r="F11" s="83">
        <v>54231</v>
      </c>
      <c r="G11" s="83">
        <v>32089</v>
      </c>
      <c r="H11" s="84">
        <v>0.5917095388246575</v>
      </c>
      <c r="I11" s="83">
        <v>12080</v>
      </c>
      <c r="J11" s="83">
        <v>7076</v>
      </c>
      <c r="K11" s="84">
        <v>0.5857615894039735</v>
      </c>
      <c r="L11" s="83">
        <v>17051</v>
      </c>
      <c r="M11" s="83">
        <v>11797</v>
      </c>
      <c r="N11" s="84">
        <v>0.6918655797313941</v>
      </c>
      <c r="O11" s="83">
        <v>17507</v>
      </c>
      <c r="P11" s="187">
        <v>205</v>
      </c>
      <c r="Q11" s="182">
        <v>44024</v>
      </c>
    </row>
    <row r="12" spans="2:17" ht="12.75">
      <c r="B12" s="85" t="s">
        <v>185</v>
      </c>
      <c r="C12" s="86">
        <v>19301</v>
      </c>
      <c r="D12" s="86">
        <v>16164</v>
      </c>
      <c r="E12" s="87">
        <v>0.837469561162634</v>
      </c>
      <c r="F12" s="86">
        <v>5474</v>
      </c>
      <c r="G12" s="86">
        <v>4086</v>
      </c>
      <c r="H12" s="87">
        <v>0.7464377055169894</v>
      </c>
      <c r="I12" s="86">
        <v>488</v>
      </c>
      <c r="J12" s="86">
        <v>426</v>
      </c>
      <c r="K12" s="87">
        <v>0.8729508196721312</v>
      </c>
      <c r="L12" s="86">
        <v>2175</v>
      </c>
      <c r="M12" s="86">
        <v>1487</v>
      </c>
      <c r="N12" s="87">
        <v>0.6836781609195403</v>
      </c>
      <c r="O12" s="86">
        <v>2</v>
      </c>
      <c r="P12" s="185">
        <v>2</v>
      </c>
      <c r="Q12" s="183">
        <v>3372</v>
      </c>
    </row>
    <row r="13" spans="2:17" ht="12.75">
      <c r="B13" s="85" t="s">
        <v>186</v>
      </c>
      <c r="C13" s="86">
        <v>11201</v>
      </c>
      <c r="D13" s="86">
        <v>8406</v>
      </c>
      <c r="E13" s="87">
        <v>0.7504687081510579</v>
      </c>
      <c r="F13" s="86">
        <v>4130</v>
      </c>
      <c r="G13" s="86">
        <v>1933</v>
      </c>
      <c r="H13" s="87">
        <v>0.46803874092009684</v>
      </c>
      <c r="I13" s="86">
        <v>775</v>
      </c>
      <c r="J13" s="86">
        <v>509</v>
      </c>
      <c r="K13" s="87">
        <v>0.6567741935483871</v>
      </c>
      <c r="L13" s="86">
        <v>846</v>
      </c>
      <c r="M13" s="86">
        <v>613</v>
      </c>
      <c r="N13" s="87">
        <v>0.7245862884160756</v>
      </c>
      <c r="O13" s="86">
        <v>2</v>
      </c>
      <c r="P13" s="185">
        <v>1</v>
      </c>
      <c r="Q13" s="183">
        <v>4037</v>
      </c>
    </row>
    <row r="14" spans="2:17" ht="12.75">
      <c r="B14" s="85" t="s">
        <v>187</v>
      </c>
      <c r="C14" s="86">
        <v>7871</v>
      </c>
      <c r="D14" s="86">
        <v>4719</v>
      </c>
      <c r="E14" s="87">
        <v>0.5995426248253081</v>
      </c>
      <c r="F14" s="86">
        <v>3539</v>
      </c>
      <c r="G14" s="86">
        <v>1962</v>
      </c>
      <c r="H14" s="87">
        <v>0.5543938965809551</v>
      </c>
      <c r="I14" s="86">
        <v>149</v>
      </c>
      <c r="J14" s="86">
        <v>110</v>
      </c>
      <c r="K14" s="87">
        <v>0.738255033557047</v>
      </c>
      <c r="L14" s="86">
        <v>694</v>
      </c>
      <c r="M14" s="86">
        <v>475</v>
      </c>
      <c r="N14" s="87">
        <v>0.6844380403458213</v>
      </c>
      <c r="O14" s="86">
        <v>2</v>
      </c>
      <c r="P14" s="185">
        <v>2</v>
      </c>
      <c r="Q14" s="183">
        <v>1109</v>
      </c>
    </row>
    <row r="15" spans="2:17" ht="12.75">
      <c r="B15" s="85" t="s">
        <v>188</v>
      </c>
      <c r="C15" s="86">
        <v>23854</v>
      </c>
      <c r="D15" s="86">
        <v>16674</v>
      </c>
      <c r="E15" s="87">
        <v>0.6990022637712753</v>
      </c>
      <c r="F15" s="86">
        <v>6899</v>
      </c>
      <c r="G15" s="86">
        <v>3920</v>
      </c>
      <c r="H15" s="87">
        <v>0.5681982896071894</v>
      </c>
      <c r="I15" s="86">
        <v>1226</v>
      </c>
      <c r="J15" s="86">
        <v>1132</v>
      </c>
      <c r="K15" s="87">
        <v>0.9233278955954323</v>
      </c>
      <c r="L15" s="86">
        <v>2100</v>
      </c>
      <c r="M15" s="86">
        <v>1349</v>
      </c>
      <c r="N15" s="87">
        <v>0.6423809523809524</v>
      </c>
      <c r="O15" s="86">
        <v>6</v>
      </c>
      <c r="P15" s="185">
        <v>95</v>
      </c>
      <c r="Q15" s="183">
        <v>7952</v>
      </c>
    </row>
    <row r="16" spans="2:17" ht="12.75">
      <c r="B16" s="85" t="s">
        <v>189</v>
      </c>
      <c r="C16" s="86">
        <v>17199</v>
      </c>
      <c r="D16" s="86">
        <v>10534</v>
      </c>
      <c r="E16" s="87">
        <v>0.6124774696203268</v>
      </c>
      <c r="F16" s="86">
        <v>5885</v>
      </c>
      <c r="G16" s="86">
        <v>3470</v>
      </c>
      <c r="H16" s="87">
        <v>0.5896346644010195</v>
      </c>
      <c r="I16" s="86">
        <v>564</v>
      </c>
      <c r="J16" s="86">
        <v>321</v>
      </c>
      <c r="K16" s="87">
        <v>0.5691489361702128</v>
      </c>
      <c r="L16" s="86">
        <v>1804</v>
      </c>
      <c r="M16" s="86">
        <v>1487</v>
      </c>
      <c r="N16" s="87">
        <v>0.8242793791574279</v>
      </c>
      <c r="O16" s="86">
        <v>4</v>
      </c>
      <c r="P16" s="185">
        <v>32</v>
      </c>
      <c r="Q16" s="183">
        <v>5876</v>
      </c>
    </row>
    <row r="17" spans="2:17" ht="12.75">
      <c r="B17" s="85" t="s">
        <v>190</v>
      </c>
      <c r="C17" s="86">
        <v>2906</v>
      </c>
      <c r="D17" s="86">
        <v>1232</v>
      </c>
      <c r="E17" s="87">
        <v>0.4239504473503097</v>
      </c>
      <c r="F17" s="86">
        <v>1123</v>
      </c>
      <c r="G17" s="86">
        <v>278</v>
      </c>
      <c r="H17" s="87">
        <v>0.2475512021371327</v>
      </c>
      <c r="I17" s="86">
        <v>22</v>
      </c>
      <c r="J17" s="86">
        <v>7</v>
      </c>
      <c r="K17" s="87">
        <v>0.3181818181818182</v>
      </c>
      <c r="L17" s="86">
        <v>142</v>
      </c>
      <c r="M17" s="86">
        <v>77</v>
      </c>
      <c r="N17" s="87">
        <v>0.5422535211267606</v>
      </c>
      <c r="O17" s="86">
        <v>0</v>
      </c>
      <c r="P17" s="185" t="s">
        <v>595</v>
      </c>
      <c r="Q17" s="183">
        <v>828</v>
      </c>
    </row>
    <row r="18" spans="2:17" ht="12.75">
      <c r="B18" s="85" t="s">
        <v>191</v>
      </c>
      <c r="C18" s="86">
        <v>19269</v>
      </c>
      <c r="D18" s="86">
        <v>15217</v>
      </c>
      <c r="E18" s="87">
        <v>0.7897140484716384</v>
      </c>
      <c r="F18" s="86">
        <v>5688</v>
      </c>
      <c r="G18" s="86">
        <v>4057</v>
      </c>
      <c r="H18" s="87">
        <v>0.7132559774964838</v>
      </c>
      <c r="I18" s="86">
        <v>509</v>
      </c>
      <c r="J18" s="86">
        <v>357</v>
      </c>
      <c r="K18" s="87">
        <v>0.7013752455795678</v>
      </c>
      <c r="L18" s="86">
        <v>2203</v>
      </c>
      <c r="M18" s="86">
        <v>1617</v>
      </c>
      <c r="N18" s="87">
        <v>0.7339990921470722</v>
      </c>
      <c r="O18" s="86">
        <v>7</v>
      </c>
      <c r="P18" s="185">
        <v>65</v>
      </c>
      <c r="Q18" s="183">
        <v>4556</v>
      </c>
    </row>
    <row r="19" spans="2:17" ht="12.75">
      <c r="B19" s="85" t="s">
        <v>192</v>
      </c>
      <c r="C19" s="86">
        <v>2194</v>
      </c>
      <c r="D19" s="86">
        <v>1424</v>
      </c>
      <c r="E19" s="87">
        <v>0.6490428441203282</v>
      </c>
      <c r="F19" s="86">
        <v>923</v>
      </c>
      <c r="G19" s="86">
        <v>519</v>
      </c>
      <c r="H19" s="87">
        <v>0.562296858071506</v>
      </c>
      <c r="I19" s="86">
        <v>108</v>
      </c>
      <c r="J19" s="86">
        <v>69</v>
      </c>
      <c r="K19" s="87">
        <v>0.6388888888888888</v>
      </c>
      <c r="L19" s="86">
        <v>158</v>
      </c>
      <c r="M19" s="86">
        <v>109</v>
      </c>
      <c r="N19" s="87">
        <v>0.689873417721519</v>
      </c>
      <c r="O19" s="86">
        <v>1</v>
      </c>
      <c r="P19" s="185">
        <v>1</v>
      </c>
      <c r="Q19" s="183">
        <v>722</v>
      </c>
    </row>
    <row r="20" spans="2:17" ht="12.75">
      <c r="B20" s="85" t="s">
        <v>193</v>
      </c>
      <c r="C20" s="86">
        <v>12948</v>
      </c>
      <c r="D20" s="86">
        <v>10424</v>
      </c>
      <c r="E20" s="87">
        <v>0.8050664195242508</v>
      </c>
      <c r="F20" s="86">
        <v>4666</v>
      </c>
      <c r="G20" s="86">
        <v>2047</v>
      </c>
      <c r="H20" s="87">
        <v>0.43870552936133733</v>
      </c>
      <c r="I20" s="86">
        <v>416</v>
      </c>
      <c r="J20" s="86">
        <v>248</v>
      </c>
      <c r="K20" s="87">
        <v>0.5961538461538461</v>
      </c>
      <c r="L20" s="86">
        <v>809</v>
      </c>
      <c r="M20" s="86">
        <v>611</v>
      </c>
      <c r="N20" s="87">
        <v>0.7552533992583437</v>
      </c>
      <c r="O20" s="86">
        <v>2</v>
      </c>
      <c r="P20" s="185">
        <v>3</v>
      </c>
      <c r="Q20" s="183">
        <v>3962</v>
      </c>
    </row>
    <row r="21" spans="2:17" ht="12.75">
      <c r="B21" s="85" t="s">
        <v>194</v>
      </c>
      <c r="C21" s="86">
        <v>4441</v>
      </c>
      <c r="D21" s="86">
        <v>2494</v>
      </c>
      <c r="E21" s="87">
        <v>0.5615852285521279</v>
      </c>
      <c r="F21" s="86">
        <v>1801</v>
      </c>
      <c r="G21" s="86">
        <v>1029</v>
      </c>
      <c r="H21" s="87">
        <v>0.5713492504164354</v>
      </c>
      <c r="I21" s="86">
        <v>164</v>
      </c>
      <c r="J21" s="86">
        <v>40</v>
      </c>
      <c r="K21" s="87">
        <v>0.24390243902439024</v>
      </c>
      <c r="L21" s="86">
        <v>422</v>
      </c>
      <c r="M21" s="86">
        <v>262</v>
      </c>
      <c r="N21" s="87">
        <v>0.6208530805687204</v>
      </c>
      <c r="O21" s="86">
        <v>0</v>
      </c>
      <c r="P21" s="185">
        <v>1</v>
      </c>
      <c r="Q21" s="183">
        <v>2200</v>
      </c>
    </row>
    <row r="22" spans="2:17" ht="12.75">
      <c r="B22" s="85" t="s">
        <v>195</v>
      </c>
      <c r="C22" s="86">
        <v>22952</v>
      </c>
      <c r="D22" s="86">
        <v>13857</v>
      </c>
      <c r="E22" s="87">
        <v>0.603738236319275</v>
      </c>
      <c r="F22" s="86">
        <v>5689</v>
      </c>
      <c r="G22" s="86">
        <v>3629</v>
      </c>
      <c r="H22" s="87">
        <v>0.6378976973105994</v>
      </c>
      <c r="I22" s="86">
        <v>6090</v>
      </c>
      <c r="J22" s="86">
        <v>3030</v>
      </c>
      <c r="K22" s="87">
        <v>0.4975369458128079</v>
      </c>
      <c r="L22" s="86">
        <v>3590</v>
      </c>
      <c r="M22" s="86">
        <v>2596</v>
      </c>
      <c r="N22" s="87">
        <v>0.7231197771587744</v>
      </c>
      <c r="O22" s="86">
        <v>17477</v>
      </c>
      <c r="P22" s="185" t="s">
        <v>3</v>
      </c>
      <c r="Q22" s="182">
        <v>3473</v>
      </c>
    </row>
    <row r="23" spans="2:17" ht="12.75">
      <c r="B23" s="85" t="s">
        <v>196</v>
      </c>
      <c r="C23" s="86">
        <v>11268</v>
      </c>
      <c r="D23" s="86">
        <v>8216</v>
      </c>
      <c r="E23" s="87">
        <v>0.729144479943202</v>
      </c>
      <c r="F23" s="86">
        <v>4388</v>
      </c>
      <c r="G23" s="86">
        <v>3316</v>
      </c>
      <c r="H23" s="87">
        <v>0.7556973564266181</v>
      </c>
      <c r="I23" s="86">
        <v>540</v>
      </c>
      <c r="J23" s="86">
        <v>390</v>
      </c>
      <c r="K23" s="87">
        <v>0.7222222222222222</v>
      </c>
      <c r="L23" s="86">
        <v>957</v>
      </c>
      <c r="M23" s="86">
        <v>650</v>
      </c>
      <c r="N23" s="87">
        <v>0.6792058516196448</v>
      </c>
      <c r="O23" s="86">
        <v>3</v>
      </c>
      <c r="P23" s="185">
        <v>1</v>
      </c>
      <c r="Q23" s="183">
        <v>2756</v>
      </c>
    </row>
    <row r="24" spans="2:17" ht="12.75">
      <c r="B24" s="85" t="s">
        <v>197</v>
      </c>
      <c r="C24" s="86">
        <v>3777</v>
      </c>
      <c r="D24" s="86">
        <v>1512</v>
      </c>
      <c r="E24" s="87">
        <v>0.40031771247021447</v>
      </c>
      <c r="F24" s="86">
        <v>1006</v>
      </c>
      <c r="G24" s="86">
        <v>320</v>
      </c>
      <c r="H24" s="87">
        <v>0.31809145129224653</v>
      </c>
      <c r="I24" s="86">
        <v>298</v>
      </c>
      <c r="J24" s="86">
        <v>178</v>
      </c>
      <c r="K24" s="87">
        <v>0.5973154362416108</v>
      </c>
      <c r="L24" s="86">
        <v>668</v>
      </c>
      <c r="M24" s="86">
        <v>149</v>
      </c>
      <c r="N24" s="87">
        <v>0.22305389221556887</v>
      </c>
      <c r="O24" s="86">
        <v>0</v>
      </c>
      <c r="P24" s="185">
        <v>1</v>
      </c>
      <c r="Q24" s="183">
        <v>971</v>
      </c>
    </row>
    <row r="25" spans="2:17" ht="12.75">
      <c r="B25" s="85" t="s">
        <v>198</v>
      </c>
      <c r="C25" s="86">
        <v>3188</v>
      </c>
      <c r="D25" s="86">
        <v>584</v>
      </c>
      <c r="E25" s="87">
        <v>0.18318695106649938</v>
      </c>
      <c r="F25" s="86">
        <v>2067</v>
      </c>
      <c r="G25" s="86">
        <v>1016</v>
      </c>
      <c r="H25" s="87">
        <v>0.4915336236090953</v>
      </c>
      <c r="I25" s="86">
        <v>664</v>
      </c>
      <c r="J25" s="86">
        <v>226</v>
      </c>
      <c r="K25" s="87">
        <v>0.34036144578313254</v>
      </c>
      <c r="L25" s="86">
        <v>145</v>
      </c>
      <c r="M25" s="86">
        <v>96</v>
      </c>
      <c r="N25" s="87">
        <v>0.6620689655172414</v>
      </c>
      <c r="O25" s="86">
        <v>0</v>
      </c>
      <c r="P25" s="185" t="s">
        <v>595</v>
      </c>
      <c r="Q25" s="183">
        <v>524</v>
      </c>
    </row>
    <row r="26" spans="2:17" ht="12.75">
      <c r="B26" s="91" t="s">
        <v>318</v>
      </c>
      <c r="C26" s="86">
        <v>994</v>
      </c>
      <c r="D26" s="86">
        <v>581</v>
      </c>
      <c r="E26" s="87">
        <v>0.5845070422535211</v>
      </c>
      <c r="F26" s="86">
        <v>425</v>
      </c>
      <c r="G26" s="86">
        <v>184</v>
      </c>
      <c r="H26" s="87">
        <v>0.4329411764705882</v>
      </c>
      <c r="I26" s="86">
        <v>48</v>
      </c>
      <c r="J26" s="86">
        <v>28</v>
      </c>
      <c r="K26" s="87">
        <v>0.5833333333333334</v>
      </c>
      <c r="L26" s="86">
        <v>136</v>
      </c>
      <c r="M26" s="86">
        <v>92</v>
      </c>
      <c r="N26" s="87">
        <v>0.6764705882352942</v>
      </c>
      <c r="O26" s="86">
        <v>1</v>
      </c>
      <c r="P26" s="185">
        <v>1</v>
      </c>
      <c r="Q26" s="183">
        <v>403</v>
      </c>
    </row>
    <row r="27" spans="2:17" ht="12.75">
      <c r="B27" s="85" t="s">
        <v>199</v>
      </c>
      <c r="C27" s="88">
        <v>1044</v>
      </c>
      <c r="D27" s="88">
        <v>538</v>
      </c>
      <c r="E27" s="81">
        <v>0.5153256704980843</v>
      </c>
      <c r="F27" s="88">
        <v>528</v>
      </c>
      <c r="G27" s="88">
        <v>323</v>
      </c>
      <c r="H27" s="81">
        <v>0.6117424242424242</v>
      </c>
      <c r="I27" s="88">
        <v>19</v>
      </c>
      <c r="J27" s="88">
        <v>5</v>
      </c>
      <c r="K27" s="81">
        <v>0.2631578947368421</v>
      </c>
      <c r="L27" s="88">
        <v>202</v>
      </c>
      <c r="M27" s="88">
        <v>127</v>
      </c>
      <c r="N27" s="81">
        <v>0.6287128712871287</v>
      </c>
      <c r="O27" s="88">
        <v>0</v>
      </c>
      <c r="P27" s="186" t="s">
        <v>595</v>
      </c>
      <c r="Q27" s="184">
        <v>565</v>
      </c>
    </row>
    <row r="28" spans="2:17" ht="12.75">
      <c r="B28" s="82" t="s">
        <v>264</v>
      </c>
      <c r="C28" s="83">
        <v>243632</v>
      </c>
      <c r="D28" s="83">
        <v>154320</v>
      </c>
      <c r="E28" s="84">
        <v>0.6334143298088921</v>
      </c>
      <c r="F28" s="83">
        <v>91656</v>
      </c>
      <c r="G28" s="83">
        <v>53897</v>
      </c>
      <c r="H28" s="84">
        <v>0.588035698699485</v>
      </c>
      <c r="I28" s="83">
        <v>14301</v>
      </c>
      <c r="J28" s="83">
        <v>10788</v>
      </c>
      <c r="K28" s="84">
        <v>0.7543528424585694</v>
      </c>
      <c r="L28" s="83">
        <v>21667</v>
      </c>
      <c r="M28" s="83">
        <v>13814</v>
      </c>
      <c r="N28" s="84">
        <v>0.637559422162736</v>
      </c>
      <c r="O28" s="83">
        <v>90</v>
      </c>
      <c r="P28" s="187">
        <v>281</v>
      </c>
      <c r="Q28" s="182">
        <v>88945</v>
      </c>
    </row>
    <row r="29" spans="2:17" ht="12.75">
      <c r="B29" s="85" t="s">
        <v>200</v>
      </c>
      <c r="C29" s="86">
        <v>32434</v>
      </c>
      <c r="D29" s="86">
        <v>20215</v>
      </c>
      <c r="E29" s="87">
        <v>0.6232657088240735</v>
      </c>
      <c r="F29" s="86">
        <v>11463</v>
      </c>
      <c r="G29" s="86">
        <v>6069</v>
      </c>
      <c r="H29" s="87">
        <v>0.5294425543051557</v>
      </c>
      <c r="I29" s="86">
        <v>621</v>
      </c>
      <c r="J29" s="86">
        <v>387</v>
      </c>
      <c r="K29" s="87">
        <v>0.6231884057971014</v>
      </c>
      <c r="L29" s="86">
        <v>4789</v>
      </c>
      <c r="M29" s="86">
        <v>3108</v>
      </c>
      <c r="N29" s="87">
        <v>0.6489872624765086</v>
      </c>
      <c r="O29" s="86">
        <v>1</v>
      </c>
      <c r="P29" s="185">
        <v>1</v>
      </c>
      <c r="Q29" s="183">
        <v>11865</v>
      </c>
    </row>
    <row r="30" spans="2:17" ht="12.75">
      <c r="B30" s="85" t="s">
        <v>201</v>
      </c>
      <c r="C30" s="86">
        <v>23465</v>
      </c>
      <c r="D30" s="86">
        <v>15226</v>
      </c>
      <c r="E30" s="87">
        <v>0.6488813125932239</v>
      </c>
      <c r="F30" s="86">
        <v>5362</v>
      </c>
      <c r="G30" s="86">
        <v>1379</v>
      </c>
      <c r="H30" s="87">
        <v>0.25718015665796345</v>
      </c>
      <c r="I30" s="86">
        <v>603</v>
      </c>
      <c r="J30" s="86">
        <v>365</v>
      </c>
      <c r="K30" s="87">
        <v>0.6053067993366501</v>
      </c>
      <c r="L30" s="86">
        <v>991</v>
      </c>
      <c r="M30" s="86">
        <v>711</v>
      </c>
      <c r="N30" s="87">
        <v>0.7174571140262361</v>
      </c>
      <c r="O30" s="86">
        <v>2</v>
      </c>
      <c r="P30" s="185">
        <v>5</v>
      </c>
      <c r="Q30" s="183">
        <v>6028</v>
      </c>
    </row>
    <row r="31" spans="2:17" ht="12.75">
      <c r="B31" s="85" t="s">
        <v>202</v>
      </c>
      <c r="C31" s="86">
        <v>10293</v>
      </c>
      <c r="D31" s="86">
        <v>4876</v>
      </c>
      <c r="E31" s="87">
        <v>0.4737200038861362</v>
      </c>
      <c r="F31" s="86">
        <v>1979</v>
      </c>
      <c r="G31" s="86">
        <v>607</v>
      </c>
      <c r="H31" s="87">
        <v>0.30672056594239516</v>
      </c>
      <c r="I31" s="86">
        <v>187</v>
      </c>
      <c r="J31" s="86">
        <v>111</v>
      </c>
      <c r="K31" s="87">
        <v>0.5935828877005348</v>
      </c>
      <c r="L31" s="86">
        <v>656</v>
      </c>
      <c r="M31" s="86">
        <v>292</v>
      </c>
      <c r="N31" s="87">
        <v>0.4451219512195122</v>
      </c>
      <c r="O31" s="86">
        <v>1</v>
      </c>
      <c r="P31" s="185">
        <v>4</v>
      </c>
      <c r="Q31" s="183">
        <v>3315</v>
      </c>
    </row>
    <row r="32" spans="2:17" ht="12.75">
      <c r="B32" s="85" t="s">
        <v>203</v>
      </c>
      <c r="C32" s="86">
        <v>10573</v>
      </c>
      <c r="D32" s="86">
        <v>7455</v>
      </c>
      <c r="E32" s="87">
        <v>0.7050978908540623</v>
      </c>
      <c r="F32" s="86">
        <v>3054</v>
      </c>
      <c r="G32" s="86">
        <v>755</v>
      </c>
      <c r="H32" s="87">
        <v>0.24721676489849378</v>
      </c>
      <c r="I32" s="86">
        <v>1263</v>
      </c>
      <c r="J32" s="86">
        <v>1056</v>
      </c>
      <c r="K32" s="87">
        <v>0.836104513064133</v>
      </c>
      <c r="L32" s="86">
        <v>811</v>
      </c>
      <c r="M32" s="86">
        <v>570</v>
      </c>
      <c r="N32" s="87">
        <v>0.7028360049321825</v>
      </c>
      <c r="O32" s="86">
        <v>36</v>
      </c>
      <c r="P32" s="185">
        <v>5</v>
      </c>
      <c r="Q32" s="183">
        <v>4015</v>
      </c>
    </row>
    <row r="33" spans="2:17" ht="12.75">
      <c r="B33" s="85" t="s">
        <v>204</v>
      </c>
      <c r="C33" s="86">
        <v>11056</v>
      </c>
      <c r="D33" s="86">
        <v>6963</v>
      </c>
      <c r="E33" s="87">
        <v>0.6297937771345875</v>
      </c>
      <c r="F33" s="86">
        <v>4945</v>
      </c>
      <c r="G33" s="86">
        <v>3419</v>
      </c>
      <c r="H33" s="87">
        <v>0.6914054600606674</v>
      </c>
      <c r="I33" s="86">
        <v>1152</v>
      </c>
      <c r="J33" s="86">
        <v>993</v>
      </c>
      <c r="K33" s="87">
        <v>0.8619791666666666</v>
      </c>
      <c r="L33" s="86">
        <v>1488</v>
      </c>
      <c r="M33" s="86">
        <v>1045</v>
      </c>
      <c r="N33" s="87">
        <v>0.7022849462365591</v>
      </c>
      <c r="O33" s="86">
        <v>23</v>
      </c>
      <c r="P33" s="185">
        <v>50</v>
      </c>
      <c r="Q33" s="183">
        <v>3206</v>
      </c>
    </row>
    <row r="34" spans="2:17" ht="12.75">
      <c r="B34" s="85" t="s">
        <v>205</v>
      </c>
      <c r="C34" s="86">
        <v>14979</v>
      </c>
      <c r="D34" s="86">
        <v>10168</v>
      </c>
      <c r="E34" s="87">
        <v>0.6788170104813406</v>
      </c>
      <c r="F34" s="86">
        <v>6703</v>
      </c>
      <c r="G34" s="86">
        <v>3947</v>
      </c>
      <c r="H34" s="87">
        <v>0.5888408175443831</v>
      </c>
      <c r="I34" s="86">
        <v>2654</v>
      </c>
      <c r="J34" s="86">
        <v>1398</v>
      </c>
      <c r="K34" s="87">
        <v>0.5267520723436323</v>
      </c>
      <c r="L34" s="86">
        <v>1209</v>
      </c>
      <c r="M34" s="86">
        <v>810</v>
      </c>
      <c r="N34" s="87">
        <v>0.6699751861042184</v>
      </c>
      <c r="O34" s="86">
        <v>4</v>
      </c>
      <c r="P34" s="185">
        <v>64</v>
      </c>
      <c r="Q34" s="183">
        <v>10941</v>
      </c>
    </row>
    <row r="35" spans="2:17" ht="12.75">
      <c r="B35" s="85" t="s">
        <v>206</v>
      </c>
      <c r="C35" s="86">
        <v>12779</v>
      </c>
      <c r="D35" s="86">
        <v>4889</v>
      </c>
      <c r="E35" s="87">
        <v>0.38258079661945377</v>
      </c>
      <c r="F35" s="86">
        <v>5711</v>
      </c>
      <c r="G35" s="86">
        <v>2535</v>
      </c>
      <c r="H35" s="87">
        <v>0.4438802311329014</v>
      </c>
      <c r="I35" s="86">
        <v>390</v>
      </c>
      <c r="J35" s="86">
        <v>288</v>
      </c>
      <c r="K35" s="87">
        <v>0.7384615384615385</v>
      </c>
      <c r="L35" s="86">
        <v>1422</v>
      </c>
      <c r="M35" s="86">
        <v>547</v>
      </c>
      <c r="N35" s="87">
        <v>0.38466947960618847</v>
      </c>
      <c r="O35" s="86">
        <v>4</v>
      </c>
      <c r="P35" s="185">
        <v>41</v>
      </c>
      <c r="Q35" s="183">
        <v>6283</v>
      </c>
    </row>
    <row r="36" spans="2:17" ht="12.75">
      <c r="B36" s="85" t="s">
        <v>207</v>
      </c>
      <c r="C36" s="86">
        <v>28435</v>
      </c>
      <c r="D36" s="86">
        <v>20892</v>
      </c>
      <c r="E36" s="87">
        <v>0.7347283277650782</v>
      </c>
      <c r="F36" s="86">
        <v>10690</v>
      </c>
      <c r="G36" s="86">
        <v>7041</v>
      </c>
      <c r="H36" s="87">
        <v>0.6586529466791394</v>
      </c>
      <c r="I36" s="86">
        <v>504</v>
      </c>
      <c r="J36" s="86">
        <v>299</v>
      </c>
      <c r="K36" s="87">
        <v>0.5932539682539683</v>
      </c>
      <c r="L36" s="86">
        <v>2626</v>
      </c>
      <c r="M36" s="86">
        <v>1808</v>
      </c>
      <c r="N36" s="87">
        <v>0.6884996191926885</v>
      </c>
      <c r="O36" s="86">
        <v>3</v>
      </c>
      <c r="P36" s="185">
        <v>15</v>
      </c>
      <c r="Q36" s="183">
        <v>6630</v>
      </c>
    </row>
    <row r="37" spans="2:17" ht="12.75">
      <c r="B37" s="85" t="s">
        <v>208</v>
      </c>
      <c r="C37" s="86">
        <v>5139</v>
      </c>
      <c r="D37" s="86">
        <v>3456</v>
      </c>
      <c r="E37" s="87">
        <v>0.6725043782837128</v>
      </c>
      <c r="F37" s="86">
        <v>2105</v>
      </c>
      <c r="G37" s="86">
        <v>1152</v>
      </c>
      <c r="H37" s="87">
        <v>0.5472684085510688</v>
      </c>
      <c r="I37" s="86">
        <v>192</v>
      </c>
      <c r="J37" s="86">
        <v>139</v>
      </c>
      <c r="K37" s="87">
        <v>0.7239583333333334</v>
      </c>
      <c r="L37" s="86">
        <v>949</v>
      </c>
      <c r="M37" s="86">
        <v>775</v>
      </c>
      <c r="N37" s="87">
        <v>0.8166491043203372</v>
      </c>
      <c r="O37" s="86">
        <v>0</v>
      </c>
      <c r="P37" s="185" t="s">
        <v>595</v>
      </c>
      <c r="Q37" s="183">
        <v>4917</v>
      </c>
    </row>
    <row r="38" spans="2:17" ht="12.75">
      <c r="B38" s="85" t="s">
        <v>209</v>
      </c>
      <c r="C38" s="86">
        <v>46968</v>
      </c>
      <c r="D38" s="86">
        <v>30009</v>
      </c>
      <c r="E38" s="87">
        <v>0.6389243740419008</v>
      </c>
      <c r="F38" s="86">
        <v>14405</v>
      </c>
      <c r="G38" s="86">
        <v>7996</v>
      </c>
      <c r="H38" s="87">
        <v>0.5550850399166956</v>
      </c>
      <c r="I38" s="86">
        <v>1019</v>
      </c>
      <c r="J38" s="86">
        <v>449</v>
      </c>
      <c r="K38" s="87">
        <v>0.44062806673209026</v>
      </c>
      <c r="L38" s="86">
        <v>2690</v>
      </c>
      <c r="M38" s="86">
        <v>1604</v>
      </c>
      <c r="N38" s="87">
        <v>0.5962825278810409</v>
      </c>
      <c r="O38" s="86">
        <v>14</v>
      </c>
      <c r="P38" s="185">
        <v>91</v>
      </c>
      <c r="Q38" s="183">
        <v>20602</v>
      </c>
    </row>
    <row r="39" spans="2:17" ht="12.75">
      <c r="B39" s="85" t="s">
        <v>210</v>
      </c>
      <c r="C39" s="86">
        <v>126</v>
      </c>
      <c r="D39" s="86">
        <v>63</v>
      </c>
      <c r="E39" s="87">
        <v>0.5</v>
      </c>
      <c r="F39" s="86">
        <v>52</v>
      </c>
      <c r="G39" s="86">
        <v>46</v>
      </c>
      <c r="H39" s="87">
        <v>0.8846153846153846</v>
      </c>
      <c r="I39" s="86">
        <v>40</v>
      </c>
      <c r="J39" s="86">
        <v>29</v>
      </c>
      <c r="K39" s="87">
        <v>0.725</v>
      </c>
      <c r="L39" s="86">
        <v>1097</v>
      </c>
      <c r="M39" s="86">
        <v>1091</v>
      </c>
      <c r="N39" s="87">
        <v>0.9945305378304466</v>
      </c>
      <c r="O39" s="86">
        <v>0</v>
      </c>
      <c r="P39" s="185" t="s">
        <v>595</v>
      </c>
      <c r="Q39" s="183">
        <v>13</v>
      </c>
    </row>
    <row r="40" spans="2:17" ht="13.5" customHeight="1">
      <c r="B40" s="89" t="s">
        <v>211</v>
      </c>
      <c r="C40" s="88">
        <v>47385</v>
      </c>
      <c r="D40" s="88">
        <v>30108</v>
      </c>
      <c r="E40" s="81">
        <v>0.6353909465020576</v>
      </c>
      <c r="F40" s="88">
        <v>25187</v>
      </c>
      <c r="G40" s="88">
        <v>18951</v>
      </c>
      <c r="H40" s="81">
        <v>0.7524119585500456</v>
      </c>
      <c r="I40" s="88">
        <v>5676</v>
      </c>
      <c r="J40" s="88">
        <v>5274</v>
      </c>
      <c r="K40" s="81">
        <v>0.9291754756871036</v>
      </c>
      <c r="L40" s="88">
        <v>2939</v>
      </c>
      <c r="M40" s="88">
        <v>1453</v>
      </c>
      <c r="N40" s="81">
        <v>0.494385845525689</v>
      </c>
      <c r="O40" s="88">
        <v>2</v>
      </c>
      <c r="P40" s="186">
        <v>5</v>
      </c>
      <c r="Q40" s="184">
        <v>11130</v>
      </c>
    </row>
    <row r="41" spans="2:17" ht="12.75">
      <c r="B41" s="420" t="s">
        <v>385</v>
      </c>
      <c r="C41" s="420"/>
      <c r="D41" s="420"/>
      <c r="E41" s="420"/>
      <c r="F41" s="420"/>
      <c r="G41" s="420"/>
      <c r="H41" s="420"/>
      <c r="I41" s="420"/>
      <c r="J41" s="420"/>
      <c r="K41" s="420"/>
      <c r="L41" s="420"/>
      <c r="M41" s="420"/>
      <c r="N41" s="420"/>
      <c r="O41" s="420"/>
      <c r="P41" s="420"/>
      <c r="Q41" s="420"/>
    </row>
    <row r="42" spans="2:17" ht="23.25" customHeight="1">
      <c r="B42" s="90"/>
      <c r="C42" s="428" t="s">
        <v>262</v>
      </c>
      <c r="D42" s="428"/>
      <c r="E42" s="428"/>
      <c r="F42" s="428"/>
      <c r="G42" s="428"/>
      <c r="H42" s="428"/>
      <c r="I42" s="428"/>
      <c r="J42" s="428"/>
      <c r="K42" s="428"/>
      <c r="L42" s="428"/>
      <c r="M42" s="428"/>
      <c r="N42" s="428"/>
      <c r="O42" s="428"/>
      <c r="P42" s="428"/>
      <c r="Q42" s="428"/>
    </row>
    <row r="43" spans="2:17" ht="12.75">
      <c r="B43" s="140"/>
      <c r="C43" s="423" t="s">
        <v>388</v>
      </c>
      <c r="D43" s="424"/>
      <c r="E43" s="425"/>
      <c r="F43" s="423" t="s">
        <v>173</v>
      </c>
      <c r="G43" s="424"/>
      <c r="H43" s="425"/>
      <c r="I43" s="423" t="s">
        <v>391</v>
      </c>
      <c r="J43" s="424"/>
      <c r="K43" s="425"/>
      <c r="L43" s="423" t="s">
        <v>175</v>
      </c>
      <c r="M43" s="424"/>
      <c r="N43" s="425"/>
      <c r="O43" s="75" t="s">
        <v>176</v>
      </c>
      <c r="P43" s="69" t="s">
        <v>177</v>
      </c>
      <c r="Q43" s="75" t="s">
        <v>178</v>
      </c>
    </row>
    <row r="44" spans="2:17" s="79" customFormat="1" ht="51">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v>208813</v>
      </c>
      <c r="D45" s="83">
        <v>135969</v>
      </c>
      <c r="E45" s="84">
        <v>0.6511519876636033</v>
      </c>
      <c r="F45" s="83">
        <v>65886</v>
      </c>
      <c r="G45" s="83">
        <v>33779</v>
      </c>
      <c r="H45" s="84">
        <v>0.5126885833105668</v>
      </c>
      <c r="I45" s="83">
        <v>15684</v>
      </c>
      <c r="J45" s="83">
        <v>5506</v>
      </c>
      <c r="K45" s="84">
        <v>0.3510584034685029</v>
      </c>
      <c r="L45" s="83">
        <v>20737</v>
      </c>
      <c r="M45" s="83">
        <v>14711</v>
      </c>
      <c r="N45" s="84">
        <v>0.7094083039976853</v>
      </c>
      <c r="O45" s="83">
        <v>30644</v>
      </c>
      <c r="P45" s="83">
        <v>392</v>
      </c>
      <c r="Q45" s="182">
        <v>61330</v>
      </c>
    </row>
    <row r="46" spans="2:17" ht="12.75">
      <c r="B46" s="85" t="s">
        <v>212</v>
      </c>
      <c r="C46" s="86">
        <v>21334</v>
      </c>
      <c r="D46" s="86">
        <v>17064</v>
      </c>
      <c r="E46" s="87">
        <v>0.7998500046873536</v>
      </c>
      <c r="F46" s="86">
        <v>5388</v>
      </c>
      <c r="G46" s="86">
        <v>4478</v>
      </c>
      <c r="H46" s="87">
        <v>0.8311061618411284</v>
      </c>
      <c r="I46" s="86">
        <v>844</v>
      </c>
      <c r="J46" s="86">
        <v>699</v>
      </c>
      <c r="K46" s="87">
        <v>0.8281990521327014</v>
      </c>
      <c r="L46" s="86">
        <v>2871</v>
      </c>
      <c r="M46" s="86">
        <v>2291</v>
      </c>
      <c r="N46" s="87">
        <v>0.797979797979798</v>
      </c>
      <c r="O46" s="86">
        <v>10</v>
      </c>
      <c r="P46" s="185">
        <v>129</v>
      </c>
      <c r="Q46" s="183">
        <v>5589</v>
      </c>
    </row>
    <row r="47" spans="2:17" ht="12.75">
      <c r="B47" s="85" t="s">
        <v>253</v>
      </c>
      <c r="C47" s="86">
        <v>7096</v>
      </c>
      <c r="D47" s="86">
        <v>4877</v>
      </c>
      <c r="E47" s="87">
        <v>0.6872886133032694</v>
      </c>
      <c r="F47" s="86">
        <v>2301</v>
      </c>
      <c r="G47" s="86">
        <v>1203</v>
      </c>
      <c r="H47" s="87">
        <v>0.5228161668839635</v>
      </c>
      <c r="I47" s="86">
        <v>187</v>
      </c>
      <c r="J47" s="86">
        <v>99</v>
      </c>
      <c r="K47" s="87">
        <v>0.5294117647058824</v>
      </c>
      <c r="L47" s="86">
        <v>284</v>
      </c>
      <c r="M47" s="86">
        <v>230</v>
      </c>
      <c r="N47" s="87">
        <v>0.8098591549295775</v>
      </c>
      <c r="O47" s="86">
        <v>0</v>
      </c>
      <c r="P47" s="185">
        <v>2</v>
      </c>
      <c r="Q47" s="183">
        <v>1289</v>
      </c>
    </row>
    <row r="48" spans="2:17" ht="12.75">
      <c r="B48" s="85" t="s">
        <v>254</v>
      </c>
      <c r="C48" s="86">
        <v>1045</v>
      </c>
      <c r="D48" s="86">
        <v>299</v>
      </c>
      <c r="E48" s="87">
        <v>0.2861244019138756</v>
      </c>
      <c r="F48" s="86">
        <v>512</v>
      </c>
      <c r="G48" s="86">
        <v>28</v>
      </c>
      <c r="H48" s="87">
        <v>0.0546875</v>
      </c>
      <c r="I48" s="86">
        <v>65</v>
      </c>
      <c r="J48" s="86">
        <v>18</v>
      </c>
      <c r="K48" s="87">
        <v>0.27692307692307694</v>
      </c>
      <c r="L48" s="86">
        <v>61</v>
      </c>
      <c r="M48" s="86">
        <v>25</v>
      </c>
      <c r="N48" s="87">
        <v>0.4098360655737705</v>
      </c>
      <c r="O48" s="86">
        <v>0</v>
      </c>
      <c r="P48" s="185" t="s">
        <v>595</v>
      </c>
      <c r="Q48" s="183">
        <v>329</v>
      </c>
    </row>
    <row r="49" spans="2:17" ht="12.75">
      <c r="B49" s="85" t="s">
        <v>255</v>
      </c>
      <c r="C49" s="86">
        <v>37709</v>
      </c>
      <c r="D49" s="86">
        <v>27905</v>
      </c>
      <c r="E49" s="87">
        <v>0.7400090164151794</v>
      </c>
      <c r="F49" s="86">
        <v>14488</v>
      </c>
      <c r="G49" s="86">
        <v>10084</v>
      </c>
      <c r="H49" s="87">
        <v>0.6960242959690779</v>
      </c>
      <c r="I49" s="86">
        <v>1082</v>
      </c>
      <c r="J49" s="86">
        <v>918</v>
      </c>
      <c r="K49" s="87">
        <v>0.8484288354898336</v>
      </c>
      <c r="L49" s="86">
        <v>6194</v>
      </c>
      <c r="M49" s="86">
        <v>4919</v>
      </c>
      <c r="N49" s="87">
        <v>0.7941556344849855</v>
      </c>
      <c r="O49" s="86">
        <v>6</v>
      </c>
      <c r="P49" s="185">
        <v>4</v>
      </c>
      <c r="Q49" s="183">
        <v>13965</v>
      </c>
    </row>
    <row r="50" spans="2:17" ht="12.75">
      <c r="B50" s="85" t="s">
        <v>256</v>
      </c>
      <c r="C50" s="86">
        <v>4797</v>
      </c>
      <c r="D50" s="86">
        <v>1541</v>
      </c>
      <c r="E50" s="87">
        <v>0.3212424431936627</v>
      </c>
      <c r="F50" s="86">
        <v>1812</v>
      </c>
      <c r="G50" s="86">
        <v>269</v>
      </c>
      <c r="H50" s="87">
        <v>0.14845474613686535</v>
      </c>
      <c r="I50" s="86">
        <v>215</v>
      </c>
      <c r="J50" s="86">
        <v>49</v>
      </c>
      <c r="K50" s="87">
        <v>0.22790697674418606</v>
      </c>
      <c r="L50" s="86">
        <v>540</v>
      </c>
      <c r="M50" s="86">
        <v>207</v>
      </c>
      <c r="N50" s="87">
        <v>0.38333333333333336</v>
      </c>
      <c r="O50" s="86">
        <v>0</v>
      </c>
      <c r="P50" s="185" t="s">
        <v>595</v>
      </c>
      <c r="Q50" s="183">
        <v>1522</v>
      </c>
    </row>
    <row r="51" spans="2:17" ht="12.75">
      <c r="B51" s="85" t="s">
        <v>257</v>
      </c>
      <c r="C51" s="86">
        <v>8201</v>
      </c>
      <c r="D51" s="86">
        <v>5145</v>
      </c>
      <c r="E51" s="87">
        <v>0.627362516766248</v>
      </c>
      <c r="F51" s="86">
        <v>5569</v>
      </c>
      <c r="G51" s="86">
        <v>2530</v>
      </c>
      <c r="H51" s="87">
        <v>0.4543005925659903</v>
      </c>
      <c r="I51" s="86">
        <v>1289</v>
      </c>
      <c r="J51" s="86">
        <v>833</v>
      </c>
      <c r="K51" s="87">
        <v>0.6462373933281613</v>
      </c>
      <c r="L51" s="86">
        <v>1414</v>
      </c>
      <c r="M51" s="86">
        <v>1059</v>
      </c>
      <c r="N51" s="87">
        <v>0.748939179632249</v>
      </c>
      <c r="O51" s="86">
        <v>2</v>
      </c>
      <c r="P51" s="185">
        <v>40</v>
      </c>
      <c r="Q51" s="183">
        <v>5129</v>
      </c>
    </row>
    <row r="52" spans="2:17" ht="12.75">
      <c r="B52" s="85" t="s">
        <v>283</v>
      </c>
      <c r="C52" s="86">
        <v>10283</v>
      </c>
      <c r="D52" s="86">
        <v>3886</v>
      </c>
      <c r="E52" s="87">
        <v>0.3779052805601478</v>
      </c>
      <c r="F52" s="86">
        <v>3225</v>
      </c>
      <c r="G52" s="86">
        <v>1023</v>
      </c>
      <c r="H52" s="87">
        <v>0.3172093023255814</v>
      </c>
      <c r="I52" s="86">
        <v>1800</v>
      </c>
      <c r="J52" s="86">
        <v>319</v>
      </c>
      <c r="K52" s="87">
        <v>0.17722222222222223</v>
      </c>
      <c r="L52" s="86">
        <v>657</v>
      </c>
      <c r="M52" s="86">
        <v>239</v>
      </c>
      <c r="N52" s="87">
        <v>0.3637747336377473</v>
      </c>
      <c r="O52" s="86">
        <v>11537</v>
      </c>
      <c r="P52" s="185" t="s">
        <v>3</v>
      </c>
      <c r="Q52" s="182">
        <v>3273</v>
      </c>
    </row>
    <row r="53" spans="2:17" ht="12.75">
      <c r="B53" s="85" t="s">
        <v>284</v>
      </c>
      <c r="C53" s="86">
        <v>17626</v>
      </c>
      <c r="D53" s="86">
        <v>8867</v>
      </c>
      <c r="E53" s="87">
        <v>0.5030636559627822</v>
      </c>
      <c r="F53" s="86">
        <v>5551</v>
      </c>
      <c r="G53" s="86">
        <v>1080</v>
      </c>
      <c r="H53" s="87">
        <v>0.1945595388218339</v>
      </c>
      <c r="I53" s="86">
        <v>830</v>
      </c>
      <c r="J53" s="86">
        <v>228</v>
      </c>
      <c r="K53" s="87">
        <v>0.2746987951807229</v>
      </c>
      <c r="L53" s="86">
        <v>742</v>
      </c>
      <c r="M53" s="86">
        <v>384</v>
      </c>
      <c r="N53" s="87">
        <v>0.5175202156334232</v>
      </c>
      <c r="O53" s="86">
        <v>1</v>
      </c>
      <c r="P53" s="185">
        <v>7</v>
      </c>
      <c r="Q53" s="183">
        <v>3172</v>
      </c>
    </row>
    <row r="54" spans="2:17" ht="12.75">
      <c r="B54" s="85" t="s">
        <v>285</v>
      </c>
      <c r="C54" s="86">
        <v>14191</v>
      </c>
      <c r="D54" s="86">
        <v>9653</v>
      </c>
      <c r="E54" s="87">
        <v>0.680219857656261</v>
      </c>
      <c r="F54" s="86">
        <v>5004</v>
      </c>
      <c r="G54" s="86">
        <v>3308</v>
      </c>
      <c r="H54" s="87">
        <v>0.6610711430855316</v>
      </c>
      <c r="I54" s="86">
        <v>256</v>
      </c>
      <c r="J54" s="86">
        <v>194</v>
      </c>
      <c r="K54" s="87">
        <v>0.7578125</v>
      </c>
      <c r="L54" s="86">
        <v>1834</v>
      </c>
      <c r="M54" s="86">
        <v>1349</v>
      </c>
      <c r="N54" s="87">
        <v>0.7355507088331515</v>
      </c>
      <c r="O54" s="86">
        <v>14</v>
      </c>
      <c r="P54" s="185">
        <v>102</v>
      </c>
      <c r="Q54" s="183">
        <v>4744</v>
      </c>
    </row>
    <row r="55" spans="2:17" ht="12.75">
      <c r="B55" s="85" t="s">
        <v>286</v>
      </c>
      <c r="C55" s="86">
        <v>1069</v>
      </c>
      <c r="D55" s="86">
        <v>365</v>
      </c>
      <c r="E55" s="87">
        <v>0.3414405986903648</v>
      </c>
      <c r="F55" s="86">
        <v>780</v>
      </c>
      <c r="G55" s="86">
        <v>23</v>
      </c>
      <c r="H55" s="87">
        <v>0.029487179487179487</v>
      </c>
      <c r="I55" s="86">
        <v>152</v>
      </c>
      <c r="J55" s="86">
        <v>18</v>
      </c>
      <c r="K55" s="87">
        <v>0.11842105263157894</v>
      </c>
      <c r="L55" s="86">
        <v>166</v>
      </c>
      <c r="M55" s="86">
        <v>69</v>
      </c>
      <c r="N55" s="87">
        <v>0.41566265060240964</v>
      </c>
      <c r="O55" s="86">
        <v>0</v>
      </c>
      <c r="P55" s="185">
        <v>1</v>
      </c>
      <c r="Q55" s="183">
        <v>254</v>
      </c>
    </row>
    <row r="56" spans="2:17" ht="12.75">
      <c r="B56" s="85" t="s">
        <v>287</v>
      </c>
      <c r="C56" s="86">
        <v>19502</v>
      </c>
      <c r="D56" s="86">
        <v>12807</v>
      </c>
      <c r="E56" s="87">
        <v>0.6567018767305918</v>
      </c>
      <c r="F56" s="86">
        <v>5373</v>
      </c>
      <c r="G56" s="86">
        <v>3291</v>
      </c>
      <c r="H56" s="87">
        <v>0.6125069793411502</v>
      </c>
      <c r="I56" s="86">
        <v>1035</v>
      </c>
      <c r="J56" s="86">
        <v>590</v>
      </c>
      <c r="K56" s="87">
        <v>0.5700483091787439</v>
      </c>
      <c r="L56" s="86">
        <v>1537</v>
      </c>
      <c r="M56" s="86">
        <v>995</v>
      </c>
      <c r="N56" s="87">
        <v>0.6473649967469096</v>
      </c>
      <c r="O56" s="86">
        <v>12</v>
      </c>
      <c r="P56" s="185">
        <v>99</v>
      </c>
      <c r="Q56" s="183">
        <v>5706</v>
      </c>
    </row>
    <row r="57" spans="2:17" ht="12.75">
      <c r="B57" s="85" t="s">
        <v>288</v>
      </c>
      <c r="C57" s="86">
        <v>12064</v>
      </c>
      <c r="D57" s="86">
        <v>3346</v>
      </c>
      <c r="E57" s="87">
        <v>0.27735411140583555</v>
      </c>
      <c r="F57" s="86">
        <v>3467</v>
      </c>
      <c r="G57" s="86">
        <v>320</v>
      </c>
      <c r="H57" s="87">
        <v>0.0922988174214018</v>
      </c>
      <c r="I57" s="86">
        <v>6796</v>
      </c>
      <c r="J57" s="86">
        <v>958</v>
      </c>
      <c r="K57" s="87">
        <v>0.14096527369040612</v>
      </c>
      <c r="L57" s="86">
        <v>505</v>
      </c>
      <c r="M57" s="86">
        <v>271</v>
      </c>
      <c r="N57" s="87">
        <v>0.5366336633663367</v>
      </c>
      <c r="O57" s="86">
        <v>19058</v>
      </c>
      <c r="P57" s="185" t="s">
        <v>3</v>
      </c>
      <c r="Q57" s="182">
        <v>1350</v>
      </c>
    </row>
    <row r="58" spans="2:17" ht="12.75">
      <c r="B58" s="85" t="s">
        <v>289</v>
      </c>
      <c r="C58" s="86">
        <v>49132</v>
      </c>
      <c r="D58" s="86">
        <v>37667</v>
      </c>
      <c r="E58" s="87">
        <v>0.7666490271106408</v>
      </c>
      <c r="F58" s="86">
        <v>10598</v>
      </c>
      <c r="G58" s="86">
        <v>5383</v>
      </c>
      <c r="H58" s="87">
        <v>0.5079260237780714</v>
      </c>
      <c r="I58" s="86">
        <v>1069</v>
      </c>
      <c r="J58" s="86">
        <v>544</v>
      </c>
      <c r="K58" s="87">
        <v>0.5088868101028999</v>
      </c>
      <c r="L58" s="86">
        <v>3361</v>
      </c>
      <c r="M58" s="86">
        <v>2310</v>
      </c>
      <c r="N58" s="87">
        <v>0.6872954477833978</v>
      </c>
      <c r="O58" s="86">
        <v>4</v>
      </c>
      <c r="P58" s="185">
        <v>8</v>
      </c>
      <c r="Q58" s="183">
        <v>12537</v>
      </c>
    </row>
    <row r="59" spans="2:17" ht="12.75">
      <c r="B59" s="89" t="s">
        <v>290</v>
      </c>
      <c r="C59" s="88">
        <v>4764</v>
      </c>
      <c r="D59" s="88">
        <v>2547</v>
      </c>
      <c r="E59" s="81">
        <v>0.5346347607052897</v>
      </c>
      <c r="F59" s="88">
        <v>1818</v>
      </c>
      <c r="G59" s="88">
        <v>759</v>
      </c>
      <c r="H59" s="81">
        <v>0.4174917491749175</v>
      </c>
      <c r="I59" s="88">
        <v>64</v>
      </c>
      <c r="J59" s="88">
        <v>39</v>
      </c>
      <c r="K59" s="81">
        <v>0.609375</v>
      </c>
      <c r="L59" s="88">
        <v>571</v>
      </c>
      <c r="M59" s="88">
        <v>363</v>
      </c>
      <c r="N59" s="81">
        <v>0.6357267950963222</v>
      </c>
      <c r="O59" s="88">
        <v>0</v>
      </c>
      <c r="P59" s="186" t="s">
        <v>595</v>
      </c>
      <c r="Q59" s="184">
        <v>920</v>
      </c>
    </row>
    <row r="60" spans="2:17" ht="12.75">
      <c r="B60" s="82" t="s">
        <v>267</v>
      </c>
      <c r="C60" s="83">
        <v>202915</v>
      </c>
      <c r="D60" s="83">
        <v>151721</v>
      </c>
      <c r="E60" s="84">
        <v>0.7477071680260208</v>
      </c>
      <c r="F60" s="83">
        <v>75108</v>
      </c>
      <c r="G60" s="83">
        <v>44070</v>
      </c>
      <c r="H60" s="84">
        <v>0.5867550726953188</v>
      </c>
      <c r="I60" s="83">
        <v>13313</v>
      </c>
      <c r="J60" s="83">
        <v>8170</v>
      </c>
      <c r="K60" s="84">
        <v>0.6136858709532036</v>
      </c>
      <c r="L60" s="83">
        <v>23236</v>
      </c>
      <c r="M60" s="83">
        <v>15065</v>
      </c>
      <c r="N60" s="84">
        <v>0.6483473919779652</v>
      </c>
      <c r="O60" s="83">
        <v>517</v>
      </c>
      <c r="P60" s="187">
        <v>192</v>
      </c>
      <c r="Q60" s="182">
        <v>46203</v>
      </c>
    </row>
    <row r="61" spans="2:17" ht="12.75">
      <c r="B61" s="85" t="s">
        <v>291</v>
      </c>
      <c r="C61" s="86">
        <v>5128</v>
      </c>
      <c r="D61" s="86">
        <v>2750</v>
      </c>
      <c r="E61" s="87">
        <v>0.5362714508580343</v>
      </c>
      <c r="F61" s="86">
        <v>2146</v>
      </c>
      <c r="G61" s="86">
        <v>1090</v>
      </c>
      <c r="H61" s="87">
        <v>0.5079217148182665</v>
      </c>
      <c r="I61" s="86">
        <v>183</v>
      </c>
      <c r="J61" s="86">
        <v>107</v>
      </c>
      <c r="K61" s="87">
        <v>0.5846994535519126</v>
      </c>
      <c r="L61" s="86">
        <v>609</v>
      </c>
      <c r="M61" s="86">
        <v>365</v>
      </c>
      <c r="N61" s="87">
        <v>0.5993431855500821</v>
      </c>
      <c r="O61" s="86">
        <v>1</v>
      </c>
      <c r="P61" s="185">
        <v>1</v>
      </c>
      <c r="Q61" s="183">
        <v>1762</v>
      </c>
    </row>
    <row r="62" spans="2:17" ht="12.75">
      <c r="B62" s="85" t="s">
        <v>292</v>
      </c>
      <c r="C62" s="86">
        <v>2514</v>
      </c>
      <c r="D62" s="86">
        <v>1648</v>
      </c>
      <c r="E62" s="87">
        <v>0.6555290373906125</v>
      </c>
      <c r="F62" s="86">
        <v>2335</v>
      </c>
      <c r="G62" s="86">
        <v>1515</v>
      </c>
      <c r="H62" s="87">
        <v>0.6488222698072805</v>
      </c>
      <c r="I62" s="86">
        <v>997</v>
      </c>
      <c r="J62" s="86">
        <v>701</v>
      </c>
      <c r="K62" s="87">
        <v>0.7031093279839519</v>
      </c>
      <c r="L62" s="86">
        <v>369</v>
      </c>
      <c r="M62" s="86">
        <v>310</v>
      </c>
      <c r="N62" s="87">
        <v>0.8401084010840109</v>
      </c>
      <c r="O62" s="86">
        <v>0</v>
      </c>
      <c r="P62" s="185" t="s">
        <v>595</v>
      </c>
      <c r="Q62" s="183">
        <v>159</v>
      </c>
    </row>
    <row r="63" spans="2:17" ht="12.75">
      <c r="B63" s="85" t="s">
        <v>293</v>
      </c>
      <c r="C63" s="86">
        <v>2220</v>
      </c>
      <c r="D63" s="86">
        <v>1048</v>
      </c>
      <c r="E63" s="87">
        <v>0.4720720720720721</v>
      </c>
      <c r="F63" s="86">
        <v>1478</v>
      </c>
      <c r="G63" s="86">
        <v>438</v>
      </c>
      <c r="H63" s="87">
        <v>0.2963464140730717</v>
      </c>
      <c r="I63" s="86">
        <v>120</v>
      </c>
      <c r="J63" s="86">
        <v>68</v>
      </c>
      <c r="K63" s="87">
        <v>0.5666666666666667</v>
      </c>
      <c r="L63" s="86">
        <v>357</v>
      </c>
      <c r="M63" s="86">
        <v>204</v>
      </c>
      <c r="N63" s="87">
        <v>0.5714285714285714</v>
      </c>
      <c r="O63" s="86">
        <v>0</v>
      </c>
      <c r="P63" s="185">
        <v>1</v>
      </c>
      <c r="Q63" s="183">
        <v>964</v>
      </c>
    </row>
    <row r="64" spans="2:17" ht="12.75">
      <c r="B64" s="85" t="s">
        <v>294</v>
      </c>
      <c r="C64" s="86">
        <v>13032</v>
      </c>
      <c r="D64" s="86">
        <v>7804</v>
      </c>
      <c r="E64" s="87">
        <v>0.5988336402701043</v>
      </c>
      <c r="F64" s="86">
        <v>5646</v>
      </c>
      <c r="G64" s="86">
        <v>3106</v>
      </c>
      <c r="H64" s="87">
        <v>0.5501239815798795</v>
      </c>
      <c r="I64" s="86">
        <v>1173</v>
      </c>
      <c r="J64" s="86">
        <v>496</v>
      </c>
      <c r="K64" s="87">
        <v>0.42284739982949704</v>
      </c>
      <c r="L64" s="86">
        <v>1597</v>
      </c>
      <c r="M64" s="86">
        <v>837</v>
      </c>
      <c r="N64" s="87">
        <v>0.5241077019411396</v>
      </c>
      <c r="O64" s="86">
        <v>9</v>
      </c>
      <c r="P64" s="185">
        <v>4</v>
      </c>
      <c r="Q64" s="183">
        <v>3873</v>
      </c>
    </row>
    <row r="65" spans="2:17" ht="12.75">
      <c r="B65" s="85" t="s">
        <v>372</v>
      </c>
      <c r="C65" s="86">
        <v>1279</v>
      </c>
      <c r="D65" s="86">
        <v>451</v>
      </c>
      <c r="E65" s="87">
        <v>0.3526192337763878</v>
      </c>
      <c r="F65" s="86">
        <v>536</v>
      </c>
      <c r="G65" s="86">
        <v>246</v>
      </c>
      <c r="H65" s="87">
        <v>0.458955223880597</v>
      </c>
      <c r="I65" s="86">
        <v>34</v>
      </c>
      <c r="J65" s="86">
        <v>28</v>
      </c>
      <c r="K65" s="87">
        <v>0.8235294117647058</v>
      </c>
      <c r="L65" s="86">
        <v>168</v>
      </c>
      <c r="M65" s="86">
        <v>83</v>
      </c>
      <c r="N65" s="87">
        <v>0.49404761904761907</v>
      </c>
      <c r="O65" s="86">
        <v>2</v>
      </c>
      <c r="P65" s="185">
        <v>4</v>
      </c>
      <c r="Q65" s="183">
        <v>306</v>
      </c>
    </row>
    <row r="66" spans="2:17" ht="12.75">
      <c r="B66" s="85" t="s">
        <v>295</v>
      </c>
      <c r="C66" s="86">
        <v>2002</v>
      </c>
      <c r="D66" s="86">
        <v>940</v>
      </c>
      <c r="E66" s="87">
        <v>0.4695304695304695</v>
      </c>
      <c r="F66" s="86">
        <v>1189</v>
      </c>
      <c r="G66" s="86">
        <v>388</v>
      </c>
      <c r="H66" s="87">
        <v>0.3263246425567704</v>
      </c>
      <c r="I66" s="86">
        <v>131</v>
      </c>
      <c r="J66" s="86">
        <v>66</v>
      </c>
      <c r="K66" s="87">
        <v>0.5038167938931297</v>
      </c>
      <c r="L66" s="86">
        <v>374</v>
      </c>
      <c r="M66" s="86">
        <v>232</v>
      </c>
      <c r="N66" s="87">
        <v>0.6203208556149733</v>
      </c>
      <c r="O66" s="86">
        <v>0</v>
      </c>
      <c r="P66" s="185" t="s">
        <v>595</v>
      </c>
      <c r="Q66" s="183">
        <v>284</v>
      </c>
    </row>
    <row r="67" spans="2:17" ht="12.75">
      <c r="B67" s="85" t="s">
        <v>296</v>
      </c>
      <c r="C67" s="86">
        <v>6036</v>
      </c>
      <c r="D67" s="86">
        <v>4629</v>
      </c>
      <c r="E67" s="87">
        <v>0.7668986083499006</v>
      </c>
      <c r="F67" s="86">
        <v>1635</v>
      </c>
      <c r="G67" s="86">
        <v>315</v>
      </c>
      <c r="H67" s="87">
        <v>0.1926605504587156</v>
      </c>
      <c r="I67" s="86">
        <v>137</v>
      </c>
      <c r="J67" s="86">
        <v>35</v>
      </c>
      <c r="K67" s="87">
        <v>0.25547445255474455</v>
      </c>
      <c r="L67" s="86">
        <v>801</v>
      </c>
      <c r="M67" s="86">
        <v>707</v>
      </c>
      <c r="N67" s="87">
        <v>0.8826466916354557</v>
      </c>
      <c r="O67" s="86">
        <v>3</v>
      </c>
      <c r="P67" s="185">
        <v>1</v>
      </c>
      <c r="Q67" s="183">
        <v>757</v>
      </c>
    </row>
    <row r="68" spans="2:17" ht="12.75">
      <c r="B68" s="85" t="s">
        <v>297</v>
      </c>
      <c r="C68" s="86">
        <v>22362</v>
      </c>
      <c r="D68" s="86">
        <v>20364</v>
      </c>
      <c r="E68" s="87">
        <v>0.9106519989267507</v>
      </c>
      <c r="F68" s="86">
        <v>6417</v>
      </c>
      <c r="G68" s="86">
        <v>3313</v>
      </c>
      <c r="H68" s="87">
        <v>0.5162848683185289</v>
      </c>
      <c r="I68" s="86">
        <v>1657</v>
      </c>
      <c r="J68" s="86">
        <v>987</v>
      </c>
      <c r="K68" s="87">
        <v>0.5956547978273989</v>
      </c>
      <c r="L68" s="86">
        <v>1223</v>
      </c>
      <c r="M68" s="86">
        <v>1116</v>
      </c>
      <c r="N68" s="87">
        <v>0.9125102207686018</v>
      </c>
      <c r="O68" s="86">
        <v>3</v>
      </c>
      <c r="P68" s="185">
        <v>7</v>
      </c>
      <c r="Q68" s="183">
        <v>6123</v>
      </c>
    </row>
    <row r="69" spans="2:17" ht="12.75">
      <c r="B69" s="91" t="s">
        <v>298</v>
      </c>
      <c r="C69" s="86">
        <v>2590</v>
      </c>
      <c r="D69" s="86">
        <v>1605</v>
      </c>
      <c r="E69" s="87">
        <v>0.6196911196911197</v>
      </c>
      <c r="F69" s="86">
        <v>1296</v>
      </c>
      <c r="G69" s="86">
        <v>502</v>
      </c>
      <c r="H69" s="87">
        <v>0.3873456790123457</v>
      </c>
      <c r="I69" s="86">
        <v>126</v>
      </c>
      <c r="J69" s="86">
        <v>99</v>
      </c>
      <c r="K69" s="87">
        <v>0.7857142857142857</v>
      </c>
      <c r="L69" s="86">
        <v>730</v>
      </c>
      <c r="M69" s="86">
        <v>490</v>
      </c>
      <c r="N69" s="87">
        <v>0.6712328767123288</v>
      </c>
      <c r="O69" s="86">
        <v>406</v>
      </c>
      <c r="P69" s="185">
        <v>84</v>
      </c>
      <c r="Q69" s="183">
        <v>1796</v>
      </c>
    </row>
    <row r="70" spans="2:17" ht="12.75">
      <c r="B70" s="85" t="s">
        <v>299</v>
      </c>
      <c r="C70" s="86">
        <v>29649</v>
      </c>
      <c r="D70" s="86">
        <v>27317</v>
      </c>
      <c r="E70" s="87">
        <v>0.9213464197780701</v>
      </c>
      <c r="F70" s="86">
        <v>10861</v>
      </c>
      <c r="G70" s="86">
        <v>7418</v>
      </c>
      <c r="H70" s="87">
        <v>0.6829941994291502</v>
      </c>
      <c r="I70" s="86">
        <v>935</v>
      </c>
      <c r="J70" s="86">
        <v>751</v>
      </c>
      <c r="K70" s="87">
        <v>0.8032085561497326</v>
      </c>
      <c r="L70" s="86">
        <v>4231</v>
      </c>
      <c r="M70" s="86">
        <v>3826</v>
      </c>
      <c r="N70" s="87">
        <v>0.9042779484755377</v>
      </c>
      <c r="O70" s="86">
        <v>13</v>
      </c>
      <c r="P70" s="185">
        <v>4</v>
      </c>
      <c r="Q70" s="183">
        <v>7536</v>
      </c>
    </row>
    <row r="71" spans="2:17" ht="12.75">
      <c r="B71" s="85" t="s">
        <v>300</v>
      </c>
      <c r="C71" s="86">
        <v>22676</v>
      </c>
      <c r="D71" s="86">
        <v>17043</v>
      </c>
      <c r="E71" s="87">
        <v>0.7515875815840536</v>
      </c>
      <c r="F71" s="86">
        <v>6055</v>
      </c>
      <c r="G71" s="86">
        <v>2728</v>
      </c>
      <c r="H71" s="87">
        <v>0.45053674649050374</v>
      </c>
      <c r="I71" s="86">
        <v>728</v>
      </c>
      <c r="J71" s="86">
        <v>621</v>
      </c>
      <c r="K71" s="87">
        <v>0.853021978021978</v>
      </c>
      <c r="L71" s="86">
        <v>3142</v>
      </c>
      <c r="M71" s="86">
        <v>789</v>
      </c>
      <c r="N71" s="87">
        <v>0.2511139401654997</v>
      </c>
      <c r="O71" s="86">
        <v>1</v>
      </c>
      <c r="P71" s="185">
        <v>4</v>
      </c>
      <c r="Q71" s="183">
        <v>4921</v>
      </c>
    </row>
    <row r="72" spans="2:17" ht="12.75">
      <c r="B72" s="85" t="s">
        <v>301</v>
      </c>
      <c r="C72" s="86">
        <v>11793</v>
      </c>
      <c r="D72" s="86">
        <v>7509</v>
      </c>
      <c r="E72" s="87">
        <v>0.6367336555583821</v>
      </c>
      <c r="F72" s="86">
        <v>5703</v>
      </c>
      <c r="G72" s="86">
        <v>3493</v>
      </c>
      <c r="H72" s="87">
        <v>0.612484657197966</v>
      </c>
      <c r="I72" s="86">
        <v>1519</v>
      </c>
      <c r="J72" s="86">
        <v>1025</v>
      </c>
      <c r="K72" s="87">
        <v>0.6747860434496379</v>
      </c>
      <c r="L72" s="86">
        <v>634</v>
      </c>
      <c r="M72" s="86">
        <v>420</v>
      </c>
      <c r="N72" s="87">
        <v>0.6624605678233438</v>
      </c>
      <c r="O72" s="86">
        <v>2</v>
      </c>
      <c r="P72" s="185">
        <v>20</v>
      </c>
      <c r="Q72" s="183">
        <v>5322</v>
      </c>
    </row>
    <row r="73" spans="2:17" ht="12.75">
      <c r="B73" s="85" t="s">
        <v>302</v>
      </c>
      <c r="C73" s="86">
        <v>9485</v>
      </c>
      <c r="D73" s="86">
        <v>7455</v>
      </c>
      <c r="E73" s="87">
        <v>0.7859778597785978</v>
      </c>
      <c r="F73" s="86">
        <v>2365</v>
      </c>
      <c r="G73" s="86">
        <v>1493</v>
      </c>
      <c r="H73" s="87">
        <v>0.6312896405919661</v>
      </c>
      <c r="I73" s="86">
        <v>143</v>
      </c>
      <c r="J73" s="86">
        <v>84</v>
      </c>
      <c r="K73" s="87">
        <v>0.5874125874125874</v>
      </c>
      <c r="L73" s="86">
        <v>689</v>
      </c>
      <c r="M73" s="86">
        <v>551</v>
      </c>
      <c r="N73" s="87">
        <v>0.7997097242380261</v>
      </c>
      <c r="O73" s="86">
        <v>8</v>
      </c>
      <c r="P73" s="185">
        <v>1</v>
      </c>
      <c r="Q73" s="183">
        <v>989</v>
      </c>
    </row>
    <row r="74" spans="2:17" ht="13.5" customHeight="1">
      <c r="B74" s="85" t="s">
        <v>303</v>
      </c>
      <c r="C74" s="86">
        <v>18453</v>
      </c>
      <c r="D74" s="86">
        <v>13326</v>
      </c>
      <c r="E74" s="87">
        <v>0.7221589985368233</v>
      </c>
      <c r="F74" s="86">
        <v>8769</v>
      </c>
      <c r="G74" s="86">
        <v>5995</v>
      </c>
      <c r="H74" s="87">
        <v>0.68365834188619</v>
      </c>
      <c r="I74" s="86">
        <v>1018</v>
      </c>
      <c r="J74" s="86">
        <v>772</v>
      </c>
      <c r="K74" s="87">
        <v>0.7583497053045186</v>
      </c>
      <c r="L74" s="86">
        <v>2729</v>
      </c>
      <c r="M74" s="86">
        <v>2033</v>
      </c>
      <c r="N74" s="87">
        <v>0.7449615243679003</v>
      </c>
      <c r="O74" s="86">
        <v>0</v>
      </c>
      <c r="P74" s="185">
        <v>3</v>
      </c>
      <c r="Q74" s="183">
        <v>1641</v>
      </c>
    </row>
    <row r="75" spans="2:17" ht="12.75">
      <c r="B75" s="85" t="s">
        <v>304</v>
      </c>
      <c r="C75" s="86">
        <v>29356</v>
      </c>
      <c r="D75" s="86">
        <v>19146</v>
      </c>
      <c r="E75" s="87">
        <v>0.6522005722850525</v>
      </c>
      <c r="F75" s="86">
        <v>6054</v>
      </c>
      <c r="G75" s="86">
        <v>3449</v>
      </c>
      <c r="H75" s="87">
        <v>0.5697059795176742</v>
      </c>
      <c r="I75" s="86">
        <v>1834</v>
      </c>
      <c r="J75" s="86">
        <v>1252</v>
      </c>
      <c r="K75" s="87">
        <v>0.6826608505997819</v>
      </c>
      <c r="L75" s="86">
        <v>2937</v>
      </c>
      <c r="M75" s="86">
        <v>1283</v>
      </c>
      <c r="N75" s="87">
        <v>0.43684031324480765</v>
      </c>
      <c r="O75" s="86">
        <v>0</v>
      </c>
      <c r="P75" s="185">
        <v>1</v>
      </c>
      <c r="Q75" s="183">
        <v>3848</v>
      </c>
    </row>
    <row r="76" spans="2:17" ht="12.75">
      <c r="B76" s="89" t="s">
        <v>305</v>
      </c>
      <c r="C76" s="88">
        <v>24340</v>
      </c>
      <c r="D76" s="88">
        <v>18686</v>
      </c>
      <c r="E76" s="81">
        <v>0.7677074774034511</v>
      </c>
      <c r="F76" s="88">
        <v>12623</v>
      </c>
      <c r="G76" s="88">
        <v>8581</v>
      </c>
      <c r="H76" s="81">
        <v>0.6797908579576962</v>
      </c>
      <c r="I76" s="88">
        <v>2578</v>
      </c>
      <c r="J76" s="88">
        <v>1078</v>
      </c>
      <c r="K76" s="81">
        <v>0.4181536074476338</v>
      </c>
      <c r="L76" s="88">
        <v>2646</v>
      </c>
      <c r="M76" s="88">
        <v>1819</v>
      </c>
      <c r="N76" s="81">
        <v>0.6874527588813303</v>
      </c>
      <c r="O76" s="88">
        <v>69</v>
      </c>
      <c r="P76" s="186">
        <v>57</v>
      </c>
      <c r="Q76" s="184">
        <v>5922</v>
      </c>
    </row>
    <row r="77" spans="2:17" ht="12.75">
      <c r="B77" s="89" t="s">
        <v>175</v>
      </c>
      <c r="C77" s="88">
        <v>1</v>
      </c>
      <c r="D77" s="88">
        <v>1</v>
      </c>
      <c r="E77" s="81">
        <v>1</v>
      </c>
      <c r="F77" s="88">
        <v>36</v>
      </c>
      <c r="G77" s="88">
        <v>10</v>
      </c>
      <c r="H77" s="81">
        <v>0.2777777777777778</v>
      </c>
      <c r="I77" s="88">
        <v>0</v>
      </c>
      <c r="J77" s="88">
        <v>0</v>
      </c>
      <c r="K77" s="81" t="s">
        <v>3</v>
      </c>
      <c r="L77" s="88">
        <v>142</v>
      </c>
      <c r="M77" s="88">
        <v>91</v>
      </c>
      <c r="N77" s="81">
        <v>0.6408450704225352</v>
      </c>
      <c r="O77" s="88">
        <v>0</v>
      </c>
      <c r="P77" s="186">
        <v>3</v>
      </c>
      <c r="Q77" s="184">
        <v>14131</v>
      </c>
    </row>
    <row r="78" spans="2:17" ht="17.25" customHeight="1">
      <c r="B78" s="420" t="s">
        <v>385</v>
      </c>
      <c r="C78" s="420"/>
      <c r="D78" s="420"/>
      <c r="E78" s="420"/>
      <c r="F78" s="420"/>
      <c r="G78" s="420"/>
      <c r="H78" s="420"/>
      <c r="I78" s="420"/>
      <c r="J78" s="420"/>
      <c r="K78" s="420"/>
      <c r="L78" s="420"/>
      <c r="M78" s="420"/>
      <c r="N78" s="420"/>
      <c r="O78" s="420"/>
      <c r="P78" s="420"/>
      <c r="Q78" s="420"/>
    </row>
    <row r="79" spans="2:17" ht="27" customHeight="1">
      <c r="B79" s="92"/>
      <c r="C79" s="428" t="s">
        <v>268</v>
      </c>
      <c r="D79" s="428"/>
      <c r="E79" s="428"/>
      <c r="F79" s="428"/>
      <c r="G79" s="428"/>
      <c r="H79" s="428"/>
      <c r="I79" s="428"/>
      <c r="J79" s="428"/>
      <c r="K79" s="428"/>
      <c r="L79" s="428"/>
      <c r="M79" s="428"/>
      <c r="N79" s="428"/>
      <c r="O79" s="428"/>
      <c r="P79" s="428"/>
      <c r="Q79" s="428"/>
    </row>
    <row r="80" spans="2:17" ht="12.75">
      <c r="B80" s="142"/>
      <c r="C80" s="423" t="s">
        <v>172</v>
      </c>
      <c r="D80" s="424"/>
      <c r="E80" s="425"/>
      <c r="F80" s="423" t="s">
        <v>173</v>
      </c>
      <c r="G80" s="424"/>
      <c r="H80" s="425"/>
      <c r="I80" s="423" t="s">
        <v>174</v>
      </c>
      <c r="J80" s="424"/>
      <c r="K80" s="425"/>
      <c r="L80" s="423" t="s">
        <v>175</v>
      </c>
      <c r="M80" s="424"/>
      <c r="N80" s="425"/>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5.5" hidden="1">
      <c r="B82" s="143"/>
      <c r="C82" s="431" t="s">
        <v>237</v>
      </c>
      <c r="D82" s="432"/>
      <c r="E82" s="433"/>
      <c r="F82" s="431" t="s">
        <v>306</v>
      </c>
      <c r="G82" s="432"/>
      <c r="H82" s="433"/>
      <c r="I82" s="438" t="s">
        <v>35</v>
      </c>
      <c r="J82" s="432"/>
      <c r="K82" s="433"/>
      <c r="L82" s="431" t="s">
        <v>34</v>
      </c>
      <c r="M82" s="432"/>
      <c r="N82" s="433"/>
      <c r="O82" s="94" t="s">
        <v>235</v>
      </c>
      <c r="P82" s="94" t="s">
        <v>36</v>
      </c>
      <c r="Q82" s="95" t="s">
        <v>37</v>
      </c>
    </row>
    <row r="83" spans="2:17" ht="12.75">
      <c r="B83" s="80" t="s">
        <v>258</v>
      </c>
      <c r="C83" s="219">
        <v>76772</v>
      </c>
      <c r="D83" s="219">
        <v>37903</v>
      </c>
      <c r="E83" s="215">
        <v>0.4937086437763768</v>
      </c>
      <c r="F83" s="219">
        <v>108692</v>
      </c>
      <c r="G83" s="219">
        <v>67214</v>
      </c>
      <c r="H83" s="215">
        <v>0.6183895778898171</v>
      </c>
      <c r="I83" s="219">
        <v>77258</v>
      </c>
      <c r="J83" s="219">
        <v>29171</v>
      </c>
      <c r="K83" s="215">
        <v>0.377579020942815</v>
      </c>
      <c r="L83" s="219">
        <v>13761</v>
      </c>
      <c r="M83" s="219">
        <v>7744</v>
      </c>
      <c r="N83" s="215">
        <v>0.5627498001598721</v>
      </c>
      <c r="O83" s="219">
        <v>14562</v>
      </c>
      <c r="P83" s="219">
        <v>11162</v>
      </c>
      <c r="Q83" s="219">
        <f>SUM(Q84:Q87)</f>
        <v>2269</v>
      </c>
    </row>
    <row r="84" spans="2:17" ht="12.75">
      <c r="B84" s="98" t="s">
        <v>195</v>
      </c>
      <c r="C84" s="96">
        <v>34082</v>
      </c>
      <c r="D84" s="96">
        <v>21189</v>
      </c>
      <c r="E84" s="97">
        <v>0.6217064726248459</v>
      </c>
      <c r="F84" s="96">
        <v>53761</v>
      </c>
      <c r="G84" s="96">
        <v>40134</v>
      </c>
      <c r="H84" s="97">
        <v>0.7465262922936702</v>
      </c>
      <c r="I84" s="96">
        <v>30196</v>
      </c>
      <c r="J84" s="96">
        <v>12948</v>
      </c>
      <c r="K84" s="97">
        <v>0.4287985163597828</v>
      </c>
      <c r="L84" s="96">
        <v>7821</v>
      </c>
      <c r="M84" s="96">
        <v>3886</v>
      </c>
      <c r="N84" s="97">
        <v>0.49686740825981335</v>
      </c>
      <c r="O84" s="96">
        <v>8570</v>
      </c>
      <c r="P84" s="96">
        <v>5031</v>
      </c>
      <c r="Q84" s="96">
        <v>718</v>
      </c>
    </row>
    <row r="85" spans="1:17" ht="12.75">
      <c r="A85" s="99"/>
      <c r="B85" s="98" t="s">
        <v>283</v>
      </c>
      <c r="C85" s="96">
        <v>16960</v>
      </c>
      <c r="D85" s="96">
        <v>4735</v>
      </c>
      <c r="E85" s="97">
        <v>0.279186320754717</v>
      </c>
      <c r="F85" s="96">
        <v>18944</v>
      </c>
      <c r="G85" s="96">
        <v>4168</v>
      </c>
      <c r="H85" s="97">
        <v>0.22001689189189189</v>
      </c>
      <c r="I85" s="96">
        <v>21986</v>
      </c>
      <c r="J85" s="96">
        <v>6141</v>
      </c>
      <c r="K85" s="97">
        <v>0.27931410897844083</v>
      </c>
      <c r="L85" s="96">
        <v>559</v>
      </c>
      <c r="M85" s="96">
        <v>271</v>
      </c>
      <c r="N85" s="97">
        <v>0.4847942754919499</v>
      </c>
      <c r="O85" s="96">
        <v>2496</v>
      </c>
      <c r="P85" s="96">
        <v>1532</v>
      </c>
      <c r="Q85" s="96">
        <v>678</v>
      </c>
    </row>
    <row r="86" spans="2:17" ht="12.75">
      <c r="B86" s="101" t="s">
        <v>288</v>
      </c>
      <c r="C86" s="96">
        <v>25315</v>
      </c>
      <c r="D86" s="96">
        <v>11796</v>
      </c>
      <c r="E86" s="97">
        <v>0.4659687932056093</v>
      </c>
      <c r="F86" s="96">
        <v>35132</v>
      </c>
      <c r="G86" s="96">
        <v>22256</v>
      </c>
      <c r="H86" s="97">
        <v>0.6334965273824433</v>
      </c>
      <c r="I86" s="96">
        <v>24857</v>
      </c>
      <c r="J86" s="96">
        <v>9899</v>
      </c>
      <c r="K86" s="97">
        <v>0.3982379209075914</v>
      </c>
      <c r="L86" s="96">
        <v>5011</v>
      </c>
      <c r="M86" s="96">
        <v>3279</v>
      </c>
      <c r="N86" s="97">
        <v>0.6543604071043704</v>
      </c>
      <c r="O86" s="96">
        <v>3428</v>
      </c>
      <c r="P86" s="96">
        <v>4599</v>
      </c>
      <c r="Q86" s="96">
        <v>873</v>
      </c>
    </row>
    <row r="87" spans="2:17" ht="12.75">
      <c r="B87" s="101" t="s">
        <v>317</v>
      </c>
      <c r="C87" s="96">
        <v>415</v>
      </c>
      <c r="D87" s="96">
        <v>183</v>
      </c>
      <c r="E87" s="97">
        <v>0.44096385542168676</v>
      </c>
      <c r="F87" s="96">
        <v>855</v>
      </c>
      <c r="G87" s="96">
        <v>656</v>
      </c>
      <c r="H87" s="97">
        <v>0.7672514619883041</v>
      </c>
      <c r="I87" s="96">
        <v>219</v>
      </c>
      <c r="J87" s="96">
        <v>183</v>
      </c>
      <c r="K87" s="97">
        <v>0.8356164383561644</v>
      </c>
      <c r="L87" s="96">
        <v>370</v>
      </c>
      <c r="M87" s="96">
        <v>308</v>
      </c>
      <c r="N87" s="97">
        <v>0.8324324324324325</v>
      </c>
      <c r="O87" s="96">
        <v>68</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6.25">
      <c r="B89" s="100"/>
      <c r="C89" s="439" t="s">
        <v>342</v>
      </c>
      <c r="D89" s="439"/>
      <c r="E89" s="439"/>
      <c r="F89" s="439"/>
      <c r="G89" s="439"/>
      <c r="H89" s="439"/>
      <c r="I89" s="439"/>
      <c r="J89" s="439"/>
    </row>
    <row r="90" spans="2:10" ht="12.75">
      <c r="B90" s="100"/>
      <c r="C90" s="423" t="s">
        <v>333</v>
      </c>
      <c r="D90" s="424"/>
      <c r="E90" s="424"/>
      <c r="F90" s="424"/>
      <c r="G90" s="423" t="s">
        <v>349</v>
      </c>
      <c r="H90" s="424"/>
      <c r="I90" s="424"/>
      <c r="J90" s="425"/>
    </row>
    <row r="91" spans="2:10" ht="52.5" customHeight="1">
      <c r="B91" s="100"/>
      <c r="C91" s="177" t="s">
        <v>338</v>
      </c>
      <c r="D91" s="177" t="s">
        <v>339</v>
      </c>
      <c r="E91" s="177" t="s">
        <v>341</v>
      </c>
      <c r="F91" s="177" t="s">
        <v>344</v>
      </c>
      <c r="G91" s="93" t="s">
        <v>338</v>
      </c>
      <c r="H91" s="177" t="s">
        <v>339</v>
      </c>
      <c r="I91" s="177" t="s">
        <v>341</v>
      </c>
      <c r="J91" s="177" t="s">
        <v>344</v>
      </c>
    </row>
    <row r="92" spans="2:10" ht="12.75">
      <c r="B92" s="272" t="s">
        <v>343</v>
      </c>
      <c r="C92" s="290">
        <v>25673</v>
      </c>
      <c r="D92" s="214">
        <v>26872</v>
      </c>
      <c r="E92" s="214">
        <v>-1199</v>
      </c>
      <c r="F92" s="215">
        <v>-0.04461893420660911</v>
      </c>
      <c r="G92" s="290">
        <v>219413</v>
      </c>
      <c r="H92" s="214">
        <v>254271</v>
      </c>
      <c r="I92" s="214">
        <v>-34858</v>
      </c>
      <c r="J92" s="215">
        <v>-0.13708995520527312</v>
      </c>
    </row>
    <row r="93" spans="2:10" ht="12.75">
      <c r="B93" s="273" t="s">
        <v>334</v>
      </c>
      <c r="C93" s="221">
        <v>6712</v>
      </c>
      <c r="D93" s="221">
        <v>6907</v>
      </c>
      <c r="E93" s="221">
        <v>-195</v>
      </c>
      <c r="F93" s="97">
        <v>-0.02823222817431591</v>
      </c>
      <c r="G93" s="221">
        <v>52069</v>
      </c>
      <c r="H93" s="221">
        <v>58950</v>
      </c>
      <c r="I93" s="221">
        <v>-6881</v>
      </c>
      <c r="J93" s="97">
        <v>-0.11672603901611535</v>
      </c>
    </row>
    <row r="94" spans="2:10" ht="12.75">
      <c r="B94" s="274" t="s">
        <v>335</v>
      </c>
      <c r="C94" s="221">
        <v>5587</v>
      </c>
      <c r="D94" s="221">
        <v>5693</v>
      </c>
      <c r="E94" s="221">
        <v>-106</v>
      </c>
      <c r="F94" s="97">
        <v>-0.018619357105216932</v>
      </c>
      <c r="G94" s="221">
        <v>46155</v>
      </c>
      <c r="H94" s="221">
        <v>50106</v>
      </c>
      <c r="I94" s="221">
        <v>-3951</v>
      </c>
      <c r="J94" s="97">
        <v>-0.07885283199616812</v>
      </c>
    </row>
    <row r="95" spans="2:10" ht="12.75">
      <c r="B95" s="273" t="s">
        <v>336</v>
      </c>
      <c r="C95" s="221">
        <v>7851</v>
      </c>
      <c r="D95" s="221">
        <v>8371</v>
      </c>
      <c r="E95" s="221">
        <v>-520</v>
      </c>
      <c r="F95" s="97">
        <v>-0.06211922112053518</v>
      </c>
      <c r="G95" s="221">
        <v>78729</v>
      </c>
      <c r="H95" s="221">
        <v>80985</v>
      </c>
      <c r="I95" s="221">
        <v>-2256</v>
      </c>
      <c r="J95" s="97">
        <v>-0.02785701055751065</v>
      </c>
    </row>
    <row r="96" spans="2:10" ht="12.75">
      <c r="B96" s="275" t="s">
        <v>337</v>
      </c>
      <c r="C96" s="221">
        <v>5523</v>
      </c>
      <c r="D96" s="221">
        <v>5901</v>
      </c>
      <c r="E96" s="221">
        <v>-378</v>
      </c>
      <c r="F96" s="97">
        <v>-0.06405693950177936</v>
      </c>
      <c r="G96" s="221">
        <v>42460</v>
      </c>
      <c r="H96" s="221">
        <v>64230</v>
      </c>
      <c r="I96" s="221">
        <v>-21770</v>
      </c>
      <c r="J96" s="97">
        <v>-0.3389381908765374</v>
      </c>
    </row>
    <row r="97" spans="2:10" ht="31.5" customHeight="1">
      <c r="B97" s="434" t="s">
        <v>356</v>
      </c>
      <c r="C97" s="435"/>
      <c r="D97" s="435"/>
      <c r="E97" s="436"/>
      <c r="F97" s="436"/>
      <c r="G97" s="436"/>
      <c r="H97" s="436"/>
      <c r="I97" s="436"/>
      <c r="J97" s="437"/>
    </row>
    <row r="99" spans="2:10" ht="30" customHeight="1">
      <c r="B99" s="414"/>
      <c r="C99" s="414"/>
      <c r="D99" s="414"/>
      <c r="E99" s="414"/>
      <c r="F99" s="414"/>
      <c r="G99" s="414"/>
      <c r="H99" s="414"/>
      <c r="I99" s="414"/>
      <c r="J99" s="414"/>
    </row>
    <row r="100" spans="2:4" ht="15">
      <c r="B100" s="277"/>
      <c r="C100" s="278"/>
      <c r="D100" s="279"/>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zoomScalePageLayoutView="0" workbookViewId="0" topLeftCell="A1">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40" t="s">
        <v>172</v>
      </c>
      <c r="D2" s="441"/>
      <c r="E2" s="442"/>
      <c r="F2" s="36"/>
      <c r="G2" s="36"/>
      <c r="H2" s="36"/>
      <c r="I2" s="36"/>
      <c r="J2" s="36"/>
      <c r="K2" s="36"/>
      <c r="L2" s="36"/>
      <c r="M2" s="36"/>
      <c r="N2" s="36"/>
      <c r="O2" s="36"/>
      <c r="P2" s="36"/>
      <c r="Q2" s="36"/>
    </row>
    <row r="3" spans="2:17" s="3" customFormat="1" ht="54" customHeight="1">
      <c r="B3" s="4"/>
      <c r="C3" s="37" t="s">
        <v>179</v>
      </c>
      <c r="D3" s="38" t="s">
        <v>32</v>
      </c>
      <c r="E3" s="39" t="s">
        <v>180</v>
      </c>
      <c r="F3" s="448" t="s">
        <v>261</v>
      </c>
      <c r="G3" s="449"/>
      <c r="H3" s="449"/>
      <c r="I3" s="449"/>
      <c r="J3" s="449"/>
      <c r="K3" s="449"/>
      <c r="L3" s="449"/>
      <c r="M3" s="449"/>
      <c r="N3" s="449"/>
      <c r="O3" s="449"/>
      <c r="P3" s="449"/>
      <c r="Q3" s="44"/>
    </row>
    <row r="4" spans="2:17" s="3" customFormat="1" ht="15">
      <c r="B4" s="40" t="s">
        <v>69</v>
      </c>
      <c r="C4" s="41">
        <f>B11+B76</f>
        <v>896540</v>
      </c>
      <c r="D4" s="42">
        <f>C11+C76</f>
        <v>592490</v>
      </c>
      <c r="E4" s="43">
        <f>D4/C4</f>
        <v>0.660862872822183</v>
      </c>
      <c r="F4" s="36"/>
      <c r="G4" s="36"/>
      <c r="H4" s="36"/>
      <c r="I4" s="36"/>
      <c r="J4" s="36"/>
      <c r="K4" s="36"/>
      <c r="L4" s="36"/>
      <c r="M4" s="36"/>
      <c r="N4" s="36"/>
      <c r="O4" s="36"/>
      <c r="P4" s="36"/>
      <c r="Q4" s="36"/>
    </row>
    <row r="6" spans="2:16" ht="20.25" customHeight="1">
      <c r="B6" s="451" t="s">
        <v>183</v>
      </c>
      <c r="C6" s="451"/>
      <c r="D6" s="451"/>
      <c r="E6" s="451"/>
      <c r="F6" s="451"/>
      <c r="G6" s="451"/>
      <c r="H6" s="451"/>
      <c r="I6" s="451"/>
      <c r="J6" s="451"/>
      <c r="K6" s="451"/>
      <c r="L6" s="451"/>
      <c r="M6" s="451"/>
      <c r="N6" s="451"/>
      <c r="O6" s="451"/>
      <c r="P6" s="451"/>
    </row>
    <row r="7" spans="1:16" s="3" customFormat="1" ht="15">
      <c r="A7" s="4"/>
      <c r="B7" s="440" t="s">
        <v>172</v>
      </c>
      <c r="C7" s="441"/>
      <c r="D7" s="442"/>
      <c r="E7" s="440" t="s">
        <v>173</v>
      </c>
      <c r="F7" s="441"/>
      <c r="G7" s="442"/>
      <c r="H7" s="440" t="s">
        <v>174</v>
      </c>
      <c r="I7" s="441"/>
      <c r="J7" s="442"/>
      <c r="K7" s="440" t="s">
        <v>175</v>
      </c>
      <c r="L7" s="441"/>
      <c r="M7" s="442"/>
      <c r="N7" s="13" t="s">
        <v>176</v>
      </c>
      <c r="O7" s="11" t="s">
        <v>177</v>
      </c>
      <c r="P7" s="13" t="s">
        <v>178</v>
      </c>
    </row>
    <row r="8" spans="1:16"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row>
    <row r="9" spans="2:16" s="2" customFormat="1" ht="41.25" customHeight="1">
      <c r="B9" s="452" t="s">
        <v>395</v>
      </c>
      <c r="C9" s="453"/>
      <c r="D9" s="454"/>
      <c r="E9" s="452" t="s">
        <v>316</v>
      </c>
      <c r="F9" s="453"/>
      <c r="G9" s="454"/>
      <c r="H9" s="455" t="s">
        <v>398</v>
      </c>
      <c r="I9" s="453"/>
      <c r="J9" s="454"/>
      <c r="K9" s="452" t="s">
        <v>387</v>
      </c>
      <c r="L9" s="453"/>
      <c r="M9" s="454"/>
      <c r="N9" s="12" t="s">
        <v>22</v>
      </c>
      <c r="O9" s="12" t="s">
        <v>259</v>
      </c>
      <c r="P9" s="15" t="s">
        <v>260</v>
      </c>
    </row>
    <row r="10" spans="11:26" ht="13.5" thickBot="1">
      <c r="K10" s="1"/>
      <c r="R10" s="299" t="s">
        <v>423</v>
      </c>
      <c r="S10" s="299"/>
      <c r="T10" s="299"/>
      <c r="U10" s="299"/>
      <c r="V10" s="299"/>
      <c r="W10" s="299"/>
      <c r="X10" s="299"/>
      <c r="Y10" s="299"/>
      <c r="Z10" s="299"/>
    </row>
    <row r="11" spans="1:26" ht="15.75" thickBot="1">
      <c r="A11" s="45" t="s">
        <v>485</v>
      </c>
      <c r="B11" s="47">
        <f>SUM(B12:B70)</f>
        <v>819768</v>
      </c>
      <c r="C11" s="47">
        <f>SUM(C12:C70)</f>
        <v>554587</v>
      </c>
      <c r="D11" s="46">
        <f>C11/B11</f>
        <v>0.6765170145699759</v>
      </c>
      <c r="E11" s="47">
        <f>SUM(E12:E70)</f>
        <v>286917</v>
      </c>
      <c r="F11" s="47">
        <f>SUM(F12:F70)</f>
        <v>163845</v>
      </c>
      <c r="G11" s="46">
        <f>F11/E11</f>
        <v>0.5710536496617489</v>
      </c>
      <c r="H11" s="47">
        <f>SUM(H12:H70)</f>
        <v>55378</v>
      </c>
      <c r="I11" s="47">
        <f>SUM(I12:I70)</f>
        <v>31540</v>
      </c>
      <c r="J11" s="46">
        <f>I11/H11</f>
        <v>0.5695402506410487</v>
      </c>
      <c r="K11" s="47">
        <f>SUM(K12:K70)</f>
        <v>82833</v>
      </c>
      <c r="L11" s="47">
        <f>SUM(L12:L70)</f>
        <v>55478</v>
      </c>
      <c r="M11" s="46">
        <f>L11/K11</f>
        <v>0.6697572223630679</v>
      </c>
      <c r="N11" s="47">
        <f>SUM(N12:N70)</f>
        <v>48758</v>
      </c>
      <c r="O11" s="47">
        <f>SUM(O12:O70)</f>
        <v>1073</v>
      </c>
      <c r="P11" s="304">
        <f>SUM(P12:P70)</f>
        <v>252322</v>
      </c>
      <c r="R11" s="300">
        <f>P11+P76</f>
        <v>254663</v>
      </c>
      <c r="S11" s="299"/>
      <c r="T11" s="299"/>
      <c r="U11" s="299"/>
      <c r="V11" s="299"/>
      <c r="W11" s="299"/>
      <c r="X11" s="299"/>
      <c r="Y11" s="299"/>
      <c r="Z11" s="299"/>
    </row>
    <row r="12" spans="1:26" ht="12" customHeight="1">
      <c r="A12" s="324" t="s">
        <v>431</v>
      </c>
      <c r="B12" s="302">
        <f>IF(ISNA(VLOOKUP(A12,Entitlement_Data!A$3:C$64,2,FALSE)),"0",VLOOKUP(A12,Entitlement_Data!A$3:C$64,2,FALSE))</f>
        <v>19301</v>
      </c>
      <c r="C12" s="302">
        <f>IF(ISNA(VLOOKUP(A12,Entitlement_Data!A$3:D$64,3,FALSE)),"0",VLOOKUP(A12,Entitlement_Data!A$3:D$64,3,FALSE))</f>
        <v>16164</v>
      </c>
      <c r="D12" s="25">
        <f aca="true" t="shared" si="0" ref="D12:D56">C12/B12</f>
        <v>0.837469561162634</v>
      </c>
      <c r="E12" s="354">
        <f>IF(ISNA(VLOOKUP(A12,'Award Adjustment_Data'!A$2:F$68,3,FALSE)),"0",VLOOKUP(A12,'Award Adjustment_Data'!A$2:F$68,3,FALSE))</f>
        <v>5474</v>
      </c>
      <c r="F12" s="354">
        <f>IF(ISNA(VLOOKUP(A12,'Award Adjustment_Data'!A$2:G$68,4,FALSE)),"0",VLOOKUP(A12,'Award Adjustment_Data'!A$2:G$68,4,FALSE))</f>
        <v>4086</v>
      </c>
      <c r="G12" s="25">
        <f aca="true" t="shared" si="1" ref="G12:G70">F12/E12</f>
        <v>0.7464377055169894</v>
      </c>
      <c r="H12" s="1">
        <f>IF(ISNA(VLOOKUP($A12,Program_Review_Data!A2:E66,2,FALSE)),"0",VLOOKUP($A12,Program_Review_Data!A2:E66,2,FALSE))</f>
        <v>488</v>
      </c>
      <c r="I12" s="1">
        <f>IF(ISNA(VLOOKUP($A12,Program_Review_Data!A2:F66,3,FALSE)),"0",VLOOKUP($A12,Program_Review_Data!A2:F66,3,FALSE))</f>
        <v>426</v>
      </c>
      <c r="J12" s="25">
        <f aca="true" t="shared" si="2" ref="J12:J56">I12/H12</f>
        <v>0.8729508196721312</v>
      </c>
      <c r="K12" s="1">
        <f>IF(ISNA(VLOOKUP($A12,Other_Data!A2:E66,2,FALSE)),"0",VLOOKUP($A12,Other_Data!A2:E66,2,FALSE))</f>
        <v>2175</v>
      </c>
      <c r="L12" s="1">
        <f>IF(ISNA(VLOOKUP($A12,Other_Data!A2:E66,3,FALSE)),"0",VLOOKUP($A12,Other_Data!A2:E66,3,FALSE))</f>
        <v>1487</v>
      </c>
      <c r="M12" s="25">
        <f aca="true" t="shared" si="3" ref="M12:M70">L12/K12</f>
        <v>0.6836781609195403</v>
      </c>
      <c r="N12" s="1">
        <f>IF(ISNA(VLOOKUP($A12,Burial_Data!$A$2:$C$65,2,FALSE)),"0",VLOOKUP($A12,Burial_Data!$A$2:$C$65,2,FALSE))</f>
        <v>2</v>
      </c>
      <c r="O12" s="1">
        <f>IF(ISNA(VLOOKUP($A12,Accrued_Data!$A$2:$D$67,3,FALSE)),"0",VLOOKUP($A12,Accrued_Data!$A$2:$D$67,3,FALSE))</f>
        <v>2</v>
      </c>
      <c r="P12" s="303">
        <v>3369</v>
      </c>
      <c r="Q12" s="1"/>
      <c r="R12" s="299" t="s">
        <v>396</v>
      </c>
      <c r="S12" s="299"/>
      <c r="T12" s="299"/>
      <c r="U12" s="299"/>
      <c r="V12" s="299"/>
      <c r="W12" s="299"/>
      <c r="X12" s="299"/>
      <c r="Y12" s="299"/>
      <c r="Z12" s="299"/>
    </row>
    <row r="13" spans="1:17" ht="12" customHeight="1">
      <c r="A13" s="324" t="s">
        <v>433</v>
      </c>
      <c r="B13" s="302">
        <f>IF(ISNA(VLOOKUP(A13,Entitlement_Data!A$3:C$64,2,FALSE)),"0",VLOOKUP(A13,Entitlement_Data!A$3:C$64,2,FALSE))</f>
        <v>11201</v>
      </c>
      <c r="C13" s="302">
        <f>IF(ISNA(VLOOKUP(A13,Entitlement_Data!A$3:D$64,3,FALSE)),"0",VLOOKUP(A13,Entitlement_Data!A$3:D$64,3,FALSE))</f>
        <v>8406</v>
      </c>
      <c r="D13" s="25">
        <f t="shared" si="0"/>
        <v>0.7504687081510579</v>
      </c>
      <c r="E13" s="354">
        <f>IF(ISNA(VLOOKUP(A13,'Award Adjustment_Data'!A$2:F$68,3,FALSE)),"0",VLOOKUP(A13,'Award Adjustment_Data'!A$2:F$68,3,FALSE))</f>
        <v>4130</v>
      </c>
      <c r="F13" s="354">
        <f>IF(ISNA(VLOOKUP(A13,'Award Adjustment_Data'!A$2:G$68,4,FALSE)),"0",VLOOKUP(A13,'Award Adjustment_Data'!A$2:G$68,4,FALSE))</f>
        <v>1933</v>
      </c>
      <c r="G13" s="25">
        <f t="shared" si="1"/>
        <v>0.46803874092009684</v>
      </c>
      <c r="H13" s="1">
        <f>IF(ISNA(VLOOKUP(A13,Program_Review_Data!A3:E67,2,FALSE)),"0",VLOOKUP(A13,Program_Review_Data!A3:E67,2,FALSE))</f>
        <v>775</v>
      </c>
      <c r="I13" s="1">
        <f>IF(ISNA(VLOOKUP($A13,Program_Review_Data!A3:F67,3,FALSE)),"0",VLOOKUP($A13,Program_Review_Data!A3:F67,3,FALSE))</f>
        <v>509</v>
      </c>
      <c r="J13" s="25">
        <f t="shared" si="2"/>
        <v>0.6567741935483871</v>
      </c>
      <c r="K13" s="1">
        <f>IF(ISNA(VLOOKUP($A13,Other_Data!A3:E67,2,FALSE)),"0",VLOOKUP($A13,Other_Data!A3:E67,2,FALSE))</f>
        <v>846</v>
      </c>
      <c r="L13" s="1">
        <f>IF(ISNA(VLOOKUP($A13,Other_Data!A3:E67,3,FALSE)),"0",VLOOKUP($A13,Other_Data!A3:E67,3,FALSE))</f>
        <v>613</v>
      </c>
      <c r="M13" s="25">
        <f t="shared" si="3"/>
        <v>0.7245862884160756</v>
      </c>
      <c r="N13" s="1">
        <f>IF(ISNA(VLOOKUP($A13,Burial_Data!$A$2:$C$65,2,FALSE)),"0",VLOOKUP($A13,Burial_Data!$A$2:$C$65,2,FALSE))</f>
        <v>2</v>
      </c>
      <c r="O13" s="354">
        <f>IF(ISNA(VLOOKUP($A13,Accrued_Data!$A$2:$D$67,3,FALSE)),"0",VLOOKUP($A13,Accrued_Data!$A$2:$D$67,3,FALSE))</f>
        <v>1</v>
      </c>
      <c r="P13" s="303">
        <v>3991</v>
      </c>
      <c r="Q13" s="1"/>
    </row>
    <row r="14" spans="1:17" ht="12" customHeight="1">
      <c r="A14" s="324" t="s">
        <v>334</v>
      </c>
      <c r="B14" s="302">
        <f>IF(ISNA(VLOOKUP(A14,Entitlement_Data!A$3:C$64,2,FALSE)),"0",VLOOKUP(A14,Entitlement_Data!A$3:C$64,2,FALSE))+1</f>
        <v>7871</v>
      </c>
      <c r="C14" s="302">
        <f>IF(ISNA(VLOOKUP(A14,Entitlement_Data!A$3:D$64,3,FALSE)),"0",VLOOKUP(A14,Entitlement_Data!A$3:D$64,3,FALSE))+1</f>
        <v>4719</v>
      </c>
      <c r="D14" s="25">
        <f t="shared" si="0"/>
        <v>0.5995426248253081</v>
      </c>
      <c r="E14" s="354">
        <f>IF(ISNA(VLOOKUP(A14,'Award Adjustment_Data'!A$2:F$68,3,FALSE)),"0",VLOOKUP(A14,'Award Adjustment_Data'!A$2:F$68,3,FALSE))</f>
        <v>3539</v>
      </c>
      <c r="F14" s="354">
        <f>IF(ISNA(VLOOKUP(A14,'Award Adjustment_Data'!A$2:G$68,4,FALSE)),"0",VLOOKUP(A14,'Award Adjustment_Data'!A$2:G$68,4,FALSE))</f>
        <v>1962</v>
      </c>
      <c r="G14" s="25">
        <f t="shared" si="1"/>
        <v>0.5543938965809551</v>
      </c>
      <c r="H14" s="1">
        <f>IF(ISNA(VLOOKUP(A14,Program_Review_Data!A4:E68,2,FALSE)),"0",VLOOKUP(A14,Program_Review_Data!A4:E68,2,FALSE))</f>
        <v>149</v>
      </c>
      <c r="I14" s="1">
        <f>IF(ISNA(VLOOKUP($A14,Program_Review_Data!A4:F68,3,FALSE)),"0",VLOOKUP($A14,Program_Review_Data!A4:F68,3,FALSE))</f>
        <v>110</v>
      </c>
      <c r="J14" s="25">
        <f t="shared" si="2"/>
        <v>0.738255033557047</v>
      </c>
      <c r="K14" s="1">
        <f>IF(ISNA(VLOOKUP($A14,Other_Data!A4:E68,2,FALSE)),"0",VLOOKUP($A14,Other_Data!A4:E68,2,FALSE))</f>
        <v>694</v>
      </c>
      <c r="L14" s="1">
        <f>IF(ISNA(VLOOKUP($A14,Other_Data!A4:E68,3,FALSE)),"0",VLOOKUP($A14,Other_Data!A4:E68,3,FALSE))</f>
        <v>475</v>
      </c>
      <c r="M14" s="25">
        <f t="shared" si="3"/>
        <v>0.6844380403458213</v>
      </c>
      <c r="N14" s="1">
        <f>IF(ISNA(VLOOKUP($A14,Burial_Data!$A$2:$C$65,2,FALSE)),"0",VLOOKUP($A14,Burial_Data!$A$2:$C$65,2,FALSE))</f>
        <v>2</v>
      </c>
      <c r="O14" s="1">
        <f>IF(ISNA(VLOOKUP($A14,Accrued_Data!$A$2:$D$67,3,FALSE)),"0",VLOOKUP($A14,Accrued_Data!$A$2:$D$67,3,FALSE))</f>
        <v>2</v>
      </c>
      <c r="P14" s="303">
        <v>1140</v>
      </c>
      <c r="Q14" s="1"/>
    </row>
    <row r="15" spans="1:17" ht="12" customHeight="1">
      <c r="A15" s="324" t="s">
        <v>436</v>
      </c>
      <c r="B15" s="302">
        <f>IF(ISNA(VLOOKUP(A15,Entitlement_Data!A$3:C$64,2,FALSE)),"0",VLOOKUP(A15,Entitlement_Data!A$3:C$64,2,FALSE))</f>
        <v>23854</v>
      </c>
      <c r="C15" s="302">
        <f>IF(ISNA(VLOOKUP(A15,Entitlement_Data!A$3:D$64,3,FALSE)),"0",VLOOKUP(A15,Entitlement_Data!A$3:D$64,3,FALSE))</f>
        <v>16674</v>
      </c>
      <c r="D15" s="25">
        <f t="shared" si="0"/>
        <v>0.6990022637712753</v>
      </c>
      <c r="E15" s="354">
        <f>IF(ISNA(VLOOKUP(A15,'Award Adjustment_Data'!A$2:F$68,3,FALSE)),"0",VLOOKUP(A15,'Award Adjustment_Data'!A$2:F$68,3,FALSE))</f>
        <v>6899</v>
      </c>
      <c r="F15" s="354">
        <f>IF(ISNA(VLOOKUP(A15,'Award Adjustment_Data'!A$2:G$68,4,FALSE)),"0",VLOOKUP(A15,'Award Adjustment_Data'!A$2:G$68,4,FALSE))</f>
        <v>3920</v>
      </c>
      <c r="G15" s="25">
        <f t="shared" si="1"/>
        <v>0.5681982896071894</v>
      </c>
      <c r="H15" s="1">
        <f>IF(ISNA(VLOOKUP(A15,Program_Review_Data!A5:E69,2,FALSE)),"0",VLOOKUP(A15,Program_Review_Data!A5:E69,2,FALSE))</f>
        <v>1226</v>
      </c>
      <c r="I15" s="1">
        <f>IF(ISNA(VLOOKUP($A15,Program_Review_Data!A5:F69,3,FALSE)),"0",VLOOKUP($A15,Program_Review_Data!A5:F69,3,FALSE))</f>
        <v>1132</v>
      </c>
      <c r="J15" s="25">
        <f t="shared" si="2"/>
        <v>0.9233278955954323</v>
      </c>
      <c r="K15" s="1">
        <f>IF(ISNA(VLOOKUP($A15,Other_Data!A5:E69,2,FALSE)),"0",VLOOKUP($A15,Other_Data!A5:E69,2,FALSE))</f>
        <v>2100</v>
      </c>
      <c r="L15" s="1">
        <f>IF(ISNA(VLOOKUP($A15,Other_Data!A5:E69,3,FALSE)),"0",VLOOKUP($A15,Other_Data!A5:E69,3,FALSE))</f>
        <v>1349</v>
      </c>
      <c r="M15" s="25">
        <f t="shared" si="3"/>
        <v>0.6423809523809524</v>
      </c>
      <c r="N15" s="1">
        <f>IF(ISNA(VLOOKUP($A15,Burial_Data!$A$2:$C$65,2,FALSE)),"0",VLOOKUP($A15,Burial_Data!$A$2:$C$65,2,FALSE))</f>
        <v>6</v>
      </c>
      <c r="O15" s="1">
        <f>IF(ISNA(VLOOKUP($A15,Accrued_Data!$A$2:$D$67,3,FALSE)),"0",VLOOKUP($A15,Accrued_Data!$A$2:$D$67,3,FALSE))</f>
        <v>95</v>
      </c>
      <c r="P15" s="303">
        <v>8016</v>
      </c>
      <c r="Q15" s="1"/>
    </row>
    <row r="16" spans="1:17" ht="12" customHeight="1">
      <c r="A16" s="324" t="s">
        <v>440</v>
      </c>
      <c r="B16" s="302">
        <f>IF(ISNA(VLOOKUP(A16,Entitlement_Data!A$3:C$64,2,FALSE)),"0",VLOOKUP(A16,Entitlement_Data!A$3:C$64,2,FALSE))</f>
        <v>17199</v>
      </c>
      <c r="C16" s="302">
        <f>IF(ISNA(VLOOKUP(A16,Entitlement_Data!A$3:D$64,3,FALSE)),"0",VLOOKUP(A16,Entitlement_Data!A$3:D$64,3,FALSE))</f>
        <v>10534</v>
      </c>
      <c r="D16" s="25">
        <f t="shared" si="0"/>
        <v>0.6124774696203268</v>
      </c>
      <c r="E16" s="354">
        <f>IF(ISNA(VLOOKUP(A16,'Award Adjustment_Data'!A$2:F$68,3,FALSE)),"0",VLOOKUP(A16,'Award Adjustment_Data'!A$2:F$68,3,FALSE))</f>
        <v>5885</v>
      </c>
      <c r="F16" s="354">
        <f>IF(ISNA(VLOOKUP(A16,'Award Adjustment_Data'!A$2:G$68,4,FALSE)),"0",VLOOKUP(A16,'Award Adjustment_Data'!A$2:G$68,4,FALSE))</f>
        <v>3470</v>
      </c>
      <c r="G16" s="25">
        <f t="shared" si="1"/>
        <v>0.5896346644010195</v>
      </c>
      <c r="H16" s="1">
        <f>IF(ISNA(VLOOKUP(A16,Program_Review_Data!A6:E70,2,FALSE)),"0",VLOOKUP(A16,Program_Review_Data!A6:E70,2,FALSE))</f>
        <v>564</v>
      </c>
      <c r="I16" s="1">
        <f>IF(ISNA(VLOOKUP($A16,Program_Review_Data!A6:F70,3,FALSE)),"0",VLOOKUP($A16,Program_Review_Data!A6:F70,3,FALSE))</f>
        <v>321</v>
      </c>
      <c r="J16" s="25">
        <f t="shared" si="2"/>
        <v>0.5691489361702128</v>
      </c>
      <c r="K16" s="1">
        <f>IF(ISNA(VLOOKUP($A16,Other_Data!A6:E70,2,FALSE)),"0",VLOOKUP($A16,Other_Data!A6:E70,2,FALSE))</f>
        <v>1804</v>
      </c>
      <c r="L16" s="1">
        <f>IF(ISNA(VLOOKUP($A16,Other_Data!A6:E70,3,FALSE)),"0",VLOOKUP($A16,Other_Data!A6:E70,3,FALSE))</f>
        <v>1487</v>
      </c>
      <c r="M16" s="25">
        <f t="shared" si="3"/>
        <v>0.8242793791574279</v>
      </c>
      <c r="N16" s="1">
        <f>IF(ISNA(VLOOKUP($A16,Burial_Data!$A$2:$C$65,2,FALSE)),"0",VLOOKUP($A16,Burial_Data!$A$2:$C$65,2,FALSE))</f>
        <v>4</v>
      </c>
      <c r="O16" s="1">
        <f>IF(ISNA(VLOOKUP($A16,Accrued_Data!$A$2:$D$67,3,FALSE)),"0",VLOOKUP($A16,Accrued_Data!$A$2:$D$67,3,FALSE))</f>
        <v>32</v>
      </c>
      <c r="P16" s="303">
        <v>5869</v>
      </c>
      <c r="Q16" s="1"/>
    </row>
    <row r="17" spans="1:17" ht="12" customHeight="1">
      <c r="A17" s="324" t="s">
        <v>443</v>
      </c>
      <c r="B17" s="302">
        <f>IF(ISNA(VLOOKUP(A17,Entitlement_Data!A$3:C$64,2,FALSE)),"0",VLOOKUP(A17,Entitlement_Data!A$3:C$64,2,FALSE))</f>
        <v>2906</v>
      </c>
      <c r="C17" s="302">
        <f>IF(ISNA(VLOOKUP(A17,Entitlement_Data!A$3:D$64,3,FALSE)),"0",VLOOKUP(A17,Entitlement_Data!A$3:D$64,3,FALSE))</f>
        <v>1232</v>
      </c>
      <c r="D17" s="25">
        <f t="shared" si="0"/>
        <v>0.4239504473503097</v>
      </c>
      <c r="E17" s="354">
        <f>IF(ISNA(VLOOKUP(A17,'Award Adjustment_Data'!A$2:F$68,3,FALSE)),"0",VLOOKUP(A17,'Award Adjustment_Data'!A$2:F$68,3,FALSE))</f>
        <v>1123</v>
      </c>
      <c r="F17" s="354">
        <f>IF(ISNA(VLOOKUP(A17,'Award Adjustment_Data'!A$2:G$68,4,FALSE)),"0",VLOOKUP(A17,'Award Adjustment_Data'!A$2:G$68,4,FALSE))</f>
        <v>278</v>
      </c>
      <c r="G17" s="25">
        <f t="shared" si="1"/>
        <v>0.2475512021371327</v>
      </c>
      <c r="H17" s="1">
        <f>IF(ISNA(VLOOKUP(A17,Program_Review_Data!A7:E71,2,FALSE)),"0",VLOOKUP(A17,Program_Review_Data!A7:E71,2,FALSE))</f>
        <v>22</v>
      </c>
      <c r="I17" s="1">
        <f>IF(ISNA(VLOOKUP($A17,Program_Review_Data!A7:F71,3,FALSE)),"0",VLOOKUP($A17,Program_Review_Data!A7:F71,3,FALSE))</f>
        <v>7</v>
      </c>
      <c r="J17" s="25">
        <f t="shared" si="2"/>
        <v>0.3181818181818182</v>
      </c>
      <c r="K17" s="1">
        <f>IF(ISNA(VLOOKUP($A17,Other_Data!A7:E71,2,FALSE)),"0",VLOOKUP($A17,Other_Data!A7:E71,2,FALSE))</f>
        <v>142</v>
      </c>
      <c r="L17" s="1">
        <f>IF(ISNA(VLOOKUP($A17,Other_Data!A7:E71,3,FALSE)),"0",VLOOKUP($A17,Other_Data!A7:E71,3,FALSE))</f>
        <v>77</v>
      </c>
      <c r="M17" s="25">
        <f t="shared" si="3"/>
        <v>0.5422535211267606</v>
      </c>
      <c r="N17" s="1">
        <f>IF(ISNA(VLOOKUP($A17,Burial_Data!$A$2:$C$65,2,FALSE)),"0",VLOOKUP($A17,Burial_Data!$A$2:$C$65,2,FALSE))</f>
        <v>0</v>
      </c>
      <c r="O17" s="1" t="str">
        <f>IF(ISNA(VLOOKUP($A17,Accrued_Data!$A$2:$D$67,3,FALSE)),"0",VLOOKUP($A17,Accrued_Data!$A$2:$D$67,3,FALSE))</f>
        <v>0</v>
      </c>
      <c r="P17" s="303">
        <v>849</v>
      </c>
      <c r="Q17" s="1"/>
    </row>
    <row r="18" spans="1:17" ht="12" customHeight="1">
      <c r="A18" t="s">
        <v>447</v>
      </c>
      <c r="B18" s="302">
        <f>IF(ISNA(VLOOKUP(A18,Entitlement_Data!A$3:C$64,2,FALSE)),"0",VLOOKUP(A18,Entitlement_Data!A$3:C$64,2,FALSE))</f>
        <v>19269</v>
      </c>
      <c r="C18" s="302">
        <f>IF(ISNA(VLOOKUP(A18,Entitlement_Data!A$3:D$64,3,FALSE)),"0",VLOOKUP(A18,Entitlement_Data!A$3:D$64,3,FALSE))</f>
        <v>15217</v>
      </c>
      <c r="D18" s="25">
        <f t="shared" si="0"/>
        <v>0.7897140484716384</v>
      </c>
      <c r="E18" s="354">
        <f>IF(ISNA(VLOOKUP(A18,'Award Adjustment_Data'!A$2:F$68,3,FALSE)),"0",VLOOKUP(A18,'Award Adjustment_Data'!A$2:F$68,3,FALSE))</f>
        <v>5688</v>
      </c>
      <c r="F18" s="354">
        <f>IF(ISNA(VLOOKUP(A18,'Award Adjustment_Data'!A$2:G$68,4,FALSE)),"0",VLOOKUP(A18,'Award Adjustment_Data'!A$2:G$68,4,FALSE))</f>
        <v>4057</v>
      </c>
      <c r="G18" s="25">
        <f t="shared" si="1"/>
        <v>0.7132559774964838</v>
      </c>
      <c r="H18" s="1">
        <f>IF(ISNA(VLOOKUP(A18,Program_Review_Data!A8:E72,2,FALSE)),"0",VLOOKUP(A18,Program_Review_Data!A8:E72,2,FALSE))</f>
        <v>509</v>
      </c>
      <c r="I18" s="1">
        <f>IF(ISNA(VLOOKUP($A18,Program_Review_Data!A8:F72,3,FALSE)),"0",VLOOKUP($A18,Program_Review_Data!A8:F72,3,FALSE))</f>
        <v>357</v>
      </c>
      <c r="J18" s="25">
        <f t="shared" si="2"/>
        <v>0.7013752455795678</v>
      </c>
      <c r="K18" s="1">
        <f>IF(ISNA(VLOOKUP($A18,Other_Data!A8:E72,2,FALSE)),"0",VLOOKUP($A18,Other_Data!A8:E72,2,FALSE))</f>
        <v>2203</v>
      </c>
      <c r="L18" s="1">
        <f>IF(ISNA(VLOOKUP($A18,Other_Data!A8:E72,3,FALSE)),"0",VLOOKUP($A18,Other_Data!A8:E72,3,FALSE))</f>
        <v>1617</v>
      </c>
      <c r="M18" s="25">
        <f t="shared" si="3"/>
        <v>0.7339990921470722</v>
      </c>
      <c r="N18" s="1">
        <f>IF(ISNA(VLOOKUP($A18,Burial_Data!$A$2:$C$65,2,FALSE)),"0",VLOOKUP($A18,Burial_Data!$A$2:$C$65,2,FALSE))</f>
        <v>7</v>
      </c>
      <c r="O18" s="1">
        <f>IF(ISNA(VLOOKUP($A18,Accrued_Data!$A$2:$D$67,3,FALSE)),"0",VLOOKUP($A18,Accrued_Data!$A$2:$D$67,3,FALSE))</f>
        <v>65</v>
      </c>
      <c r="P18" s="303">
        <v>4596</v>
      </c>
      <c r="Q18" s="1"/>
    </row>
    <row r="19" spans="1:17" ht="12" customHeight="1">
      <c r="A19" t="s">
        <v>453</v>
      </c>
      <c r="B19" s="302">
        <f>IF(ISNA(VLOOKUP(A19,Entitlement_Data!A$3:C$64,2,FALSE)),"0",VLOOKUP(A19,Entitlement_Data!A$3:C$64,2,FALSE))</f>
        <v>2194</v>
      </c>
      <c r="C19" s="302">
        <f>IF(ISNA(VLOOKUP(A19,Entitlement_Data!A$3:D$64,3,FALSE)),"0",VLOOKUP(A19,Entitlement_Data!A$3:D$64,3,FALSE))</f>
        <v>1424</v>
      </c>
      <c r="D19" s="25">
        <f t="shared" si="0"/>
        <v>0.6490428441203282</v>
      </c>
      <c r="E19" s="354">
        <f>IF(ISNA(VLOOKUP(A19,'Award Adjustment_Data'!A$2:F$68,3,FALSE)),"0",VLOOKUP(A19,'Award Adjustment_Data'!A$2:F$68,3,FALSE))</f>
        <v>923</v>
      </c>
      <c r="F19" s="354">
        <f>IF(ISNA(VLOOKUP(A19,'Award Adjustment_Data'!A$2:G$68,4,FALSE)),"0",VLOOKUP(A19,'Award Adjustment_Data'!A$2:G$68,4,FALSE))</f>
        <v>519</v>
      </c>
      <c r="G19" s="25">
        <f t="shared" si="1"/>
        <v>0.562296858071506</v>
      </c>
      <c r="H19" s="1">
        <f>IF(ISNA(VLOOKUP(A19,Program_Review_Data!A9:E73,2,FALSE)),"0",VLOOKUP(A19,Program_Review_Data!A9:E73,2,FALSE))</f>
        <v>108</v>
      </c>
      <c r="I19" s="1">
        <f>IF(ISNA(VLOOKUP($A19,Program_Review_Data!A9:F73,3,FALSE)),"0",VLOOKUP($A19,Program_Review_Data!A9:F73,3,FALSE))</f>
        <v>69</v>
      </c>
      <c r="J19" s="25">
        <f t="shared" si="2"/>
        <v>0.6388888888888888</v>
      </c>
      <c r="K19" s="1">
        <f>IF(ISNA(VLOOKUP($A19,Other_Data!A9:E73,2,FALSE)),"0",VLOOKUP($A19,Other_Data!A9:E73,2,FALSE))</f>
        <v>158</v>
      </c>
      <c r="L19" s="1">
        <f>IF(ISNA(VLOOKUP($A19,Other_Data!A9:E73,3,FALSE)),"0",VLOOKUP($A19,Other_Data!A9:E73,3,FALSE))</f>
        <v>109</v>
      </c>
      <c r="M19" s="25">
        <f t="shared" si="3"/>
        <v>0.689873417721519</v>
      </c>
      <c r="N19" s="1">
        <f>IF(ISNA(VLOOKUP($A19,Burial_Data!$A$2:$C$65,2,FALSE)),"0",VLOOKUP($A19,Burial_Data!$A$2:$C$65,2,FALSE))</f>
        <v>1</v>
      </c>
      <c r="O19" s="354">
        <f>IF(ISNA(VLOOKUP($A19,Accrued_Data!$A$2:$D$67,3,FALSE)),"0",VLOOKUP($A19,Accrued_Data!$A$2:$D$67,3,FALSE))</f>
        <v>1</v>
      </c>
      <c r="P19" s="303">
        <v>731</v>
      </c>
      <c r="Q19" s="1"/>
    </row>
    <row r="20" spans="1:17" ht="12" customHeight="1">
      <c r="A20" t="s">
        <v>459</v>
      </c>
      <c r="B20" s="302">
        <f>IF(ISNA(VLOOKUP(A20,Entitlement_Data!A$3:C$64,2,FALSE)),"0",VLOOKUP(A20,Entitlement_Data!A$3:C$64,2,FALSE))</f>
        <v>12948</v>
      </c>
      <c r="C20" s="302">
        <f>IF(ISNA(VLOOKUP(A20,Entitlement_Data!A$3:D$64,3,FALSE)),"0",VLOOKUP(A20,Entitlement_Data!A$3:D$64,3,FALSE))</f>
        <v>10424</v>
      </c>
      <c r="D20" s="25">
        <f t="shared" si="0"/>
        <v>0.8050664195242508</v>
      </c>
      <c r="E20" s="354">
        <f>IF(ISNA(VLOOKUP(A20,'Award Adjustment_Data'!A$2:F$68,3,FALSE)),"0",VLOOKUP(A20,'Award Adjustment_Data'!A$2:F$68,3,FALSE))</f>
        <v>4666</v>
      </c>
      <c r="F20" s="354">
        <f>IF(ISNA(VLOOKUP(A20,'Award Adjustment_Data'!A$2:G$68,4,FALSE)),"0",VLOOKUP(A20,'Award Adjustment_Data'!A$2:G$68,4,FALSE))</f>
        <v>2047</v>
      </c>
      <c r="G20" s="25">
        <f t="shared" si="1"/>
        <v>0.43870552936133733</v>
      </c>
      <c r="H20" s="1">
        <f>IF(ISNA(VLOOKUP(A20,Program_Review_Data!A10:E74,2,FALSE)),"0",VLOOKUP(A20,Program_Review_Data!A10:E74,2,FALSE))</f>
        <v>416</v>
      </c>
      <c r="I20" s="1">
        <f>IF(ISNA(VLOOKUP($A20,Program_Review_Data!A10:F74,3,FALSE)),"0",VLOOKUP($A20,Program_Review_Data!A10:F74,3,FALSE))</f>
        <v>248</v>
      </c>
      <c r="J20" s="25">
        <f t="shared" si="2"/>
        <v>0.5961538461538461</v>
      </c>
      <c r="K20" s="1">
        <f>IF(ISNA(VLOOKUP($A20,Other_Data!A10:E74,2,FALSE)),"0",VLOOKUP($A20,Other_Data!A10:E74,2,FALSE))</f>
        <v>809</v>
      </c>
      <c r="L20" s="1">
        <f>IF(ISNA(VLOOKUP($A20,Other_Data!A10:E74,3,FALSE)),"0",VLOOKUP($A20,Other_Data!A10:E74,3,FALSE))</f>
        <v>611</v>
      </c>
      <c r="M20" s="25">
        <f t="shared" si="3"/>
        <v>0.7552533992583437</v>
      </c>
      <c r="N20" s="1">
        <f>IF(ISNA(VLOOKUP($A20,Burial_Data!$A$2:$C$65,2,FALSE)),"0",VLOOKUP($A20,Burial_Data!$A$2:$C$65,2,FALSE))</f>
        <v>2</v>
      </c>
      <c r="O20" s="354">
        <f>IF(ISNA(VLOOKUP($A20,Accrued_Data!$A$2:$D$67,3,FALSE)),"0",VLOOKUP($A20,Accrued_Data!$A$2:$D$67,3,FALSE))</f>
        <v>3</v>
      </c>
      <c r="P20" s="303">
        <v>3970</v>
      </c>
      <c r="Q20" s="268"/>
    </row>
    <row r="21" spans="1:17" ht="12" customHeight="1">
      <c r="A21" t="s">
        <v>460</v>
      </c>
      <c r="B21" s="302">
        <f>IF(ISNA(VLOOKUP(A21,Entitlement_Data!A$3:C$64,2,FALSE)),"0",VLOOKUP(A21,Entitlement_Data!A$3:C$64,2,FALSE))</f>
        <v>4441</v>
      </c>
      <c r="C21" s="302">
        <f>IF(ISNA(VLOOKUP(A21,Entitlement_Data!A$3:D$64,3,FALSE)),"0",VLOOKUP(A21,Entitlement_Data!A$3:D$64,3,FALSE))</f>
        <v>2494</v>
      </c>
      <c r="D21" s="25">
        <f t="shared" si="0"/>
        <v>0.5615852285521279</v>
      </c>
      <c r="E21" s="354">
        <f>IF(ISNA(VLOOKUP(A21,'Award Adjustment_Data'!A$2:F$68,3,FALSE)),"0",VLOOKUP(A21,'Award Adjustment_Data'!A$2:F$68,3,FALSE))</f>
        <v>1801</v>
      </c>
      <c r="F21" s="354">
        <f>IF(ISNA(VLOOKUP(A21,'Award Adjustment_Data'!A$2:G$68,4,FALSE)),"0",VLOOKUP(A21,'Award Adjustment_Data'!A$2:G$68,4,FALSE))</f>
        <v>1029</v>
      </c>
      <c r="G21" s="25">
        <f t="shared" si="1"/>
        <v>0.5713492504164354</v>
      </c>
      <c r="H21" s="1">
        <f>IF(ISNA(VLOOKUP(A21,Program_Review_Data!A11:E75,2,FALSE)),"0",VLOOKUP(A21,Program_Review_Data!A11:E75,2,FALSE))</f>
        <v>164</v>
      </c>
      <c r="I21" s="1">
        <f>IF(ISNA(VLOOKUP($A21,Program_Review_Data!A11:F75,3,FALSE)),"0",VLOOKUP($A21,Program_Review_Data!A11:F75,3,FALSE))</f>
        <v>40</v>
      </c>
      <c r="J21" s="25">
        <f t="shared" si="2"/>
        <v>0.24390243902439024</v>
      </c>
      <c r="K21" s="1">
        <f>IF(ISNA(VLOOKUP($A21,Other_Data!A11:E75,2,FALSE)),"0",VLOOKUP($A21,Other_Data!A11:E75,2,FALSE))</f>
        <v>422</v>
      </c>
      <c r="L21" s="1">
        <f>IF(ISNA(VLOOKUP($A21,Other_Data!A11:E75,3,FALSE)),"0",VLOOKUP($A21,Other_Data!A11:E75,3,FALSE))</f>
        <v>262</v>
      </c>
      <c r="M21" s="25">
        <f t="shared" si="3"/>
        <v>0.6208530805687204</v>
      </c>
      <c r="N21" s="1">
        <f>IF(ISNA(VLOOKUP($A21,Burial_Data!$A$2:$C$65,2,FALSE)),"0",VLOOKUP($A21,Burial_Data!$A$2:$C$65,2,FALSE))</f>
        <v>0</v>
      </c>
      <c r="O21" s="1">
        <f>IF(ISNA(VLOOKUP($A21,Accrued_Data!$A$2:$D$67,3,FALSE)),"0",VLOOKUP($A21,Accrued_Data!$A$2:$D$67,3,FALSE))</f>
        <v>1</v>
      </c>
      <c r="P21" s="303">
        <v>2186</v>
      </c>
      <c r="Q21" s="268"/>
    </row>
    <row r="22" spans="1:17" ht="12" customHeight="1">
      <c r="A22" s="325" t="s">
        <v>462</v>
      </c>
      <c r="B22" s="329">
        <f>IF(ISNA(VLOOKUP(A22,Entitlement_Data!A$3:C$64,2,FALSE)),"0",VLOOKUP(A22,Entitlement_Data!A$3:C$64,2,FALSE))</f>
        <v>22952</v>
      </c>
      <c r="C22" s="329">
        <f>IF(ISNA(VLOOKUP(A22,Entitlement_Data!A$3:D$64,3,FALSE)),"0",VLOOKUP(A22,Entitlement_Data!A$3:D$64,3,FALSE))</f>
        <v>13857</v>
      </c>
      <c r="D22" s="34">
        <f t="shared" si="0"/>
        <v>0.603738236319275</v>
      </c>
      <c r="E22" s="329">
        <f>Award_Formulas!L2-Award_Formulas!O2</f>
        <v>5689</v>
      </c>
      <c r="F22" s="35">
        <f>Award_Formulas!L5-Award_Formulas!R2</f>
        <v>3629</v>
      </c>
      <c r="G22" s="34">
        <f t="shared" si="1"/>
        <v>0.6378976973105994</v>
      </c>
      <c r="H22" s="35">
        <f>IF(ISNA(VLOOKUP(A22,Program_Review_Data!A12:E76,2,FALSE)),"0",VLOOKUP(A22,Program_Review_Data!A12:E76,2,FALSE))</f>
        <v>6090</v>
      </c>
      <c r="I22" s="35">
        <f>IF(ISNA(VLOOKUP($A22,Program_Review_Data!A12:F76,3,FALSE)),"0",VLOOKUP($A22,Program_Review_Data!A12:F76,3,FALSE))</f>
        <v>3030</v>
      </c>
      <c r="J22" s="34">
        <f t="shared" si="2"/>
        <v>0.4975369458128079</v>
      </c>
      <c r="K22" s="35">
        <f>IF(ISNA(VLOOKUP($A22,Other_Data!A12:E76,2,FALSE)),"0",VLOOKUP($A22,Other_Data!A12:E76,2,FALSE))</f>
        <v>3590</v>
      </c>
      <c r="L22" s="35">
        <f>IF(ISNA(VLOOKUP($A22,Other_Data!A12:E76,3,FALSE)),"0",VLOOKUP($A22,Other_Data!A12:E76,3,FALSE))</f>
        <v>2596</v>
      </c>
      <c r="M22" s="34">
        <f t="shared" si="3"/>
        <v>0.7231197771587744</v>
      </c>
      <c r="N22" s="35">
        <f>IF(ISNA(VLOOKUP($A22,Burial_Data!$A$2:$C$65,2,FALSE)),"0",VLOOKUP($A22,Burial_Data!$A$2:$C$65,2,FALSE))</f>
        <v>17477</v>
      </c>
      <c r="O22" s="171" t="s">
        <v>3</v>
      </c>
      <c r="P22" s="308">
        <v>3433</v>
      </c>
      <c r="Q22" s="302"/>
    </row>
    <row r="23" spans="1:17" ht="12" customHeight="1">
      <c r="A23" t="s">
        <v>464</v>
      </c>
      <c r="B23" s="302">
        <f>IF(ISNA(VLOOKUP(A23,Entitlement_Data!A$3:C$64,2,FALSE)),"0",VLOOKUP(A23,Entitlement_Data!A$3:C$64,2,FALSE))</f>
        <v>11268</v>
      </c>
      <c r="C23" s="302">
        <f>IF(ISNA(VLOOKUP(A23,Entitlement_Data!A$3:D$64,3,FALSE)),"0",VLOOKUP(A23,Entitlement_Data!A$3:D$64,3,FALSE))</f>
        <v>8216</v>
      </c>
      <c r="D23" s="25">
        <f t="shared" si="0"/>
        <v>0.729144479943202</v>
      </c>
      <c r="E23" s="354">
        <f>IF(ISNA(VLOOKUP(A23,'Award Adjustment_Data'!A$2:F$68,3,FALSE)),"0",VLOOKUP(A23,'Award Adjustment_Data'!A$2:F$68,3,FALSE))</f>
        <v>4388</v>
      </c>
      <c r="F23" s="354">
        <f>IF(ISNA(VLOOKUP(A23,'Award Adjustment_Data'!A$2:G$68,4,FALSE)),"0",VLOOKUP(A23,'Award Adjustment_Data'!A$2:G$68,4,FALSE))</f>
        <v>3316</v>
      </c>
      <c r="G23" s="25">
        <f t="shared" si="1"/>
        <v>0.7556973564266181</v>
      </c>
      <c r="H23" s="1">
        <f>IF(ISNA(VLOOKUP(A23,Program_Review_Data!A13:E77,2,FALSE)),"0",VLOOKUP(A23,Program_Review_Data!A13:E77,2,FALSE))</f>
        <v>540</v>
      </c>
      <c r="I23" s="1">
        <f>IF(ISNA(VLOOKUP($A23,Program_Review_Data!A13:F77,3,FALSE)),"0",VLOOKUP($A23,Program_Review_Data!A13:F77,3,FALSE))</f>
        <v>390</v>
      </c>
      <c r="J23" s="25">
        <f t="shared" si="2"/>
        <v>0.7222222222222222</v>
      </c>
      <c r="K23" s="268">
        <f>IF(ISNA(VLOOKUP($A23,Other_Data!A13:E77,2,FALSE)),"0",VLOOKUP($A23,Other_Data!A13:E77,2,FALSE))</f>
        <v>957</v>
      </c>
      <c r="L23" s="1">
        <f>IF(ISNA(VLOOKUP($A23,Other_Data!A13:E77,3,FALSE)),"0",VLOOKUP($A23,Other_Data!A13:E77,3,FALSE))</f>
        <v>650</v>
      </c>
      <c r="M23" s="25">
        <f t="shared" si="3"/>
        <v>0.6792058516196448</v>
      </c>
      <c r="N23" s="1">
        <f>IF(ISNA(VLOOKUP($A23,Burial_Data!$A$2:$C$65,2,FALSE)),"0",VLOOKUP($A23,Burial_Data!$A$2:$C$65,2,FALSE))</f>
        <v>3</v>
      </c>
      <c r="O23" s="1">
        <f>IF(ISNA(VLOOKUP($A23,Accrued_Data!$A$2:$D$67,3,FALSE)),"0",VLOOKUP($A23,Accrued_Data!$A$2:$D$67,3,FALSE))</f>
        <v>1</v>
      </c>
      <c r="P23" s="303">
        <v>2741</v>
      </c>
      <c r="Q23" s="268"/>
    </row>
    <row r="24" spans="1:17" ht="12" customHeight="1">
      <c r="A24" t="s">
        <v>466</v>
      </c>
      <c r="B24" s="302">
        <f>IF(ISNA(VLOOKUP(A24,Entitlement_Data!A$3:C$64,2,FALSE)),"0",VLOOKUP(A24,Entitlement_Data!A$3:C$64,2,FALSE))</f>
        <v>3777</v>
      </c>
      <c r="C24" s="302">
        <f>IF(ISNA(VLOOKUP(A24,Entitlement_Data!A$3:D$64,3,FALSE)),"0",VLOOKUP(A24,Entitlement_Data!A$3:D$64,3,FALSE))</f>
        <v>1512</v>
      </c>
      <c r="D24" s="25">
        <f t="shared" si="0"/>
        <v>0.40031771247021447</v>
      </c>
      <c r="E24" s="354">
        <f>IF(ISNA(VLOOKUP(A24,'Award Adjustment_Data'!A$2:F$68,3,FALSE)),"0",VLOOKUP(A24,'Award Adjustment_Data'!A$2:F$68,3,FALSE))</f>
        <v>1006</v>
      </c>
      <c r="F24" s="354">
        <f>IF(ISNA(VLOOKUP(A24,'Award Adjustment_Data'!A$2:G$68,4,FALSE)),"0",VLOOKUP(A24,'Award Adjustment_Data'!A$2:G$68,4,FALSE))</f>
        <v>320</v>
      </c>
      <c r="G24" s="25">
        <f t="shared" si="1"/>
        <v>0.31809145129224653</v>
      </c>
      <c r="H24" s="1">
        <f>IF(ISNA(VLOOKUP(A24,Program_Review_Data!A14:E78,2,FALSE)),"0",VLOOKUP(A24,Program_Review_Data!A14:E78,2,FALSE))</f>
        <v>298</v>
      </c>
      <c r="I24" s="1">
        <f>IF(ISNA(VLOOKUP($A24,Program_Review_Data!A14:F78,3,FALSE)),"0",VLOOKUP($A24,Program_Review_Data!A14:F78,3,FALSE))</f>
        <v>178</v>
      </c>
      <c r="J24" s="25">
        <f t="shared" si="2"/>
        <v>0.5973154362416108</v>
      </c>
      <c r="K24" s="268">
        <f>IF(ISNA(VLOOKUP($A24,Other_Data!A14:E78,2,FALSE)),"0",VLOOKUP($A24,Other_Data!A14:E78,2,FALSE))</f>
        <v>668</v>
      </c>
      <c r="L24" s="1">
        <f>IF(ISNA(VLOOKUP($A24,Other_Data!A14:E78,3,FALSE)),"0",VLOOKUP($A24,Other_Data!A14:E78,3,FALSE))</f>
        <v>149</v>
      </c>
      <c r="M24" s="25">
        <f t="shared" si="3"/>
        <v>0.22305389221556887</v>
      </c>
      <c r="N24" s="1">
        <f>IF(ISNA(VLOOKUP($A24,Burial_Data!$A$2:$C$65,2,FALSE)),"0",VLOOKUP($A24,Burial_Data!$A$2:$C$65,2,FALSE))</f>
        <v>0</v>
      </c>
      <c r="O24" s="354">
        <f>IF(ISNA(VLOOKUP($A24,Accrued_Data!$A$2:$D$67,3,FALSE)),"0",VLOOKUP($A24,Accrued_Data!$A$2:$D$67,3,FALSE))</f>
        <v>1</v>
      </c>
      <c r="P24" s="303">
        <v>976</v>
      </c>
      <c r="Q24" s="268"/>
    </row>
    <row r="25" spans="1:17" ht="12" customHeight="1">
      <c r="A25" t="s">
        <v>477</v>
      </c>
      <c r="B25" s="302">
        <f>IF(ISNA(VLOOKUP(A25,Entitlement_Data!A$3:C$64,2,FALSE)),"0",VLOOKUP(A25,Entitlement_Data!A$3:C$64,2,FALSE))</f>
        <v>3188</v>
      </c>
      <c r="C25" s="302">
        <f>IF(ISNA(VLOOKUP(A25,Entitlement_Data!A$3:D$64,3,FALSE)),"0",VLOOKUP(A25,Entitlement_Data!A$3:D$64,3,FALSE))</f>
        <v>584</v>
      </c>
      <c r="D25" s="25">
        <f t="shared" si="0"/>
        <v>0.18318695106649938</v>
      </c>
      <c r="E25" s="354">
        <f>IF(ISNA(VLOOKUP(A25,'Award Adjustment_Data'!A$2:F$68,3,FALSE)),"0",VLOOKUP(A25,'Award Adjustment_Data'!A$2:F$68,3,FALSE))</f>
        <v>2067</v>
      </c>
      <c r="F25" s="354">
        <f>IF(ISNA(VLOOKUP(A25,'Award Adjustment_Data'!A$2:G$68,4,FALSE)),"0",VLOOKUP(A25,'Award Adjustment_Data'!A$2:G$68,4,FALSE))</f>
        <v>1016</v>
      </c>
      <c r="G25" s="25">
        <f t="shared" si="1"/>
        <v>0.4915336236090953</v>
      </c>
      <c r="H25" s="1">
        <f>IF(ISNA(VLOOKUP(A25,Program_Review_Data!A15:E79,2,FALSE)),"0",VLOOKUP(A25,Program_Review_Data!A15:E79,2,FALSE))</f>
        <v>664</v>
      </c>
      <c r="I25" s="1">
        <f>IF(ISNA(VLOOKUP($A25,Program_Review_Data!A15:F79,3,FALSE)),"0",VLOOKUP($A25,Program_Review_Data!A15:F79,3,FALSE))</f>
        <v>226</v>
      </c>
      <c r="J25" s="25">
        <f t="shared" si="2"/>
        <v>0.34036144578313254</v>
      </c>
      <c r="K25" s="268">
        <f>IF(ISNA(VLOOKUP($A25,Other_Data!A15:E79,2,FALSE)),"0",VLOOKUP($A25,Other_Data!A15:E79,2,FALSE))</f>
        <v>145</v>
      </c>
      <c r="L25" s="1">
        <f>IF(ISNA(VLOOKUP($A25,Other_Data!A15:E79,3,FALSE)),"0",VLOOKUP($A25,Other_Data!A15:E79,3,FALSE))</f>
        <v>96</v>
      </c>
      <c r="M25" s="25">
        <f t="shared" si="3"/>
        <v>0.6620689655172414</v>
      </c>
      <c r="N25" s="1">
        <f>IF(ISNA(VLOOKUP($A25,Burial_Data!$A$2:$C$65,2,FALSE)),"0",VLOOKUP($A25,Burial_Data!$A$2:$C$65,2,FALSE))</f>
        <v>0</v>
      </c>
      <c r="O25" s="354" t="str">
        <f>IF(ISNA(VLOOKUP($A25,Accrued_Data!$A$2:$D$67,3,FALSE)),"0",VLOOKUP($A25,Accrued_Data!$A$2:$D$67,3,FALSE))</f>
        <v>0</v>
      </c>
      <c r="P25" s="303">
        <v>520</v>
      </c>
      <c r="Q25" s="268"/>
    </row>
    <row r="26" spans="1:17" ht="12" customHeight="1">
      <c r="A26" t="s">
        <v>481</v>
      </c>
      <c r="B26" s="302">
        <f>IF(ISNA(VLOOKUP(A26,Entitlement_Data!A$3:C$64,2,FALSE)),"0",VLOOKUP(A26,Entitlement_Data!A$3:C$64,2,FALSE))</f>
        <v>994</v>
      </c>
      <c r="C26" s="302">
        <f>IF(ISNA(VLOOKUP(A26,Entitlement_Data!A$3:D$64,3,FALSE)),"0",VLOOKUP(A26,Entitlement_Data!A$3:D$64,3,FALSE))</f>
        <v>581</v>
      </c>
      <c r="D26" s="25">
        <f t="shared" si="0"/>
        <v>0.5845070422535211</v>
      </c>
      <c r="E26" s="354">
        <f>IF(ISNA(VLOOKUP(A26,'Award Adjustment_Data'!A$2:F$68,3,FALSE)),"0",VLOOKUP(A26,'Award Adjustment_Data'!A$2:F$68,3,FALSE))</f>
        <v>425</v>
      </c>
      <c r="F26" s="354">
        <f>IF(ISNA(VLOOKUP(A26,'Award Adjustment_Data'!A$2:G$68,4,FALSE)),"0",VLOOKUP(A26,'Award Adjustment_Data'!A$2:G$68,4,FALSE))</f>
        <v>184</v>
      </c>
      <c r="G26" s="25">
        <f t="shared" si="1"/>
        <v>0.4329411764705882</v>
      </c>
      <c r="H26" s="1">
        <f>IF(ISNA(VLOOKUP(A26,Program_Review_Data!A16:E80,2,FALSE)),"0",VLOOKUP(A26,Program_Review_Data!A16:E80,2,FALSE))</f>
        <v>48</v>
      </c>
      <c r="I26" s="1">
        <f>IF(ISNA(VLOOKUP($A26,Program_Review_Data!A16:F80,3,FALSE)),"0",VLOOKUP($A26,Program_Review_Data!A16:F80,3,FALSE))</f>
        <v>28</v>
      </c>
      <c r="J26" s="25">
        <f t="shared" si="2"/>
        <v>0.5833333333333334</v>
      </c>
      <c r="K26" s="268">
        <f>IF(ISNA(VLOOKUP($A26,Other_Data!A16:E80,2,FALSE)),"0",VLOOKUP($A26,Other_Data!A16:E80,2,FALSE))</f>
        <v>136</v>
      </c>
      <c r="L26" s="1">
        <f>IF(ISNA(VLOOKUP($A26,Other_Data!A16:E80,3,FALSE)),"0",VLOOKUP($A26,Other_Data!A16:E80,3,FALSE))</f>
        <v>92</v>
      </c>
      <c r="M26" s="25">
        <f t="shared" si="3"/>
        <v>0.6764705882352942</v>
      </c>
      <c r="N26" s="1">
        <f>IF(ISNA(VLOOKUP($A26,Burial_Data!$A$2:$C$65,2,FALSE)),"0",VLOOKUP($A26,Burial_Data!$A$2:$C$65,2,FALSE))</f>
        <v>1</v>
      </c>
      <c r="O26" s="354">
        <f>IF(ISNA(VLOOKUP($A26,Accrued_Data!$A$2:$D$67,3,FALSE)),"0",VLOOKUP($A26,Accrued_Data!$A$2:$D$67,3,FALSE))</f>
        <v>1</v>
      </c>
      <c r="P26" s="303">
        <v>410</v>
      </c>
      <c r="Q26" s="268"/>
    </row>
    <row r="27" spans="1:17" ht="12" customHeight="1">
      <c r="A27" s="328" t="s">
        <v>483</v>
      </c>
      <c r="B27" s="335">
        <f>IF(ISNA(VLOOKUP(A27,Entitlement_Data!A$3:C$64,2,FALSE)),"0",VLOOKUP(A27,Entitlement_Data!A$3:C$64,2,FALSE))</f>
        <v>1044</v>
      </c>
      <c r="C27" s="335">
        <f>IF(ISNA(VLOOKUP(A27,Entitlement_Data!A$3:D$64,3,FALSE)),"0",VLOOKUP(A27,Entitlement_Data!A$3:D$64,3,FALSE))</f>
        <v>538</v>
      </c>
      <c r="D27" s="32">
        <f t="shared" si="0"/>
        <v>0.5153256704980843</v>
      </c>
      <c r="E27" s="355">
        <f>IF(ISNA(VLOOKUP(A27,'Award Adjustment_Data'!A$2:F$68,3,FALSE)),"0",VLOOKUP(A27,'Award Adjustment_Data'!A$2:F$68,3,FALSE))</f>
        <v>528</v>
      </c>
      <c r="F27" s="355">
        <f>IF(ISNA(VLOOKUP(A27,'Award Adjustment_Data'!A$2:G$68,4,FALSE)),"0",VLOOKUP(A27,'Award Adjustment_Data'!A$2:G$68,4,FALSE))</f>
        <v>323</v>
      </c>
      <c r="G27" s="32">
        <f t="shared" si="1"/>
        <v>0.6117424242424242</v>
      </c>
      <c r="H27" s="33">
        <f>IF(ISNA(VLOOKUP(A27,Program_Review_Data!A17:E81,2,FALSE)),"0",VLOOKUP(A27,Program_Review_Data!A17:E81,2,FALSE))</f>
        <v>19</v>
      </c>
      <c r="I27" s="33">
        <f>IF(ISNA(VLOOKUP($A27,Program_Review_Data!A17:F81,3,FALSE)),"0",VLOOKUP($A27,Program_Review_Data!A17:F81,3,FALSE))</f>
        <v>5</v>
      </c>
      <c r="J27" s="32">
        <f t="shared" si="2"/>
        <v>0.2631578947368421</v>
      </c>
      <c r="K27" s="270">
        <f>IF(ISNA(VLOOKUP($A27,Other_Data!A17:E81,2,FALSE)),"0",VLOOKUP($A27,Other_Data!A17:E81,2,FALSE))</f>
        <v>202</v>
      </c>
      <c r="L27" s="33">
        <f>IF(ISNA(VLOOKUP($A27,Other_Data!A17:E81,3,FALSE)),"0",VLOOKUP($A27,Other_Data!A17:E81,3,FALSE))</f>
        <v>127</v>
      </c>
      <c r="M27" s="32">
        <f t="shared" si="3"/>
        <v>0.6287128712871287</v>
      </c>
      <c r="N27" s="33">
        <f>IF(ISNA(VLOOKUP($A27,Burial_Data!$A$2:$C$65,2,FALSE)),"0",VLOOKUP($A27,Burial_Data!$A$2:$C$65,2,FALSE))</f>
        <v>0</v>
      </c>
      <c r="O27" s="355" t="str">
        <f>IF(ISNA(VLOOKUP($A27,Accrued_Data!$A$2:$D$67,3,FALSE)),"0",VLOOKUP($A27,Accrued_Data!$A$2:$D$67,3,FALSE))</f>
        <v>0</v>
      </c>
      <c r="P27" s="309">
        <v>361</v>
      </c>
      <c r="Q27" s="295"/>
    </row>
    <row r="28" spans="1:17" ht="12" customHeight="1">
      <c r="A28" t="s">
        <v>335</v>
      </c>
      <c r="B28" s="302">
        <f>IF(ISNA(VLOOKUP(A28,Entitlement_Data!A$3:C$64,2,FALSE)),"0",VLOOKUP(A28,Entitlement_Data!A$3:C$64,2,FALSE))+1</f>
        <v>32434</v>
      </c>
      <c r="C28" s="302">
        <f>IF(ISNA(VLOOKUP(A28,Entitlement_Data!A$3:D$64,3,FALSE)),"0",VLOOKUP(A28,Entitlement_Data!A$3:D$64,3,FALSE))+1</f>
        <v>20215</v>
      </c>
      <c r="D28" s="25">
        <f t="shared" si="0"/>
        <v>0.6232657088240735</v>
      </c>
      <c r="E28" s="354">
        <f>IF(ISNA(VLOOKUP(A28,'Award Adjustment_Data'!A$2:F$68,3,FALSE)),"0",VLOOKUP(A28,'Award Adjustment_Data'!A$2:F$68,3,FALSE))</f>
        <v>11463</v>
      </c>
      <c r="F28" s="354">
        <f>IF(ISNA(VLOOKUP(A28,'Award Adjustment_Data'!A$2:G$68,4,FALSE)),"0",VLOOKUP(A28,'Award Adjustment_Data'!A$2:G$68,4,FALSE))</f>
        <v>6069</v>
      </c>
      <c r="G28" s="25">
        <f t="shared" si="1"/>
        <v>0.5294425543051557</v>
      </c>
      <c r="H28" s="1">
        <f>IF(ISNA(VLOOKUP(A28,Program_Review_Data!A18:E82,2,FALSE)),"0",VLOOKUP(A28,Program_Review_Data!A18:E82,2,FALSE))</f>
        <v>621</v>
      </c>
      <c r="I28" s="1">
        <f>IF(ISNA(VLOOKUP($A28,Program_Review_Data!A18:F82,3,FALSE)),"0",VLOOKUP($A28,Program_Review_Data!A18:F82,3,FALSE))</f>
        <v>387</v>
      </c>
      <c r="J28" s="25">
        <f t="shared" si="2"/>
        <v>0.6231884057971014</v>
      </c>
      <c r="K28" s="268">
        <f>IF(ISNA(VLOOKUP($A28,Other_Data!A18:E82,2,FALSE)),"0",VLOOKUP($A28,Other_Data!A18:E82,2,FALSE))</f>
        <v>4789</v>
      </c>
      <c r="L28" s="1">
        <f>IF(ISNA(VLOOKUP($A28,Other_Data!A18:E82,3,FALSE)),"0",VLOOKUP($A28,Other_Data!A18:E82,3,FALSE))</f>
        <v>3108</v>
      </c>
      <c r="M28" s="25">
        <f t="shared" si="3"/>
        <v>0.6489872624765086</v>
      </c>
      <c r="N28" s="1">
        <f>IF(ISNA(VLOOKUP($A28,Burial_Data!$A$2:$C$65,2,FALSE)),"0",VLOOKUP($A28,Burial_Data!$A$2:$C$65,2,FALSE))</f>
        <v>1</v>
      </c>
      <c r="O28" s="354">
        <f>IF(ISNA(VLOOKUP($A28,Accrued_Data!$A$2:$D$67,3,FALSE)),"0",VLOOKUP($A28,Accrued_Data!$A$2:$D$67,3,FALSE))</f>
        <v>1</v>
      </c>
      <c r="P28" s="303">
        <v>11924</v>
      </c>
      <c r="Q28" s="268"/>
    </row>
    <row r="29" spans="1:17" ht="12" customHeight="1">
      <c r="A29" t="s">
        <v>437</v>
      </c>
      <c r="B29" s="302">
        <f>IF(ISNA(VLOOKUP(A29,Entitlement_Data!A$3:C$64,2,FALSE)),"0",VLOOKUP(A29,Entitlement_Data!A$3:C$64,2,FALSE))</f>
        <v>23465</v>
      </c>
      <c r="C29" s="302">
        <f>IF(ISNA(VLOOKUP(A29,Entitlement_Data!A$3:D$64,3,FALSE)),"0",VLOOKUP(A29,Entitlement_Data!A$3:D$64,3,FALSE))</f>
        <v>15226</v>
      </c>
      <c r="D29" s="25">
        <f t="shared" si="0"/>
        <v>0.6488813125932239</v>
      </c>
      <c r="E29" s="354">
        <f>IF(ISNA(VLOOKUP(A29,'Award Adjustment_Data'!A$2:F$68,3,FALSE)),"0",VLOOKUP(A29,'Award Adjustment_Data'!A$2:F$68,3,FALSE))</f>
        <v>5362</v>
      </c>
      <c r="F29" s="354">
        <f>IF(ISNA(VLOOKUP(A29,'Award Adjustment_Data'!A$2:G$68,4,FALSE)),"0",VLOOKUP(A29,'Award Adjustment_Data'!A$2:G$68,4,FALSE))</f>
        <v>1379</v>
      </c>
      <c r="G29" s="25">
        <f t="shared" si="1"/>
        <v>0.25718015665796345</v>
      </c>
      <c r="H29" s="1">
        <f>IF(ISNA(VLOOKUP(A29,Program_Review_Data!A19:E83,2,FALSE)),"0",VLOOKUP(A29,Program_Review_Data!A19:E83,2,FALSE))</f>
        <v>603</v>
      </c>
      <c r="I29" s="1">
        <f>IF(ISNA(VLOOKUP($A29,Program_Review_Data!A19:F83,3,FALSE)),"0",VLOOKUP($A29,Program_Review_Data!A19:F83,3,FALSE))</f>
        <v>365</v>
      </c>
      <c r="J29" s="25">
        <f t="shared" si="2"/>
        <v>0.6053067993366501</v>
      </c>
      <c r="K29" s="268">
        <f>IF(ISNA(VLOOKUP($A29,Other_Data!A19:E83,2,FALSE)),"0",VLOOKUP($A29,Other_Data!A19:E83,2,FALSE))</f>
        <v>991</v>
      </c>
      <c r="L29" s="1">
        <f>IF(ISNA(VLOOKUP($A29,Other_Data!A19:E83,3,FALSE)),"0",VLOOKUP($A29,Other_Data!A19:E83,3,FALSE))</f>
        <v>711</v>
      </c>
      <c r="M29" s="25">
        <f t="shared" si="3"/>
        <v>0.7174571140262361</v>
      </c>
      <c r="N29" s="1">
        <f>IF(ISNA(VLOOKUP($A29,Burial_Data!$A$2:$C$65,2,FALSE)),"0",VLOOKUP($A29,Burial_Data!$A$2:$C$65,2,FALSE))</f>
        <v>2</v>
      </c>
      <c r="O29" s="354">
        <f>IF(ISNA(VLOOKUP($A29,Accrued_Data!$A$2:$D$67,3,FALSE)),"0",VLOOKUP($A29,Accrued_Data!$A$2:$D$67,3,FALSE))</f>
        <v>5</v>
      </c>
      <c r="P29" s="303">
        <v>6057</v>
      </c>
      <c r="Q29" s="268"/>
    </row>
    <row r="30" spans="1:17" ht="12" customHeight="1">
      <c r="A30" t="s">
        <v>446</v>
      </c>
      <c r="B30" s="302">
        <f>IF(ISNA(VLOOKUP(A30,Entitlement_Data!A$3:C$64,2,FALSE)),"0",VLOOKUP(A30,Entitlement_Data!A$3:C$64,2,FALSE))</f>
        <v>10293</v>
      </c>
      <c r="C30" s="302">
        <f>IF(ISNA(VLOOKUP(A30,Entitlement_Data!A$3:D$64,3,FALSE)),"0",VLOOKUP(A30,Entitlement_Data!A$3:D$64,3,FALSE))</f>
        <v>4876</v>
      </c>
      <c r="D30" s="25">
        <f t="shared" si="0"/>
        <v>0.4737200038861362</v>
      </c>
      <c r="E30" s="354">
        <f>IF(ISNA(VLOOKUP(A30,'Award Adjustment_Data'!A$2:F$68,3,FALSE)),"0",VLOOKUP(A30,'Award Adjustment_Data'!A$2:F$68,3,FALSE))</f>
        <v>1979</v>
      </c>
      <c r="F30" s="354">
        <f>IF(ISNA(VLOOKUP(A30,'Award Adjustment_Data'!A$2:G$68,4,FALSE)),"0",VLOOKUP(A30,'Award Adjustment_Data'!A$2:G$68,4,FALSE))</f>
        <v>607</v>
      </c>
      <c r="G30" s="25">
        <f t="shared" si="1"/>
        <v>0.30672056594239516</v>
      </c>
      <c r="H30" s="1">
        <f>IF(ISNA(VLOOKUP(A30,Program_Review_Data!A20:E84,2,FALSE)),"0",VLOOKUP(A30,Program_Review_Data!A20:E84,2,FALSE))</f>
        <v>187</v>
      </c>
      <c r="I30" s="1">
        <f>IF(ISNA(VLOOKUP($A30,Program_Review_Data!A20:F84,3,FALSE)),"0",VLOOKUP($A30,Program_Review_Data!A20:F84,3,FALSE))</f>
        <v>111</v>
      </c>
      <c r="J30" s="25">
        <f t="shared" si="2"/>
        <v>0.5935828877005348</v>
      </c>
      <c r="K30" s="268">
        <f>IF(ISNA(VLOOKUP($A30,Other_Data!A20:E84,2,FALSE)),"0",VLOOKUP($A30,Other_Data!A20:E84,2,FALSE))</f>
        <v>656</v>
      </c>
      <c r="L30" s="1">
        <f>IF(ISNA(VLOOKUP($A30,Other_Data!A20:E84,3,FALSE)),"0",VLOOKUP($A30,Other_Data!A20:E84,3,FALSE))</f>
        <v>292</v>
      </c>
      <c r="M30" s="25">
        <f t="shared" si="3"/>
        <v>0.4451219512195122</v>
      </c>
      <c r="N30" s="1">
        <f>IF(ISNA(VLOOKUP($A30,Burial_Data!$A$2:$C$65,2,FALSE)),"0",VLOOKUP($A30,Burial_Data!$A$2:$C$65,2,FALSE))</f>
        <v>1</v>
      </c>
      <c r="O30" s="354">
        <f>IF(ISNA(VLOOKUP($A30,Accrued_Data!$A$2:$D$67,3,FALSE)),"0",VLOOKUP($A30,Accrued_Data!$A$2:$D$67,3,FALSE))</f>
        <v>4</v>
      </c>
      <c r="P30" s="303">
        <v>3360</v>
      </c>
      <c r="Q30" s="268"/>
    </row>
    <row r="31" spans="1:17" ht="12" customHeight="1">
      <c r="A31" t="s">
        <v>448</v>
      </c>
      <c r="B31" s="302">
        <f>IF(ISNA(VLOOKUP(A31,Entitlement_Data!A$3:C$64,2,FALSE)),"0",VLOOKUP(A31,Entitlement_Data!A$3:C$64,2,FALSE))</f>
        <v>10573</v>
      </c>
      <c r="C31" s="302">
        <f>IF(ISNA(VLOOKUP(A31,Entitlement_Data!A$3:D$64,3,FALSE)),"0",VLOOKUP(A31,Entitlement_Data!A$3:D$64,3,FALSE))</f>
        <v>7455</v>
      </c>
      <c r="D31" s="25">
        <f t="shared" si="0"/>
        <v>0.7050978908540623</v>
      </c>
      <c r="E31" s="354">
        <f>IF(ISNA(VLOOKUP(A31,'Award Adjustment_Data'!A$2:F$68,3,FALSE)),"0",VLOOKUP(A31,'Award Adjustment_Data'!A$2:F$68,3,FALSE))</f>
        <v>3054</v>
      </c>
      <c r="F31" s="354">
        <f>IF(ISNA(VLOOKUP(A31,'Award Adjustment_Data'!A$2:G$68,4,FALSE)),"0",VLOOKUP(A31,'Award Adjustment_Data'!A$2:G$68,4,FALSE))</f>
        <v>755</v>
      </c>
      <c r="G31" s="25">
        <f t="shared" si="1"/>
        <v>0.24721676489849378</v>
      </c>
      <c r="H31" s="1">
        <f>IF(ISNA(VLOOKUP(A31,Program_Review_Data!A21:E85,2,FALSE)),"0",VLOOKUP(A31,Program_Review_Data!A21:E85,2,FALSE))</f>
        <v>1263</v>
      </c>
      <c r="I31" s="1">
        <f>IF(ISNA(VLOOKUP($A31,Program_Review_Data!A21:F85,3,FALSE)),"0",VLOOKUP($A31,Program_Review_Data!A21:F85,3,FALSE))</f>
        <v>1056</v>
      </c>
      <c r="J31" s="25">
        <f t="shared" si="2"/>
        <v>0.836104513064133</v>
      </c>
      <c r="K31" s="268">
        <f>IF(ISNA(VLOOKUP($A31,Other_Data!A21:E85,2,FALSE)),"0",VLOOKUP($A31,Other_Data!A21:E85,2,FALSE))</f>
        <v>811</v>
      </c>
      <c r="L31" s="1">
        <f>IF(ISNA(VLOOKUP($A31,Other_Data!A21:E85,3,FALSE)),"0",VLOOKUP($A31,Other_Data!A21:E85,3,FALSE))</f>
        <v>570</v>
      </c>
      <c r="M31" s="25">
        <f t="shared" si="3"/>
        <v>0.7028360049321825</v>
      </c>
      <c r="N31" s="1">
        <f>IF(ISNA(VLOOKUP($A31,Burial_Data!$A$2:$C$65,2,FALSE)),"0",VLOOKUP($A31,Burial_Data!$A$2:$C$65,2,FALSE))</f>
        <v>36</v>
      </c>
      <c r="O31" s="354">
        <f>IF(ISNA(VLOOKUP($A31,Accrued_Data!$A$2:$D$67,3,FALSE)),"0",VLOOKUP($A31,Accrued_Data!$A$2:$D$67,3,FALSE))</f>
        <v>5</v>
      </c>
      <c r="P31" s="303">
        <v>4021</v>
      </c>
      <c r="Q31" s="268"/>
    </row>
    <row r="32" spans="1:17" ht="12" customHeight="1">
      <c r="A32" t="s">
        <v>452</v>
      </c>
      <c r="B32" s="302">
        <f>IF(ISNA(VLOOKUP(A32,Entitlement_Data!A$3:C$64,2,FALSE)),"0",VLOOKUP(A32,Entitlement_Data!A$3:C$64,2,FALSE))</f>
        <v>11056</v>
      </c>
      <c r="C32" s="302">
        <f>IF(ISNA(VLOOKUP(A32,Entitlement_Data!A$3:D$64,3,FALSE)),"0",VLOOKUP(A32,Entitlement_Data!A$3:D$64,3,FALSE))</f>
        <v>6963</v>
      </c>
      <c r="D32" s="25">
        <f t="shared" si="0"/>
        <v>0.6297937771345875</v>
      </c>
      <c r="E32" s="354">
        <f>IF(ISNA(VLOOKUP(A32,'Award Adjustment_Data'!A$2:F$68,3,FALSE)),"0",VLOOKUP(A32,'Award Adjustment_Data'!A$2:F$68,3,FALSE))</f>
        <v>4945</v>
      </c>
      <c r="F32" s="354">
        <f>IF(ISNA(VLOOKUP(A32,'Award Adjustment_Data'!A$2:G$68,4,FALSE)),"0",VLOOKUP(A32,'Award Adjustment_Data'!A$2:G$68,4,FALSE))</f>
        <v>3419</v>
      </c>
      <c r="G32" s="25">
        <f t="shared" si="1"/>
        <v>0.6914054600606674</v>
      </c>
      <c r="H32" s="1">
        <f>IF(ISNA(VLOOKUP(A32,Program_Review_Data!A22:E86,2,FALSE)),"0",VLOOKUP(A32,Program_Review_Data!A22:E86,2,FALSE))</f>
        <v>1152</v>
      </c>
      <c r="I32" s="1">
        <f>IF(ISNA(VLOOKUP($A32,Program_Review_Data!A22:F86,3,FALSE)),"0",VLOOKUP($A32,Program_Review_Data!A22:F86,3,FALSE))</f>
        <v>993</v>
      </c>
      <c r="J32" s="25">
        <f t="shared" si="2"/>
        <v>0.8619791666666666</v>
      </c>
      <c r="K32" s="268">
        <f>IF(ISNA(VLOOKUP($A32,Other_Data!A22:E86,2,FALSE)),"0",VLOOKUP($A32,Other_Data!A22:E86,2,FALSE))</f>
        <v>1488</v>
      </c>
      <c r="L32" s="1">
        <f>IF(ISNA(VLOOKUP($A32,Other_Data!A22:E86,3,FALSE)),"0",VLOOKUP($A32,Other_Data!A22:E86,3,FALSE))</f>
        <v>1045</v>
      </c>
      <c r="M32" s="25">
        <f t="shared" si="3"/>
        <v>0.7022849462365591</v>
      </c>
      <c r="N32" s="1">
        <f>IF(ISNA(VLOOKUP($A32,Burial_Data!$A$2:$C$65,2,FALSE)),"0",VLOOKUP($A32,Burial_Data!$A$2:$C$65,2,FALSE))</f>
        <v>23</v>
      </c>
      <c r="O32" s="354">
        <f>IF(ISNA(VLOOKUP($A32,Accrued_Data!$A$2:$D$67,3,FALSE)),"0",VLOOKUP($A32,Accrued_Data!$A$2:$D$67,3,FALSE))</f>
        <v>50</v>
      </c>
      <c r="P32" s="303">
        <v>3165</v>
      </c>
      <c r="Q32" s="268"/>
    </row>
    <row r="33" spans="1:17" ht="12" customHeight="1">
      <c r="A33" t="s">
        <v>456</v>
      </c>
      <c r="B33" s="302">
        <f>IF(ISNA(VLOOKUP(A33,Entitlement_Data!A$3:C$64,2,FALSE)),"0",VLOOKUP(A33,Entitlement_Data!A$3:C$64,2,FALSE))+1</f>
        <v>14979</v>
      </c>
      <c r="C33" s="302">
        <f>IF(ISNA(VLOOKUP(A33,Entitlement_Data!A$3:D$64,3,FALSE)),"0",VLOOKUP(A33,Entitlement_Data!A$3:D$64,3,FALSE))+1</f>
        <v>10168</v>
      </c>
      <c r="D33" s="25">
        <f t="shared" si="0"/>
        <v>0.6788170104813406</v>
      </c>
      <c r="E33" s="354">
        <f>IF(ISNA(VLOOKUP(A33,'Award Adjustment_Data'!A$2:F$68,3,FALSE)),"0",VLOOKUP(A33,'Award Adjustment_Data'!A$2:F$68,3,FALSE))</f>
        <v>6703</v>
      </c>
      <c r="F33" s="354">
        <f>IF(ISNA(VLOOKUP(A33,'Award Adjustment_Data'!A$2:G$68,4,FALSE)),"0",VLOOKUP(A33,'Award Adjustment_Data'!A$2:G$68,4,FALSE))</f>
        <v>3947</v>
      </c>
      <c r="G33" s="25">
        <f t="shared" si="1"/>
        <v>0.5888408175443831</v>
      </c>
      <c r="H33" s="1">
        <f>IF(ISNA(VLOOKUP(A33,Program_Review_Data!A23:E87,2,FALSE)),"0",VLOOKUP(A33,Program_Review_Data!A23:E87,2,FALSE))</f>
        <v>2654</v>
      </c>
      <c r="I33" s="1">
        <f>IF(ISNA(VLOOKUP($A33,Program_Review_Data!A23:F87,3,FALSE)),"0",VLOOKUP($A33,Program_Review_Data!A23:F87,3,FALSE))</f>
        <v>1398</v>
      </c>
      <c r="J33" s="25">
        <f t="shared" si="2"/>
        <v>0.5267520723436323</v>
      </c>
      <c r="K33" s="268">
        <f>IF(ISNA(VLOOKUP($A33,Other_Data!A23:E87,2,FALSE)),"0",VLOOKUP($A33,Other_Data!A23:E87,2,FALSE))</f>
        <v>1209</v>
      </c>
      <c r="L33" s="1">
        <f>IF(ISNA(VLOOKUP($A33,Other_Data!A23:E87,3,FALSE)),"0",VLOOKUP($A33,Other_Data!A23:E87,3,FALSE))</f>
        <v>810</v>
      </c>
      <c r="M33" s="25">
        <f t="shared" si="3"/>
        <v>0.6699751861042184</v>
      </c>
      <c r="N33" s="1">
        <f>IF(ISNA(VLOOKUP($A33,Burial_Data!$A$2:$C$65,2,FALSE)),"0",VLOOKUP($A33,Burial_Data!$A$2:$C$65,2,FALSE))</f>
        <v>4</v>
      </c>
      <c r="O33" s="354">
        <f>IF(ISNA(VLOOKUP($A33,Accrued_Data!$A$2:$D$67,3,FALSE)),"0",VLOOKUP($A33,Accrued_Data!$A$2:$D$67,3,FALSE))</f>
        <v>64</v>
      </c>
      <c r="P33" s="303">
        <v>10952</v>
      </c>
      <c r="Q33" s="268"/>
    </row>
    <row r="34" spans="1:17" ht="12" customHeight="1">
      <c r="A34" t="s">
        <v>457</v>
      </c>
      <c r="B34" s="302">
        <f>IF(ISNA(VLOOKUP(A34,Entitlement_Data!A$3:C$64,2,FALSE)),"0",VLOOKUP(A34,Entitlement_Data!A$3:C$64,2,FALSE))</f>
        <v>12779</v>
      </c>
      <c r="C34" s="302">
        <f>IF(ISNA(VLOOKUP(A34,Entitlement_Data!A$3:D$64,3,FALSE)),"0",VLOOKUP(A34,Entitlement_Data!A$3:D$64,3,FALSE))</f>
        <v>4889</v>
      </c>
      <c r="D34" s="25">
        <f t="shared" si="0"/>
        <v>0.38258079661945377</v>
      </c>
      <c r="E34" s="354">
        <f>IF(ISNA(VLOOKUP(A34,'Award Adjustment_Data'!A$2:F$68,3,FALSE)),"0",VLOOKUP(A34,'Award Adjustment_Data'!A$2:F$68,3,FALSE))</f>
        <v>5711</v>
      </c>
      <c r="F34" s="354">
        <f>IF(ISNA(VLOOKUP(A34,'Award Adjustment_Data'!A$2:G$68,4,FALSE)),"0",VLOOKUP(A34,'Award Adjustment_Data'!A$2:G$68,4,FALSE))</f>
        <v>2535</v>
      </c>
      <c r="G34" s="25">
        <f t="shared" si="1"/>
        <v>0.4438802311329014</v>
      </c>
      <c r="H34" s="1">
        <f>IF(ISNA(VLOOKUP(A34,Program_Review_Data!A24:E88,2,FALSE)),"0",VLOOKUP(A34,Program_Review_Data!A24:E88,2,FALSE))</f>
        <v>390</v>
      </c>
      <c r="I34" s="1">
        <f>IF(ISNA(VLOOKUP($A34,Program_Review_Data!A24:F88,3,FALSE)),"0",VLOOKUP($A34,Program_Review_Data!A24:F88,3,FALSE))</f>
        <v>288</v>
      </c>
      <c r="J34" s="25">
        <f t="shared" si="2"/>
        <v>0.7384615384615385</v>
      </c>
      <c r="K34" s="268">
        <f>IF(ISNA(VLOOKUP($A34,Other_Data!A24:E88,2,FALSE)),"0",VLOOKUP($A34,Other_Data!A24:E88,2,FALSE))</f>
        <v>1422</v>
      </c>
      <c r="L34" s="1">
        <f>IF(ISNA(VLOOKUP($A34,Other_Data!A24:E88,3,FALSE)),"0",VLOOKUP($A34,Other_Data!A24:E88,3,FALSE))</f>
        <v>547</v>
      </c>
      <c r="M34" s="25">
        <f t="shared" si="3"/>
        <v>0.38466947960618847</v>
      </c>
      <c r="N34" s="1">
        <f>IF(ISNA(VLOOKUP($A34,Burial_Data!$A$2:$C$65,2,FALSE)),"0",VLOOKUP($A34,Burial_Data!$A$2:$C$65,2,FALSE))</f>
        <v>4</v>
      </c>
      <c r="O34" s="354">
        <f>IF(ISNA(VLOOKUP($A34,Accrued_Data!$A$2:$D$67,3,FALSE)),"0",VLOOKUP($A34,Accrued_Data!$A$2:$D$67,3,FALSE))</f>
        <v>41</v>
      </c>
      <c r="P34" s="303">
        <v>6336</v>
      </c>
      <c r="Q34" s="268"/>
    </row>
    <row r="35" spans="1:17" ht="12" customHeight="1">
      <c r="A35" t="s">
        <v>468</v>
      </c>
      <c r="B35" s="302">
        <f>IF(ISNA(VLOOKUP(A35,Entitlement_Data!A$3:C$64,2,FALSE)),"0",VLOOKUP(A35,Entitlement_Data!A$3:C$64,2,FALSE))</f>
        <v>28435</v>
      </c>
      <c r="C35" s="302">
        <f>IF(ISNA(VLOOKUP(A35,Entitlement_Data!A$3:D$64,3,FALSE)),"0",VLOOKUP(A35,Entitlement_Data!A$3:D$64,3,FALSE))</f>
        <v>20892</v>
      </c>
      <c r="D35" s="25">
        <f t="shared" si="0"/>
        <v>0.7347283277650782</v>
      </c>
      <c r="E35" s="354">
        <f>IF(ISNA(VLOOKUP(A35,'Award Adjustment_Data'!A$2:F$68,3,FALSE)),"0",VLOOKUP(A35,'Award Adjustment_Data'!A$2:F$68,3,FALSE))</f>
        <v>10690</v>
      </c>
      <c r="F35" s="354">
        <f>IF(ISNA(VLOOKUP(A35,'Award Adjustment_Data'!A$2:G$68,4,FALSE)),"0",VLOOKUP(A35,'Award Adjustment_Data'!A$2:G$68,4,FALSE))</f>
        <v>7041</v>
      </c>
      <c r="G35" s="25">
        <f t="shared" si="1"/>
        <v>0.6586529466791394</v>
      </c>
      <c r="H35" s="1">
        <f>IF(ISNA(VLOOKUP(A35,Program_Review_Data!A25:E89,2,FALSE)),"0",VLOOKUP(A35,Program_Review_Data!A25:E89,2,FALSE))</f>
        <v>504</v>
      </c>
      <c r="I35" s="1">
        <f>IF(ISNA(VLOOKUP($A35,Program_Review_Data!A25:F89,3,FALSE)),"0",VLOOKUP($A35,Program_Review_Data!A25:F89,3,FALSE))</f>
        <v>299</v>
      </c>
      <c r="J35" s="25">
        <f t="shared" si="2"/>
        <v>0.5932539682539683</v>
      </c>
      <c r="K35" s="268">
        <f>IF(ISNA(VLOOKUP($A35,Other_Data!A25:E89,2,FALSE)),"0",VLOOKUP($A35,Other_Data!A25:E89,2,FALSE))</f>
        <v>2626</v>
      </c>
      <c r="L35" s="1">
        <f>IF(ISNA(VLOOKUP($A35,Other_Data!A25:E89,3,FALSE)),"0",VLOOKUP($A35,Other_Data!A25:E89,3,FALSE))</f>
        <v>1808</v>
      </c>
      <c r="M35" s="25">
        <f t="shared" si="3"/>
        <v>0.6884996191926885</v>
      </c>
      <c r="N35" s="1">
        <f>IF(ISNA(VLOOKUP($A35,Burial_Data!$A$2:$C$65,2,FALSE)),"0",VLOOKUP($A35,Burial_Data!$A$2:$C$65,2,FALSE))</f>
        <v>3</v>
      </c>
      <c r="O35" s="354">
        <f>IF(ISNA(VLOOKUP($A35,Accrued_Data!$A$2:$D$67,3,FALSE)),"0",VLOOKUP($A35,Accrued_Data!$A$2:$D$67,3,FALSE))</f>
        <v>15</v>
      </c>
      <c r="P35" s="303">
        <v>6620</v>
      </c>
      <c r="Q35" s="268"/>
    </row>
    <row r="36" spans="1:17" ht="12" customHeight="1">
      <c r="A36" t="s">
        <v>471</v>
      </c>
      <c r="B36" s="302">
        <f>IF(ISNA(VLOOKUP(A36,Entitlement_Data!A$3:C$64,2,FALSE)),"0",VLOOKUP(A36,Entitlement_Data!A$3:C$64,2,FALSE))</f>
        <v>5139</v>
      </c>
      <c r="C36" s="302">
        <f>IF(ISNA(VLOOKUP(A36,Entitlement_Data!A$3:D$64,3,FALSE)),"0",VLOOKUP(A36,Entitlement_Data!A$3:D$64,3,FALSE))</f>
        <v>3456</v>
      </c>
      <c r="D36" s="25">
        <f t="shared" si="0"/>
        <v>0.6725043782837128</v>
      </c>
      <c r="E36" s="354">
        <f>IF(ISNA(VLOOKUP(A36,'Award Adjustment_Data'!A$2:F$68,3,FALSE)),"0",VLOOKUP(A36,'Award Adjustment_Data'!A$2:F$68,3,FALSE))</f>
        <v>2105</v>
      </c>
      <c r="F36" s="354">
        <f>IF(ISNA(VLOOKUP(A36,'Award Adjustment_Data'!A$2:G$68,4,FALSE)),"0",VLOOKUP(A36,'Award Adjustment_Data'!A$2:G$68,4,FALSE))</f>
        <v>1152</v>
      </c>
      <c r="G36" s="25">
        <f t="shared" si="1"/>
        <v>0.5472684085510688</v>
      </c>
      <c r="H36" s="1">
        <f>IF(ISNA(VLOOKUP(A36,Program_Review_Data!A26:E90,2,FALSE)),"0",VLOOKUP(A36,Program_Review_Data!A26:E90,2,FALSE))</f>
        <v>192</v>
      </c>
      <c r="I36" s="1">
        <f>IF(ISNA(VLOOKUP($A36,Program_Review_Data!A26:F90,3,FALSE)),"0",VLOOKUP($A36,Program_Review_Data!A26:F90,3,FALSE))</f>
        <v>139</v>
      </c>
      <c r="J36" s="25">
        <f t="shared" si="2"/>
        <v>0.7239583333333334</v>
      </c>
      <c r="K36" s="268">
        <f>IF(ISNA(VLOOKUP($A36,Other_Data!A26:E90,2,FALSE)),"0",VLOOKUP($A36,Other_Data!A26:E90,2,FALSE))</f>
        <v>949</v>
      </c>
      <c r="L36" s="1">
        <f>IF(ISNA(VLOOKUP($A36,Other_Data!A26:E90,3,FALSE)),"0",VLOOKUP($A36,Other_Data!A26:E90,3,FALSE))</f>
        <v>775</v>
      </c>
      <c r="M36" s="25">
        <f t="shared" si="3"/>
        <v>0.8166491043203372</v>
      </c>
      <c r="N36" s="1">
        <f>IF(ISNA(VLOOKUP($A36,Burial_Data!$A$2:$C$65,2,FALSE)),"0",VLOOKUP($A36,Burial_Data!$A$2:$C$65,2,FALSE))</f>
        <v>0</v>
      </c>
      <c r="O36" s="354" t="str">
        <f>IF(ISNA(VLOOKUP($A36,Accrued_Data!$A$2:$D$67,3,FALSE)),"0",VLOOKUP($A36,Accrued_Data!$A$2:$D$67,3,FALSE))</f>
        <v>0</v>
      </c>
      <c r="P36" s="303">
        <v>4976</v>
      </c>
      <c r="Q36" s="268"/>
    </row>
    <row r="37" spans="1:17" ht="12" customHeight="1">
      <c r="A37" t="s">
        <v>476</v>
      </c>
      <c r="B37" s="302">
        <f>IF(ISNA(VLOOKUP(A37,Entitlement_Data!A$3:C$64,2,FALSE)),"0",VLOOKUP(A37,Entitlement_Data!A$3:C$64,2,FALSE))</f>
        <v>46968</v>
      </c>
      <c r="C37" s="302">
        <f>IF(ISNA(VLOOKUP(A37,Entitlement_Data!A$3:D$64,3,FALSE)),"0",VLOOKUP(A37,Entitlement_Data!A$3:D$64,3,FALSE))</f>
        <v>30009</v>
      </c>
      <c r="D37" s="25">
        <f t="shared" si="0"/>
        <v>0.6389243740419008</v>
      </c>
      <c r="E37" s="354">
        <f>IF(ISNA(VLOOKUP(A37,'Award Adjustment_Data'!A$2:F$68,3,FALSE)),"0",VLOOKUP(A37,'Award Adjustment_Data'!A$2:F$68,3,FALSE))</f>
        <v>14405</v>
      </c>
      <c r="F37" s="354">
        <f>IF(ISNA(VLOOKUP(A37,'Award Adjustment_Data'!A$2:G$68,4,FALSE)),"0",VLOOKUP(A37,'Award Adjustment_Data'!A$2:G$68,4,FALSE))</f>
        <v>7996</v>
      </c>
      <c r="G37" s="25">
        <f t="shared" si="1"/>
        <v>0.5550850399166956</v>
      </c>
      <c r="H37" s="1">
        <f>IF(ISNA(VLOOKUP(A37,Program_Review_Data!A27:E91,2,FALSE)),"0",VLOOKUP(A37,Program_Review_Data!A27:E91,2,FALSE))</f>
        <v>1019</v>
      </c>
      <c r="I37" s="1">
        <f>IF(ISNA(VLOOKUP($A37,Program_Review_Data!A27:F91,3,FALSE)),"0",VLOOKUP($A37,Program_Review_Data!A27:F91,3,FALSE))</f>
        <v>449</v>
      </c>
      <c r="J37" s="25">
        <f t="shared" si="2"/>
        <v>0.44062806673209026</v>
      </c>
      <c r="K37" s="268">
        <f>IF(ISNA(VLOOKUP($A37,Other_Data!A27:E91,2,FALSE)),"0",VLOOKUP($A37,Other_Data!A27:E91,2,FALSE))</f>
        <v>2690</v>
      </c>
      <c r="L37" s="1">
        <f>IF(ISNA(VLOOKUP($A37,Other_Data!A27:E91,3,FALSE)),"0",VLOOKUP($A37,Other_Data!A27:E91,3,FALSE))</f>
        <v>1604</v>
      </c>
      <c r="M37" s="25">
        <f t="shared" si="3"/>
        <v>0.5962825278810409</v>
      </c>
      <c r="N37" s="1">
        <f>IF(ISNA(VLOOKUP($A37,Burial_Data!$A$2:$C$65,2,FALSE)),"0",VLOOKUP($A37,Burial_Data!$A$2:$C$65,2,FALSE))</f>
        <v>14</v>
      </c>
      <c r="O37" s="354">
        <f>IF(ISNA(VLOOKUP($A37,Accrued_Data!$A$2:$D$67,3,FALSE)),"0",VLOOKUP($A37,Accrued_Data!$A$2:$D$67,3,FALSE))</f>
        <v>91</v>
      </c>
      <c r="P37" s="303">
        <v>20436</v>
      </c>
      <c r="Q37" s="268"/>
    </row>
    <row r="38" spans="1:17" ht="12" customHeight="1">
      <c r="A38" t="s">
        <v>479</v>
      </c>
      <c r="B38" s="302">
        <f>IF(ISNA(VLOOKUP(A38,Entitlement_Data!A$3:C$64,2,FALSE)),"0",VLOOKUP(A38,Entitlement_Data!A$3:C$64,2,FALSE))</f>
        <v>126</v>
      </c>
      <c r="C38" s="302">
        <f>IF(ISNA(VLOOKUP(A38,Entitlement_Data!A$3:D$64,3,FALSE)),"0",VLOOKUP(A38,Entitlement_Data!A$3:D$64,3,FALSE))</f>
        <v>63</v>
      </c>
      <c r="D38" s="25">
        <f t="shared" si="0"/>
        <v>0.5</v>
      </c>
      <c r="E38" s="354">
        <f>IF(ISNA(VLOOKUP(A38,'Award Adjustment_Data'!A$2:F$68,3,FALSE)),"0",VLOOKUP(A38,'Award Adjustment_Data'!A$2:F$68,3,FALSE))</f>
        <v>52</v>
      </c>
      <c r="F38" s="354">
        <f>IF(ISNA(VLOOKUP(A38,'Award Adjustment_Data'!A$2:G$68,4,FALSE)),"0",VLOOKUP(A38,'Award Adjustment_Data'!A$2:G$68,4,FALSE))</f>
        <v>46</v>
      </c>
      <c r="G38" s="25">
        <f t="shared" si="1"/>
        <v>0.8846153846153846</v>
      </c>
      <c r="H38" s="1">
        <f>IF(ISNA(VLOOKUP(A38,Program_Review_Data!A28:E92,2,FALSE)),"0",VLOOKUP(A38,Program_Review_Data!A28:E92,2,FALSE))</f>
        <v>40</v>
      </c>
      <c r="I38" s="1">
        <f>IF(ISNA(VLOOKUP($A38,Program_Review_Data!A28:F92,3,FALSE)),"0",VLOOKUP($A38,Program_Review_Data!A28:F92,3,FALSE))</f>
        <v>29</v>
      </c>
      <c r="J38" s="25">
        <f t="shared" si="2"/>
        <v>0.725</v>
      </c>
      <c r="K38" s="268">
        <f>IF(ISNA(VLOOKUP($A38,Other_Data!A28:E92,2,FALSE)),"0",VLOOKUP($A38,Other_Data!A28:E92,2,FALSE))</f>
        <v>1097</v>
      </c>
      <c r="L38" s="1">
        <f>IF(ISNA(VLOOKUP($A38,Other_Data!A28:E92,3,FALSE)),"0",VLOOKUP($A38,Other_Data!A28:E92,3,FALSE))</f>
        <v>1091</v>
      </c>
      <c r="M38" s="25">
        <f t="shared" si="3"/>
        <v>0.9945305378304466</v>
      </c>
      <c r="N38" s="1">
        <f>IF(ISNA(VLOOKUP($A38,Burial_Data!$A$2:$C$65,2,FALSE)),"0",VLOOKUP($A38,Burial_Data!$A$2:$C$65,2,FALSE))</f>
        <v>0</v>
      </c>
      <c r="O38" s="354" t="str">
        <f>IF(ISNA(VLOOKUP($A38,Accrued_Data!$A$2:$D$67,3,FALSE)),"0",VLOOKUP($A38,Accrued_Data!$A$2:$D$67,3,FALSE))</f>
        <v>0</v>
      </c>
      <c r="P38" s="303">
        <v>0</v>
      </c>
      <c r="Q38" s="268"/>
    </row>
    <row r="39" spans="1:17" ht="12" customHeight="1">
      <c r="A39" s="328" t="s">
        <v>484</v>
      </c>
      <c r="B39" s="335">
        <f>IF(ISNA(VLOOKUP(A39,Entitlement_Data!A$3:C$64,2,FALSE)),"0",VLOOKUP(A39,Entitlement_Data!A$3:C$64,2,FALSE))</f>
        <v>47385</v>
      </c>
      <c r="C39" s="335">
        <f>IF(ISNA(VLOOKUP(A39,Entitlement_Data!A$3:D$64,3,FALSE)),"0",VLOOKUP(A39,Entitlement_Data!A$3:D$64,3,FALSE))</f>
        <v>30108</v>
      </c>
      <c r="D39" s="32">
        <f t="shared" si="0"/>
        <v>0.6353909465020576</v>
      </c>
      <c r="E39" s="355">
        <f>IF(ISNA(VLOOKUP(A39,'Award Adjustment_Data'!A$2:F$68,3,FALSE)),"0",VLOOKUP(A39,'Award Adjustment_Data'!A$2:F$68,3,FALSE))</f>
        <v>25187</v>
      </c>
      <c r="F39" s="355">
        <f>IF(ISNA(VLOOKUP(A39,'Award Adjustment_Data'!A$2:G$68,4,FALSE)),"0",VLOOKUP(A39,'Award Adjustment_Data'!A$2:G$68,4,FALSE))</f>
        <v>18951</v>
      </c>
      <c r="G39" s="32">
        <f t="shared" si="1"/>
        <v>0.7524119585500456</v>
      </c>
      <c r="H39" s="33">
        <f>IF(ISNA(VLOOKUP(A39,Program_Review_Data!A29:E93,2,FALSE)),"0",VLOOKUP(A39,Program_Review_Data!A29:E93,2,FALSE))</f>
        <v>5676</v>
      </c>
      <c r="I39" s="33">
        <f>IF(ISNA(VLOOKUP($A39,Program_Review_Data!A29:F93,3,FALSE)),"0",VLOOKUP($A39,Program_Review_Data!A29:F93,3,FALSE))</f>
        <v>5274</v>
      </c>
      <c r="J39" s="32">
        <f t="shared" si="2"/>
        <v>0.9291754756871036</v>
      </c>
      <c r="K39" s="270">
        <f>IF(ISNA(VLOOKUP($A39,Other_Data!A29:E93,2,FALSE)),"0",VLOOKUP($A39,Other_Data!A29:E93,2,FALSE))</f>
        <v>2939</v>
      </c>
      <c r="L39" s="33">
        <f>IF(ISNA(VLOOKUP($A39,Other_Data!A29:E93,3,FALSE)),"0",VLOOKUP($A39,Other_Data!A29:E93,3,FALSE))</f>
        <v>1453</v>
      </c>
      <c r="M39" s="32">
        <f t="shared" si="3"/>
        <v>0.494385845525689</v>
      </c>
      <c r="N39" s="33">
        <f>IF(ISNA(VLOOKUP($A39,Burial_Data!$A$2:$C$65,2,FALSE)),"0",VLOOKUP($A39,Burial_Data!$A$2:$C$65,2,FALSE))</f>
        <v>2</v>
      </c>
      <c r="O39" s="355">
        <f>IF(ISNA(VLOOKUP($A39,Accrued_Data!$A$2:$D$67,3,FALSE)),"0",VLOOKUP($A39,Accrued_Data!$A$2:$D$67,3,FALSE))</f>
        <v>5</v>
      </c>
      <c r="P39" s="309">
        <v>11225</v>
      </c>
      <c r="Q39" s="295"/>
    </row>
    <row r="40" spans="1:17" ht="12" customHeight="1">
      <c r="A40" t="s">
        <v>435</v>
      </c>
      <c r="B40" s="302">
        <f>IF(ISNA(VLOOKUP(A40,Entitlement_Data!A$3:C$64,2,FALSE)),"0",VLOOKUP(A40,Entitlement_Data!A$3:C$64,2,FALSE))</f>
        <v>21334</v>
      </c>
      <c r="C40" s="302">
        <f>IF(ISNA(VLOOKUP(A40,Entitlement_Data!A$3:D$64,3,FALSE)),"0",VLOOKUP(A40,Entitlement_Data!A$3:D$64,3,FALSE))</f>
        <v>17064</v>
      </c>
      <c r="D40" s="25">
        <f t="shared" si="0"/>
        <v>0.7998500046873536</v>
      </c>
      <c r="E40" s="354">
        <f>IF(ISNA(VLOOKUP(A40,'Award Adjustment_Data'!A$2:F$68,3,FALSE)),"0",VLOOKUP(A40,'Award Adjustment_Data'!A$2:F$68,3,FALSE))</f>
        <v>5388</v>
      </c>
      <c r="F40" s="354">
        <f>IF(ISNA(VLOOKUP(A40,'Award Adjustment_Data'!A$2:G$68,4,FALSE)),"0",VLOOKUP(A40,'Award Adjustment_Data'!A$2:G$68,4,FALSE))</f>
        <v>4478</v>
      </c>
      <c r="G40" s="25">
        <f t="shared" si="1"/>
        <v>0.8311061618411284</v>
      </c>
      <c r="H40" s="1">
        <f>IF(ISNA(VLOOKUP(A40,Program_Review_Data!A30:E94,2,FALSE)),"0",VLOOKUP(A40,Program_Review_Data!A30:E94,2,FALSE))</f>
        <v>844</v>
      </c>
      <c r="I40" s="1">
        <f>IF(ISNA(VLOOKUP($A40,Program_Review_Data!A30:F94,3,FALSE)),"0",VLOOKUP($A40,Program_Review_Data!A30:F94,3,FALSE))</f>
        <v>699</v>
      </c>
      <c r="J40" s="25">
        <f t="shared" si="2"/>
        <v>0.8281990521327014</v>
      </c>
      <c r="K40" s="268">
        <f>IF(ISNA(VLOOKUP($A40,Other_Data!A30:E94,2,FALSE)),"0",VLOOKUP($A40,Other_Data!A30:E94,2,FALSE))</f>
        <v>2871</v>
      </c>
      <c r="L40" s="1">
        <f>IF(ISNA(VLOOKUP($A40,Other_Data!A30:E94,3,FALSE)),"0",VLOOKUP($A40,Other_Data!A30:E94,3,FALSE))</f>
        <v>2291</v>
      </c>
      <c r="M40" s="25">
        <f t="shared" si="3"/>
        <v>0.797979797979798</v>
      </c>
      <c r="N40" s="1">
        <f>IF(ISNA(VLOOKUP($A40,Burial_Data!$A$2:$C$65,2,FALSE)),"0",VLOOKUP($A40,Burial_Data!$A$2:$C$65,2,FALSE))</f>
        <v>10</v>
      </c>
      <c r="O40" s="354">
        <f>IF(ISNA(VLOOKUP($A40,Accrued_Data!$A$2:$D$67,3,FALSE)),"0",VLOOKUP($A40,Accrued_Data!$A$2:$D$67,3,FALSE))</f>
        <v>129</v>
      </c>
      <c r="P40" s="303">
        <v>5650</v>
      </c>
      <c r="Q40" s="268"/>
    </row>
    <row r="41" spans="1:17" ht="12" customHeight="1">
      <c r="A41" t="s">
        <v>439</v>
      </c>
      <c r="B41" s="302">
        <f>IF(ISNA(VLOOKUP(A41,Entitlement_Data!A$3:C$64,2,FALSE)),"0",VLOOKUP(A41,Entitlement_Data!A$3:C$64,2,FALSE))</f>
        <v>7096</v>
      </c>
      <c r="C41" s="302">
        <f>IF(ISNA(VLOOKUP(A41,Entitlement_Data!A$3:D$64,3,FALSE)),"0",VLOOKUP(A41,Entitlement_Data!A$3:D$64,3,FALSE))</f>
        <v>4877</v>
      </c>
      <c r="D41" s="25">
        <f t="shared" si="0"/>
        <v>0.6872886133032694</v>
      </c>
      <c r="E41" s="354">
        <f>IF(ISNA(VLOOKUP(A41,'Award Adjustment_Data'!A$2:F$68,3,FALSE)),"0",VLOOKUP(A41,'Award Adjustment_Data'!A$2:F$68,3,FALSE))</f>
        <v>2301</v>
      </c>
      <c r="F41" s="354">
        <f>IF(ISNA(VLOOKUP(A41,'Award Adjustment_Data'!A$2:G$68,4,FALSE)),"0",VLOOKUP(A41,'Award Adjustment_Data'!A$2:G$68,4,FALSE))</f>
        <v>1203</v>
      </c>
      <c r="G41" s="25">
        <f t="shared" si="1"/>
        <v>0.5228161668839635</v>
      </c>
      <c r="H41" s="1">
        <f>IF(ISNA(VLOOKUP(A41,Program_Review_Data!A31:E95,2,FALSE)),"0",VLOOKUP(A41,Program_Review_Data!A31:E95,2,FALSE))</f>
        <v>187</v>
      </c>
      <c r="I41" s="1">
        <f>IF(ISNA(VLOOKUP($A41,Program_Review_Data!A31:F95,3,FALSE)),"0",VLOOKUP($A41,Program_Review_Data!A31:F95,3,FALSE))</f>
        <v>99</v>
      </c>
      <c r="J41" s="25">
        <f t="shared" si="2"/>
        <v>0.5294117647058824</v>
      </c>
      <c r="K41" s="268">
        <f>IF(ISNA(VLOOKUP($A41,Other_Data!A31:E95,2,FALSE)),"0",VLOOKUP($A41,Other_Data!A31:E95,2,FALSE))</f>
        <v>284</v>
      </c>
      <c r="L41" s="1">
        <f>IF(ISNA(VLOOKUP($A41,Other_Data!A31:E95,3,FALSE)),"0",VLOOKUP($A41,Other_Data!A31:E95,3,FALSE))</f>
        <v>230</v>
      </c>
      <c r="M41" s="25">
        <f t="shared" si="3"/>
        <v>0.8098591549295775</v>
      </c>
      <c r="N41" s="1">
        <f>IF(ISNA(VLOOKUP($A41,Burial_Data!$A$2:$C$65,2,FALSE)),"0",VLOOKUP($A41,Burial_Data!$A$2:$C$65,2,FALSE))</f>
        <v>0</v>
      </c>
      <c r="O41" s="354">
        <f>IF(ISNA(VLOOKUP($A41,Accrued_Data!$A$2:$D$67,3,FALSE)),"0",VLOOKUP($A41,Accrued_Data!$A$2:$D$67,3,FALSE))</f>
        <v>2</v>
      </c>
      <c r="P41" s="303">
        <v>1262</v>
      </c>
      <c r="Q41" s="268"/>
    </row>
    <row r="42" spans="1:17" ht="12" customHeight="1">
      <c r="A42" t="s">
        <v>441</v>
      </c>
      <c r="B42" s="302">
        <f>IF(ISNA(VLOOKUP(A42,Entitlement_Data!A$3:C$64,2,FALSE)),"0",VLOOKUP(A42,Entitlement_Data!A$3:C$64,2,FALSE))</f>
        <v>1045</v>
      </c>
      <c r="C42" s="302">
        <f>IF(ISNA(VLOOKUP(A42,Entitlement_Data!A$3:D$64,3,FALSE)),"0",VLOOKUP(A42,Entitlement_Data!A$3:D$64,3,FALSE))</f>
        <v>299</v>
      </c>
      <c r="D42" s="25">
        <f t="shared" si="0"/>
        <v>0.2861244019138756</v>
      </c>
      <c r="E42" s="354">
        <f>IF(ISNA(VLOOKUP(A42,'Award Adjustment_Data'!A$2:F$68,3,FALSE)),"0",VLOOKUP(A42,'Award Adjustment_Data'!A$2:F$68,3,FALSE))</f>
        <v>512</v>
      </c>
      <c r="F42" s="354">
        <f>IF(ISNA(VLOOKUP(A42,'Award Adjustment_Data'!A$2:G$68,4,FALSE)),"0",VLOOKUP(A42,'Award Adjustment_Data'!A$2:G$68,4,FALSE))</f>
        <v>28</v>
      </c>
      <c r="G42" s="25">
        <f t="shared" si="1"/>
        <v>0.0546875</v>
      </c>
      <c r="H42" s="1">
        <f>IF(ISNA(VLOOKUP(A42,Program_Review_Data!A32:E96,2,FALSE)),"0",VLOOKUP(A42,Program_Review_Data!A32:E96,2,FALSE))</f>
        <v>65</v>
      </c>
      <c r="I42" s="1">
        <f>IF(ISNA(VLOOKUP($A42,Program_Review_Data!A32:F96,3,FALSE)),"0",VLOOKUP($A42,Program_Review_Data!A32:F96,3,FALSE))</f>
        <v>18</v>
      </c>
      <c r="J42" s="25">
        <f t="shared" si="2"/>
        <v>0.27692307692307694</v>
      </c>
      <c r="K42" s="268">
        <f>IF(ISNA(VLOOKUP($A42,Other_Data!A32:E96,2,FALSE)),"0",VLOOKUP($A42,Other_Data!A32:E96,2,FALSE))</f>
        <v>61</v>
      </c>
      <c r="L42" s="1">
        <f>IF(ISNA(VLOOKUP($A42,Other_Data!A32:E96,3,FALSE)),"0",VLOOKUP($A42,Other_Data!A32:E96,3,FALSE))</f>
        <v>25</v>
      </c>
      <c r="M42" s="25">
        <f t="shared" si="3"/>
        <v>0.4098360655737705</v>
      </c>
      <c r="N42" s="1">
        <f>IF(ISNA(VLOOKUP($A42,Burial_Data!$A$2:$C$65,2,FALSE)),"0",VLOOKUP($A42,Burial_Data!$A$2:$C$65,2,FALSE))</f>
        <v>0</v>
      </c>
      <c r="O42" s="354" t="str">
        <f>IF(ISNA(VLOOKUP($A42,Accrued_Data!$A$2:$D$67,3,FALSE)),"0",VLOOKUP($A42,Accrued_Data!$A$2:$D$67,3,FALSE))</f>
        <v>0</v>
      </c>
      <c r="P42" s="303">
        <v>327</v>
      </c>
      <c r="Q42" s="268"/>
    </row>
    <row r="43" spans="1:17" ht="12" customHeight="1">
      <c r="A43" t="s">
        <v>445</v>
      </c>
      <c r="B43" s="302">
        <f>IF(ISNA(VLOOKUP(A43,Entitlement_Data!A$3:C$64,2,FALSE)),"0",VLOOKUP(A43,Entitlement_Data!A$3:C$64,2,FALSE))</f>
        <v>37709</v>
      </c>
      <c r="C43" s="302">
        <f>IF(ISNA(VLOOKUP(A43,Entitlement_Data!A$3:D$64,3,FALSE)),"0",VLOOKUP(A43,Entitlement_Data!A$3:D$64,3,FALSE))</f>
        <v>27905</v>
      </c>
      <c r="D43" s="25">
        <f t="shared" si="0"/>
        <v>0.7400090164151794</v>
      </c>
      <c r="E43" s="354">
        <f>IF(ISNA(VLOOKUP(A43,'Award Adjustment_Data'!A$2:F$68,3,FALSE)),"0",VLOOKUP(A43,'Award Adjustment_Data'!A$2:F$68,3,FALSE))</f>
        <v>14488</v>
      </c>
      <c r="F43" s="354">
        <f>IF(ISNA(VLOOKUP(A43,'Award Adjustment_Data'!A$2:G$68,4,FALSE)),"0",VLOOKUP(A43,'Award Adjustment_Data'!A$2:G$68,4,FALSE))</f>
        <v>10084</v>
      </c>
      <c r="G43" s="25">
        <f t="shared" si="1"/>
        <v>0.6960242959690779</v>
      </c>
      <c r="H43" s="1">
        <f>IF(ISNA(VLOOKUP(A43,Program_Review_Data!A33:E97,2,FALSE)),"0",VLOOKUP(A43,Program_Review_Data!A33:E97,2,FALSE))</f>
        <v>1082</v>
      </c>
      <c r="I43" s="1">
        <f>IF(ISNA(VLOOKUP($A43,Program_Review_Data!A33:F97,3,FALSE)),"0",VLOOKUP($A43,Program_Review_Data!A33:F97,3,FALSE))</f>
        <v>918</v>
      </c>
      <c r="J43" s="25">
        <f t="shared" si="2"/>
        <v>0.8484288354898336</v>
      </c>
      <c r="K43" s="268">
        <f>IF(ISNA(VLOOKUP($A43,Other_Data!A33:E97,2,FALSE)),"0",VLOOKUP($A43,Other_Data!A33:E97,2,FALSE))</f>
        <v>6194</v>
      </c>
      <c r="L43" s="1">
        <f>IF(ISNA(VLOOKUP($A43,Other_Data!A33:E97,3,FALSE)),"0",VLOOKUP($A43,Other_Data!A33:E97,3,FALSE))</f>
        <v>4919</v>
      </c>
      <c r="M43" s="25">
        <f t="shared" si="3"/>
        <v>0.7941556344849855</v>
      </c>
      <c r="N43" s="1">
        <f>IF(ISNA(VLOOKUP($A43,Burial_Data!$A$2:$C$65,2,FALSE)),"0",VLOOKUP($A43,Burial_Data!$A$2:$C$65,2,FALSE))</f>
        <v>6</v>
      </c>
      <c r="O43" s="354">
        <f>IF(ISNA(VLOOKUP($A43,Accrued_Data!$A$2:$D$67,3,FALSE)),"0",VLOOKUP($A43,Accrued_Data!$A$2:$D$67,3,FALSE))</f>
        <v>4</v>
      </c>
      <c r="P43" s="303">
        <v>13957</v>
      </c>
      <c r="Q43" s="268"/>
    </row>
    <row r="44" spans="1:17" ht="12" customHeight="1">
      <c r="A44" t="s">
        <v>449</v>
      </c>
      <c r="B44" s="302">
        <f>IF(ISNA(VLOOKUP(A44,Entitlement_Data!A$3:C$64,2,FALSE)),"0",VLOOKUP(A44,Entitlement_Data!A$3:C$64,2,FALSE))</f>
        <v>4797</v>
      </c>
      <c r="C44" s="302">
        <f>IF(ISNA(VLOOKUP(A44,Entitlement_Data!A$3:D$64,3,FALSE)),"0",VLOOKUP(A44,Entitlement_Data!A$3:D$64,3,FALSE))</f>
        <v>1541</v>
      </c>
      <c r="D44" s="25">
        <f t="shared" si="0"/>
        <v>0.3212424431936627</v>
      </c>
      <c r="E44" s="354">
        <f>IF(ISNA(VLOOKUP(A44,'Award Adjustment_Data'!A$2:F$68,3,FALSE)),"0",VLOOKUP(A44,'Award Adjustment_Data'!A$2:F$68,3,FALSE))</f>
        <v>1812</v>
      </c>
      <c r="F44" s="354">
        <f>IF(ISNA(VLOOKUP(A44,'Award Adjustment_Data'!A$2:G$68,4,FALSE)),"0",VLOOKUP(A44,'Award Adjustment_Data'!A$2:G$68,4,FALSE))</f>
        <v>269</v>
      </c>
      <c r="G44" s="25">
        <f t="shared" si="1"/>
        <v>0.14845474613686535</v>
      </c>
      <c r="H44" s="1">
        <f>IF(ISNA(VLOOKUP(A44,Program_Review_Data!A34:E98,2,FALSE)),"0",VLOOKUP(A44,Program_Review_Data!A34:E98,2,FALSE))</f>
        <v>215</v>
      </c>
      <c r="I44" s="1">
        <f>IF(ISNA(VLOOKUP($A44,Program_Review_Data!A34:F98,3,FALSE)),"0",VLOOKUP($A44,Program_Review_Data!A34:F98,3,FALSE))</f>
        <v>49</v>
      </c>
      <c r="J44" s="25">
        <f t="shared" si="2"/>
        <v>0.22790697674418606</v>
      </c>
      <c r="K44" s="268">
        <f>IF(ISNA(VLOOKUP($A44,Other_Data!A34:E98,2,FALSE)),"0",VLOOKUP($A44,Other_Data!A34:E98,2,FALSE))</f>
        <v>540</v>
      </c>
      <c r="L44" s="1">
        <f>IF(ISNA(VLOOKUP($A44,Other_Data!A34:E98,3,FALSE)),"0",VLOOKUP($A44,Other_Data!A34:E98,3,FALSE))</f>
        <v>207</v>
      </c>
      <c r="M44" s="25">
        <f t="shared" si="3"/>
        <v>0.38333333333333336</v>
      </c>
      <c r="N44" s="1">
        <f>IF(ISNA(VLOOKUP($A44,Burial_Data!$A$2:$C$65,2,FALSE)),"0",VLOOKUP($A44,Burial_Data!$A$2:$C$65,2,FALSE))</f>
        <v>0</v>
      </c>
      <c r="O44" s="354" t="str">
        <f>IF(ISNA(VLOOKUP($A44,Accrued_Data!$A$2:$D$67,3,FALSE)),"0",VLOOKUP($A44,Accrued_Data!$A$2:$D$67,3,FALSE))</f>
        <v>0</v>
      </c>
      <c r="P44" s="303">
        <v>1534</v>
      </c>
      <c r="Q44" s="268"/>
    </row>
    <row r="45" spans="1:17" ht="12" customHeight="1">
      <c r="A45" t="s">
        <v>450</v>
      </c>
      <c r="B45" s="302">
        <f>IF(ISNA(VLOOKUP(A45,Entitlement_Data!A$3:C$64,2,FALSE)),"0",VLOOKUP(A45,Entitlement_Data!A$3:C$64,2,FALSE))</f>
        <v>8201</v>
      </c>
      <c r="C45" s="302">
        <f>IF(ISNA(VLOOKUP(A45,Entitlement_Data!A$3:D$64,3,FALSE)),"0",VLOOKUP(A45,Entitlement_Data!A$3:D$64,3,FALSE))</f>
        <v>5145</v>
      </c>
      <c r="D45" s="25">
        <f t="shared" si="0"/>
        <v>0.627362516766248</v>
      </c>
      <c r="E45" s="354">
        <f>IF(ISNA(VLOOKUP(A45,'Award Adjustment_Data'!A$2:F$68,3,FALSE)),"0",VLOOKUP(A45,'Award Adjustment_Data'!A$2:F$68,3,FALSE))</f>
        <v>5569</v>
      </c>
      <c r="F45" s="354">
        <f>IF(ISNA(VLOOKUP(A45,'Award Adjustment_Data'!A$2:G$68,4,FALSE)),"0",VLOOKUP(A45,'Award Adjustment_Data'!A$2:G$68,4,FALSE))</f>
        <v>2530</v>
      </c>
      <c r="G45" s="25">
        <f t="shared" si="1"/>
        <v>0.4543005925659903</v>
      </c>
      <c r="H45" s="1">
        <f>IF(ISNA(VLOOKUP(A45,Program_Review_Data!A35:E99,2,FALSE)),"0",VLOOKUP(A45,Program_Review_Data!A35:E99,2,FALSE))</f>
        <v>1289</v>
      </c>
      <c r="I45" s="1">
        <f>IF(ISNA(VLOOKUP($A45,Program_Review_Data!A35:F99,3,FALSE)),"0",VLOOKUP($A45,Program_Review_Data!A35:F99,3,FALSE))</f>
        <v>833</v>
      </c>
      <c r="J45" s="25">
        <f t="shared" si="2"/>
        <v>0.6462373933281613</v>
      </c>
      <c r="K45" s="268">
        <f>IF(ISNA(VLOOKUP($A45,Other_Data!A35:E99,2,FALSE)),"0",VLOOKUP($A45,Other_Data!A35:E99,2,FALSE))</f>
        <v>1414</v>
      </c>
      <c r="L45" s="1">
        <f>IF(ISNA(VLOOKUP($A45,Other_Data!A35:E99,3,FALSE)),"0",VLOOKUP($A45,Other_Data!A35:E99,3,FALSE))</f>
        <v>1059</v>
      </c>
      <c r="M45" s="25">
        <f t="shared" si="3"/>
        <v>0.748939179632249</v>
      </c>
      <c r="N45" s="1">
        <f>IF(ISNA(VLOOKUP($A45,Burial_Data!$A$2:$C$65,2,FALSE)),"0",VLOOKUP($A45,Burial_Data!$A$2:$C$65,2,FALSE))</f>
        <v>2</v>
      </c>
      <c r="O45" s="354">
        <f>IF(ISNA(VLOOKUP($A45,Accrued_Data!$A$2:$D$67,3,FALSE)),"0",VLOOKUP($A45,Accrued_Data!$A$2:$D$67,3,FALSE))</f>
        <v>40</v>
      </c>
      <c r="P45" s="303">
        <v>5171</v>
      </c>
      <c r="Q45" s="268"/>
    </row>
    <row r="46" spans="1:17" ht="13.5">
      <c r="A46" s="325" t="s">
        <v>455</v>
      </c>
      <c r="B46" s="329">
        <f>IF(ISNA(VLOOKUP(A46,Entitlement_Data!A$3:C$64,2,FALSE)),"0",VLOOKUP(A46,Entitlement_Data!A$3:C$64,2,FALSE))+1</f>
        <v>10283</v>
      </c>
      <c r="C46" s="329">
        <f>IF(ISNA(VLOOKUP(A46,Entitlement_Data!A$3:D$64,3,FALSE)),"0",VLOOKUP(A46,Entitlement_Data!A$3:D$64,3,FALSE))+1</f>
        <v>3886</v>
      </c>
      <c r="D46" s="34">
        <f t="shared" si="0"/>
        <v>0.3779052805601478</v>
      </c>
      <c r="E46" s="329">
        <f>Award_Formulas!L3-Award_Formulas!O3</f>
        <v>3225</v>
      </c>
      <c r="F46" s="35">
        <f>Award_Formulas!L6-Award_Formulas!R3</f>
        <v>1023</v>
      </c>
      <c r="G46" s="34">
        <f t="shared" si="1"/>
        <v>0.3172093023255814</v>
      </c>
      <c r="H46" s="35">
        <f>IF(ISNA(VLOOKUP(A46,Program_Review_Data!A36:E100,2,FALSE)),"0",VLOOKUP(A46,Program_Review_Data!A36:E100,2,FALSE))</f>
        <v>1800</v>
      </c>
      <c r="I46" s="35">
        <f>IF(ISNA(VLOOKUP($A46,Program_Review_Data!A36:F100,3,FALSE)),"0",VLOOKUP($A46,Program_Review_Data!A36:F100,3,FALSE))</f>
        <v>319</v>
      </c>
      <c r="J46" s="34">
        <f t="shared" si="2"/>
        <v>0.17722222222222223</v>
      </c>
      <c r="K46" s="35">
        <f>IF(ISNA(VLOOKUP($A46,Other_Data!A36:E100,2,FALSE)),"0",VLOOKUP($A46,Other_Data!A36:E100,2,FALSE))</f>
        <v>657</v>
      </c>
      <c r="L46" s="35">
        <f>IF(ISNA(VLOOKUP($A46,Other_Data!A36:E100,3,FALSE)),"0",VLOOKUP($A46,Other_Data!A36:E100,3,FALSE))</f>
        <v>239</v>
      </c>
      <c r="M46" s="34">
        <f t="shared" si="3"/>
        <v>0.3637747336377473</v>
      </c>
      <c r="N46" s="35">
        <f>IF(ISNA(VLOOKUP($A46,Burial_Data!$A$2:$C$65,2,FALSE)),"0",VLOOKUP($A46,Burial_Data!$A$2:$C$65,2,FALSE))</f>
        <v>11537</v>
      </c>
      <c r="O46" s="171" t="s">
        <v>3</v>
      </c>
      <c r="P46" s="310">
        <v>3275</v>
      </c>
      <c r="Q46" s="302"/>
    </row>
    <row r="47" spans="1:17" ht="12.75">
      <c r="A47" t="s">
        <v>337</v>
      </c>
      <c r="B47" s="302">
        <f>IF(ISNA(VLOOKUP(A47,Entitlement_Data!A$3:C$64,2,FALSE)),"0",VLOOKUP(A47,Entitlement_Data!A$3:C$64,2,FALSE))+1</f>
        <v>17626</v>
      </c>
      <c r="C47" s="302">
        <f>IF(ISNA(VLOOKUP(A47,Entitlement_Data!A$3:D$64,3,FALSE)),"0",VLOOKUP(A47,Entitlement_Data!A$3:D$64,3,FALSE))+1</f>
        <v>8867</v>
      </c>
      <c r="D47" s="25">
        <f t="shared" si="0"/>
        <v>0.5030636559627822</v>
      </c>
      <c r="E47" s="354">
        <f>IF(ISNA(VLOOKUP(A47,'Award Adjustment_Data'!A$2:F$68,3,FALSE)),"0",VLOOKUP(A47,'Award Adjustment_Data'!A$2:F$68,3,FALSE))</f>
        <v>5551</v>
      </c>
      <c r="F47" s="354">
        <f>IF(ISNA(VLOOKUP(A47,'Award Adjustment_Data'!A$2:G$68,4,FALSE)),"0",VLOOKUP(A47,'Award Adjustment_Data'!A$2:G$68,4,FALSE))</f>
        <v>1080</v>
      </c>
      <c r="G47" s="25">
        <f t="shared" si="1"/>
        <v>0.1945595388218339</v>
      </c>
      <c r="H47" s="1">
        <f>IF(ISNA(VLOOKUP(A47,Program_Review_Data!A37:E101,2,FALSE)),"0",VLOOKUP(A47,Program_Review_Data!A37:E101,2,FALSE))</f>
        <v>830</v>
      </c>
      <c r="I47" s="1">
        <f>IF(ISNA(VLOOKUP($A47,Program_Review_Data!A37:F101,3,FALSE)),"0",VLOOKUP($A47,Program_Review_Data!A37:F101,3,FALSE))</f>
        <v>228</v>
      </c>
      <c r="J47" s="25">
        <f t="shared" si="2"/>
        <v>0.2746987951807229</v>
      </c>
      <c r="K47" s="268">
        <f>IF(ISNA(VLOOKUP($A47,Other_Data!A37:E101,2,FALSE)),"0",VLOOKUP($A47,Other_Data!A37:E101,2,FALSE))</f>
        <v>742</v>
      </c>
      <c r="L47" s="1">
        <f>IF(ISNA(VLOOKUP($A47,Other_Data!A37:E101,3,FALSE)),"0",VLOOKUP($A47,Other_Data!A37:E101,3,FALSE))</f>
        <v>384</v>
      </c>
      <c r="M47" s="25">
        <f t="shared" si="3"/>
        <v>0.5175202156334232</v>
      </c>
      <c r="N47" s="1">
        <f>IF(ISNA(VLOOKUP($A47,Burial_Data!$A$2:$C$65,2,FALSE)),"0",VLOOKUP($A47,Burial_Data!$A$2:$C$65,2,FALSE))</f>
        <v>1</v>
      </c>
      <c r="O47" s="354">
        <f>IF(ISNA(VLOOKUP($A47,Accrued_Data!$A$2:$D$67,3,FALSE)),"0",VLOOKUP($A47,Accrued_Data!$A$2:$D$67,3,FALSE))</f>
        <v>7</v>
      </c>
      <c r="P47" s="311">
        <v>3199</v>
      </c>
      <c r="Q47" s="268"/>
    </row>
    <row r="48" spans="1:17" ht="12.75">
      <c r="A48" t="s">
        <v>458</v>
      </c>
      <c r="B48" s="302">
        <f>IF(ISNA(VLOOKUP(A48,Entitlement_Data!A$3:C$64,2,FALSE)),"0",VLOOKUP(A48,Entitlement_Data!A$3:C$64,2,FALSE))</f>
        <v>14191</v>
      </c>
      <c r="C48" s="302">
        <f>IF(ISNA(VLOOKUP(A48,Entitlement_Data!A$3:D$64,3,FALSE)),"0",VLOOKUP(A48,Entitlement_Data!A$3:D$64,3,FALSE))</f>
        <v>9653</v>
      </c>
      <c r="D48" s="25">
        <f t="shared" si="0"/>
        <v>0.680219857656261</v>
      </c>
      <c r="E48" s="354">
        <f>IF(ISNA(VLOOKUP(A48,'Award Adjustment_Data'!A$2:F$68,3,FALSE)),"0",VLOOKUP(A48,'Award Adjustment_Data'!A$2:F$68,3,FALSE))</f>
        <v>5004</v>
      </c>
      <c r="F48" s="354">
        <f>IF(ISNA(VLOOKUP(A48,'Award Adjustment_Data'!A$2:G$68,4,FALSE)),"0",VLOOKUP(A48,'Award Adjustment_Data'!A$2:G$68,4,FALSE))</f>
        <v>3308</v>
      </c>
      <c r="G48" s="25">
        <f t="shared" si="1"/>
        <v>0.6610711430855316</v>
      </c>
      <c r="H48" s="1">
        <f>IF(ISNA(VLOOKUP(A48,Program_Review_Data!A38:E102,2,FALSE)),"0",VLOOKUP(A48,Program_Review_Data!A38:E102,2,FALSE))</f>
        <v>256</v>
      </c>
      <c r="I48" s="1">
        <f>IF(ISNA(VLOOKUP($A48,Program_Review_Data!A38:F102,3,FALSE)),"0",VLOOKUP($A48,Program_Review_Data!A38:F102,3,FALSE))</f>
        <v>194</v>
      </c>
      <c r="J48" s="25">
        <f t="shared" si="2"/>
        <v>0.7578125</v>
      </c>
      <c r="K48" s="268">
        <f>IF(ISNA(VLOOKUP($A48,Other_Data!A38:E102,2,FALSE)),"0",VLOOKUP($A48,Other_Data!A38:E102,2,FALSE))</f>
        <v>1834</v>
      </c>
      <c r="L48" s="1">
        <f>IF(ISNA(VLOOKUP($A48,Other_Data!A38:E102,3,FALSE)),"0",VLOOKUP($A48,Other_Data!A38:E102,3,FALSE))</f>
        <v>1349</v>
      </c>
      <c r="M48" s="25">
        <f t="shared" si="3"/>
        <v>0.7355507088331515</v>
      </c>
      <c r="N48" s="1">
        <f>IF(ISNA(VLOOKUP($A48,Burial_Data!$A$2:$C$65,2,FALSE)),"0",VLOOKUP($A48,Burial_Data!$A$2:$C$65,2,FALSE))</f>
        <v>14</v>
      </c>
      <c r="O48" s="354">
        <f>IF(ISNA(VLOOKUP($A48,Accrued_Data!$A$2:$D$67,3,FALSE)),"0",VLOOKUP($A48,Accrued_Data!$A$2:$D$67,3,FALSE))</f>
        <v>102</v>
      </c>
      <c r="P48" s="311">
        <v>4760</v>
      </c>
      <c r="Q48" s="268"/>
    </row>
    <row r="49" spans="1:17" ht="12.75">
      <c r="A49" t="s">
        <v>473</v>
      </c>
      <c r="B49" s="302">
        <f>IF(ISNA(VLOOKUP(A49,Entitlement_Data!A$3:C$64,2,FALSE)),"0",VLOOKUP(A49,Entitlement_Data!A$3:C$64,2,FALSE))</f>
        <v>1069</v>
      </c>
      <c r="C49" s="302">
        <f>IF(ISNA(VLOOKUP(A49,Entitlement_Data!A$3:D$64,3,FALSE)),"0",VLOOKUP(A49,Entitlement_Data!A$3:D$64,3,FALSE))</f>
        <v>365</v>
      </c>
      <c r="D49" s="25">
        <f t="shared" si="0"/>
        <v>0.3414405986903648</v>
      </c>
      <c r="E49" s="354">
        <f>IF(ISNA(VLOOKUP(A49,'Award Adjustment_Data'!A$2:F$68,3,FALSE)),"0",VLOOKUP(A49,'Award Adjustment_Data'!A$2:F$68,3,FALSE))</f>
        <v>780</v>
      </c>
      <c r="F49" s="354">
        <f>IF(ISNA(VLOOKUP(A49,'Award Adjustment_Data'!A$2:G$68,4,FALSE)),"0",VLOOKUP(A49,'Award Adjustment_Data'!A$2:G$68,4,FALSE))</f>
        <v>23</v>
      </c>
      <c r="G49" s="25">
        <f t="shared" si="1"/>
        <v>0.029487179487179487</v>
      </c>
      <c r="H49" s="1">
        <f>IF(ISNA(VLOOKUP(A49,Program_Review_Data!A39:E103,2,FALSE)),"0",VLOOKUP(A49,Program_Review_Data!A39:E103,2,FALSE))</f>
        <v>152</v>
      </c>
      <c r="I49" s="1">
        <f>IF(ISNA(VLOOKUP($A49,Program_Review_Data!A39:F103,3,FALSE)),"0",VLOOKUP($A49,Program_Review_Data!A39:F103,3,FALSE))</f>
        <v>18</v>
      </c>
      <c r="J49" s="25">
        <f t="shared" si="2"/>
        <v>0.11842105263157894</v>
      </c>
      <c r="K49" s="268">
        <f>IF(ISNA(VLOOKUP($A49,Other_Data!A39:E103,2,FALSE)),"0",VLOOKUP($A49,Other_Data!A39:E103,2,FALSE))</f>
        <v>166</v>
      </c>
      <c r="L49" s="1">
        <f>IF(ISNA(VLOOKUP($A49,Other_Data!A39:E103,3,FALSE)),"0",VLOOKUP($A49,Other_Data!A39:E103,3,FALSE))</f>
        <v>69</v>
      </c>
      <c r="M49" s="25">
        <f t="shared" si="3"/>
        <v>0.41566265060240964</v>
      </c>
      <c r="N49" s="1">
        <f>IF(ISNA(VLOOKUP($A49,Burial_Data!$A$2:$C$65,2,FALSE)),"0",VLOOKUP($A49,Burial_Data!$A$2:$C$65,2,FALSE))</f>
        <v>0</v>
      </c>
      <c r="O49" s="354">
        <f>IF(ISNA(VLOOKUP($A49,Accrued_Data!$A$2:$D$67,3,FALSE)),"0",VLOOKUP($A49,Accrued_Data!$A$2:$D$67,3,FALSE))</f>
        <v>1</v>
      </c>
      <c r="P49" s="311">
        <v>246</v>
      </c>
      <c r="Q49" s="268"/>
    </row>
    <row r="50" spans="1:17" ht="12.75">
      <c r="A50" t="s">
        <v>474</v>
      </c>
      <c r="B50" s="302">
        <f>IF(ISNA(VLOOKUP(A50,Entitlement_Data!A$3:C$64,2,FALSE)),"0",VLOOKUP(A50,Entitlement_Data!A$3:C$64,2,FALSE))</f>
        <v>19502</v>
      </c>
      <c r="C50" s="302">
        <f>IF(ISNA(VLOOKUP(A50,Entitlement_Data!A$3:D$64,3,FALSE)),"0",VLOOKUP(A50,Entitlement_Data!A$3:D$64,3,FALSE))</f>
        <v>12807</v>
      </c>
      <c r="D50" s="25">
        <f t="shared" si="0"/>
        <v>0.6567018767305918</v>
      </c>
      <c r="E50" s="354">
        <f>IF(ISNA(VLOOKUP(A50,'Award Adjustment_Data'!A$2:F$68,3,FALSE)),"0",VLOOKUP(A50,'Award Adjustment_Data'!A$2:F$68,3,FALSE))</f>
        <v>5373</v>
      </c>
      <c r="F50" s="354">
        <f>IF(ISNA(VLOOKUP(A50,'Award Adjustment_Data'!A$2:G$68,4,FALSE)),"0",VLOOKUP(A50,'Award Adjustment_Data'!A$2:G$68,4,FALSE))</f>
        <v>3291</v>
      </c>
      <c r="G50" s="25">
        <f t="shared" si="1"/>
        <v>0.6125069793411502</v>
      </c>
      <c r="H50" s="1">
        <f>IF(ISNA(VLOOKUP(A50,Program_Review_Data!A40:E104,2,FALSE)),"0",VLOOKUP(A50,Program_Review_Data!A40:E104,2,FALSE))</f>
        <v>1035</v>
      </c>
      <c r="I50" s="1">
        <f>IF(ISNA(VLOOKUP($A50,Program_Review_Data!A40:F104,3,FALSE)),"0",VLOOKUP($A50,Program_Review_Data!A40:F104,3,FALSE))</f>
        <v>590</v>
      </c>
      <c r="J50" s="25">
        <f t="shared" si="2"/>
        <v>0.5700483091787439</v>
      </c>
      <c r="K50" s="268">
        <f>IF(ISNA(VLOOKUP($A50,Other_Data!A40:E104,2,FALSE)),"0",VLOOKUP($A50,Other_Data!A40:E104,2,FALSE))</f>
        <v>1537</v>
      </c>
      <c r="L50" s="1">
        <f>IF(ISNA(VLOOKUP($A50,Other_Data!A40:E104,3,FALSE)),"0",VLOOKUP($A50,Other_Data!A40:E104,3,FALSE))</f>
        <v>995</v>
      </c>
      <c r="M50" s="25">
        <f t="shared" si="3"/>
        <v>0.6473649967469096</v>
      </c>
      <c r="N50" s="1">
        <f>IF(ISNA(VLOOKUP($A50,Burial_Data!$A$2:$C$65,2,FALSE)),"0",VLOOKUP($A50,Burial_Data!$A$2:$C$65,2,FALSE))</f>
        <v>12</v>
      </c>
      <c r="O50" s="354">
        <f>IF(ISNA(VLOOKUP($A50,Accrued_Data!$A$2:$D$67,3,FALSE)),"0",VLOOKUP($A50,Accrued_Data!$A$2:$D$67,3,FALSE))</f>
        <v>99</v>
      </c>
      <c r="P50" s="311">
        <v>5676</v>
      </c>
      <c r="Q50" s="268"/>
    </row>
    <row r="51" spans="1:17" ht="13.5">
      <c r="A51" s="325" t="s">
        <v>475</v>
      </c>
      <c r="B51" s="329">
        <f>IF(ISNA(VLOOKUP(A51,Entitlement_Data!A$3:C$64,2,FALSE)),"0",VLOOKUP(A51,Entitlement_Data!A$3:C$64,2,FALSE))</f>
        <v>12064</v>
      </c>
      <c r="C51" s="329">
        <f>IF(ISNA(VLOOKUP(A51,Entitlement_Data!A$3:D$64,3,FALSE)),"0",VLOOKUP(A51,Entitlement_Data!A$3:D$64,3,FALSE))</f>
        <v>3346</v>
      </c>
      <c r="D51" s="34">
        <f t="shared" si="0"/>
        <v>0.27735411140583555</v>
      </c>
      <c r="E51" s="329">
        <f>Award_Formulas!L4-Award_Formulas!O4</f>
        <v>3467</v>
      </c>
      <c r="F51" s="35">
        <f>Award_Formulas!L7-Award_Formulas!R4</f>
        <v>320</v>
      </c>
      <c r="G51" s="34">
        <f t="shared" si="1"/>
        <v>0.0922988174214018</v>
      </c>
      <c r="H51" s="35">
        <f>IF(ISNA(VLOOKUP(A51,Program_Review_Data!A41:E105,2,FALSE)),"0",VLOOKUP(A51,Program_Review_Data!A41:E105,2,FALSE))</f>
        <v>6796</v>
      </c>
      <c r="I51" s="35">
        <f>IF(ISNA(VLOOKUP($A51,Program_Review_Data!A41:F105,3,FALSE)),"0",VLOOKUP($A51,Program_Review_Data!A41:F105,3,FALSE))</f>
        <v>958</v>
      </c>
      <c r="J51" s="34">
        <f t="shared" si="2"/>
        <v>0.14096527369040612</v>
      </c>
      <c r="K51" s="35">
        <f>IF(ISNA(VLOOKUP($A51,Other_Data!A41:E105,2,FALSE)),"0",VLOOKUP($A51,Other_Data!A41:E105,2,FALSE))</f>
        <v>505</v>
      </c>
      <c r="L51" s="35">
        <f>IF(ISNA(VLOOKUP($A51,Other_Data!A41:E105,3,FALSE)),"0",VLOOKUP($A51,Other_Data!A41:E105,3,FALSE))</f>
        <v>271</v>
      </c>
      <c r="M51" s="34">
        <f t="shared" si="3"/>
        <v>0.5366336633663367</v>
      </c>
      <c r="N51" s="35">
        <f>IF(ISNA(VLOOKUP($A51,Burial_Data!$A$2:$C$65,2,FALSE)),"0",VLOOKUP($A51,Burial_Data!$A$2:$C$65,2,FALSE))</f>
        <v>19058</v>
      </c>
      <c r="O51" s="171" t="s">
        <v>3</v>
      </c>
      <c r="P51" s="310">
        <v>1334</v>
      </c>
      <c r="Q51" s="302"/>
    </row>
    <row r="52" spans="1:17" ht="12.75">
      <c r="A52" t="s">
        <v>478</v>
      </c>
      <c r="B52" s="302">
        <f>IF(ISNA(VLOOKUP(A52,Entitlement_Data!A$3:C$64,2,FALSE)),"0",VLOOKUP(A52,Entitlement_Data!A$3:C$64,2,FALSE))</f>
        <v>49132</v>
      </c>
      <c r="C52" s="302">
        <f>IF(ISNA(VLOOKUP(A52,Entitlement_Data!A$3:D$64,3,FALSE)),"0",VLOOKUP(A52,Entitlement_Data!A$3:D$64,3,FALSE))</f>
        <v>37667</v>
      </c>
      <c r="D52" s="25">
        <f t="shared" si="0"/>
        <v>0.7666490271106408</v>
      </c>
      <c r="E52" s="354">
        <f>IF(ISNA(VLOOKUP(A52,'Award Adjustment_Data'!A$2:F$68,3,FALSE)),"0",VLOOKUP(A52,'Award Adjustment_Data'!A$2:F$68,3,FALSE))</f>
        <v>10598</v>
      </c>
      <c r="F52" s="354">
        <f>IF(ISNA(VLOOKUP(A52,'Award Adjustment_Data'!A$2:G$68,4,FALSE)),"0",VLOOKUP(A52,'Award Adjustment_Data'!A$2:G$68,4,FALSE))</f>
        <v>5383</v>
      </c>
      <c r="G52" s="25">
        <f t="shared" si="1"/>
        <v>0.5079260237780714</v>
      </c>
      <c r="H52" s="1">
        <f>IF(ISNA(VLOOKUP(A52,Program_Review_Data!A42:E106,2,FALSE)),"0",VLOOKUP(A52,Program_Review_Data!A42:E106,2,FALSE))</f>
        <v>1069</v>
      </c>
      <c r="I52" s="1">
        <f>IF(ISNA(VLOOKUP($A52,Program_Review_Data!A42:F106,3,FALSE)),"0",VLOOKUP($A52,Program_Review_Data!A42:F106,3,FALSE))</f>
        <v>544</v>
      </c>
      <c r="J52" s="25">
        <f t="shared" si="2"/>
        <v>0.5088868101028999</v>
      </c>
      <c r="K52" s="268">
        <f>IF(ISNA(VLOOKUP($A52,Other_Data!A42:E106,2,FALSE)),"0",VLOOKUP($A52,Other_Data!A42:E106,2,FALSE))</f>
        <v>3361</v>
      </c>
      <c r="L52" s="1">
        <f>IF(ISNA(VLOOKUP($A52,Other_Data!A42:E106,3,FALSE)),"0",VLOOKUP($A52,Other_Data!A42:E106,3,FALSE))</f>
        <v>2310</v>
      </c>
      <c r="M52" s="25">
        <f t="shared" si="3"/>
        <v>0.6872954477833978</v>
      </c>
      <c r="N52" s="1">
        <f>IF(ISNA(VLOOKUP($A52,Burial_Data!$A$2:$C$65,2,FALSE)),"0",VLOOKUP($A52,Burial_Data!$A$2:$C$65,2,FALSE))</f>
        <v>4</v>
      </c>
      <c r="O52" s="354">
        <f>IF(ISNA(VLOOKUP($A52,Accrued_Data!$A$2:$D$67,3,FALSE)),"0",VLOOKUP($A52,Accrued_Data!$A$2:$D$67,3,FALSE))</f>
        <v>8</v>
      </c>
      <c r="P52" s="311">
        <v>12625</v>
      </c>
      <c r="Q52" s="268"/>
    </row>
    <row r="53" spans="1:17" ht="12.75">
      <c r="A53" s="328" t="s">
        <v>482</v>
      </c>
      <c r="B53" s="335">
        <f>IF(ISNA(VLOOKUP(A53,Entitlement_Data!A$3:C$64,2,FALSE)),"0",VLOOKUP(A53,Entitlement_Data!A$3:C$64,2,FALSE))</f>
        <v>4764</v>
      </c>
      <c r="C53" s="335">
        <f>IF(ISNA(VLOOKUP(A53,Entitlement_Data!A$3:D$64,3,FALSE)),"0",VLOOKUP(A53,Entitlement_Data!A$3:D$64,3,FALSE))</f>
        <v>2547</v>
      </c>
      <c r="D53" s="32">
        <f t="shared" si="0"/>
        <v>0.5346347607052897</v>
      </c>
      <c r="E53" s="355">
        <f>IF(ISNA(VLOOKUP(A53,'Award Adjustment_Data'!A$2:F$68,3,FALSE)),"0",VLOOKUP(A53,'Award Adjustment_Data'!A$2:F$68,3,FALSE))</f>
        <v>1818</v>
      </c>
      <c r="F53" s="355">
        <f>IF(ISNA(VLOOKUP(A53,'Award Adjustment_Data'!A$2:G$68,4,FALSE)),"0",VLOOKUP(A53,'Award Adjustment_Data'!A$2:G$68,4,FALSE))</f>
        <v>759</v>
      </c>
      <c r="G53" s="32">
        <f t="shared" si="1"/>
        <v>0.4174917491749175</v>
      </c>
      <c r="H53" s="33">
        <f>IF(ISNA(VLOOKUP(A53,Program_Review_Data!A43:E107,2,FALSE)),"0",VLOOKUP(A53,Program_Review_Data!A43:E107,2,FALSE))</f>
        <v>64</v>
      </c>
      <c r="I53" s="33">
        <f>IF(ISNA(VLOOKUP($A53,Program_Review_Data!A43:F107,3,FALSE)),"0",VLOOKUP($A53,Program_Review_Data!A43:F107,3,FALSE))</f>
        <v>39</v>
      </c>
      <c r="J53" s="32">
        <f t="shared" si="2"/>
        <v>0.609375</v>
      </c>
      <c r="K53" s="270">
        <f>IF(ISNA(VLOOKUP($A53,Other_Data!A43:E107,2,FALSE)),"0",VLOOKUP($A53,Other_Data!A43:E107,2,FALSE))</f>
        <v>571</v>
      </c>
      <c r="L53" s="33">
        <f>IF(ISNA(VLOOKUP($A53,Other_Data!A43:E107,3,FALSE)),"0",VLOOKUP($A53,Other_Data!A43:E107,3,FALSE))</f>
        <v>363</v>
      </c>
      <c r="M53" s="32">
        <f t="shared" si="3"/>
        <v>0.6357267950963222</v>
      </c>
      <c r="N53" s="33">
        <f>IF(ISNA(VLOOKUP($A53,Burial_Data!$A$2:$C$65,2,FALSE)),"0",VLOOKUP($A53,Burial_Data!$A$2:$C$65,2,FALSE))</f>
        <v>0</v>
      </c>
      <c r="O53" s="355" t="str">
        <f>IF(ISNA(VLOOKUP($A53,Accrued_Data!$A$2:$D$67,3,FALSE)),"0",VLOOKUP($A53,Accrued_Data!$A$2:$D$67,3,FALSE))</f>
        <v>0</v>
      </c>
      <c r="P53" s="309">
        <v>934</v>
      </c>
      <c r="Q53" s="295"/>
    </row>
    <row r="54" spans="1:17" ht="12.75">
      <c r="A54" t="s">
        <v>428</v>
      </c>
      <c r="B54" s="302">
        <f>IF(ISNA(VLOOKUP(A54,Entitlement_Data!A$3:C$64,2,FALSE)),"0",VLOOKUP(A54,Entitlement_Data!A$3:C$64,2,FALSE))</f>
        <v>5128</v>
      </c>
      <c r="C54" s="302">
        <f>IF(ISNA(VLOOKUP(A54,Entitlement_Data!A$3:D$64,3,FALSE)),"0",VLOOKUP(A54,Entitlement_Data!A$3:D$64,3,FALSE))</f>
        <v>2750</v>
      </c>
      <c r="D54" s="25">
        <f t="shared" si="0"/>
        <v>0.5362714508580343</v>
      </c>
      <c r="E54" s="354">
        <f>IF(ISNA(VLOOKUP(A54,'Award Adjustment_Data'!A$2:F$68,3,FALSE)),"0",VLOOKUP(A54,'Award Adjustment_Data'!A$2:F$68,3,FALSE))</f>
        <v>2146</v>
      </c>
      <c r="F54" s="354">
        <f>IF(ISNA(VLOOKUP(A54,'Award Adjustment_Data'!A$2:G$68,4,FALSE)),"0",VLOOKUP(A54,'Award Adjustment_Data'!A$2:G$68,4,FALSE))</f>
        <v>1090</v>
      </c>
      <c r="G54" s="25">
        <f t="shared" si="1"/>
        <v>0.5079217148182665</v>
      </c>
      <c r="H54" s="1">
        <f>IF(ISNA(VLOOKUP(A54,Program_Review_Data!A44:E108,2,FALSE)),"0",VLOOKUP(A54,Program_Review_Data!A44:E108,2,FALSE))</f>
        <v>183</v>
      </c>
      <c r="I54" s="1">
        <f>IF(ISNA(VLOOKUP($A54,Program_Review_Data!A44:F108,3,FALSE)),"0",VLOOKUP($A54,Program_Review_Data!A44:F108,3,FALSE))</f>
        <v>107</v>
      </c>
      <c r="J54" s="25">
        <f t="shared" si="2"/>
        <v>0.5846994535519126</v>
      </c>
      <c r="K54" s="268">
        <f>IF(ISNA(VLOOKUP($A54,Other_Data!A44:E108,2,FALSE)),"0",VLOOKUP($A54,Other_Data!A44:E108,2,FALSE))</f>
        <v>609</v>
      </c>
      <c r="L54" s="1">
        <f>IF(ISNA(VLOOKUP($A54,Other_Data!A44:E108,3,FALSE)),"0",VLOOKUP($A54,Other_Data!A44:E108,3,FALSE))</f>
        <v>365</v>
      </c>
      <c r="M54" s="25">
        <f t="shared" si="3"/>
        <v>0.5993431855500821</v>
      </c>
      <c r="N54" s="1">
        <f>IF(ISNA(VLOOKUP($A54,Burial_Data!$A$2:$C$65,2,FALSE)),"0",VLOOKUP($A54,Burial_Data!$A$2:$C$65,2,FALSE))</f>
        <v>1</v>
      </c>
      <c r="O54" s="354">
        <f>IF(ISNA(VLOOKUP($A54,Accrued_Data!$A$2:$D$67,3,FALSE)),"0",VLOOKUP($A54,Accrued_Data!$A$2:$D$67,3,FALSE))</f>
        <v>1</v>
      </c>
      <c r="P54" s="303">
        <v>1779</v>
      </c>
      <c r="Q54" s="268"/>
    </row>
    <row r="55" spans="1:17" ht="12.75">
      <c r="A55" t="s">
        <v>430</v>
      </c>
      <c r="B55" s="302">
        <f>IF(ISNA(VLOOKUP(A55,Entitlement_Data!A$3:C$64,2,FALSE)),"0",VLOOKUP(A55,Entitlement_Data!A$3:C$64,2,FALSE))</f>
        <v>2514</v>
      </c>
      <c r="C55" s="302">
        <f>IF(ISNA(VLOOKUP(A55,Entitlement_Data!A$3:D$64,3,FALSE)),"0",VLOOKUP(A55,Entitlement_Data!A$3:D$64,3,FALSE))</f>
        <v>1648</v>
      </c>
      <c r="D55" s="25">
        <f t="shared" si="0"/>
        <v>0.6555290373906125</v>
      </c>
      <c r="E55" s="354">
        <f>IF(ISNA(VLOOKUP(A55,'Award Adjustment_Data'!A$2:F$68,3,FALSE)),"0",VLOOKUP(A55,'Award Adjustment_Data'!A$2:F$68,3,FALSE))</f>
        <v>2335</v>
      </c>
      <c r="F55" s="354">
        <f>IF(ISNA(VLOOKUP(A55,'Award Adjustment_Data'!A$2:G$68,4,FALSE)),"0",VLOOKUP(A55,'Award Adjustment_Data'!A$2:G$68,4,FALSE))</f>
        <v>1515</v>
      </c>
      <c r="G55" s="25">
        <f t="shared" si="1"/>
        <v>0.6488222698072805</v>
      </c>
      <c r="H55" s="1">
        <f>IF(ISNA(VLOOKUP(A55,Program_Review_Data!A45:E109,2,FALSE)),"0",VLOOKUP(A55,Program_Review_Data!A45:E109,2,FALSE))</f>
        <v>997</v>
      </c>
      <c r="I55" s="1">
        <f>IF(ISNA(VLOOKUP($A55,Program_Review_Data!A45:F109,3,FALSE)),"0",VLOOKUP($A55,Program_Review_Data!A45:F109,3,FALSE))</f>
        <v>701</v>
      </c>
      <c r="J55" s="25">
        <f t="shared" si="2"/>
        <v>0.7031093279839519</v>
      </c>
      <c r="K55" s="268">
        <f>IF(ISNA(VLOOKUP($A55,Other_Data!A45:E109,2,FALSE)),"0",VLOOKUP($A55,Other_Data!A45:E109,2,FALSE))</f>
        <v>369</v>
      </c>
      <c r="L55" s="1">
        <f>IF(ISNA(VLOOKUP($A55,Other_Data!A45:E109,3,FALSE)),"0",VLOOKUP($A55,Other_Data!A45:E109,3,FALSE))</f>
        <v>310</v>
      </c>
      <c r="M55" s="25">
        <f t="shared" si="3"/>
        <v>0.8401084010840109</v>
      </c>
      <c r="N55" s="1">
        <f>IF(ISNA(VLOOKUP($A55,Burial_Data!$A$2:$C$65,2,FALSE)),"0",VLOOKUP($A55,Burial_Data!$A$2:$C$65,2,FALSE))</f>
        <v>0</v>
      </c>
      <c r="O55" s="354" t="str">
        <f>IF(ISNA(VLOOKUP($A55,Accrued_Data!$A$2:$D$67,3,FALSE)),"0",VLOOKUP($A55,Accrued_Data!$A$2:$D$67,3,FALSE))</f>
        <v>0</v>
      </c>
      <c r="P55" s="303">
        <v>163</v>
      </c>
      <c r="Q55" s="268"/>
    </row>
    <row r="56" spans="1:17" ht="12.75">
      <c r="A56" t="s">
        <v>432</v>
      </c>
      <c r="B56" s="302">
        <f>IF(ISNA(VLOOKUP(A56,Entitlement_Data!A$3:C$64,2,FALSE)),"0",VLOOKUP(A56,Entitlement_Data!A$3:C$64,2,FALSE))</f>
        <v>2220</v>
      </c>
      <c r="C56" s="302">
        <f>IF(ISNA(VLOOKUP(A56,Entitlement_Data!A$3:D$64,3,FALSE)),"0",VLOOKUP(A56,Entitlement_Data!A$3:D$64,3,FALSE))</f>
        <v>1048</v>
      </c>
      <c r="D56" s="25">
        <f t="shared" si="0"/>
        <v>0.4720720720720721</v>
      </c>
      <c r="E56" s="354">
        <f>IF(ISNA(VLOOKUP(A56,'Award Adjustment_Data'!A$2:F$68,3,FALSE)),"0",VLOOKUP(A56,'Award Adjustment_Data'!A$2:F$68,3,FALSE))</f>
        <v>1478</v>
      </c>
      <c r="F56" s="354">
        <f>IF(ISNA(VLOOKUP(A56,'Award Adjustment_Data'!A$2:G$68,4,FALSE)),"0",VLOOKUP(A56,'Award Adjustment_Data'!A$2:G$68,4,FALSE))</f>
        <v>438</v>
      </c>
      <c r="G56" s="25">
        <f t="shared" si="1"/>
        <v>0.2963464140730717</v>
      </c>
      <c r="H56" s="1">
        <f>IF(ISNA(VLOOKUP(A56,Program_Review_Data!A46:E110,2,FALSE)),"0",VLOOKUP(A56,Program_Review_Data!A46:E110,2,FALSE))</f>
        <v>120</v>
      </c>
      <c r="I56" s="1">
        <f>IF(ISNA(VLOOKUP($A56,Program_Review_Data!A46:F110,3,FALSE)),"0",VLOOKUP($A56,Program_Review_Data!A46:F110,3,FALSE))</f>
        <v>68</v>
      </c>
      <c r="J56" s="25">
        <f t="shared" si="2"/>
        <v>0.5666666666666667</v>
      </c>
      <c r="K56" s="268">
        <f>IF(ISNA(VLOOKUP($A56,Other_Data!A46:E110,2,FALSE)),"0",VLOOKUP($A56,Other_Data!A46:E110,2,FALSE))</f>
        <v>357</v>
      </c>
      <c r="L56" s="1">
        <f>IF(ISNA(VLOOKUP($A56,Other_Data!A46:E110,3,FALSE)),"0",VLOOKUP($A56,Other_Data!A46:E110,3,FALSE))</f>
        <v>204</v>
      </c>
      <c r="M56" s="25">
        <f t="shared" si="3"/>
        <v>0.5714285714285714</v>
      </c>
      <c r="N56" s="1">
        <f>IF(ISNA(VLOOKUP($A56,Burial_Data!$A$2:$C$65,2,FALSE)),"0",VLOOKUP($A56,Burial_Data!$A$2:$C$65,2,FALSE))</f>
        <v>0</v>
      </c>
      <c r="O56" s="354">
        <f>IF(ISNA(VLOOKUP($A56,Accrued_Data!$A$2:$D$67,3,FALSE)),"0",VLOOKUP($A56,Accrued_Data!$A$2:$D$67,3,FALSE))</f>
        <v>1</v>
      </c>
      <c r="P56" s="303">
        <v>953</v>
      </c>
      <c r="Q56" s="268"/>
    </row>
    <row r="57" spans="1:17" ht="13.5">
      <c r="A57" s="327" t="s">
        <v>438</v>
      </c>
      <c r="B57" s="302">
        <f>Ent_Formulas!D2</f>
        <v>13032</v>
      </c>
      <c r="C57" s="302">
        <f>Ent_Formulas!D3</f>
        <v>7804</v>
      </c>
      <c r="D57" s="269">
        <f>C57/B57</f>
        <v>0.5988336402701043</v>
      </c>
      <c r="E57" s="354">
        <f>Award_Formulas!D2</f>
        <v>5646</v>
      </c>
      <c r="F57" s="354">
        <f>Award_Formulas!D3</f>
        <v>3106</v>
      </c>
      <c r="G57" s="269">
        <f>F57/E57</f>
        <v>0.5501239815798795</v>
      </c>
      <c r="H57" s="1">
        <f>IF(ISNA(VLOOKUP(A57,Program_Review_Data!A47:E111,2,FALSE)),"0",VLOOKUP(A57,Program_Review_Data!A47:E111,2,FALSE))</f>
        <v>1173</v>
      </c>
      <c r="I57" s="1">
        <f>IF(ISNA(VLOOKUP($A57,Program_Review_Data!A47:F111,3,FALSE)),"0",VLOOKUP($A57,Program_Review_Data!A47:F111,3,FALSE))</f>
        <v>496</v>
      </c>
      <c r="J57" s="269">
        <f>I57/H57</f>
        <v>0.42284739982949704</v>
      </c>
      <c r="K57" s="268">
        <f>IF(ISNA(VLOOKUP($A57,Other_Data!A47:E111,2,FALSE)),"0",VLOOKUP($A57,Other_Data!A47:E111,2,FALSE))</f>
        <v>1597</v>
      </c>
      <c r="L57" s="1">
        <f>IF(ISNA(VLOOKUP($A57,Other_Data!A47:E111,3,FALSE)),"0",VLOOKUP($A57,Other_Data!A47:E111,3,FALSE))</f>
        <v>837</v>
      </c>
      <c r="M57" s="269">
        <f>L57/K57</f>
        <v>0.5241077019411396</v>
      </c>
      <c r="N57" s="1">
        <f>IF(ISNA(VLOOKUP($A57,Burial_Data!$A$2:$C$65,2,FALSE)),"0",VLOOKUP($A57,Burial_Data!$A$2:$C$65,2,FALSE))</f>
        <v>9</v>
      </c>
      <c r="O57" s="354">
        <f>IF(ISNA(VLOOKUP($A57,Accrued_Data!$A$2:$D$67,3,FALSE)),"0",VLOOKUP($A57,Accrued_Data!$A$2:$D$67,3,FALSE))</f>
        <v>4</v>
      </c>
      <c r="P57" s="312">
        <v>3858</v>
      </c>
      <c r="Q57" s="268"/>
    </row>
    <row r="58" spans="1:17" ht="13.5">
      <c r="A58" s="327" t="s">
        <v>434</v>
      </c>
      <c r="B58" s="302">
        <f>IF(ISNA(VLOOKUP(A58,Entitlement_Data!A$3:C$64,2,FALSE)),"0",VLOOKUP(A58,Entitlement_Data!A$3:C$64,2,FALSE))</f>
        <v>1279</v>
      </c>
      <c r="C58" s="302">
        <f>IF(ISNA(VLOOKUP(A58,Entitlement_Data!A$3:D$64,3,FALSE)),"0",VLOOKUP(A58,Entitlement_Data!A$3:D$64,3,FALSE))</f>
        <v>451</v>
      </c>
      <c r="D58" s="269">
        <f>C58/B58</f>
        <v>0.3526192337763878</v>
      </c>
      <c r="E58" s="354">
        <f>IF(ISNA(VLOOKUP(A58,'Award Adjustment_Data'!A$2:F$68,3,FALSE)),"0",VLOOKUP(A58,'Award Adjustment_Data'!A$2:F$68,3,FALSE))</f>
        <v>536</v>
      </c>
      <c r="F58" s="354">
        <f>IF(ISNA(VLOOKUP(A58,'Award Adjustment_Data'!A$2:G$68,4,FALSE)),"0",VLOOKUP(A58,'Award Adjustment_Data'!A$2:G$68,4,FALSE))</f>
        <v>246</v>
      </c>
      <c r="G58" s="269">
        <f>F58/E58</f>
        <v>0.458955223880597</v>
      </c>
      <c r="H58" s="1">
        <f>IF(ISNA(VLOOKUP(A58,Program_Review_Data!A48:E112,2,FALSE)),"0",VLOOKUP(A58,Program_Review_Data!A48:E112,2,FALSE))</f>
        <v>34</v>
      </c>
      <c r="I58" s="1">
        <f>IF(ISNA(VLOOKUP($A58,Program_Review_Data!A48:F112,3,FALSE)),"0",VLOOKUP($A58,Program_Review_Data!A48:F112,3,FALSE))</f>
        <v>28</v>
      </c>
      <c r="J58" s="269">
        <f>I58/H58</f>
        <v>0.8235294117647058</v>
      </c>
      <c r="K58" s="268">
        <f>IF(ISNA(VLOOKUP($A58,Other_Data!A48:E112,2,FALSE)),"0",VLOOKUP($A58,Other_Data!A48:E112,2,FALSE))</f>
        <v>168</v>
      </c>
      <c r="L58" s="1">
        <f>IF(ISNA(VLOOKUP($A58,Other_Data!A48:E112,3,FALSE)),"0",VLOOKUP($A58,Other_Data!A48:E112,3,FALSE))</f>
        <v>83</v>
      </c>
      <c r="M58" s="269">
        <f>L58/K58</f>
        <v>0.49404761904761907</v>
      </c>
      <c r="N58" s="1">
        <f>IF(ISNA(VLOOKUP($A58,Burial_Data!$A$2:$C$65,2,FALSE)),"0",VLOOKUP($A58,Burial_Data!$A$2:$C$65,2,FALSE))</f>
        <v>2</v>
      </c>
      <c r="O58" s="354">
        <f>IF(ISNA(VLOOKUP($A58,Accrued_Data!$A$2:$D$67,3,FALSE)),"0",VLOOKUP($A58,Accrued_Data!$A$2:$D$67,3,FALSE))</f>
        <v>4</v>
      </c>
      <c r="P58" s="312">
        <v>299</v>
      </c>
      <c r="Q58" s="268"/>
    </row>
    <row r="59" spans="1:17" ht="12.75">
      <c r="A59" t="s">
        <v>442</v>
      </c>
      <c r="B59" s="302">
        <f>IF(ISNA(VLOOKUP(A59,Entitlement_Data!A$3:C$64,2,FALSE)),"0",VLOOKUP(A59,Entitlement_Data!A$3:C$64,2,FALSE))</f>
        <v>2002</v>
      </c>
      <c r="C59" s="302">
        <f>IF(ISNA(VLOOKUP(A59,Entitlement_Data!A$3:D$64,3,FALSE)),"0",VLOOKUP(A59,Entitlement_Data!A$3:D$64,3,FALSE))</f>
        <v>940</v>
      </c>
      <c r="D59" s="269">
        <f aca="true" t="shared" si="4" ref="D59:D69">C59/B59</f>
        <v>0.4695304695304695</v>
      </c>
      <c r="E59" s="354">
        <f>IF(ISNA(VLOOKUP(A59,'Award Adjustment_Data'!A$2:F$68,3,FALSE)),"0",VLOOKUP(A59,'Award Adjustment_Data'!A$2:F$68,3,FALSE))</f>
        <v>1189</v>
      </c>
      <c r="F59" s="354">
        <f>IF(ISNA(VLOOKUP(A59,'Award Adjustment_Data'!A$2:G$68,4,FALSE)),"0",VLOOKUP(A59,'Award Adjustment_Data'!A$2:G$68,4,FALSE))</f>
        <v>388</v>
      </c>
      <c r="G59" s="269">
        <f aca="true" t="shared" si="5" ref="G59:G69">F59/E59</f>
        <v>0.3263246425567704</v>
      </c>
      <c r="H59" s="1">
        <f>IF(ISNA(VLOOKUP(A59,Program_Review_Data!A49:E113,2,FALSE)),"0",VLOOKUP(A59,Program_Review_Data!A49:E113,2,FALSE))</f>
        <v>131</v>
      </c>
      <c r="I59" s="1">
        <f>IF(ISNA(VLOOKUP($A59,Program_Review_Data!A49:F113,3,FALSE)),"0",VLOOKUP($A59,Program_Review_Data!A49:F113,3,FALSE))</f>
        <v>66</v>
      </c>
      <c r="J59" s="269">
        <f aca="true" t="shared" si="6" ref="J59:J69">I59/H59</f>
        <v>0.5038167938931297</v>
      </c>
      <c r="K59" s="268">
        <f>IF(ISNA(VLOOKUP($A59,Other_Data!A49:E113,2,FALSE)),"0",VLOOKUP($A59,Other_Data!A49:E113,2,FALSE))</f>
        <v>374</v>
      </c>
      <c r="L59" s="1">
        <f>IF(ISNA(VLOOKUP($A59,Other_Data!A49:E113,3,FALSE)),"0",VLOOKUP($A59,Other_Data!A49:E113,3,FALSE))</f>
        <v>232</v>
      </c>
      <c r="M59" s="269">
        <f aca="true" t="shared" si="7" ref="M59:M69">L59/K59</f>
        <v>0.6203208556149733</v>
      </c>
      <c r="N59" s="1">
        <f>IF(ISNA(VLOOKUP($A59,Burial_Data!$A$2:$C$65,2,FALSE)),"0",VLOOKUP($A59,Burial_Data!$A$2:$C$65,2,FALSE))</f>
        <v>0</v>
      </c>
      <c r="O59" s="354" t="str">
        <f>IF(ISNA(VLOOKUP($A59,Accrued_Data!$A$2:$D$67,3,FALSE)),"0",VLOOKUP($A59,Accrued_Data!$A$2:$D$67,3,FALSE))</f>
        <v>0</v>
      </c>
      <c r="P59" s="312">
        <v>284</v>
      </c>
      <c r="Q59" s="268"/>
    </row>
    <row r="60" spans="1:17" ht="12.75">
      <c r="A60" t="s">
        <v>444</v>
      </c>
      <c r="B60" s="302">
        <f>IF(ISNA(VLOOKUP(A60,Entitlement_Data!A$3:C$64,2,FALSE)),"0",VLOOKUP(A60,Entitlement_Data!A$3:C$64,2,FALSE))</f>
        <v>6036</v>
      </c>
      <c r="C60" s="302">
        <f>IF(ISNA(VLOOKUP(A60,Entitlement_Data!A$3:D$64,3,FALSE)),"0",VLOOKUP(A60,Entitlement_Data!A$3:D$64,3,FALSE))</f>
        <v>4629</v>
      </c>
      <c r="D60" s="269">
        <f t="shared" si="4"/>
        <v>0.7668986083499006</v>
      </c>
      <c r="E60" s="354">
        <f>IF(ISNA(VLOOKUP(A60,'Award Adjustment_Data'!A$2:F$68,3,FALSE)),"0",VLOOKUP(A60,'Award Adjustment_Data'!A$2:F$68,3,FALSE))</f>
        <v>1635</v>
      </c>
      <c r="F60" s="354">
        <f>IF(ISNA(VLOOKUP(A60,'Award Adjustment_Data'!A$2:G$68,4,FALSE)),"0",VLOOKUP(A60,'Award Adjustment_Data'!A$2:G$68,4,FALSE))</f>
        <v>315</v>
      </c>
      <c r="G60" s="269">
        <f t="shared" si="5"/>
        <v>0.1926605504587156</v>
      </c>
      <c r="H60" s="1">
        <f>IF(ISNA(VLOOKUP(A60,Program_Review_Data!A50:E114,2,FALSE)),"0",VLOOKUP(A60,Program_Review_Data!A50:E114,2,FALSE))</f>
        <v>137</v>
      </c>
      <c r="I60" s="1">
        <f>IF(ISNA(VLOOKUP($A60,Program_Review_Data!A50:F114,3,FALSE)),"0",VLOOKUP($A60,Program_Review_Data!A50:F114,3,FALSE))</f>
        <v>35</v>
      </c>
      <c r="J60" s="269">
        <f t="shared" si="6"/>
        <v>0.25547445255474455</v>
      </c>
      <c r="K60" s="268">
        <f>IF(ISNA(VLOOKUP($A60,Other_Data!A50:E114,2,FALSE)),"0",VLOOKUP($A60,Other_Data!A50:E114,2,FALSE))</f>
        <v>801</v>
      </c>
      <c r="L60" s="1">
        <f>IF(ISNA(VLOOKUP($A60,Other_Data!A50:E114,3,FALSE)),"0",VLOOKUP($A60,Other_Data!A50:E114,3,FALSE))</f>
        <v>707</v>
      </c>
      <c r="M60" s="269">
        <f t="shared" si="7"/>
        <v>0.8826466916354557</v>
      </c>
      <c r="N60" s="1">
        <f>IF(ISNA(VLOOKUP($A60,Burial_Data!$A$2:$C$65,2,FALSE)),"0",VLOOKUP($A60,Burial_Data!$A$2:$C$65,2,FALSE))</f>
        <v>3</v>
      </c>
      <c r="O60" s="354">
        <f>IF(ISNA(VLOOKUP($A60,Accrued_Data!$A$2:$D$67,3,FALSE)),"0",VLOOKUP($A60,Accrued_Data!$A$2:$D$67,3,FALSE))</f>
        <v>1</v>
      </c>
      <c r="P60" s="312">
        <v>767</v>
      </c>
      <c r="Q60" s="268"/>
    </row>
    <row r="61" spans="1:17" ht="12.75">
      <c r="A61" t="s">
        <v>451</v>
      </c>
      <c r="B61" s="302">
        <f>IF(ISNA(VLOOKUP(A61,Entitlement_Data!A$3:C$64,2,FALSE)),"0",VLOOKUP(A61,Entitlement_Data!A$3:C$64,2,FALSE))</f>
        <v>22362</v>
      </c>
      <c r="C61" s="302">
        <f>IF(ISNA(VLOOKUP(A61,Entitlement_Data!A$3:D$64,3,FALSE)),"0",VLOOKUP(A61,Entitlement_Data!A$3:D$64,3,FALSE))</f>
        <v>20364</v>
      </c>
      <c r="D61" s="269">
        <f t="shared" si="4"/>
        <v>0.9106519989267507</v>
      </c>
      <c r="E61" s="354">
        <f>IF(ISNA(VLOOKUP(A61,'Award Adjustment_Data'!A$2:F$68,3,FALSE)),"0",VLOOKUP(A61,'Award Adjustment_Data'!A$2:F$68,3,FALSE))</f>
        <v>6417</v>
      </c>
      <c r="F61" s="354">
        <f>IF(ISNA(VLOOKUP(A61,'Award Adjustment_Data'!A$2:G$68,4,FALSE)),"0",VLOOKUP(A61,'Award Adjustment_Data'!A$2:G$68,4,FALSE))</f>
        <v>3313</v>
      </c>
      <c r="G61" s="269">
        <f t="shared" si="5"/>
        <v>0.5162848683185289</v>
      </c>
      <c r="H61" s="1">
        <f>IF(ISNA(VLOOKUP(A61,Program_Review_Data!A51:E115,2,FALSE)),"0",VLOOKUP(A61,Program_Review_Data!A51:E115,2,FALSE))</f>
        <v>1657</v>
      </c>
      <c r="I61" s="1">
        <f>IF(ISNA(VLOOKUP($A61,Program_Review_Data!A51:F115,3,FALSE)),"0",VLOOKUP($A61,Program_Review_Data!A51:F115,3,FALSE))</f>
        <v>987</v>
      </c>
      <c r="J61" s="269">
        <f t="shared" si="6"/>
        <v>0.5956547978273989</v>
      </c>
      <c r="K61" s="268">
        <f>IF(ISNA(VLOOKUP($A61,Other_Data!A51:E115,2,FALSE)),"0",VLOOKUP($A61,Other_Data!A51:E115,2,FALSE))</f>
        <v>1223</v>
      </c>
      <c r="L61" s="1">
        <f>IF(ISNA(VLOOKUP($A61,Other_Data!A51:E115,3,FALSE)),"0",VLOOKUP($A61,Other_Data!A51:E115,3,FALSE))</f>
        <v>1116</v>
      </c>
      <c r="M61" s="269">
        <f t="shared" si="7"/>
        <v>0.9125102207686018</v>
      </c>
      <c r="N61" s="1">
        <f>IF(ISNA(VLOOKUP($A61,Burial_Data!$A$2:$C$65,2,FALSE)),"0",VLOOKUP($A61,Burial_Data!$A$2:$C$65,2,FALSE))</f>
        <v>3</v>
      </c>
      <c r="O61" s="354">
        <f>IF(ISNA(VLOOKUP($A61,Accrued_Data!$A$2:$D$67,3,FALSE)),"0",VLOOKUP($A61,Accrued_Data!$A$2:$D$67,3,FALSE))</f>
        <v>7</v>
      </c>
      <c r="P61" s="312">
        <v>6091</v>
      </c>
      <c r="Q61" s="268"/>
    </row>
    <row r="62" spans="1:17" ht="12.75">
      <c r="A62" t="s">
        <v>454</v>
      </c>
      <c r="B62" s="302">
        <f>IF(ISNA(VLOOKUP(A62,Entitlement_Data!A$3:C$64,2,FALSE)),"0",VLOOKUP(A62,Entitlement_Data!A$3:C$64,2,FALSE))</f>
        <v>2590</v>
      </c>
      <c r="C62" s="302">
        <f>IF(ISNA(VLOOKUP(A62,Entitlement_Data!A$3:D$64,3,FALSE)),"0",VLOOKUP(A62,Entitlement_Data!A$3:D$64,3,FALSE))</f>
        <v>1605</v>
      </c>
      <c r="D62" s="269">
        <f t="shared" si="4"/>
        <v>0.6196911196911197</v>
      </c>
      <c r="E62" s="354">
        <f>IF(ISNA(VLOOKUP(A62,'Award Adjustment_Data'!A$2:F$68,3,FALSE)),"0",VLOOKUP(A62,'Award Adjustment_Data'!A$2:F$68,3,FALSE))</f>
        <v>1296</v>
      </c>
      <c r="F62" s="354">
        <f>IF(ISNA(VLOOKUP(A62,'Award Adjustment_Data'!A$2:G$68,4,FALSE)),"0",VLOOKUP(A62,'Award Adjustment_Data'!A$2:G$68,4,FALSE))</f>
        <v>502</v>
      </c>
      <c r="G62" s="269">
        <f t="shared" si="5"/>
        <v>0.3873456790123457</v>
      </c>
      <c r="H62" s="1">
        <f>IF(ISNA(VLOOKUP(A62,Program_Review_Data!A52:E116,2,FALSE)),"0",VLOOKUP(A62,Program_Review_Data!A52:E116,2,FALSE))</f>
        <v>126</v>
      </c>
      <c r="I62" s="1">
        <f>IF(ISNA(VLOOKUP($A62,Program_Review_Data!A52:F116,3,FALSE)),"0",VLOOKUP($A62,Program_Review_Data!A52:F116,3,FALSE))</f>
        <v>99</v>
      </c>
      <c r="J62" s="269">
        <f t="shared" si="6"/>
        <v>0.7857142857142857</v>
      </c>
      <c r="K62" s="268">
        <f>IF(ISNA(VLOOKUP($A62,Other_Data!A52:E116,2,FALSE)),"0",VLOOKUP($A62,Other_Data!A52:E116,2,FALSE))</f>
        <v>730</v>
      </c>
      <c r="L62" s="1">
        <f>IF(ISNA(VLOOKUP($A62,Other_Data!A52:E116,3,FALSE)),"0",VLOOKUP($A62,Other_Data!A52:E116,3,FALSE))</f>
        <v>490</v>
      </c>
      <c r="M62" s="269">
        <f t="shared" si="7"/>
        <v>0.6712328767123288</v>
      </c>
      <c r="N62" s="1">
        <f>IF(ISNA(VLOOKUP($A62,Burial_Data!$A$2:$C$65,2,FALSE)),"0",VLOOKUP($A62,Burial_Data!$A$2:$C$65,2,FALSE))</f>
        <v>406</v>
      </c>
      <c r="O62" s="354">
        <f>IF(ISNA(VLOOKUP($A62,Accrued_Data!$A$2:$D$67,3,FALSE)),"0",VLOOKUP($A62,Accrued_Data!$A$2:$D$67,3,FALSE))</f>
        <v>84</v>
      </c>
      <c r="P62" s="312">
        <v>1795</v>
      </c>
      <c r="Q62" s="268"/>
    </row>
    <row r="63" spans="1:17" ht="12.75">
      <c r="A63" t="s">
        <v>461</v>
      </c>
      <c r="B63" s="302">
        <f>IF(ISNA(VLOOKUP(A63,Entitlement_Data!A$3:C$64,2,FALSE)),"0",VLOOKUP(A63,Entitlement_Data!A$3:C$64,2,FALSE))</f>
        <v>29649</v>
      </c>
      <c r="C63" s="302">
        <f>IF(ISNA(VLOOKUP(A63,Entitlement_Data!A$3:D$64,3,FALSE)),"0",VLOOKUP(A63,Entitlement_Data!A$3:D$64,3,FALSE))</f>
        <v>27317</v>
      </c>
      <c r="D63" s="269">
        <f t="shared" si="4"/>
        <v>0.9213464197780701</v>
      </c>
      <c r="E63" s="354">
        <f>IF(ISNA(VLOOKUP(A63,'Award Adjustment_Data'!A$2:F$68,3,FALSE)),"0",VLOOKUP(A63,'Award Adjustment_Data'!A$2:F$68,3,FALSE))</f>
        <v>10861</v>
      </c>
      <c r="F63" s="354">
        <f>IF(ISNA(VLOOKUP(A63,'Award Adjustment_Data'!A$2:G$68,4,FALSE)),"0",VLOOKUP(A63,'Award Adjustment_Data'!A$2:G$68,4,FALSE))</f>
        <v>7418</v>
      </c>
      <c r="G63" s="269">
        <f t="shared" si="5"/>
        <v>0.6829941994291502</v>
      </c>
      <c r="H63" s="1">
        <f>IF(ISNA(VLOOKUP(A63,Program_Review_Data!A53:E117,2,FALSE)),"0",VLOOKUP(A63,Program_Review_Data!A53:E117,2,FALSE))</f>
        <v>935</v>
      </c>
      <c r="I63" s="1">
        <f>IF(ISNA(VLOOKUP($A63,Program_Review_Data!A53:F117,3,FALSE)),"0",VLOOKUP($A63,Program_Review_Data!A53:F117,3,FALSE))</f>
        <v>751</v>
      </c>
      <c r="J63" s="269">
        <f t="shared" si="6"/>
        <v>0.8032085561497326</v>
      </c>
      <c r="K63" s="268">
        <f>IF(ISNA(VLOOKUP($A63,Other_Data!A53:E117,2,FALSE)),"0",VLOOKUP($A63,Other_Data!A53:E117,2,FALSE))</f>
        <v>4231</v>
      </c>
      <c r="L63" s="1">
        <f>IF(ISNA(VLOOKUP($A63,Other_Data!A53:E117,3,FALSE)),"0",VLOOKUP($A63,Other_Data!A53:E117,3,FALSE))</f>
        <v>3826</v>
      </c>
      <c r="M63" s="269">
        <f t="shared" si="7"/>
        <v>0.9042779484755377</v>
      </c>
      <c r="N63" s="1">
        <f>IF(ISNA(VLOOKUP($A63,Burial_Data!$A$2:$C$65,2,FALSE)),"0",VLOOKUP($A63,Burial_Data!$A$2:$C$65,2,FALSE))</f>
        <v>13</v>
      </c>
      <c r="O63" s="354">
        <f>IF(ISNA(VLOOKUP($A63,Accrued_Data!$A$2:$D$67,3,FALSE)),"0",VLOOKUP($A63,Accrued_Data!$A$2:$D$67,3,FALSE))</f>
        <v>4</v>
      </c>
      <c r="P63" s="312">
        <v>7535</v>
      </c>
      <c r="Q63" s="268"/>
    </row>
    <row r="64" spans="1:17" ht="12.75">
      <c r="A64" t="s">
        <v>463</v>
      </c>
      <c r="B64" s="302">
        <f>IF(ISNA(VLOOKUP(A64,Entitlement_Data!A$3:C$64,2,FALSE)),"0",VLOOKUP(A64,Entitlement_Data!A$3:C$64,2,FALSE))</f>
        <v>22676</v>
      </c>
      <c r="C64" s="302">
        <f>IF(ISNA(VLOOKUP(A64,Entitlement_Data!A$3:D$64,3,FALSE)),"0",VLOOKUP(A64,Entitlement_Data!A$3:D$64,3,FALSE))</f>
        <v>17043</v>
      </c>
      <c r="D64" s="269">
        <f t="shared" si="4"/>
        <v>0.7515875815840536</v>
      </c>
      <c r="E64" s="354">
        <f>IF(ISNA(VLOOKUP(A64,'Award Adjustment_Data'!A$2:F$68,3,FALSE)),"0",VLOOKUP(A64,'Award Adjustment_Data'!A$2:F$68,3,FALSE))</f>
        <v>6055</v>
      </c>
      <c r="F64" s="354">
        <f>IF(ISNA(VLOOKUP(A64,'Award Adjustment_Data'!A$2:G$68,4,FALSE)),"0",VLOOKUP(A64,'Award Adjustment_Data'!A$2:G$68,4,FALSE))</f>
        <v>2728</v>
      </c>
      <c r="G64" s="269">
        <f t="shared" si="5"/>
        <v>0.45053674649050374</v>
      </c>
      <c r="H64" s="1">
        <f>IF(ISNA(VLOOKUP(A64,Program_Review_Data!A54:E118,2,FALSE)),"0",VLOOKUP(A64,Program_Review_Data!A54:E118,2,FALSE))</f>
        <v>728</v>
      </c>
      <c r="I64" s="1">
        <f>IF(ISNA(VLOOKUP($A64,Program_Review_Data!A54:F118,3,FALSE)),"0",VLOOKUP($A64,Program_Review_Data!A54:F118,3,FALSE))</f>
        <v>621</v>
      </c>
      <c r="J64" s="269">
        <f t="shared" si="6"/>
        <v>0.853021978021978</v>
      </c>
      <c r="K64" s="268">
        <f>IF(ISNA(VLOOKUP($A64,Other_Data!A54:E118,2,FALSE)),"0",VLOOKUP($A64,Other_Data!A54:E118,2,FALSE))</f>
        <v>3142</v>
      </c>
      <c r="L64" s="1">
        <f>IF(ISNA(VLOOKUP($A64,Other_Data!A54:E118,3,FALSE)),"0",VLOOKUP($A64,Other_Data!A54:E118,3,FALSE))</f>
        <v>789</v>
      </c>
      <c r="M64" s="269">
        <f t="shared" si="7"/>
        <v>0.2511139401654997</v>
      </c>
      <c r="N64" s="1">
        <f>IF(ISNA(VLOOKUP($A64,Burial_Data!$A$2:$C$65,2,FALSE)),"0",VLOOKUP($A64,Burial_Data!$A$2:$C$65,2,FALSE))</f>
        <v>1</v>
      </c>
      <c r="O64" s="354">
        <f>IF(ISNA(VLOOKUP($A64,Accrued_Data!$A$2:$D$67,3,FALSE)),"0",VLOOKUP($A64,Accrued_Data!$A$2:$D$67,3,FALSE))</f>
        <v>4</v>
      </c>
      <c r="P64" s="312">
        <v>4953</v>
      </c>
      <c r="Q64" s="268"/>
    </row>
    <row r="65" spans="1:17" ht="12.75">
      <c r="A65" t="s">
        <v>465</v>
      </c>
      <c r="B65" s="302">
        <f>IF(ISNA(VLOOKUP(A65,Entitlement_Data!A$3:C$64,2,FALSE)),"0",VLOOKUP(A65,Entitlement_Data!A$3:C$64,2,FALSE))</f>
        <v>11793</v>
      </c>
      <c r="C65" s="302">
        <f>IF(ISNA(VLOOKUP(A65,Entitlement_Data!A$3:D$64,3,FALSE)),"0",VLOOKUP(A65,Entitlement_Data!A$3:D$64,3,FALSE))</f>
        <v>7509</v>
      </c>
      <c r="D65" s="269">
        <f t="shared" si="4"/>
        <v>0.6367336555583821</v>
      </c>
      <c r="E65" s="354">
        <f>IF(ISNA(VLOOKUP(A65,'Award Adjustment_Data'!A$2:F$68,3,FALSE)),"0",VLOOKUP(A65,'Award Adjustment_Data'!A$2:F$68,3,FALSE))</f>
        <v>5703</v>
      </c>
      <c r="F65" s="354">
        <f>IF(ISNA(VLOOKUP(A65,'Award Adjustment_Data'!A$2:G$68,4,FALSE)),"0",VLOOKUP(A65,'Award Adjustment_Data'!A$2:G$68,4,FALSE))</f>
        <v>3493</v>
      </c>
      <c r="G65" s="269">
        <f t="shared" si="5"/>
        <v>0.612484657197966</v>
      </c>
      <c r="H65" s="1">
        <f>IF(ISNA(VLOOKUP(A65,Program_Review_Data!A55:E119,2,FALSE)),"0",VLOOKUP(A65,Program_Review_Data!A55:E119,2,FALSE))</f>
        <v>1519</v>
      </c>
      <c r="I65" s="1">
        <f>IF(ISNA(VLOOKUP($A65,Program_Review_Data!A55:F119,3,FALSE)),"0",VLOOKUP($A65,Program_Review_Data!A55:F119,3,FALSE))</f>
        <v>1025</v>
      </c>
      <c r="J65" s="269">
        <f t="shared" si="6"/>
        <v>0.6747860434496379</v>
      </c>
      <c r="K65" s="268">
        <f>IF(ISNA(VLOOKUP($A65,Other_Data!A55:E119,2,FALSE)),"0",VLOOKUP($A65,Other_Data!A55:E119,2,FALSE))</f>
        <v>634</v>
      </c>
      <c r="L65" s="1">
        <f>IF(ISNA(VLOOKUP($A65,Other_Data!A55:E119,3,FALSE)),"0",VLOOKUP($A65,Other_Data!A55:E119,3,FALSE))</f>
        <v>420</v>
      </c>
      <c r="M65" s="269">
        <f t="shared" si="7"/>
        <v>0.6624605678233438</v>
      </c>
      <c r="N65" s="1">
        <f>IF(ISNA(VLOOKUP($A65,Burial_Data!$A$2:$C$65,2,FALSE)),"0",VLOOKUP($A65,Burial_Data!$A$2:$C$65,2,FALSE))</f>
        <v>2</v>
      </c>
      <c r="O65" s="354">
        <f>IF(ISNA(VLOOKUP($A65,Accrued_Data!$A$2:$D$67,3,FALSE)),"0",VLOOKUP($A65,Accrued_Data!$A$2:$D$67,3,FALSE))</f>
        <v>20</v>
      </c>
      <c r="P65" s="312">
        <v>5287</v>
      </c>
      <c r="Q65" s="268"/>
    </row>
    <row r="66" spans="1:17" ht="12.75">
      <c r="A66" t="s">
        <v>467</v>
      </c>
      <c r="B66" s="302">
        <f>IF(ISNA(VLOOKUP(A66,Entitlement_Data!A$3:C$64,2,FALSE)),"0",VLOOKUP(A66,Entitlement_Data!A$3:C$64,2,FALSE))</f>
        <v>9485</v>
      </c>
      <c r="C66" s="302">
        <f>IF(ISNA(VLOOKUP(A66,Entitlement_Data!A$3:D$64,3,FALSE)),"0",VLOOKUP(A66,Entitlement_Data!A$3:D$64,3,FALSE))</f>
        <v>7455</v>
      </c>
      <c r="D66" s="269">
        <f t="shared" si="4"/>
        <v>0.7859778597785978</v>
      </c>
      <c r="E66" s="354">
        <f>IF(ISNA(VLOOKUP(A66,'Award Adjustment_Data'!A$2:F$68,3,FALSE)),"0",VLOOKUP(A66,'Award Adjustment_Data'!A$2:F$68,3,FALSE))</f>
        <v>2365</v>
      </c>
      <c r="F66" s="354">
        <f>IF(ISNA(VLOOKUP(A66,'Award Adjustment_Data'!A$2:G$68,4,FALSE)),"0",VLOOKUP(A66,'Award Adjustment_Data'!A$2:G$68,4,FALSE))</f>
        <v>1493</v>
      </c>
      <c r="G66" s="269">
        <f t="shared" si="5"/>
        <v>0.6312896405919661</v>
      </c>
      <c r="H66" s="1">
        <f>IF(ISNA(VLOOKUP(A66,Program_Review_Data!A56:E120,2,FALSE)),"0",VLOOKUP(A66,Program_Review_Data!A56:E120,2,FALSE))</f>
        <v>143</v>
      </c>
      <c r="I66" s="1">
        <f>IF(ISNA(VLOOKUP($A66,Program_Review_Data!A56:F120,3,FALSE)),"0",VLOOKUP($A66,Program_Review_Data!A56:F120,3,FALSE))</f>
        <v>84</v>
      </c>
      <c r="J66" s="269">
        <f t="shared" si="6"/>
        <v>0.5874125874125874</v>
      </c>
      <c r="K66" s="268">
        <f>IF(ISNA(VLOOKUP($A66,Other_Data!A56:E120,2,FALSE)),"0",VLOOKUP($A66,Other_Data!A56:E120,2,FALSE))</f>
        <v>689</v>
      </c>
      <c r="L66" s="1">
        <f>IF(ISNA(VLOOKUP($A66,Other_Data!A56:E120,3,FALSE)),"0",VLOOKUP($A66,Other_Data!A56:E120,3,FALSE))</f>
        <v>551</v>
      </c>
      <c r="M66" s="269">
        <f t="shared" si="7"/>
        <v>0.7997097242380261</v>
      </c>
      <c r="N66" s="1">
        <f>IF(ISNA(VLOOKUP($A66,Burial_Data!$A$2:$C$65,2,FALSE)),"0",VLOOKUP($A66,Burial_Data!$A$2:$C$65,2,FALSE))</f>
        <v>8</v>
      </c>
      <c r="O66" s="354">
        <f>IF(ISNA(VLOOKUP($A66,Accrued_Data!$A$2:$D$67,3,FALSE)),"0",VLOOKUP($A66,Accrued_Data!$A$2:$D$67,3,FALSE))</f>
        <v>1</v>
      </c>
      <c r="P66" s="312">
        <v>959</v>
      </c>
      <c r="Q66" s="268"/>
    </row>
    <row r="67" spans="1:17" ht="12.75">
      <c r="A67" t="s">
        <v>469</v>
      </c>
      <c r="B67" s="302">
        <f>IF(ISNA(VLOOKUP(A67,Entitlement_Data!A$3:C$64,2,FALSE)),"0",VLOOKUP(A67,Entitlement_Data!A$3:C$64,2,FALSE))</f>
        <v>18453</v>
      </c>
      <c r="C67" s="302">
        <f>IF(ISNA(VLOOKUP(A67,Entitlement_Data!A$3:D$64,3,FALSE)),"0",VLOOKUP(A67,Entitlement_Data!A$3:D$64,3,FALSE))</f>
        <v>13326</v>
      </c>
      <c r="D67" s="269">
        <f t="shared" si="4"/>
        <v>0.7221589985368233</v>
      </c>
      <c r="E67" s="354">
        <f>IF(ISNA(VLOOKUP(A67,'Award Adjustment_Data'!A$2:F$68,3,FALSE)),"0",VLOOKUP(A67,'Award Adjustment_Data'!A$2:F$68,3,FALSE))</f>
        <v>8769</v>
      </c>
      <c r="F67" s="354">
        <f>IF(ISNA(VLOOKUP(A67,'Award Adjustment_Data'!A$2:G$68,4,FALSE)),"0",VLOOKUP(A67,'Award Adjustment_Data'!A$2:G$68,4,FALSE))</f>
        <v>5995</v>
      </c>
      <c r="G67" s="269">
        <f t="shared" si="5"/>
        <v>0.68365834188619</v>
      </c>
      <c r="H67" s="1">
        <f>IF(ISNA(VLOOKUP(A67,Program_Review_Data!A57:E121,2,FALSE)),"0",VLOOKUP(A67,Program_Review_Data!A57:E121,2,FALSE))</f>
        <v>1018</v>
      </c>
      <c r="I67" s="1">
        <f>IF(ISNA(VLOOKUP($A67,Program_Review_Data!A57:F121,3,FALSE)),"0",VLOOKUP($A67,Program_Review_Data!A57:F121,3,FALSE))</f>
        <v>772</v>
      </c>
      <c r="J67" s="269">
        <f t="shared" si="6"/>
        <v>0.7583497053045186</v>
      </c>
      <c r="K67" s="268">
        <f>IF(ISNA(VLOOKUP($A67,Other_Data!A57:E121,2,FALSE)),"0",VLOOKUP($A67,Other_Data!A57:E121,2,FALSE))</f>
        <v>2729</v>
      </c>
      <c r="L67" s="1">
        <f>IF(ISNA(VLOOKUP($A67,Other_Data!A57:E121,3,FALSE)),"0",VLOOKUP($A67,Other_Data!A57:E121,3,FALSE))</f>
        <v>2033</v>
      </c>
      <c r="M67" s="269">
        <f t="shared" si="7"/>
        <v>0.7449615243679003</v>
      </c>
      <c r="N67" s="1">
        <f>IF(ISNA(VLOOKUP($A67,Burial_Data!$A$2:$C$65,2,FALSE)),"0",VLOOKUP($A67,Burial_Data!$A$2:$C$65,2,FALSE))</f>
        <v>0</v>
      </c>
      <c r="O67" s="354">
        <f>IF(ISNA(VLOOKUP($A67,Accrued_Data!$A$2:$D$67,3,FALSE)),"0",VLOOKUP($A67,Accrued_Data!$A$2:$D$67,3,FALSE))</f>
        <v>3</v>
      </c>
      <c r="P67" s="312">
        <v>1658</v>
      </c>
      <c r="Q67" s="268"/>
    </row>
    <row r="68" spans="1:17" ht="12.75">
      <c r="A68" t="s">
        <v>470</v>
      </c>
      <c r="B68" s="302">
        <f>IF(ISNA(VLOOKUP(A68,Entitlement_Data!A$3:C$64,2,FALSE)),"0",VLOOKUP(A68,Entitlement_Data!A$3:C$64,2,FALSE))</f>
        <v>29356</v>
      </c>
      <c r="C68" s="302">
        <f>IF(ISNA(VLOOKUP(A68,Entitlement_Data!A$3:D$64,3,FALSE)),"0",VLOOKUP(A68,Entitlement_Data!A$3:D$64,3,FALSE))</f>
        <v>19146</v>
      </c>
      <c r="D68" s="269">
        <f t="shared" si="4"/>
        <v>0.6522005722850525</v>
      </c>
      <c r="E68" s="354">
        <f>IF(ISNA(VLOOKUP(A68,'Award Adjustment_Data'!A$2:F$68,3,FALSE)),"0",VLOOKUP(A68,'Award Adjustment_Data'!A$2:F$68,3,FALSE))</f>
        <v>6054</v>
      </c>
      <c r="F68" s="354">
        <f>IF(ISNA(VLOOKUP(A68,'Award Adjustment_Data'!A$2:G$68,4,FALSE)),"0",VLOOKUP(A68,'Award Adjustment_Data'!A$2:G$68,4,FALSE))</f>
        <v>3449</v>
      </c>
      <c r="G68" s="269">
        <f t="shared" si="5"/>
        <v>0.5697059795176742</v>
      </c>
      <c r="H68" s="1">
        <f>IF(ISNA(VLOOKUP(A68,Program_Review_Data!A58:E122,2,FALSE)),"0",VLOOKUP(A68,Program_Review_Data!A58:E122,2,FALSE))</f>
        <v>1834</v>
      </c>
      <c r="I68" s="1">
        <f>IF(ISNA(VLOOKUP($A68,Program_Review_Data!A58:F122,3,FALSE)),"0",VLOOKUP($A68,Program_Review_Data!A58:F122,3,FALSE))</f>
        <v>1252</v>
      </c>
      <c r="J68" s="269">
        <f t="shared" si="6"/>
        <v>0.6826608505997819</v>
      </c>
      <c r="K68" s="268">
        <f>IF(ISNA(VLOOKUP($A68,Other_Data!A58:E122,2,FALSE)),"0",VLOOKUP($A68,Other_Data!A58:E122,2,FALSE))</f>
        <v>2937</v>
      </c>
      <c r="L68" s="1">
        <f>IF(ISNA(VLOOKUP($A68,Other_Data!A58:E122,3,FALSE)),"0",VLOOKUP($A68,Other_Data!A58:E122,3,FALSE))</f>
        <v>1283</v>
      </c>
      <c r="M68" s="269">
        <f t="shared" si="7"/>
        <v>0.43684031324480765</v>
      </c>
      <c r="N68" s="1">
        <f>IF(ISNA(VLOOKUP($A68,Burial_Data!$A$2:$C$65,2,FALSE)),"0",VLOOKUP($A68,Burial_Data!$A$2:$C$65,2,FALSE))</f>
        <v>0</v>
      </c>
      <c r="O68" s="354">
        <f>IF(ISNA(VLOOKUP($A68,Accrued_Data!$A$2:$D$67,3,FALSE)),"0",VLOOKUP($A68,Accrued_Data!$A$2:$D$67,3,FALSE))</f>
        <v>1</v>
      </c>
      <c r="P68" s="312">
        <v>3874</v>
      </c>
      <c r="Q68" s="268"/>
    </row>
    <row r="69" spans="1:17" ht="12.75">
      <c r="A69" s="328" t="s">
        <v>472</v>
      </c>
      <c r="B69" s="302">
        <f>IF(ISNA(VLOOKUP(A69,Entitlement_Data!A$3:C$64,2,FALSE)),"0",VLOOKUP(A69,Entitlement_Data!A$3:C$64,2,FALSE))</f>
        <v>24340</v>
      </c>
      <c r="C69" s="302">
        <f>IF(ISNA(VLOOKUP(A69,Entitlement_Data!A$3:D$64,3,FALSE)),"0",VLOOKUP(A69,Entitlement_Data!A$3:D$64,3,FALSE))</f>
        <v>18686</v>
      </c>
      <c r="D69" s="271">
        <f t="shared" si="4"/>
        <v>0.7677074774034511</v>
      </c>
      <c r="E69" s="355">
        <f>IF(ISNA(VLOOKUP(A69,'Award Adjustment_Data'!A$2:F$68,3,FALSE)),"0",VLOOKUP(A69,'Award Adjustment_Data'!A$2:F$68,3,FALSE))</f>
        <v>12623</v>
      </c>
      <c r="F69" s="355">
        <f>IF(ISNA(VLOOKUP(A69,'Award Adjustment_Data'!A$2:G$68,4,FALSE)),"0",VLOOKUP(A69,'Award Adjustment_Data'!A$2:G$68,4,FALSE))</f>
        <v>8581</v>
      </c>
      <c r="G69" s="271">
        <f t="shared" si="5"/>
        <v>0.6797908579576962</v>
      </c>
      <c r="H69" s="1">
        <f>IF(ISNA(VLOOKUP(A69,Program_Review_Data!A59:E123,2,FALSE)),"0",VLOOKUP(A69,Program_Review_Data!A59:E123,2,FALSE))</f>
        <v>2578</v>
      </c>
      <c r="I69" s="1">
        <f>IF(ISNA(VLOOKUP($A69,Program_Review_Data!A59:F123,3,FALSE)),"0",VLOOKUP($A69,Program_Review_Data!A59:F123,3,FALSE))</f>
        <v>1078</v>
      </c>
      <c r="J69" s="271">
        <f t="shared" si="6"/>
        <v>0.4181536074476338</v>
      </c>
      <c r="K69" s="268">
        <f>IF(ISNA(VLOOKUP($A69,Other_Data!A59:E123,2,FALSE)),"0",VLOOKUP($A69,Other_Data!A59:E123,2,FALSE))</f>
        <v>2646</v>
      </c>
      <c r="L69" s="1">
        <f>IF(ISNA(VLOOKUP($A69,Other_Data!A59:E123,3,FALSE)),"0",VLOOKUP($A69,Other_Data!A59:E123,3,FALSE))</f>
        <v>1819</v>
      </c>
      <c r="M69" s="271">
        <f t="shared" si="7"/>
        <v>0.6874527588813303</v>
      </c>
      <c r="N69" s="33">
        <f>IF(ISNA(VLOOKUP($A69,Burial_Data!$A$2:$C$65,2,FALSE)),"0",VLOOKUP($A69,Burial_Data!$A$2:$C$65,2,FALSE))</f>
        <v>69</v>
      </c>
      <c r="O69" s="355">
        <f>IF(ISNA(VLOOKUP($A69,Accrued_Data!$A$2:$D$67,3,FALSE)),"0",VLOOKUP($A69,Accrued_Data!$A$2:$D$67,3,FALSE))</f>
        <v>57</v>
      </c>
      <c r="P69" s="312">
        <v>5833</v>
      </c>
      <c r="Q69" s="295"/>
    </row>
    <row r="70" spans="1:17" ht="13.5">
      <c r="A70" s="326" t="s">
        <v>265</v>
      </c>
      <c r="B70" s="330">
        <f>Ent_Formulas!B2</f>
        <v>1</v>
      </c>
      <c r="C70" s="330">
        <f>Ent_Formulas!G2</f>
        <v>1</v>
      </c>
      <c r="D70" s="336">
        <f>IF(B70=0,"-",C70/B70)</f>
        <v>1</v>
      </c>
      <c r="E70" s="33">
        <f>Award_Formulas!B2</f>
        <v>36</v>
      </c>
      <c r="F70" s="33">
        <f>Award_Formulas!G2</f>
        <v>10</v>
      </c>
      <c r="G70" s="32">
        <f t="shared" si="1"/>
        <v>0.2777777777777778</v>
      </c>
      <c r="H70" s="330">
        <f>Program_Review_Formulas!B2</f>
        <v>0</v>
      </c>
      <c r="I70" s="330">
        <f>Program_Review_Formulas!C2</f>
        <v>0</v>
      </c>
      <c r="J70" s="301" t="str">
        <f>IF(I70=0,"-",I70/H70)</f>
        <v>-</v>
      </c>
      <c r="K70" s="330">
        <f>Other_Data_Formulas!B2</f>
        <v>142</v>
      </c>
      <c r="L70" s="330">
        <f>Other_Data_Formulas!C2</f>
        <v>91</v>
      </c>
      <c r="M70" s="32">
        <f t="shared" si="3"/>
        <v>0.6408450704225352</v>
      </c>
      <c r="N70" s="33">
        <f>Burial_Formulas!B2</f>
        <v>0</v>
      </c>
      <c r="O70" s="33">
        <f>Accrued_Formulas!B2</f>
        <v>3</v>
      </c>
      <c r="P70" s="313">
        <v>14054</v>
      </c>
      <c r="Q70" s="295"/>
    </row>
    <row r="71" ht="12.75">
      <c r="A71" s="323"/>
    </row>
    <row r="72" spans="2:16" s="16" customFormat="1" ht="24.75" customHeight="1">
      <c r="B72" s="450" t="s">
        <v>236</v>
      </c>
      <c r="C72" s="450"/>
      <c r="D72" s="450"/>
      <c r="E72" s="450"/>
      <c r="F72" s="450"/>
      <c r="G72" s="450"/>
      <c r="H72" s="450"/>
      <c r="I72" s="450"/>
      <c r="J72" s="450"/>
      <c r="K72" s="450"/>
      <c r="L72" s="450"/>
      <c r="M72" s="450"/>
      <c r="N72" s="450"/>
      <c r="O72" s="450"/>
      <c r="P72" s="450"/>
    </row>
    <row r="73" spans="1:16" s="17" customFormat="1" ht="15">
      <c r="A73" s="4"/>
      <c r="B73" s="440" t="s">
        <v>172</v>
      </c>
      <c r="C73" s="441"/>
      <c r="D73" s="442"/>
      <c r="E73" s="440" t="s">
        <v>173</v>
      </c>
      <c r="F73" s="441"/>
      <c r="G73" s="442"/>
      <c r="H73" s="440" t="s">
        <v>174</v>
      </c>
      <c r="I73" s="441"/>
      <c r="J73" s="442"/>
      <c r="K73" s="440" t="s">
        <v>175</v>
      </c>
      <c r="L73" s="441"/>
      <c r="M73" s="442"/>
      <c r="N73" s="13" t="s">
        <v>176</v>
      </c>
      <c r="O73" s="11" t="s">
        <v>177</v>
      </c>
      <c r="P73" s="13" t="s">
        <v>178</v>
      </c>
    </row>
    <row r="74" spans="1:16"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row>
    <row r="75" spans="2:16" s="22" customFormat="1" ht="33" customHeight="1">
      <c r="B75" s="443" t="s">
        <v>237</v>
      </c>
      <c r="C75" s="444"/>
      <c r="D75" s="445"/>
      <c r="E75" s="443" t="s">
        <v>400</v>
      </c>
      <c r="F75" s="444"/>
      <c r="G75" s="445"/>
      <c r="H75" s="446" t="s">
        <v>315</v>
      </c>
      <c r="I75" s="444"/>
      <c r="J75" s="445"/>
      <c r="K75" s="443" t="s">
        <v>379</v>
      </c>
      <c r="L75" s="444"/>
      <c r="M75" s="445"/>
      <c r="N75" s="23">
        <v>167</v>
      </c>
      <c r="O75" s="23" t="s">
        <v>28</v>
      </c>
      <c r="P75" s="24" t="s">
        <v>37</v>
      </c>
    </row>
    <row r="76" spans="1:16" ht="15">
      <c r="A76" s="14" t="s">
        <v>258</v>
      </c>
      <c r="B76" s="27">
        <f>SUM(Entitlement_Data!F3:F66)</f>
        <v>76772</v>
      </c>
      <c r="C76" s="27">
        <f>SUM(Entitlement_Data!G3:G66)</f>
        <v>37903</v>
      </c>
      <c r="D76" s="29">
        <f>C76/B76</f>
        <v>0.4937086437763768</v>
      </c>
      <c r="E76" s="222">
        <f>SUM('Award Adjustment_Data'!E3:E66)-Transformation!E35</f>
        <v>108692</v>
      </c>
      <c r="F76" s="222">
        <f>SUM('Award Adjustment_Data'!F3:F66)-Transformation!F35</f>
        <v>67214</v>
      </c>
      <c r="G76" s="29">
        <f>F76/E76</f>
        <v>0.6183895778898171</v>
      </c>
      <c r="H76" s="27">
        <f>SUM(Program_Review_Data!D3:D65)</f>
        <v>77258</v>
      </c>
      <c r="I76" s="27">
        <f>SUM(Program_Review_Data!E3:E65)</f>
        <v>29171</v>
      </c>
      <c r="J76" s="29">
        <f>I76/H76</f>
        <v>0.377579020942815</v>
      </c>
      <c r="K76" s="27">
        <f>SUM(Other_Data!D3:D66)</f>
        <v>13761</v>
      </c>
      <c r="L76" s="27">
        <f>SUM(Other_Data!E3:E66)</f>
        <v>7744</v>
      </c>
      <c r="M76" s="29">
        <f>L76/K76</f>
        <v>0.5627498001598721</v>
      </c>
      <c r="N76" s="361">
        <f>Transformation!E97-N11</f>
        <v>14562</v>
      </c>
      <c r="O76" s="31">
        <f>SUM(O77:O79)</f>
        <v>11162</v>
      </c>
      <c r="P76" s="222">
        <f>SUM(P77:P79)</f>
        <v>2341</v>
      </c>
    </row>
    <row r="77" spans="1:16" ht="12.75">
      <c r="A77" t="s">
        <v>462</v>
      </c>
      <c r="B77" s="28">
        <f>IF(ISNA(VLOOKUP(A77,Entitlement_Data!A$3:G$64,6,FALSE)),"0",VLOOKUP(A77,Entitlement_Data!A$3:G$64,6,FALSE))</f>
        <v>34082</v>
      </c>
      <c r="C77" s="28">
        <f>IF(ISNA(VLOOKUP(A77,Entitlement_Data!A$3:G$64,7,FALSE)),"0",VLOOKUP(A77,Entitlement_Data!A$3:G$64,7,FALSE))</f>
        <v>21189</v>
      </c>
      <c r="D77" s="29">
        <f>C77/B77</f>
        <v>0.6217064726248459</v>
      </c>
      <c r="E77" s="354">
        <f>IF(ISNA(VLOOKUP(A77,'Award Adjustment_Data'!A$2:F$68,5,FALSE)),"0",VLOOKUP(A77,'Award Adjustment_Data'!A$2:F$68,5,FALSE))</f>
        <v>53761</v>
      </c>
      <c r="F77" s="354">
        <f>IF(ISNA(VLOOKUP(A77,'Award Adjustment_Data'!A$2:G$68,6,FALSE)),"0",VLOOKUP(A77,'Award Adjustment_Data'!A$2:G$68,6,FALSE))</f>
        <v>40134</v>
      </c>
      <c r="G77" s="29">
        <f>F77/E77</f>
        <v>0.7465262922936702</v>
      </c>
      <c r="H77" s="27">
        <f>IF(ISNA(VLOOKUP(A77,Program_Review_Data!$A$2:$E$68,4,FALSE)),"0",VLOOKUP(A77,Program_Review_Data!$A$2:$E$68,4,FALSE))</f>
        <v>30196</v>
      </c>
      <c r="I77" s="27">
        <f>IF(ISNA(VLOOKUP(A77,Program_Review_Data!$A$2:$E$68,5,FALSE)),"0",VLOOKUP(A77,Program_Review_Data!$A$2:$E$68,5,FALSE))</f>
        <v>12948</v>
      </c>
      <c r="J77" s="29">
        <f>I77/H77</f>
        <v>0.4287985163597828</v>
      </c>
      <c r="K77" s="27">
        <f>IF(ISNA(VLOOKUP($A77,Other_Data!$A$2:$E$66,4,FALSE)),"0",VLOOKUP($A77,Other_Data!$A$2:$E$66,4,FALSE))</f>
        <v>7821</v>
      </c>
      <c r="L77" s="27">
        <f>IF(ISNA(VLOOKUP($A77,Other_Data!$A$2:$E$66,5,FALSE)),"0",VLOOKUP($A77,Other_Data!$A$2:$E$66,5,FALSE))</f>
        <v>3886</v>
      </c>
      <c r="M77" s="29">
        <f>L77/K77</f>
        <v>0.49686740825981335</v>
      </c>
      <c r="N77" s="33">
        <f>IF(ISNA(VLOOKUP($A77,Burial_Data!$A$2:$C$65,3,FALSE)),"0",VLOOKUP($A77,Burial_Data!$A$2:$C$65,3,FALSE))</f>
        <v>8570</v>
      </c>
      <c r="O77" s="354">
        <f>IF(ISNA(VLOOKUP($A77,Accrued_Data!$A$2:$D$67,3,FALSE)),"0",VLOOKUP($A77,Accrued_Data!$A$2:$D$67,3,FALSE))</f>
        <v>5031</v>
      </c>
      <c r="P77" s="222">
        <v>735</v>
      </c>
    </row>
    <row r="78" spans="1:16" ht="12.75">
      <c r="A78" t="s">
        <v>455</v>
      </c>
      <c r="B78" s="28">
        <f>IF(ISNA(VLOOKUP(A78,Entitlement_Data!A$3:G$64,6,FALSE)),"0",VLOOKUP(A78,Entitlement_Data!A$3:G$64,6,FALSE))</f>
        <v>16960</v>
      </c>
      <c r="C78" s="28">
        <f>IF(ISNA(VLOOKUP(A78,Entitlement_Data!A$3:G$64,7,FALSE)),"0",VLOOKUP(A78,Entitlement_Data!A$3:G$64,7,FALSE))</f>
        <v>4735</v>
      </c>
      <c r="D78" s="29">
        <f>C78/B78</f>
        <v>0.279186320754717</v>
      </c>
      <c r="E78" s="354">
        <f>IF(ISNA(VLOOKUP(A78,'Award Adjustment_Data'!A$2:F$68,5,FALSE)),"0",VLOOKUP(A78,'Award Adjustment_Data'!A$2:F$68,5,FALSE))</f>
        <v>18944</v>
      </c>
      <c r="F78" s="354">
        <f>IF(ISNA(VLOOKUP(A78,'Award Adjustment_Data'!A$2:G$68,6,FALSE)),"0",VLOOKUP(A78,'Award Adjustment_Data'!A$2:G$68,6,FALSE))</f>
        <v>4168</v>
      </c>
      <c r="G78" s="29">
        <f>F78/E78</f>
        <v>0.22001689189189189</v>
      </c>
      <c r="H78" s="27">
        <f>IF(ISNA(VLOOKUP(A78,Program_Review_Data!$A$2:$E$68,4,FALSE)),"0",VLOOKUP(A78,Program_Review_Data!$A$2:$E$68,4,FALSE))</f>
        <v>21986</v>
      </c>
      <c r="I78" s="27">
        <f>IF(ISNA(VLOOKUP(A78,Program_Review_Data!$A$2:$E$68,5,FALSE)),"0",VLOOKUP(A78,Program_Review_Data!$A$2:$E$68,5,FALSE))</f>
        <v>6141</v>
      </c>
      <c r="J78" s="29">
        <f>I78/H78</f>
        <v>0.27931410897844083</v>
      </c>
      <c r="K78" s="27">
        <f>IF(ISNA(VLOOKUP(A78,Other_Data!$A$2:$E$66,4,FALSE)),"0",VLOOKUP(A78,Other_Data!$A$2:$E$66,4,FALSE))</f>
        <v>559</v>
      </c>
      <c r="L78" s="27">
        <f>IF(ISNA(VLOOKUP($A78,Other_Data!$A$2:$E$66,5,FALSE)),"0",VLOOKUP($A78,Other_Data!$A$2:$E$66,5,FALSE))</f>
        <v>271</v>
      </c>
      <c r="M78" s="29">
        <f>L78/K78</f>
        <v>0.4847942754919499</v>
      </c>
      <c r="N78" s="33">
        <f>IF(ISNA(VLOOKUP($A78,Burial_Data!$A$2:$C$65,3,FALSE)),"0",VLOOKUP($A78,Burial_Data!$A$2:$C$65,3,FALSE))</f>
        <v>2496</v>
      </c>
      <c r="O78" s="354">
        <f>IF(ISNA(VLOOKUP($A78,Accrued_Data!$A$2:$D$67,3,FALSE)),"0",VLOOKUP($A78,Accrued_Data!$A$2:$D$67,3,FALSE))</f>
        <v>1532</v>
      </c>
      <c r="P78" s="222">
        <v>688</v>
      </c>
    </row>
    <row r="79" spans="1:16" ht="12.75">
      <c r="A79" t="s">
        <v>475</v>
      </c>
      <c r="B79" s="28">
        <f>IF(ISNA(VLOOKUP(A79,Entitlement_Data!A$3:G$64,6,FALSE)),"0",VLOOKUP(A79,Entitlement_Data!A$3:G$64,6,FALSE))</f>
        <v>25315</v>
      </c>
      <c r="C79" s="28">
        <f>IF(ISNA(VLOOKUP(A79,Entitlement_Data!A$3:G$64,7,FALSE)),"0",VLOOKUP(A79,Entitlement_Data!A$3:G$64,7,FALSE))</f>
        <v>11796</v>
      </c>
      <c r="D79" s="29">
        <f>C79/B79</f>
        <v>0.4659687932056093</v>
      </c>
      <c r="E79" s="354">
        <f>IF(ISNA(VLOOKUP(A79,'Award Adjustment_Data'!A$2:F$68,5,FALSE)),"0",VLOOKUP(A79,'Award Adjustment_Data'!A$2:F$68,5,FALSE))</f>
        <v>35132</v>
      </c>
      <c r="F79" s="354">
        <f>IF(ISNA(VLOOKUP(A79,'Award Adjustment_Data'!A$2:G$68,6,FALSE)),"0",VLOOKUP(A79,'Award Adjustment_Data'!A$2:G$68,6,FALSE))</f>
        <v>22256</v>
      </c>
      <c r="G79" s="29">
        <f>F79/E79</f>
        <v>0.6334965273824433</v>
      </c>
      <c r="H79" s="27">
        <f>IF(ISNA(VLOOKUP(A79,Program_Review_Data!$A$2:$E$68,4,FALSE)),"0",VLOOKUP(A79,Program_Review_Data!$A$2:$E$68,4,FALSE))</f>
        <v>24857</v>
      </c>
      <c r="I79" s="27">
        <f>IF(ISNA(VLOOKUP(A79,Program_Review_Data!$A$2:$E$68,5,FALSE)),"0",VLOOKUP(A79,Program_Review_Data!$A$2:$E$68,5,FALSE))</f>
        <v>9899</v>
      </c>
      <c r="J79" s="29">
        <f>I79/H79</f>
        <v>0.3982379209075914</v>
      </c>
      <c r="K79" s="27">
        <f>IF(ISNA(VLOOKUP(A79,Other_Data!$A$2:$E$66,4,FALSE)),"0",VLOOKUP(A79,Other_Data!$A$2:$E$66,4,FALSE))</f>
        <v>5011</v>
      </c>
      <c r="L79" s="27">
        <f>IF(ISNA(VLOOKUP($A79,Other_Data!$A$2:$E$66,5,FALSE)),"0",VLOOKUP($A79,Other_Data!$A$2:$E$66,5,FALSE))</f>
        <v>3279</v>
      </c>
      <c r="M79" s="29">
        <f>L79/K79</f>
        <v>0.6543604071043704</v>
      </c>
      <c r="N79" s="33">
        <f>IF(ISNA(VLOOKUP($A79,Burial_Data!$A$2:$C$65,3,FALSE)),"0",VLOOKUP($A79,Burial_Data!$A$2:$C$65,3,FALSE))</f>
        <v>3428</v>
      </c>
      <c r="O79" s="354">
        <f>IF(ISNA(VLOOKUP($A79,Accrued_Data!$A$2:$D$67,3,FALSE)),"0",VLOOKUP($A79,Accrued_Data!$A$2:$D$67,3,FALSE))</f>
        <v>4599</v>
      </c>
      <c r="P79" s="222">
        <v>918</v>
      </c>
    </row>
    <row r="80" spans="1:16" ht="13.5">
      <c r="A80" s="26" t="s">
        <v>494</v>
      </c>
      <c r="B80" s="28">
        <f>B76-B77-B78-B79</f>
        <v>415</v>
      </c>
      <c r="C80" s="28">
        <f>C76-C77-C78-C79</f>
        <v>183</v>
      </c>
      <c r="D80" s="29">
        <f>C80/B80</f>
        <v>0.44096385542168676</v>
      </c>
      <c r="E80" s="28">
        <f>E76-E77-E78-E79</f>
        <v>855</v>
      </c>
      <c r="F80" s="28">
        <f>F76-F77-F78-F79</f>
        <v>656</v>
      </c>
      <c r="G80" s="29">
        <f>F80/E80</f>
        <v>0.7672514619883041</v>
      </c>
      <c r="H80" s="28">
        <f>H76-H77-H78-H79</f>
        <v>219</v>
      </c>
      <c r="I80" s="28">
        <f>I76-I77-I78-I79</f>
        <v>183</v>
      </c>
      <c r="J80" s="29">
        <f>I80/H80</f>
        <v>0.8356164383561644</v>
      </c>
      <c r="K80" s="28">
        <f>K76-K77-K78-K79</f>
        <v>370</v>
      </c>
      <c r="L80" s="28">
        <f>L76-L77-L78-L79</f>
        <v>308</v>
      </c>
      <c r="M80" s="29">
        <f>L80/K80</f>
        <v>0.8324324324324325</v>
      </c>
      <c r="N80" s="48">
        <f>N76-SUM(N77:N79)</f>
        <v>68</v>
      </c>
      <c r="O80" s="172" t="s">
        <v>329</v>
      </c>
      <c r="P80" s="172" t="s">
        <v>329</v>
      </c>
    </row>
    <row r="81" spans="5:14" ht="12.75">
      <c r="E81" s="1"/>
      <c r="K81" s="1"/>
      <c r="N81" s="30"/>
    </row>
    <row r="83" spans="2:9" ht="26.25">
      <c r="B83" s="439" t="s">
        <v>342</v>
      </c>
      <c r="C83" s="439"/>
      <c r="D83" s="439"/>
      <c r="E83" s="439"/>
      <c r="F83" s="439"/>
      <c r="G83" s="439"/>
      <c r="H83" s="439"/>
      <c r="I83" s="439"/>
    </row>
    <row r="84" spans="2:9" ht="15">
      <c r="B84" s="440" t="s">
        <v>333</v>
      </c>
      <c r="C84" s="441"/>
      <c r="D84" s="441"/>
      <c r="E84" s="441"/>
      <c r="F84" s="440" t="s">
        <v>340</v>
      </c>
      <c r="G84" s="441"/>
      <c r="H84" s="441"/>
      <c r="I84" s="442"/>
    </row>
    <row r="85" spans="2:16" ht="54">
      <c r="B85" s="213" t="s">
        <v>338</v>
      </c>
      <c r="C85" s="213" t="s">
        <v>339</v>
      </c>
      <c r="D85" s="213" t="s">
        <v>341</v>
      </c>
      <c r="E85" s="213" t="s">
        <v>344</v>
      </c>
      <c r="F85" s="20" t="s">
        <v>338</v>
      </c>
      <c r="G85" s="213" t="s">
        <v>339</v>
      </c>
      <c r="H85" s="213" t="s">
        <v>341</v>
      </c>
      <c r="I85" s="213" t="s">
        <v>344</v>
      </c>
      <c r="K85" s="256" t="s">
        <v>351</v>
      </c>
      <c r="L85" s="248"/>
      <c r="M85" s="248"/>
      <c r="N85" s="248"/>
      <c r="O85" s="248"/>
      <c r="P85" s="249"/>
    </row>
    <row r="86" spans="1:16" ht="15.75" thickBot="1">
      <c r="A86" s="228" t="s">
        <v>343</v>
      </c>
      <c r="B86" s="245">
        <f>SUM(B87:B90)</f>
        <v>25673</v>
      </c>
      <c r="C86" s="245">
        <f>SUM(C87:C90)</f>
        <v>26872</v>
      </c>
      <c r="D86" s="245">
        <f>B86-C86</f>
        <v>-1199</v>
      </c>
      <c r="E86" s="246">
        <f>D86/C86</f>
        <v>-0.04461893420660911</v>
      </c>
      <c r="F86" s="245">
        <f>SUM(F87:F90)</f>
        <v>219413</v>
      </c>
      <c r="G86" s="245">
        <f>SUM(G87:G90)</f>
        <v>254271</v>
      </c>
      <c r="H86" s="245">
        <f>F86-G86</f>
        <v>-34858</v>
      </c>
      <c r="I86" s="246">
        <f>H86/G86</f>
        <v>-0.13708995520527312</v>
      </c>
      <c r="K86" s="248" t="s">
        <v>352</v>
      </c>
      <c r="L86" s="248"/>
      <c r="M86" s="248"/>
      <c r="N86" s="248"/>
      <c r="O86" s="248"/>
      <c r="P86" s="249"/>
    </row>
    <row r="87" spans="1:16" ht="15">
      <c r="A87" s="211" t="s">
        <v>334</v>
      </c>
      <c r="B87" s="378">
        <v>6712</v>
      </c>
      <c r="C87" s="369">
        <v>6907</v>
      </c>
      <c r="D87" s="370">
        <f>B87-C87</f>
        <v>-195</v>
      </c>
      <c r="E87" s="371">
        <f>D87/C87</f>
        <v>-0.02823222817431591</v>
      </c>
      <c r="F87" s="381">
        <v>52069</v>
      </c>
      <c r="G87" s="376">
        <v>58950</v>
      </c>
      <c r="H87" s="370">
        <f>F87-G87</f>
        <v>-6881</v>
      </c>
      <c r="I87" s="371">
        <f>H87/G87</f>
        <v>-0.11672603901611535</v>
      </c>
      <c r="K87" s="248" t="s">
        <v>353</v>
      </c>
      <c r="L87" s="248"/>
      <c r="M87" s="248"/>
      <c r="N87" s="248"/>
      <c r="O87" s="248"/>
      <c r="P87" s="249"/>
    </row>
    <row r="88" spans="1:16" ht="14.25">
      <c r="A88" s="293" t="s">
        <v>335</v>
      </c>
      <c r="B88" s="379">
        <v>5587</v>
      </c>
      <c r="C88" s="294">
        <v>5693</v>
      </c>
      <c r="D88" s="247">
        <f>B88-C88</f>
        <v>-106</v>
      </c>
      <c r="E88" s="372">
        <f>D88/C88</f>
        <v>-0.018619357105216932</v>
      </c>
      <c r="F88" s="382">
        <v>46155</v>
      </c>
      <c r="G88" s="257">
        <v>50106</v>
      </c>
      <c r="H88" s="247">
        <f>F88-G88</f>
        <v>-3951</v>
      </c>
      <c r="I88" s="372">
        <f>H88/G88</f>
        <v>-0.07885283199616812</v>
      </c>
      <c r="K88" s="248" t="s">
        <v>354</v>
      </c>
      <c r="L88" s="248"/>
      <c r="M88" s="248"/>
      <c r="N88" s="248"/>
      <c r="O88" s="248"/>
      <c r="P88" s="249"/>
    </row>
    <row r="89" spans="1:16" ht="15">
      <c r="A89" s="211" t="s">
        <v>336</v>
      </c>
      <c r="B89" s="379">
        <v>7851</v>
      </c>
      <c r="C89" s="294">
        <v>8371</v>
      </c>
      <c r="D89" s="247">
        <f>B89-C89</f>
        <v>-520</v>
      </c>
      <c r="E89" s="372">
        <f>D89/C89</f>
        <v>-0.06211922112053518</v>
      </c>
      <c r="F89" s="382">
        <v>78729</v>
      </c>
      <c r="G89" s="257">
        <v>80985</v>
      </c>
      <c r="H89" s="247">
        <f>F89-G89</f>
        <v>-2256</v>
      </c>
      <c r="I89" s="372">
        <f>H89/G89</f>
        <v>-0.02785701055751065</v>
      </c>
      <c r="K89" s="248" t="s">
        <v>360</v>
      </c>
      <c r="L89" s="248"/>
      <c r="M89" s="248"/>
      <c r="N89" s="248"/>
      <c r="O89" s="248"/>
      <c r="P89" s="249"/>
    </row>
    <row r="90" spans="1:15" ht="15.75" thickBot="1">
      <c r="A90" s="212" t="s">
        <v>337</v>
      </c>
      <c r="B90" s="380">
        <v>5523</v>
      </c>
      <c r="C90" s="373">
        <v>5901</v>
      </c>
      <c r="D90" s="374">
        <f>B90-C90</f>
        <v>-378</v>
      </c>
      <c r="E90" s="375">
        <f>D90/C90</f>
        <v>-0.06405693950177936</v>
      </c>
      <c r="F90" s="383">
        <v>42460</v>
      </c>
      <c r="G90" s="377">
        <v>64230</v>
      </c>
      <c r="H90" s="374">
        <f>F90-G90</f>
        <v>-21770</v>
      </c>
      <c r="I90" s="375">
        <f>H90/G90</f>
        <v>-0.3389381908765374</v>
      </c>
      <c r="K90" s="248" t="s">
        <v>361</v>
      </c>
      <c r="L90" s="229"/>
      <c r="M90" s="229"/>
      <c r="N90" s="229"/>
      <c r="O90" s="229"/>
    </row>
    <row r="91" s="229" customFormat="1" ht="12.75">
      <c r="K91" s="248"/>
    </row>
    <row r="92" spans="6:7" s="229" customFormat="1" ht="14.25">
      <c r="F92" s="229" t="s">
        <v>399</v>
      </c>
      <c r="G92" s="280"/>
    </row>
    <row r="93" spans="5:7" s="229" customFormat="1" ht="14.25">
      <c r="E93" s="322" t="s">
        <v>424</v>
      </c>
      <c r="G93" s="280"/>
    </row>
    <row r="94" spans="1:7" s="229" customFormat="1" ht="12.75" customHeight="1">
      <c r="A94" s="447" t="s">
        <v>357</v>
      </c>
      <c r="B94" s="259"/>
      <c r="G94" s="280"/>
    </row>
    <row r="95" spans="1:7" s="229" customFormat="1" ht="14.25">
      <c r="A95" s="447"/>
      <c r="B95" s="259"/>
      <c r="G95" s="280"/>
    </row>
    <row r="96" spans="1:2" s="229" customFormat="1" ht="12.75">
      <c r="A96" s="447"/>
      <c r="B96" s="259" t="s">
        <v>393</v>
      </c>
    </row>
    <row r="97" spans="1:2" s="229" customFormat="1" ht="12.75">
      <c r="A97" s="229" t="s">
        <v>358</v>
      </c>
      <c r="B97" s="260">
        <f>SUM('VOR Summary'!C6:G6,'VOR Summary'!K6,'VOR Summary'!Z6,'VOR Summary'!AA6)</f>
        <v>827512</v>
      </c>
    </row>
    <row r="98" spans="1:2" s="229" customFormat="1" ht="12.75">
      <c r="A98" s="229" t="s">
        <v>359</v>
      </c>
      <c r="B98" s="260">
        <f>SUM('VOR Summary'!AX6:BB6,'VOR Summary'!BF6,'VOR Summary'!BU6:BV6)</f>
        <v>537921</v>
      </c>
    </row>
    <row r="99" spans="1:2" s="229" customFormat="1" ht="12.75">
      <c r="A99" s="229" t="s">
        <v>362</v>
      </c>
      <c r="B99" s="261">
        <f>B98/B97</f>
        <v>0.6500461624725684</v>
      </c>
    </row>
    <row r="100" s="229" customFormat="1" ht="12.75"/>
    <row r="101" s="229" customFormat="1" ht="12.75"/>
    <row r="102" s="229" customFormat="1" ht="12.75"/>
    <row r="103" s="229" customFormat="1" ht="12.75"/>
  </sheetData>
  <sheetProtection formatCells="0" insertHyperlinks="0"/>
  <mergeCells count="24">
    <mergeCell ref="C2:E2"/>
    <mergeCell ref="F3:P3"/>
    <mergeCell ref="B72:P72"/>
    <mergeCell ref="B6:P6"/>
    <mergeCell ref="B9:D9"/>
    <mergeCell ref="E9:G9"/>
    <mergeCell ref="H9:J9"/>
    <mergeCell ref="K9:M9"/>
    <mergeCell ref="K7:M7"/>
    <mergeCell ref="E7:G7"/>
    <mergeCell ref="K73:M73"/>
    <mergeCell ref="A94:A96"/>
    <mergeCell ref="K75:M75"/>
    <mergeCell ref="B83:I83"/>
    <mergeCell ref="B84:E84"/>
    <mergeCell ref="F84:I84"/>
    <mergeCell ref="H7:J7"/>
    <mergeCell ref="B75:D75"/>
    <mergeCell ref="E75:G75"/>
    <mergeCell ref="H75:J75"/>
    <mergeCell ref="B7:D7"/>
    <mergeCell ref="B73:D73"/>
    <mergeCell ref="E73:G73"/>
    <mergeCell ref="H73:J73"/>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2">
        <v>40964</v>
      </c>
      <c r="C1" s="264"/>
      <c r="D1" s="264"/>
    </row>
    <row r="2" spans="1:42" ht="12.75">
      <c r="A2" s="229" t="s">
        <v>10</v>
      </c>
      <c r="B2" s="229" t="s">
        <v>38</v>
      </c>
      <c r="F2" s="248"/>
      <c r="AK2" s="231"/>
      <c r="AP2" s="231">
        <f>AP6-AR6</f>
        <v>38713</v>
      </c>
    </row>
    <row r="3" spans="14:61" ht="12.75">
      <c r="N3" s="287"/>
      <c r="BI3" s="287"/>
    </row>
    <row r="4" spans="2:96" s="250" customFormat="1" ht="21.75" customHeight="1">
      <c r="B4" s="457" t="s">
        <v>39</v>
      </c>
      <c r="C4" s="457"/>
      <c r="D4" s="457"/>
      <c r="E4" s="457"/>
      <c r="F4" s="457"/>
      <c r="G4" s="457"/>
      <c r="H4" s="457"/>
      <c r="I4" s="457"/>
      <c r="J4" s="457"/>
      <c r="K4" s="457" t="s">
        <v>39</v>
      </c>
      <c r="L4" s="457"/>
      <c r="M4" s="457"/>
      <c r="N4" s="457"/>
      <c r="O4" s="457"/>
      <c r="P4" s="457"/>
      <c r="Q4" s="457"/>
      <c r="R4" s="457"/>
      <c r="S4" s="457"/>
      <c r="T4" s="457"/>
      <c r="U4" s="457"/>
      <c r="V4" s="457"/>
      <c r="W4" s="457"/>
      <c r="X4" s="457"/>
      <c r="Y4" s="457" t="s">
        <v>39</v>
      </c>
      <c r="Z4" s="457"/>
      <c r="AA4" s="457"/>
      <c r="AB4" s="457"/>
      <c r="AC4" s="457"/>
      <c r="AD4" s="457"/>
      <c r="AE4" s="457"/>
      <c r="AF4" s="457"/>
      <c r="AG4" s="457"/>
      <c r="AH4" s="457" t="s">
        <v>39</v>
      </c>
      <c r="AI4" s="457"/>
      <c r="AJ4" s="457"/>
      <c r="AK4" s="457"/>
      <c r="AL4" s="457"/>
      <c r="AM4" s="457"/>
      <c r="AN4" s="457"/>
      <c r="AO4" s="457"/>
      <c r="AP4" s="457"/>
      <c r="AQ4" s="457"/>
      <c r="AR4" s="289"/>
      <c r="AS4" s="289"/>
      <c r="AT4" s="289"/>
      <c r="AU4" s="251"/>
      <c r="AV4" s="289"/>
      <c r="AW4" s="456" t="s">
        <v>29</v>
      </c>
      <c r="AX4" s="456"/>
      <c r="AY4" s="456"/>
      <c r="AZ4" s="456"/>
      <c r="BA4" s="456"/>
      <c r="BB4" s="456"/>
      <c r="BC4" s="456"/>
      <c r="BD4" s="456"/>
      <c r="BE4" s="456"/>
      <c r="BF4" s="456"/>
      <c r="BG4" s="456" t="s">
        <v>29</v>
      </c>
      <c r="BH4" s="456"/>
      <c r="BI4" s="456"/>
      <c r="BJ4" s="456"/>
      <c r="BK4" s="456"/>
      <c r="BL4" s="456"/>
      <c r="BM4" s="456"/>
      <c r="BN4" s="456"/>
      <c r="BO4" s="456"/>
      <c r="BP4" s="456"/>
      <c r="BQ4" s="456"/>
      <c r="BR4" s="456"/>
      <c r="BS4" s="456" t="s">
        <v>29</v>
      </c>
      <c r="BT4" s="456"/>
      <c r="BU4" s="456"/>
      <c r="BV4" s="456"/>
      <c r="BW4" s="456"/>
      <c r="BX4" s="456"/>
      <c r="BY4" s="456"/>
      <c r="BZ4" s="456" t="s">
        <v>29</v>
      </c>
      <c r="CA4" s="456"/>
      <c r="CB4" s="456"/>
      <c r="CC4" s="456"/>
      <c r="CD4" s="456"/>
      <c r="CE4" s="456"/>
      <c r="CF4" s="456"/>
      <c r="CG4" s="456"/>
      <c r="CH4" s="456" t="s">
        <v>29</v>
      </c>
      <c r="CI4" s="456"/>
      <c r="CJ4" s="456"/>
      <c r="CK4" s="456"/>
      <c r="CL4" s="456"/>
      <c r="CM4" s="456"/>
      <c r="CN4" s="288"/>
      <c r="CO4" s="288"/>
      <c r="CP4" s="288"/>
      <c r="CQ4" s="288"/>
      <c r="CR4" s="305"/>
    </row>
    <row r="5" spans="2:96" s="252" customFormat="1" ht="30.75" customHeight="1">
      <c r="B5" s="276" t="s">
        <v>40</v>
      </c>
      <c r="C5" s="253" t="s">
        <v>41</v>
      </c>
      <c r="D5" s="253" t="s">
        <v>42</v>
      </c>
      <c r="E5" s="253" t="s">
        <v>43</v>
      </c>
      <c r="F5" s="253" t="s">
        <v>44</v>
      </c>
      <c r="G5" s="253" t="s">
        <v>45</v>
      </c>
      <c r="H5" s="253" t="s">
        <v>46</v>
      </c>
      <c r="I5" s="253" t="s">
        <v>47</v>
      </c>
      <c r="J5" s="253" t="s">
        <v>49</v>
      </c>
      <c r="K5" s="253" t="s">
        <v>50</v>
      </c>
      <c r="L5" s="253" t="s">
        <v>51</v>
      </c>
      <c r="M5" s="253" t="s">
        <v>52</v>
      </c>
      <c r="N5" s="281" t="s">
        <v>382</v>
      </c>
      <c r="O5" s="253" t="s">
        <v>53</v>
      </c>
      <c r="P5" s="253" t="s">
        <v>18</v>
      </c>
      <c r="Q5" s="253" t="s">
        <v>54</v>
      </c>
      <c r="R5" s="253" t="s">
        <v>55</v>
      </c>
      <c r="S5" s="253" t="s">
        <v>56</v>
      </c>
      <c r="T5" s="253" t="s">
        <v>57</v>
      </c>
      <c r="U5" s="253" t="s">
        <v>58</v>
      </c>
      <c r="V5" s="253" t="s">
        <v>59</v>
      </c>
      <c r="W5" s="253" t="s">
        <v>60</v>
      </c>
      <c r="X5" s="253" t="s">
        <v>61</v>
      </c>
      <c r="Y5" s="253" t="s">
        <v>62</v>
      </c>
      <c r="Z5" s="253" t="s">
        <v>12</v>
      </c>
      <c r="AA5" s="253" t="s">
        <v>13</v>
      </c>
      <c r="AB5" s="253" t="s">
        <v>14</v>
      </c>
      <c r="AC5" s="253" t="s">
        <v>48</v>
      </c>
      <c r="AD5" s="254" t="s">
        <v>9</v>
      </c>
      <c r="AE5" s="254" t="s">
        <v>380</v>
      </c>
      <c r="AF5" s="254" t="s">
        <v>15</v>
      </c>
      <c r="AG5" s="254" t="s">
        <v>63</v>
      </c>
      <c r="AH5" s="253" t="s">
        <v>64</v>
      </c>
      <c r="AI5" s="253" t="s">
        <v>16</v>
      </c>
      <c r="AJ5" s="253" t="s">
        <v>17</v>
      </c>
      <c r="AK5" s="253" t="s">
        <v>65</v>
      </c>
      <c r="AL5" s="253" t="s">
        <v>66</v>
      </c>
      <c r="AM5" s="253" t="s">
        <v>67</v>
      </c>
      <c r="AN5" s="253" t="s">
        <v>68</v>
      </c>
      <c r="AO5" s="253" t="s">
        <v>314</v>
      </c>
      <c r="AP5" s="253" t="s">
        <v>25</v>
      </c>
      <c r="AQ5" s="253" t="s">
        <v>26</v>
      </c>
      <c r="AR5" s="253" t="s">
        <v>4</v>
      </c>
      <c r="AS5" s="253" t="s">
        <v>383</v>
      </c>
      <c r="AT5" s="253" t="s">
        <v>384</v>
      </c>
      <c r="AU5" s="255" t="s">
        <v>386</v>
      </c>
      <c r="AV5" s="255" t="s">
        <v>392</v>
      </c>
      <c r="AW5" s="253" t="s">
        <v>40</v>
      </c>
      <c r="AX5" s="253" t="s">
        <v>41</v>
      </c>
      <c r="AY5" s="253" t="s">
        <v>42</v>
      </c>
      <c r="AZ5" s="253" t="s">
        <v>43</v>
      </c>
      <c r="BA5" s="253" t="s">
        <v>44</v>
      </c>
      <c r="BB5" s="253" t="s">
        <v>45</v>
      </c>
      <c r="BC5" s="253" t="s">
        <v>46</v>
      </c>
      <c r="BD5" s="253" t="s">
        <v>47</v>
      </c>
      <c r="BE5" s="253" t="s">
        <v>49</v>
      </c>
      <c r="BF5" s="253" t="s">
        <v>50</v>
      </c>
      <c r="BG5" s="253" t="s">
        <v>51</v>
      </c>
      <c r="BH5" s="253" t="s">
        <v>52</v>
      </c>
      <c r="BI5" s="281" t="s">
        <v>382</v>
      </c>
      <c r="BJ5" s="253" t="s">
        <v>53</v>
      </c>
      <c r="BK5" s="253" t="s">
        <v>18</v>
      </c>
      <c r="BL5" s="253" t="s">
        <v>54</v>
      </c>
      <c r="BM5" s="253" t="s">
        <v>55</v>
      </c>
      <c r="BN5" s="253" t="s">
        <v>56</v>
      </c>
      <c r="BO5" s="253" t="s">
        <v>57</v>
      </c>
      <c r="BP5" s="253" t="s">
        <v>58</v>
      </c>
      <c r="BQ5" s="253" t="s">
        <v>59</v>
      </c>
      <c r="BR5" s="253" t="s">
        <v>60</v>
      </c>
      <c r="BS5" s="253" t="s">
        <v>61</v>
      </c>
      <c r="BT5" s="253" t="s">
        <v>62</v>
      </c>
      <c r="BU5" s="253" t="s">
        <v>12</v>
      </c>
      <c r="BV5" s="253" t="s">
        <v>13</v>
      </c>
      <c r="BW5" s="253" t="s">
        <v>14</v>
      </c>
      <c r="BX5" s="253" t="s">
        <v>48</v>
      </c>
      <c r="BY5" s="253" t="s">
        <v>9</v>
      </c>
      <c r="BZ5" s="253" t="s">
        <v>380</v>
      </c>
      <c r="CA5" s="253" t="s">
        <v>15</v>
      </c>
      <c r="CB5" s="253" t="s">
        <v>63</v>
      </c>
      <c r="CC5" s="253" t="s">
        <v>64</v>
      </c>
      <c r="CD5" s="253" t="s">
        <v>16</v>
      </c>
      <c r="CE5" s="253" t="s">
        <v>17</v>
      </c>
      <c r="CF5" s="253" t="s">
        <v>65</v>
      </c>
      <c r="CG5" s="253" t="s">
        <v>66</v>
      </c>
      <c r="CH5" s="253" t="s">
        <v>67</v>
      </c>
      <c r="CI5" s="253" t="s">
        <v>68</v>
      </c>
      <c r="CJ5" s="253" t="s">
        <v>314</v>
      </c>
      <c r="CK5" s="253" t="s">
        <v>25</v>
      </c>
      <c r="CL5" s="253" t="s">
        <v>26</v>
      </c>
      <c r="CM5" s="253" t="s">
        <v>4</v>
      </c>
      <c r="CN5" s="253" t="s">
        <v>383</v>
      </c>
      <c r="CO5" s="253" t="s">
        <v>384</v>
      </c>
      <c r="CP5" s="253" t="s">
        <v>386</v>
      </c>
      <c r="CQ5" s="253" t="s">
        <v>392</v>
      </c>
      <c r="CR5" s="306"/>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2">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5">
        <v>148979</v>
      </c>
      <c r="AZ6" s="265">
        <v>5482</v>
      </c>
      <c r="BA6" s="265">
        <v>317313</v>
      </c>
      <c r="BB6" s="265">
        <v>922</v>
      </c>
      <c r="BC6" s="265">
        <v>51505</v>
      </c>
      <c r="BD6" s="265">
        <v>12</v>
      </c>
      <c r="BE6" s="265">
        <v>40038</v>
      </c>
      <c r="BF6" s="265">
        <v>5121</v>
      </c>
      <c r="BG6" s="265">
        <v>16745</v>
      </c>
      <c r="BH6" s="265">
        <v>1422</v>
      </c>
      <c r="BI6" s="285">
        <v>42</v>
      </c>
      <c r="BJ6" s="265">
        <v>788</v>
      </c>
      <c r="BK6" s="265">
        <v>34</v>
      </c>
      <c r="BL6" s="265">
        <v>151</v>
      </c>
      <c r="BM6" s="234">
        <v>3470</v>
      </c>
      <c r="BN6" s="233">
        <v>15463</v>
      </c>
      <c r="BO6" s="233">
        <v>1104</v>
      </c>
      <c r="BP6" s="234">
        <v>27435</v>
      </c>
      <c r="BQ6" s="233">
        <v>795</v>
      </c>
      <c r="BR6" s="234">
        <v>7287</v>
      </c>
      <c r="BS6" s="265">
        <v>21583</v>
      </c>
      <c r="BT6" s="265">
        <v>230</v>
      </c>
      <c r="BU6" s="265">
        <v>6286</v>
      </c>
      <c r="BV6" s="265">
        <v>2943</v>
      </c>
      <c r="BW6" s="265">
        <v>28518</v>
      </c>
      <c r="BX6" s="265">
        <v>1406</v>
      </c>
      <c r="BY6" s="265">
        <v>5199</v>
      </c>
      <c r="BZ6" s="265">
        <v>20957</v>
      </c>
      <c r="CA6" s="265">
        <v>6</v>
      </c>
      <c r="CB6" s="265">
        <v>8870</v>
      </c>
      <c r="CC6" s="265">
        <v>4472</v>
      </c>
      <c r="CD6" s="265">
        <v>15678</v>
      </c>
      <c r="CE6" s="265">
        <v>14</v>
      </c>
      <c r="CF6" s="265">
        <v>171</v>
      </c>
      <c r="CG6" s="265">
        <v>568</v>
      </c>
      <c r="CH6" s="265">
        <v>526</v>
      </c>
      <c r="CI6" s="265">
        <v>2212</v>
      </c>
      <c r="CJ6" s="265">
        <v>18</v>
      </c>
      <c r="CK6" s="265">
        <v>31046</v>
      </c>
      <c r="CL6" s="265">
        <v>5962</v>
      </c>
      <c r="CM6" s="265">
        <v>19052</v>
      </c>
      <c r="CN6" s="265">
        <v>691</v>
      </c>
      <c r="CO6" s="265">
        <v>8627</v>
      </c>
      <c r="CP6" s="233">
        <v>20746</v>
      </c>
      <c r="CQ6" s="233">
        <v>1468</v>
      </c>
      <c r="CR6" s="307"/>
    </row>
    <row r="7" spans="1:96" ht="12.75">
      <c r="A7" s="238" t="s">
        <v>70</v>
      </c>
      <c r="B7" s="229">
        <v>26</v>
      </c>
      <c r="C7" s="229">
        <v>1449</v>
      </c>
      <c r="D7" s="231">
        <v>4480</v>
      </c>
      <c r="E7" s="229">
        <v>2</v>
      </c>
      <c r="F7" s="231">
        <v>10770</v>
      </c>
      <c r="G7" s="229">
        <v>6</v>
      </c>
      <c r="H7" s="231">
        <v>1956</v>
      </c>
      <c r="J7" s="229">
        <v>1076</v>
      </c>
      <c r="K7" s="229">
        <v>150</v>
      </c>
      <c r="L7" s="229">
        <v>421</v>
      </c>
      <c r="M7" s="229">
        <v>2</v>
      </c>
      <c r="N7" s="283">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66">
        <v>3501</v>
      </c>
      <c r="AZ7" s="266">
        <v>1</v>
      </c>
      <c r="BA7" s="266">
        <v>8719</v>
      </c>
      <c r="BB7" s="266">
        <v>5</v>
      </c>
      <c r="BC7" s="266">
        <v>1024</v>
      </c>
      <c r="BD7" s="266"/>
      <c r="BE7" s="266">
        <v>848</v>
      </c>
      <c r="BF7" s="266">
        <v>105</v>
      </c>
      <c r="BG7" s="266">
        <v>261</v>
      </c>
      <c r="BH7" s="266">
        <v>2</v>
      </c>
      <c r="BI7" s="286"/>
      <c r="BJ7" s="266"/>
      <c r="BK7" s="266"/>
      <c r="BL7" s="266"/>
      <c r="BM7" s="229">
        <v>29</v>
      </c>
      <c r="BN7" s="229">
        <v>235</v>
      </c>
      <c r="BP7" s="229">
        <v>278</v>
      </c>
      <c r="BQ7" s="229">
        <v>1</v>
      </c>
      <c r="BR7" s="229">
        <v>104</v>
      </c>
      <c r="BS7" s="266">
        <v>697</v>
      </c>
      <c r="BT7" s="266">
        <v>6</v>
      </c>
      <c r="BU7" s="266">
        <v>4</v>
      </c>
      <c r="BV7" s="266"/>
      <c r="BW7" s="266">
        <v>2</v>
      </c>
      <c r="BX7" s="266">
        <v>12</v>
      </c>
      <c r="BY7" s="266">
        <v>4</v>
      </c>
      <c r="BZ7" s="266">
        <v>6</v>
      </c>
      <c r="CA7" s="266"/>
      <c r="CB7" s="266">
        <v>1</v>
      </c>
      <c r="CC7" s="266"/>
      <c r="CD7" s="266">
        <v>1</v>
      </c>
      <c r="CE7" s="266"/>
      <c r="CF7" s="266"/>
      <c r="CG7" s="266">
        <v>2</v>
      </c>
      <c r="CH7" s="266"/>
      <c r="CI7" s="266"/>
      <c r="CJ7" s="266"/>
      <c r="CK7" s="266">
        <v>1</v>
      </c>
      <c r="CL7" s="266">
        <v>2</v>
      </c>
      <c r="CM7" s="266"/>
      <c r="CN7" s="266">
        <v>1</v>
      </c>
      <c r="CO7" s="266">
        <v>2</v>
      </c>
      <c r="CP7" s="229">
        <v>210</v>
      </c>
      <c r="CQ7" s="229">
        <v>9</v>
      </c>
      <c r="CR7" s="307"/>
    </row>
    <row r="8" spans="1:96" ht="12.75">
      <c r="A8" s="238" t="s">
        <v>71</v>
      </c>
      <c r="B8" s="229">
        <v>2</v>
      </c>
      <c r="C8" s="229">
        <v>363</v>
      </c>
      <c r="D8" s="231">
        <v>3054</v>
      </c>
      <c r="F8" s="231">
        <v>5393</v>
      </c>
      <c r="G8" s="229">
        <v>45</v>
      </c>
      <c r="H8" s="229">
        <v>874</v>
      </c>
      <c r="J8" s="229">
        <v>374</v>
      </c>
      <c r="K8" s="229">
        <v>244</v>
      </c>
      <c r="L8" s="229">
        <v>484</v>
      </c>
      <c r="M8" s="229">
        <v>13</v>
      </c>
      <c r="N8" s="248"/>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66">
        <v>2137</v>
      </c>
      <c r="AZ8" s="266"/>
      <c r="BA8" s="266">
        <v>3572</v>
      </c>
      <c r="BB8" s="266">
        <v>13</v>
      </c>
      <c r="BC8" s="266">
        <v>278</v>
      </c>
      <c r="BD8" s="266"/>
      <c r="BE8" s="266">
        <v>179</v>
      </c>
      <c r="BF8" s="266">
        <v>31</v>
      </c>
      <c r="BG8" s="266">
        <v>306</v>
      </c>
      <c r="BH8" s="266">
        <v>13</v>
      </c>
      <c r="BI8" s="286"/>
      <c r="BJ8" s="266"/>
      <c r="BK8" s="266"/>
      <c r="BL8" s="266"/>
      <c r="BN8" s="229">
        <v>147</v>
      </c>
      <c r="BO8" s="229">
        <v>93</v>
      </c>
      <c r="BP8" s="229">
        <v>384</v>
      </c>
      <c r="BQ8" s="229">
        <v>2</v>
      </c>
      <c r="BR8" s="229">
        <v>7</v>
      </c>
      <c r="BS8" s="266">
        <v>309</v>
      </c>
      <c r="BT8" s="266"/>
      <c r="BU8" s="266">
        <v>2</v>
      </c>
      <c r="BV8" s="266"/>
      <c r="BW8" s="266">
        <v>1</v>
      </c>
      <c r="BX8" s="266">
        <v>1</v>
      </c>
      <c r="BY8" s="266">
        <v>1</v>
      </c>
      <c r="BZ8" s="266">
        <v>4</v>
      </c>
      <c r="CA8" s="266">
        <v>1</v>
      </c>
      <c r="CB8" s="266"/>
      <c r="CC8" s="266">
        <v>1</v>
      </c>
      <c r="CD8" s="266">
        <v>1</v>
      </c>
      <c r="CE8" s="266"/>
      <c r="CF8" s="266"/>
      <c r="CG8" s="266"/>
      <c r="CH8" s="266"/>
      <c r="CI8" s="266"/>
      <c r="CJ8" s="266"/>
      <c r="CK8" s="266"/>
      <c r="CL8" s="266"/>
      <c r="CM8" s="266"/>
      <c r="CN8" s="266"/>
      <c r="CO8" s="266"/>
      <c r="CP8" s="229">
        <v>314</v>
      </c>
      <c r="CQ8" s="229">
        <v>44</v>
      </c>
      <c r="CR8" s="307"/>
    </row>
    <row r="9" spans="1:96" ht="12.75">
      <c r="A9" s="238" t="s">
        <v>72</v>
      </c>
      <c r="B9" s="229">
        <v>10</v>
      </c>
      <c r="C9" s="229">
        <v>247</v>
      </c>
      <c r="D9" s="231">
        <v>2179</v>
      </c>
      <c r="E9" s="229">
        <v>1</v>
      </c>
      <c r="F9" s="231">
        <v>4983</v>
      </c>
      <c r="H9" s="229">
        <v>821</v>
      </c>
      <c r="I9" s="229">
        <v>3</v>
      </c>
      <c r="J9" s="229">
        <v>689</v>
      </c>
      <c r="K9" s="229">
        <v>209</v>
      </c>
      <c r="L9" s="229">
        <v>1282</v>
      </c>
      <c r="N9" s="248"/>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66">
        <v>1352</v>
      </c>
      <c r="AZ9" s="266"/>
      <c r="BA9" s="266">
        <v>3005</v>
      </c>
      <c r="BB9" s="266"/>
      <c r="BC9" s="266">
        <v>345</v>
      </c>
      <c r="BD9" s="266">
        <v>3</v>
      </c>
      <c r="BE9" s="266">
        <v>486</v>
      </c>
      <c r="BF9" s="266">
        <v>107</v>
      </c>
      <c r="BG9" s="266">
        <v>875</v>
      </c>
      <c r="BH9" s="266"/>
      <c r="BI9" s="286"/>
      <c r="BJ9" s="266">
        <v>1</v>
      </c>
      <c r="BK9" s="266"/>
      <c r="BL9" s="266">
        <v>1</v>
      </c>
      <c r="BM9" s="229">
        <v>97</v>
      </c>
      <c r="BN9" s="229">
        <v>35</v>
      </c>
      <c r="BP9" s="229">
        <v>217</v>
      </c>
      <c r="BQ9" s="229">
        <v>2</v>
      </c>
      <c r="BR9" s="229">
        <v>2</v>
      </c>
      <c r="BS9" s="266">
        <v>243</v>
      </c>
      <c r="BT9" s="266"/>
      <c r="BU9" s="266">
        <v>1</v>
      </c>
      <c r="BV9" s="266"/>
      <c r="BW9" s="266"/>
      <c r="BX9" s="266"/>
      <c r="BY9" s="266">
        <v>2</v>
      </c>
      <c r="BZ9" s="266">
        <v>1</v>
      </c>
      <c r="CA9" s="266"/>
      <c r="CB9" s="266"/>
      <c r="CC9" s="266">
        <v>1</v>
      </c>
      <c r="CD9" s="266">
        <v>2</v>
      </c>
      <c r="CE9" s="266"/>
      <c r="CF9" s="266"/>
      <c r="CG9" s="266">
        <v>1</v>
      </c>
      <c r="CH9" s="266"/>
      <c r="CI9" s="266">
        <v>1</v>
      </c>
      <c r="CJ9" s="266"/>
      <c r="CK9" s="266"/>
      <c r="CL9" s="266"/>
      <c r="CM9" s="266"/>
      <c r="CN9" s="266"/>
      <c r="CO9" s="266">
        <v>1</v>
      </c>
      <c r="CP9" s="229">
        <v>146</v>
      </c>
      <c r="CQ9" s="229">
        <v>30</v>
      </c>
      <c r="CR9" s="307"/>
    </row>
    <row r="10" spans="1:96" ht="12.75">
      <c r="A10" s="238" t="s">
        <v>73</v>
      </c>
      <c r="B10" s="229">
        <v>21</v>
      </c>
      <c r="C10" s="229">
        <v>737</v>
      </c>
      <c r="D10" s="231">
        <v>7797</v>
      </c>
      <c r="E10" s="229">
        <v>1</v>
      </c>
      <c r="F10" s="231">
        <v>15404</v>
      </c>
      <c r="G10" s="229">
        <v>134</v>
      </c>
      <c r="H10" s="229">
        <v>2446</v>
      </c>
      <c r="J10" s="231">
        <v>827</v>
      </c>
      <c r="K10" s="229">
        <v>459</v>
      </c>
      <c r="L10" s="229">
        <v>866</v>
      </c>
      <c r="N10" s="248">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66">
        <v>5251</v>
      </c>
      <c r="AZ10" s="266">
        <v>1</v>
      </c>
      <c r="BA10" s="266">
        <v>10740</v>
      </c>
      <c r="BB10" s="266">
        <v>68</v>
      </c>
      <c r="BC10" s="266">
        <v>915</v>
      </c>
      <c r="BD10" s="266"/>
      <c r="BE10" s="266">
        <v>428</v>
      </c>
      <c r="BF10" s="266">
        <v>193</v>
      </c>
      <c r="BG10" s="266">
        <v>282</v>
      </c>
      <c r="BH10" s="266"/>
      <c r="BI10" s="286">
        <v>1</v>
      </c>
      <c r="BJ10" s="266"/>
      <c r="BK10" s="266"/>
      <c r="BL10" s="266">
        <v>1</v>
      </c>
      <c r="BM10" s="229">
        <v>19</v>
      </c>
      <c r="BN10" s="229">
        <v>731</v>
      </c>
      <c r="BO10" s="229">
        <v>15</v>
      </c>
      <c r="BP10" s="229">
        <v>1111</v>
      </c>
      <c r="BQ10" s="229">
        <v>1</v>
      </c>
      <c r="BR10" s="229">
        <v>268</v>
      </c>
      <c r="BS10" s="266">
        <v>543</v>
      </c>
      <c r="BT10" s="266">
        <v>5</v>
      </c>
      <c r="BU10" s="266">
        <v>1</v>
      </c>
      <c r="BV10" s="266">
        <v>1</v>
      </c>
      <c r="BW10" s="266"/>
      <c r="BX10" s="266">
        <v>12</v>
      </c>
      <c r="BY10" s="266">
        <v>5</v>
      </c>
      <c r="BZ10" s="266"/>
      <c r="CA10" s="266"/>
      <c r="CB10" s="266">
        <v>2</v>
      </c>
      <c r="CC10" s="266">
        <v>2</v>
      </c>
      <c r="CD10" s="266"/>
      <c r="CE10" s="266"/>
      <c r="CF10" s="266"/>
      <c r="CG10" s="266">
        <v>1</v>
      </c>
      <c r="CH10" s="266"/>
      <c r="CI10" s="266">
        <v>3</v>
      </c>
      <c r="CJ10" s="266"/>
      <c r="CK10" s="266">
        <v>4</v>
      </c>
      <c r="CL10" s="266">
        <v>54</v>
      </c>
      <c r="CM10" s="266">
        <v>1</v>
      </c>
      <c r="CN10" s="266"/>
      <c r="CO10" s="266">
        <v>5</v>
      </c>
      <c r="CP10" s="229">
        <v>717</v>
      </c>
      <c r="CQ10" s="229">
        <v>218</v>
      </c>
      <c r="CR10" s="307"/>
    </row>
    <row r="11" spans="1:96" ht="12.75">
      <c r="A11" s="238" t="s">
        <v>74</v>
      </c>
      <c r="B11" s="229">
        <v>1</v>
      </c>
      <c r="C11" s="229">
        <v>616</v>
      </c>
      <c r="D11" s="231">
        <v>6405</v>
      </c>
      <c r="E11" s="229">
        <v>2</v>
      </c>
      <c r="F11" s="231">
        <v>11051</v>
      </c>
      <c r="H11" s="229">
        <v>2467</v>
      </c>
      <c r="J11" s="229">
        <v>1109</v>
      </c>
      <c r="K11" s="229">
        <v>179</v>
      </c>
      <c r="L11" s="229">
        <v>722</v>
      </c>
      <c r="M11" s="229">
        <v>1</v>
      </c>
      <c r="N11" s="248"/>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66">
        <v>4078</v>
      </c>
      <c r="AZ11" s="266">
        <v>1</v>
      </c>
      <c r="BA11" s="266">
        <v>7193</v>
      </c>
      <c r="BB11" s="266"/>
      <c r="BC11" s="266">
        <v>1290</v>
      </c>
      <c r="BD11" s="266"/>
      <c r="BE11" s="266">
        <v>702</v>
      </c>
      <c r="BF11" s="266">
        <v>106</v>
      </c>
      <c r="BG11" s="266">
        <v>217</v>
      </c>
      <c r="BH11" s="266">
        <v>1</v>
      </c>
      <c r="BI11" s="286"/>
      <c r="BJ11" s="266"/>
      <c r="BK11" s="266"/>
      <c r="BL11" s="266"/>
      <c r="BM11" s="229">
        <v>80</v>
      </c>
      <c r="BN11" s="229">
        <v>163</v>
      </c>
      <c r="BO11" s="229">
        <v>22</v>
      </c>
      <c r="BP11" s="229">
        <v>1082</v>
      </c>
      <c r="BQ11" s="229">
        <v>1</v>
      </c>
      <c r="BR11" s="229">
        <v>464</v>
      </c>
      <c r="BS11" s="266">
        <v>454</v>
      </c>
      <c r="BT11" s="266">
        <v>23</v>
      </c>
      <c r="BU11" s="266">
        <v>1</v>
      </c>
      <c r="BV11" s="266">
        <v>3</v>
      </c>
      <c r="BW11" s="266"/>
      <c r="BX11" s="266"/>
      <c r="BY11" s="266">
        <v>1</v>
      </c>
      <c r="BZ11" s="266">
        <v>3</v>
      </c>
      <c r="CA11" s="266"/>
      <c r="CB11" s="266"/>
      <c r="CC11" s="266"/>
      <c r="CD11" s="266"/>
      <c r="CE11" s="266"/>
      <c r="CF11" s="266"/>
      <c r="CG11" s="266"/>
      <c r="CH11" s="266"/>
      <c r="CI11" s="266">
        <v>3</v>
      </c>
      <c r="CJ11" s="266"/>
      <c r="CK11" s="266">
        <v>5</v>
      </c>
      <c r="CL11" s="266">
        <v>27</v>
      </c>
      <c r="CM11" s="266">
        <v>3</v>
      </c>
      <c r="CN11" s="266">
        <v>1</v>
      </c>
      <c r="CO11" s="266">
        <v>2</v>
      </c>
      <c r="CP11" s="229">
        <v>768</v>
      </c>
      <c r="CQ11" s="229">
        <v>49</v>
      </c>
      <c r="CR11" s="307"/>
    </row>
    <row r="12" spans="1:96" ht="12.75">
      <c r="A12" s="238" t="s">
        <v>75</v>
      </c>
      <c r="C12" s="229">
        <v>130</v>
      </c>
      <c r="D12" s="229">
        <v>1117</v>
      </c>
      <c r="F12" s="229">
        <v>2449</v>
      </c>
      <c r="G12" s="229">
        <v>48</v>
      </c>
      <c r="H12" s="229">
        <v>209</v>
      </c>
      <c r="J12" s="229">
        <v>85</v>
      </c>
      <c r="K12" s="229">
        <v>356</v>
      </c>
      <c r="L12" s="229">
        <v>221</v>
      </c>
      <c r="N12" s="248"/>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66">
        <v>668</v>
      </c>
      <c r="AZ12" s="266"/>
      <c r="BA12" s="266">
        <v>1542</v>
      </c>
      <c r="BB12" s="266">
        <v>27</v>
      </c>
      <c r="BC12" s="266">
        <v>38</v>
      </c>
      <c r="BD12" s="266"/>
      <c r="BE12" s="266">
        <v>25</v>
      </c>
      <c r="BF12" s="266">
        <v>161</v>
      </c>
      <c r="BG12" s="266">
        <v>56</v>
      </c>
      <c r="BH12" s="266"/>
      <c r="BI12" s="286"/>
      <c r="BJ12" s="266"/>
      <c r="BK12" s="266"/>
      <c r="BL12" s="266"/>
      <c r="BM12" s="229">
        <v>3</v>
      </c>
      <c r="BN12" s="229">
        <v>126</v>
      </c>
      <c r="BO12" s="229">
        <v>11</v>
      </c>
      <c r="BP12" s="229">
        <v>182</v>
      </c>
      <c r="BS12" s="266">
        <v>54</v>
      </c>
      <c r="BT12" s="266"/>
      <c r="BU12" s="266"/>
      <c r="BV12" s="266"/>
      <c r="BW12" s="266"/>
      <c r="BX12" s="266"/>
      <c r="BY12" s="266"/>
      <c r="BZ12" s="266"/>
      <c r="CA12" s="266"/>
      <c r="CB12" s="266"/>
      <c r="CC12" s="266"/>
      <c r="CD12" s="266">
        <v>2</v>
      </c>
      <c r="CE12" s="266"/>
      <c r="CF12" s="266"/>
      <c r="CG12" s="266"/>
      <c r="CH12" s="266"/>
      <c r="CI12" s="266"/>
      <c r="CJ12" s="266"/>
      <c r="CK12" s="266"/>
      <c r="CL12" s="266"/>
      <c r="CM12" s="266"/>
      <c r="CN12" s="266">
        <v>1</v>
      </c>
      <c r="CO12" s="266">
        <v>1</v>
      </c>
      <c r="CP12" s="229">
        <v>168</v>
      </c>
      <c r="CQ12" s="229">
        <v>14</v>
      </c>
      <c r="CR12" s="307"/>
    </row>
    <row r="13" spans="1:96" ht="12.75">
      <c r="A13" s="238" t="s">
        <v>76</v>
      </c>
      <c r="B13" s="229">
        <v>8</v>
      </c>
      <c r="C13" s="229">
        <v>833</v>
      </c>
      <c r="D13" s="231">
        <v>7853</v>
      </c>
      <c r="E13" s="229">
        <v>3</v>
      </c>
      <c r="F13" s="231">
        <v>11565</v>
      </c>
      <c r="G13" s="229">
        <v>3</v>
      </c>
      <c r="H13" s="231">
        <v>2421</v>
      </c>
      <c r="J13" s="231">
        <v>1256</v>
      </c>
      <c r="K13" s="229">
        <v>91</v>
      </c>
      <c r="L13" s="229">
        <v>176</v>
      </c>
      <c r="N13" s="248"/>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66">
        <v>6181</v>
      </c>
      <c r="AZ13" s="266">
        <v>2</v>
      </c>
      <c r="BA13" s="266">
        <v>8881</v>
      </c>
      <c r="BB13" s="266">
        <v>1</v>
      </c>
      <c r="BC13" s="266">
        <v>1626</v>
      </c>
      <c r="BD13" s="266"/>
      <c r="BE13" s="266">
        <v>963</v>
      </c>
      <c r="BF13" s="266">
        <v>33</v>
      </c>
      <c r="BG13" s="266">
        <v>8</v>
      </c>
      <c r="BH13" s="266"/>
      <c r="BI13" s="286"/>
      <c r="BJ13" s="266">
        <v>2</v>
      </c>
      <c r="BK13" s="266"/>
      <c r="BL13" s="266">
        <v>1</v>
      </c>
      <c r="BM13" s="229">
        <v>2</v>
      </c>
      <c r="BN13" s="229">
        <v>191</v>
      </c>
      <c r="BO13" s="229">
        <v>30</v>
      </c>
      <c r="BP13" s="229">
        <v>1319</v>
      </c>
      <c r="BR13" s="229">
        <v>326</v>
      </c>
      <c r="BS13" s="266">
        <v>365</v>
      </c>
      <c r="BT13" s="266">
        <v>16</v>
      </c>
      <c r="BU13" s="266">
        <v>1</v>
      </c>
      <c r="BV13" s="266">
        <v>1</v>
      </c>
      <c r="BW13" s="266"/>
      <c r="BX13" s="266"/>
      <c r="BY13" s="266">
        <v>2</v>
      </c>
      <c r="BZ13" s="266">
        <v>1</v>
      </c>
      <c r="CA13" s="266"/>
      <c r="CB13" s="266"/>
      <c r="CC13" s="266"/>
      <c r="CD13" s="266">
        <v>2</v>
      </c>
      <c r="CE13" s="266"/>
      <c r="CF13" s="266"/>
      <c r="CG13" s="266">
        <v>1</v>
      </c>
      <c r="CH13" s="266"/>
      <c r="CI13" s="266">
        <v>4</v>
      </c>
      <c r="CJ13" s="266"/>
      <c r="CK13" s="266">
        <v>2</v>
      </c>
      <c r="CL13" s="266">
        <v>25</v>
      </c>
      <c r="CM13" s="266">
        <v>1</v>
      </c>
      <c r="CN13" s="266">
        <v>5</v>
      </c>
      <c r="CO13" s="266">
        <v>3</v>
      </c>
      <c r="CP13" s="229">
        <v>1010</v>
      </c>
      <c r="CQ13" s="229">
        <v>8</v>
      </c>
      <c r="CR13" s="307"/>
    </row>
    <row r="14" spans="1:96" ht="12.75">
      <c r="A14" s="238" t="s">
        <v>77</v>
      </c>
      <c r="B14" s="229">
        <v>5</v>
      </c>
      <c r="C14" s="229">
        <v>84</v>
      </c>
      <c r="D14" s="229">
        <v>639</v>
      </c>
      <c r="F14" s="229">
        <v>1364</v>
      </c>
      <c r="G14" s="229">
        <v>11</v>
      </c>
      <c r="H14" s="229">
        <v>226</v>
      </c>
      <c r="J14" s="229">
        <v>267</v>
      </c>
      <c r="K14" s="229">
        <v>53</v>
      </c>
      <c r="L14" s="229">
        <v>151</v>
      </c>
      <c r="N14" s="248"/>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66">
        <v>373</v>
      </c>
      <c r="AZ14" s="266"/>
      <c r="BA14" s="266">
        <v>830</v>
      </c>
      <c r="BB14" s="266">
        <v>3</v>
      </c>
      <c r="BC14" s="266">
        <v>50</v>
      </c>
      <c r="BD14" s="266"/>
      <c r="BE14" s="266">
        <v>126</v>
      </c>
      <c r="BF14" s="266">
        <v>12</v>
      </c>
      <c r="BG14" s="266">
        <v>23</v>
      </c>
      <c r="BH14" s="266"/>
      <c r="BI14" s="286"/>
      <c r="BJ14" s="266"/>
      <c r="BK14" s="266"/>
      <c r="BL14" s="266">
        <v>1</v>
      </c>
      <c r="BM14" s="229">
        <v>4</v>
      </c>
      <c r="BN14" s="229">
        <v>4</v>
      </c>
      <c r="BP14" s="229">
        <v>71</v>
      </c>
      <c r="BS14" s="266">
        <v>50</v>
      </c>
      <c r="BT14" s="266"/>
      <c r="BU14" s="266"/>
      <c r="BV14" s="266"/>
      <c r="BW14" s="266"/>
      <c r="BX14" s="266"/>
      <c r="BY14" s="266"/>
      <c r="BZ14" s="266"/>
      <c r="CA14" s="266"/>
      <c r="CB14" s="266"/>
      <c r="CC14" s="266"/>
      <c r="CD14" s="266"/>
      <c r="CE14" s="266"/>
      <c r="CF14" s="266"/>
      <c r="CG14" s="266">
        <v>1</v>
      </c>
      <c r="CH14" s="266"/>
      <c r="CI14" s="266"/>
      <c r="CJ14" s="266"/>
      <c r="CK14" s="266"/>
      <c r="CL14" s="266"/>
      <c r="CM14" s="266"/>
      <c r="CN14" s="266">
        <v>1</v>
      </c>
      <c r="CO14" s="266"/>
      <c r="CP14" s="229">
        <v>50</v>
      </c>
      <c r="CQ14" s="229">
        <v>1</v>
      </c>
      <c r="CR14" s="307"/>
    </row>
    <row r="15" spans="1:96" ht="12.75">
      <c r="A15" s="238" t="s">
        <v>78</v>
      </c>
      <c r="C15" s="229">
        <v>603</v>
      </c>
      <c r="D15" s="231">
        <v>4718</v>
      </c>
      <c r="F15" s="231">
        <v>10659</v>
      </c>
      <c r="G15" s="229">
        <v>100</v>
      </c>
      <c r="H15" s="231">
        <v>1543</v>
      </c>
      <c r="I15" s="229">
        <v>1</v>
      </c>
      <c r="J15" s="229">
        <v>1506</v>
      </c>
      <c r="K15" s="229">
        <v>707</v>
      </c>
      <c r="L15" s="229">
        <v>1072</v>
      </c>
      <c r="M15" s="229">
        <v>1</v>
      </c>
      <c r="N15" s="248"/>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66">
        <v>3605</v>
      </c>
      <c r="AZ15" s="266"/>
      <c r="BA15" s="266">
        <v>8224</v>
      </c>
      <c r="BB15" s="266">
        <v>78</v>
      </c>
      <c r="BC15" s="266">
        <v>730</v>
      </c>
      <c r="BD15" s="266"/>
      <c r="BE15" s="266">
        <v>1163</v>
      </c>
      <c r="BF15" s="266">
        <v>309</v>
      </c>
      <c r="BG15" s="266">
        <v>319</v>
      </c>
      <c r="BH15" s="266">
        <v>1</v>
      </c>
      <c r="BI15" s="286"/>
      <c r="BJ15" s="266">
        <v>1</v>
      </c>
      <c r="BK15" s="266"/>
      <c r="BL15" s="266"/>
      <c r="BM15" s="229">
        <v>45</v>
      </c>
      <c r="BN15" s="229">
        <v>24</v>
      </c>
      <c r="BO15" s="229">
        <v>41</v>
      </c>
      <c r="BP15" s="229">
        <v>94</v>
      </c>
      <c r="BQ15" s="229">
        <v>13</v>
      </c>
      <c r="BR15" s="229">
        <v>129</v>
      </c>
      <c r="BS15" s="266">
        <v>454</v>
      </c>
      <c r="BT15" s="266">
        <v>5</v>
      </c>
      <c r="BU15" s="266">
        <v>3</v>
      </c>
      <c r="BV15" s="266"/>
      <c r="BW15" s="266"/>
      <c r="BX15" s="266">
        <v>6</v>
      </c>
      <c r="BY15" s="266">
        <v>1</v>
      </c>
      <c r="BZ15" s="266">
        <v>2</v>
      </c>
      <c r="CA15" s="266"/>
      <c r="CB15" s="266"/>
      <c r="CC15" s="266"/>
      <c r="CD15" s="266">
        <v>3</v>
      </c>
      <c r="CE15" s="266"/>
      <c r="CF15" s="266"/>
      <c r="CG15" s="266">
        <v>1</v>
      </c>
      <c r="CH15" s="266">
        <v>4</v>
      </c>
      <c r="CI15" s="266"/>
      <c r="CJ15" s="266"/>
      <c r="CK15" s="266"/>
      <c r="CL15" s="266"/>
      <c r="CM15" s="266"/>
      <c r="CN15" s="266">
        <v>1</v>
      </c>
      <c r="CO15" s="266"/>
      <c r="CP15" s="229">
        <v>82</v>
      </c>
      <c r="CQ15" s="229">
        <v>6</v>
      </c>
      <c r="CR15" s="307"/>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48"/>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66">
        <v>916</v>
      </c>
      <c r="AZ16" s="266"/>
      <c r="BA16" s="266">
        <v>1514</v>
      </c>
      <c r="BB16" s="266">
        <v>5</v>
      </c>
      <c r="BC16" s="266">
        <v>249</v>
      </c>
      <c r="BD16" s="266"/>
      <c r="BE16" s="266">
        <v>267</v>
      </c>
      <c r="BF16" s="266">
        <v>48</v>
      </c>
      <c r="BG16" s="266">
        <v>93</v>
      </c>
      <c r="BH16" s="266"/>
      <c r="BI16" s="286"/>
      <c r="BJ16" s="266"/>
      <c r="BK16" s="266">
        <v>4</v>
      </c>
      <c r="BL16" s="266"/>
      <c r="BM16" s="229">
        <v>55</v>
      </c>
      <c r="BN16" s="229">
        <v>42</v>
      </c>
      <c r="BO16" s="229">
        <v>6</v>
      </c>
      <c r="BP16" s="229">
        <v>192</v>
      </c>
      <c r="BQ16" s="229">
        <v>4</v>
      </c>
      <c r="BR16" s="229">
        <v>2</v>
      </c>
      <c r="BS16" s="266">
        <v>147</v>
      </c>
      <c r="BT16" s="266">
        <v>1</v>
      </c>
      <c r="BU16" s="266">
        <v>4</v>
      </c>
      <c r="BV16" s="266">
        <v>1</v>
      </c>
      <c r="BW16" s="266"/>
      <c r="BX16" s="266">
        <v>1</v>
      </c>
      <c r="BY16" s="266"/>
      <c r="BZ16" s="266">
        <v>3</v>
      </c>
      <c r="CA16" s="266"/>
      <c r="CB16" s="266">
        <v>2</v>
      </c>
      <c r="CC16" s="266"/>
      <c r="CD16" s="266"/>
      <c r="CE16" s="266"/>
      <c r="CF16" s="266"/>
      <c r="CG16" s="266"/>
      <c r="CH16" s="266"/>
      <c r="CI16" s="266">
        <v>1</v>
      </c>
      <c r="CJ16" s="266"/>
      <c r="CK16" s="266"/>
      <c r="CL16" s="266"/>
      <c r="CM16" s="266"/>
      <c r="CN16" s="266"/>
      <c r="CO16" s="266">
        <v>1</v>
      </c>
      <c r="CP16" s="229">
        <v>172</v>
      </c>
      <c r="CQ16" s="229">
        <v>9</v>
      </c>
      <c r="CR16" s="307"/>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4">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5">
        <v>3725</v>
      </c>
      <c r="AZ17" s="265">
        <v>2064</v>
      </c>
      <c r="BA17" s="265">
        <v>8818</v>
      </c>
      <c r="BB17" s="265">
        <v>15</v>
      </c>
      <c r="BC17" s="265">
        <v>3603</v>
      </c>
      <c r="BD17" s="265"/>
      <c r="BE17" s="265">
        <v>6198</v>
      </c>
      <c r="BF17" s="265">
        <v>400</v>
      </c>
      <c r="BG17" s="265">
        <v>3194</v>
      </c>
      <c r="BH17" s="265">
        <v>905</v>
      </c>
      <c r="BI17" s="285">
        <v>3</v>
      </c>
      <c r="BJ17" s="265">
        <v>5</v>
      </c>
      <c r="BK17" s="265">
        <v>4</v>
      </c>
      <c r="BL17" s="265"/>
      <c r="BM17" s="233">
        <v>107</v>
      </c>
      <c r="BN17" s="233">
        <v>893</v>
      </c>
      <c r="BO17" s="233">
        <v>11</v>
      </c>
      <c r="BP17" s="233">
        <v>1115</v>
      </c>
      <c r="BQ17" s="233">
        <v>530</v>
      </c>
      <c r="BR17" s="234">
        <v>35</v>
      </c>
      <c r="BS17" s="265">
        <v>1251</v>
      </c>
      <c r="BT17" s="265">
        <v>23</v>
      </c>
      <c r="BU17" s="265">
        <v>4126</v>
      </c>
      <c r="BV17" s="265">
        <v>1650</v>
      </c>
      <c r="BW17" s="265">
        <v>13154</v>
      </c>
      <c r="BX17" s="265">
        <v>1079</v>
      </c>
      <c r="BY17" s="265">
        <v>2593</v>
      </c>
      <c r="BZ17" s="265">
        <v>11842</v>
      </c>
      <c r="CA17" s="265"/>
      <c r="CB17" s="265">
        <v>4989</v>
      </c>
      <c r="CC17" s="265">
        <v>2589</v>
      </c>
      <c r="CD17" s="265">
        <v>6305</v>
      </c>
      <c r="CE17" s="265">
        <v>3</v>
      </c>
      <c r="CF17" s="265">
        <v>9</v>
      </c>
      <c r="CG17" s="265">
        <v>385</v>
      </c>
      <c r="CH17" s="265">
        <v>513</v>
      </c>
      <c r="CI17" s="265">
        <v>359</v>
      </c>
      <c r="CJ17" s="265">
        <v>9</v>
      </c>
      <c r="CK17" s="265">
        <v>10476</v>
      </c>
      <c r="CL17" s="265">
        <v>2419</v>
      </c>
      <c r="CM17" s="265">
        <v>4335</v>
      </c>
      <c r="CN17" s="265"/>
      <c r="CO17" s="265">
        <v>655</v>
      </c>
      <c r="CP17" s="233">
        <v>390</v>
      </c>
      <c r="CQ17" s="233">
        <v>23</v>
      </c>
      <c r="CR17" s="307"/>
    </row>
    <row r="18" spans="1:96" ht="12.75">
      <c r="A18" s="238" t="s">
        <v>81</v>
      </c>
      <c r="B18" s="229">
        <v>4</v>
      </c>
      <c r="C18" s="229">
        <v>762</v>
      </c>
      <c r="D18" s="231">
        <v>2964</v>
      </c>
      <c r="F18" s="231">
        <v>5664</v>
      </c>
      <c r="G18" s="229">
        <v>41</v>
      </c>
      <c r="H18" s="231">
        <v>1611</v>
      </c>
      <c r="J18" s="229">
        <v>933</v>
      </c>
      <c r="K18" s="229">
        <v>369</v>
      </c>
      <c r="L18" s="229">
        <v>461</v>
      </c>
      <c r="M18" s="229">
        <v>1</v>
      </c>
      <c r="N18" s="248"/>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66">
        <v>2161</v>
      </c>
      <c r="AZ18" s="266"/>
      <c r="BA18" s="266">
        <v>3935</v>
      </c>
      <c r="BB18" s="266">
        <v>28</v>
      </c>
      <c r="BC18" s="266">
        <v>1016</v>
      </c>
      <c r="BD18" s="266"/>
      <c r="BE18" s="266">
        <v>719</v>
      </c>
      <c r="BF18" s="266">
        <v>71</v>
      </c>
      <c r="BG18" s="266">
        <v>178</v>
      </c>
      <c r="BH18" s="266">
        <v>1</v>
      </c>
      <c r="BI18" s="286"/>
      <c r="BJ18" s="266"/>
      <c r="BK18" s="266">
        <v>1</v>
      </c>
      <c r="BL18" s="266">
        <v>1</v>
      </c>
      <c r="BM18" s="229">
        <v>31</v>
      </c>
      <c r="BN18" s="229">
        <v>196</v>
      </c>
      <c r="BO18" s="229">
        <v>2</v>
      </c>
      <c r="BP18" s="229">
        <v>520</v>
      </c>
      <c r="BQ18" s="229">
        <v>3</v>
      </c>
      <c r="BS18" s="266">
        <v>368</v>
      </c>
      <c r="BT18" s="266">
        <v>1</v>
      </c>
      <c r="BU18" s="266">
        <v>3</v>
      </c>
      <c r="BV18" s="266"/>
      <c r="BW18" s="266"/>
      <c r="BX18" s="266">
        <v>2</v>
      </c>
      <c r="BY18" s="266"/>
      <c r="BZ18" s="266">
        <v>1</v>
      </c>
      <c r="CA18" s="266"/>
      <c r="CB18" s="266">
        <v>3</v>
      </c>
      <c r="CC18" s="266"/>
      <c r="CD18" s="266">
        <v>2</v>
      </c>
      <c r="CE18" s="266">
        <v>10</v>
      </c>
      <c r="CF18" s="266"/>
      <c r="CG18" s="266">
        <v>1</v>
      </c>
      <c r="CH18" s="266"/>
      <c r="CI18" s="266">
        <v>1</v>
      </c>
      <c r="CJ18" s="266"/>
      <c r="CK18" s="266"/>
      <c r="CL18" s="266">
        <v>2</v>
      </c>
      <c r="CM18" s="266"/>
      <c r="CN18" s="266"/>
      <c r="CO18" s="266">
        <v>4</v>
      </c>
      <c r="CP18" s="229">
        <v>459</v>
      </c>
      <c r="CQ18" s="229">
        <v>25</v>
      </c>
      <c r="CR18" s="307"/>
    </row>
    <row r="19" spans="1:96" ht="12.75">
      <c r="A19" s="238" t="s">
        <v>82</v>
      </c>
      <c r="B19" s="229">
        <v>20</v>
      </c>
      <c r="C19" s="229">
        <v>328</v>
      </c>
      <c r="D19" s="229">
        <v>1043</v>
      </c>
      <c r="F19" s="229">
        <v>2218</v>
      </c>
      <c r="G19" s="229">
        <v>5</v>
      </c>
      <c r="H19" s="229">
        <v>163</v>
      </c>
      <c r="J19" s="229">
        <v>231</v>
      </c>
      <c r="K19" s="229">
        <v>252</v>
      </c>
      <c r="L19" s="229">
        <v>155</v>
      </c>
      <c r="N19" s="248"/>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66">
        <v>529</v>
      </c>
      <c r="AZ19" s="266"/>
      <c r="BA19" s="266">
        <v>1239</v>
      </c>
      <c r="BB19" s="266">
        <v>3</v>
      </c>
      <c r="BC19" s="266">
        <v>25</v>
      </c>
      <c r="BD19" s="266"/>
      <c r="BE19" s="266">
        <v>57</v>
      </c>
      <c r="BF19" s="266">
        <v>132</v>
      </c>
      <c r="BG19" s="266">
        <v>35</v>
      </c>
      <c r="BH19" s="266"/>
      <c r="BI19" s="286"/>
      <c r="BJ19" s="266"/>
      <c r="BK19" s="266"/>
      <c r="BL19" s="266"/>
      <c r="BM19" s="229">
        <v>3</v>
      </c>
      <c r="BN19" s="229">
        <v>217</v>
      </c>
      <c r="BO19" s="229">
        <v>5</v>
      </c>
      <c r="BP19" s="229">
        <v>168</v>
      </c>
      <c r="BR19" s="229">
        <v>4</v>
      </c>
      <c r="BS19" s="266">
        <v>72</v>
      </c>
      <c r="BT19" s="266">
        <v>1</v>
      </c>
      <c r="BU19" s="266"/>
      <c r="BV19" s="266">
        <v>1</v>
      </c>
      <c r="BW19" s="266"/>
      <c r="BX19" s="266"/>
      <c r="BY19" s="266"/>
      <c r="BZ19" s="266"/>
      <c r="CA19" s="266"/>
      <c r="CB19" s="266"/>
      <c r="CC19" s="266"/>
      <c r="CD19" s="266"/>
      <c r="CE19" s="266"/>
      <c r="CF19" s="266"/>
      <c r="CG19" s="266"/>
      <c r="CH19" s="266"/>
      <c r="CI19" s="266"/>
      <c r="CJ19" s="266"/>
      <c r="CK19" s="266"/>
      <c r="CL19" s="266"/>
      <c r="CM19" s="266"/>
      <c r="CN19" s="266"/>
      <c r="CO19" s="266"/>
      <c r="CP19" s="229">
        <v>145</v>
      </c>
      <c r="CR19" s="307"/>
    </row>
    <row r="20" spans="1:96" ht="12.75">
      <c r="A20" s="238" t="s">
        <v>83</v>
      </c>
      <c r="C20" s="229">
        <v>81</v>
      </c>
      <c r="D20" s="229">
        <v>552</v>
      </c>
      <c r="F20" s="231">
        <v>1391</v>
      </c>
      <c r="G20" s="229">
        <v>10</v>
      </c>
      <c r="H20" s="229">
        <v>714</v>
      </c>
      <c r="J20" s="229">
        <v>582</v>
      </c>
      <c r="K20" s="229">
        <v>95</v>
      </c>
      <c r="L20" s="229">
        <v>309</v>
      </c>
      <c r="N20" s="248">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66">
        <v>216</v>
      </c>
      <c r="AZ20" s="266"/>
      <c r="BA20" s="266">
        <v>623</v>
      </c>
      <c r="BB20" s="266">
        <v>5</v>
      </c>
      <c r="BC20" s="266">
        <v>346</v>
      </c>
      <c r="BD20" s="266"/>
      <c r="BE20" s="266">
        <v>437</v>
      </c>
      <c r="BF20" s="266">
        <v>13</v>
      </c>
      <c r="BG20" s="266">
        <v>18</v>
      </c>
      <c r="BH20" s="266"/>
      <c r="BI20" s="286">
        <v>1</v>
      </c>
      <c r="BJ20" s="266"/>
      <c r="BK20" s="266"/>
      <c r="BL20" s="266"/>
      <c r="BM20" s="229">
        <v>45</v>
      </c>
      <c r="BN20" s="229">
        <v>195</v>
      </c>
      <c r="BO20" s="229">
        <v>1</v>
      </c>
      <c r="BP20" s="229">
        <v>49</v>
      </c>
      <c r="BQ20" s="229">
        <v>1</v>
      </c>
      <c r="BS20" s="266">
        <v>96</v>
      </c>
      <c r="BT20" s="266"/>
      <c r="BU20" s="266"/>
      <c r="BV20" s="266"/>
      <c r="BW20" s="266"/>
      <c r="BX20" s="266">
        <v>3</v>
      </c>
      <c r="BY20" s="266"/>
      <c r="BZ20" s="266">
        <v>1</v>
      </c>
      <c r="CA20" s="266"/>
      <c r="CB20" s="266"/>
      <c r="CC20" s="266"/>
      <c r="CD20" s="266"/>
      <c r="CE20" s="266"/>
      <c r="CF20" s="266"/>
      <c r="CG20" s="266"/>
      <c r="CH20" s="266"/>
      <c r="CI20" s="266"/>
      <c r="CJ20" s="266"/>
      <c r="CK20" s="266">
        <v>1</v>
      </c>
      <c r="CL20" s="266"/>
      <c r="CM20" s="266">
        <v>1</v>
      </c>
      <c r="CN20" s="266">
        <v>3</v>
      </c>
      <c r="CO20" s="266">
        <v>2</v>
      </c>
      <c r="CP20" s="229">
        <v>17</v>
      </c>
      <c r="CQ20" s="229">
        <v>8</v>
      </c>
      <c r="CR20" s="307"/>
    </row>
    <row r="21" spans="1:96" ht="12.75">
      <c r="A21" s="238" t="s">
        <v>84</v>
      </c>
      <c r="C21" s="229">
        <v>84</v>
      </c>
      <c r="D21" s="229">
        <v>284</v>
      </c>
      <c r="E21" s="229">
        <v>1</v>
      </c>
      <c r="F21" s="229">
        <v>664</v>
      </c>
      <c r="H21" s="229">
        <v>70</v>
      </c>
      <c r="J21" s="229">
        <v>88</v>
      </c>
      <c r="K21" s="229">
        <v>29</v>
      </c>
      <c r="L21" s="229">
        <v>112</v>
      </c>
      <c r="N21" s="248"/>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66">
        <v>174</v>
      </c>
      <c r="AZ21" s="266">
        <v>1</v>
      </c>
      <c r="BA21" s="266">
        <v>410</v>
      </c>
      <c r="BB21" s="266"/>
      <c r="BC21" s="266">
        <v>22</v>
      </c>
      <c r="BD21" s="266"/>
      <c r="BE21" s="266">
        <v>55</v>
      </c>
      <c r="BF21" s="266">
        <v>5</v>
      </c>
      <c r="BG21" s="266">
        <v>63</v>
      </c>
      <c r="BH21" s="266"/>
      <c r="BI21" s="286"/>
      <c r="BJ21" s="266"/>
      <c r="BK21" s="266"/>
      <c r="BL21" s="266"/>
      <c r="BM21" s="229">
        <v>4</v>
      </c>
      <c r="BN21" s="229">
        <v>7</v>
      </c>
      <c r="BO21" s="229">
        <v>1</v>
      </c>
      <c r="BP21" s="229">
        <v>45</v>
      </c>
      <c r="BS21" s="266">
        <v>43</v>
      </c>
      <c r="BT21" s="266"/>
      <c r="BU21" s="266"/>
      <c r="BV21" s="266"/>
      <c r="BW21" s="266"/>
      <c r="BX21" s="266"/>
      <c r="BY21" s="266">
        <v>1</v>
      </c>
      <c r="BZ21" s="266"/>
      <c r="CA21" s="266"/>
      <c r="CB21" s="266"/>
      <c r="CC21" s="266"/>
      <c r="CD21" s="266"/>
      <c r="CE21" s="266"/>
      <c r="CF21" s="266"/>
      <c r="CG21" s="266"/>
      <c r="CH21" s="266"/>
      <c r="CI21" s="266"/>
      <c r="CJ21" s="266"/>
      <c r="CK21" s="266"/>
      <c r="CL21" s="266"/>
      <c r="CM21" s="266"/>
      <c r="CN21" s="266"/>
      <c r="CO21" s="266"/>
      <c r="CP21" s="229">
        <v>30</v>
      </c>
      <c r="CQ21" s="229">
        <v>1</v>
      </c>
      <c r="CR21" s="307"/>
    </row>
    <row r="22" spans="1:96" ht="12.75">
      <c r="A22" s="238" t="s">
        <v>85</v>
      </c>
      <c r="C22" s="229">
        <v>90</v>
      </c>
      <c r="D22" s="229">
        <v>377</v>
      </c>
      <c r="F22" s="229">
        <v>834</v>
      </c>
      <c r="G22" s="229">
        <v>9</v>
      </c>
      <c r="H22" s="229">
        <v>144</v>
      </c>
      <c r="J22" s="229">
        <v>105</v>
      </c>
      <c r="K22" s="229">
        <v>34</v>
      </c>
      <c r="L22" s="229">
        <v>81</v>
      </c>
      <c r="N22" s="248"/>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66">
        <v>224</v>
      </c>
      <c r="AZ22" s="266"/>
      <c r="BA22" s="266">
        <v>416</v>
      </c>
      <c r="BB22" s="266">
        <v>9</v>
      </c>
      <c r="BC22" s="266">
        <v>80</v>
      </c>
      <c r="BD22" s="266"/>
      <c r="BE22" s="266">
        <v>85</v>
      </c>
      <c r="BF22" s="266">
        <v>8</v>
      </c>
      <c r="BG22" s="266">
        <v>47</v>
      </c>
      <c r="BH22" s="266"/>
      <c r="BI22" s="286"/>
      <c r="BJ22" s="266"/>
      <c r="BK22" s="266"/>
      <c r="BL22" s="266"/>
      <c r="BN22" s="229">
        <v>6</v>
      </c>
      <c r="BO22" s="229">
        <v>1</v>
      </c>
      <c r="BP22" s="229">
        <v>64</v>
      </c>
      <c r="BQ22" s="229">
        <v>2</v>
      </c>
      <c r="BR22" s="229">
        <v>33</v>
      </c>
      <c r="BS22" s="266">
        <v>31</v>
      </c>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v>1</v>
      </c>
      <c r="CP22" s="229">
        <v>54</v>
      </c>
      <c r="CQ22" s="229">
        <v>1</v>
      </c>
      <c r="CR22" s="307"/>
    </row>
    <row r="23" spans="1:96" ht="12.75">
      <c r="A23" s="238" t="s">
        <v>86</v>
      </c>
      <c r="C23" s="231">
        <v>1358</v>
      </c>
      <c r="D23" s="231">
        <v>7485</v>
      </c>
      <c r="F23" s="231">
        <v>22300</v>
      </c>
      <c r="G23" s="229">
        <v>146</v>
      </c>
      <c r="H23" s="231">
        <v>5059</v>
      </c>
      <c r="J23" s="231">
        <v>1247</v>
      </c>
      <c r="K23" s="229">
        <v>503</v>
      </c>
      <c r="L23" s="231">
        <v>1069</v>
      </c>
      <c r="M23" s="229">
        <v>1</v>
      </c>
      <c r="N23" s="248">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66">
        <v>4835</v>
      </c>
      <c r="AZ23" s="266"/>
      <c r="BA23" s="266">
        <v>14327</v>
      </c>
      <c r="BB23" s="266">
        <v>25</v>
      </c>
      <c r="BC23" s="266">
        <v>2157</v>
      </c>
      <c r="BD23" s="266"/>
      <c r="BE23" s="266">
        <v>630</v>
      </c>
      <c r="BF23" s="266">
        <v>243</v>
      </c>
      <c r="BG23" s="266">
        <v>405</v>
      </c>
      <c r="BH23" s="266">
        <v>1</v>
      </c>
      <c r="BI23" s="286">
        <v>7</v>
      </c>
      <c r="BJ23" s="266"/>
      <c r="BK23" s="266"/>
      <c r="BL23" s="266"/>
      <c r="BM23" s="229">
        <v>132</v>
      </c>
      <c r="BN23" s="229">
        <v>70</v>
      </c>
      <c r="BO23" s="229">
        <v>28</v>
      </c>
      <c r="BP23" s="229">
        <v>1534</v>
      </c>
      <c r="BQ23" s="229">
        <v>2</v>
      </c>
      <c r="BR23" s="229">
        <v>293</v>
      </c>
      <c r="BS23" s="266">
        <v>893</v>
      </c>
      <c r="BT23" s="266">
        <v>5</v>
      </c>
      <c r="BU23" s="266">
        <v>2</v>
      </c>
      <c r="BV23" s="266"/>
      <c r="BW23" s="266"/>
      <c r="BX23" s="266">
        <v>1</v>
      </c>
      <c r="BY23" s="266"/>
      <c r="BZ23" s="266"/>
      <c r="CA23" s="266"/>
      <c r="CB23" s="266">
        <v>1</v>
      </c>
      <c r="CC23" s="266">
        <v>2</v>
      </c>
      <c r="CD23" s="266">
        <v>3</v>
      </c>
      <c r="CE23" s="266"/>
      <c r="CF23" s="266"/>
      <c r="CG23" s="266">
        <v>7</v>
      </c>
      <c r="CH23" s="266"/>
      <c r="CI23" s="266">
        <v>2</v>
      </c>
      <c r="CJ23" s="266">
        <v>1</v>
      </c>
      <c r="CK23" s="266">
        <v>1</v>
      </c>
      <c r="CL23" s="266">
        <v>1</v>
      </c>
      <c r="CM23" s="266"/>
      <c r="CN23" s="266">
        <v>1</v>
      </c>
      <c r="CO23" s="266"/>
      <c r="CP23" s="229">
        <v>941</v>
      </c>
      <c r="CQ23" s="229">
        <v>25</v>
      </c>
      <c r="CR23" s="307"/>
    </row>
    <row r="24" spans="1:96" ht="12.75">
      <c r="A24" s="238" t="s">
        <v>87</v>
      </c>
      <c r="C24" s="229">
        <v>1591</v>
      </c>
      <c r="D24" s="231">
        <v>6600</v>
      </c>
      <c r="E24" s="229">
        <v>1</v>
      </c>
      <c r="F24" s="231">
        <v>12574</v>
      </c>
      <c r="G24" s="229">
        <v>34</v>
      </c>
      <c r="H24" s="229">
        <v>1371</v>
      </c>
      <c r="J24" s="229">
        <v>519</v>
      </c>
      <c r="K24" s="229">
        <v>208</v>
      </c>
      <c r="L24" s="229">
        <v>1122</v>
      </c>
      <c r="N24" s="248"/>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66">
        <v>4001</v>
      </c>
      <c r="AZ24" s="266">
        <v>1</v>
      </c>
      <c r="BA24" s="266">
        <v>8067</v>
      </c>
      <c r="BB24" s="266">
        <v>17</v>
      </c>
      <c r="BC24" s="266">
        <v>175</v>
      </c>
      <c r="BD24" s="266"/>
      <c r="BE24" s="266">
        <v>170</v>
      </c>
      <c r="BF24" s="266">
        <v>77</v>
      </c>
      <c r="BG24" s="266">
        <v>215</v>
      </c>
      <c r="BH24" s="266"/>
      <c r="BI24" s="286"/>
      <c r="BJ24" s="266"/>
      <c r="BK24" s="266"/>
      <c r="BL24" s="266">
        <v>1</v>
      </c>
      <c r="BM24" s="229">
        <v>25</v>
      </c>
      <c r="BN24" s="229">
        <v>59</v>
      </c>
      <c r="BO24" s="229">
        <v>1</v>
      </c>
      <c r="BP24" s="229">
        <v>138</v>
      </c>
      <c r="BQ24" s="229">
        <v>2</v>
      </c>
      <c r="BS24" s="266">
        <v>535</v>
      </c>
      <c r="BT24" s="266"/>
      <c r="BU24" s="266">
        <v>1</v>
      </c>
      <c r="BV24" s="266"/>
      <c r="BW24" s="266">
        <v>1</v>
      </c>
      <c r="BX24" s="266">
        <v>1</v>
      </c>
      <c r="BY24" s="266">
        <v>1</v>
      </c>
      <c r="BZ24" s="266">
        <v>7</v>
      </c>
      <c r="CA24" s="266"/>
      <c r="CB24" s="266">
        <v>2</v>
      </c>
      <c r="CC24" s="266">
        <v>1</v>
      </c>
      <c r="CD24" s="266">
        <v>2</v>
      </c>
      <c r="CE24" s="266"/>
      <c r="CF24" s="266"/>
      <c r="CG24" s="266">
        <v>6</v>
      </c>
      <c r="CH24" s="266">
        <v>2</v>
      </c>
      <c r="CI24" s="266">
        <v>2</v>
      </c>
      <c r="CJ24" s="266"/>
      <c r="CK24" s="266">
        <v>1</v>
      </c>
      <c r="CL24" s="266">
        <v>1</v>
      </c>
      <c r="CM24" s="266">
        <v>1</v>
      </c>
      <c r="CN24" s="266">
        <v>2</v>
      </c>
      <c r="CO24" s="266">
        <v>20</v>
      </c>
      <c r="CP24" s="229">
        <v>95</v>
      </c>
      <c r="CQ24" s="229">
        <v>27</v>
      </c>
      <c r="CR24" s="307"/>
    </row>
    <row r="25" spans="1:96" ht="12.75">
      <c r="A25" s="238" t="s">
        <v>88</v>
      </c>
      <c r="C25" s="229">
        <v>209</v>
      </c>
      <c r="D25" s="229">
        <v>1760</v>
      </c>
      <c r="E25" s="229">
        <v>1</v>
      </c>
      <c r="F25" s="231">
        <v>4329</v>
      </c>
      <c r="G25" s="229">
        <v>85</v>
      </c>
      <c r="H25" s="229">
        <v>328</v>
      </c>
      <c r="J25" s="229">
        <v>157</v>
      </c>
      <c r="K25" s="229">
        <v>96</v>
      </c>
      <c r="L25" s="229">
        <v>260</v>
      </c>
      <c r="N25" s="248"/>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66">
        <v>1246</v>
      </c>
      <c r="AZ25" s="266">
        <v>1</v>
      </c>
      <c r="BA25" s="266">
        <v>2864</v>
      </c>
      <c r="BB25" s="266">
        <v>10</v>
      </c>
      <c r="BC25" s="266">
        <v>41</v>
      </c>
      <c r="BD25" s="266"/>
      <c r="BE25" s="266">
        <v>53</v>
      </c>
      <c r="BF25" s="266">
        <v>12</v>
      </c>
      <c r="BG25" s="266">
        <v>49</v>
      </c>
      <c r="BH25" s="266"/>
      <c r="BI25" s="286"/>
      <c r="BJ25" s="266"/>
      <c r="BK25" s="266"/>
      <c r="BL25" s="266">
        <v>1</v>
      </c>
      <c r="BM25" s="229">
        <v>15</v>
      </c>
      <c r="BN25" s="229">
        <v>77</v>
      </c>
      <c r="BO25" s="229">
        <v>15</v>
      </c>
      <c r="BP25" s="229">
        <v>179</v>
      </c>
      <c r="BQ25" s="229">
        <v>4</v>
      </c>
      <c r="BS25" s="266">
        <v>177</v>
      </c>
      <c r="BT25" s="266">
        <v>49</v>
      </c>
      <c r="BU25" s="266"/>
      <c r="BV25" s="266"/>
      <c r="BW25" s="266"/>
      <c r="BX25" s="266"/>
      <c r="BY25" s="266"/>
      <c r="BZ25" s="266">
        <v>2</v>
      </c>
      <c r="CA25" s="266"/>
      <c r="CB25" s="266">
        <v>1</v>
      </c>
      <c r="CC25" s="266"/>
      <c r="CD25" s="266">
        <v>1</v>
      </c>
      <c r="CE25" s="266"/>
      <c r="CF25" s="266"/>
      <c r="CG25" s="266"/>
      <c r="CH25" s="266"/>
      <c r="CI25" s="266"/>
      <c r="CJ25" s="266"/>
      <c r="CK25" s="266">
        <v>1</v>
      </c>
      <c r="CL25" s="266">
        <v>1</v>
      </c>
      <c r="CM25" s="266">
        <v>1</v>
      </c>
      <c r="CN25" s="266">
        <v>3</v>
      </c>
      <c r="CO25" s="266">
        <v>3</v>
      </c>
      <c r="CP25" s="229">
        <v>112</v>
      </c>
      <c r="CQ25" s="229">
        <v>52</v>
      </c>
      <c r="CR25" s="307"/>
    </row>
    <row r="26" spans="1:96" ht="12.75">
      <c r="A26" s="238" t="s">
        <v>89</v>
      </c>
      <c r="C26" s="229">
        <v>507</v>
      </c>
      <c r="D26" s="231">
        <v>3055</v>
      </c>
      <c r="E26" s="229">
        <v>62</v>
      </c>
      <c r="F26" s="231">
        <v>6997</v>
      </c>
      <c r="G26" s="229">
        <v>45</v>
      </c>
      <c r="H26" s="229">
        <v>659</v>
      </c>
      <c r="J26" s="229">
        <v>321</v>
      </c>
      <c r="K26" s="229">
        <v>89</v>
      </c>
      <c r="L26" s="229">
        <v>515</v>
      </c>
      <c r="N26" s="248">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66">
        <v>2317</v>
      </c>
      <c r="AZ26" s="266">
        <v>51</v>
      </c>
      <c r="BA26" s="266">
        <v>4803</v>
      </c>
      <c r="BB26" s="266">
        <v>9</v>
      </c>
      <c r="BC26" s="266">
        <v>90</v>
      </c>
      <c r="BD26" s="266"/>
      <c r="BE26" s="266">
        <v>102</v>
      </c>
      <c r="BF26" s="266">
        <v>50</v>
      </c>
      <c r="BG26" s="266">
        <v>181</v>
      </c>
      <c r="BH26" s="266"/>
      <c r="BI26" s="286">
        <v>1</v>
      </c>
      <c r="BJ26" s="266">
        <v>769</v>
      </c>
      <c r="BK26" s="266"/>
      <c r="BL26" s="266"/>
      <c r="BM26" s="229">
        <v>24</v>
      </c>
      <c r="BN26" s="229">
        <v>72</v>
      </c>
      <c r="BO26" s="229">
        <v>4</v>
      </c>
      <c r="BP26" s="229">
        <v>357</v>
      </c>
      <c r="BQ26" s="229">
        <v>1</v>
      </c>
      <c r="BS26" s="266">
        <v>226</v>
      </c>
      <c r="BT26" s="266">
        <v>2</v>
      </c>
      <c r="BU26" s="266">
        <v>4</v>
      </c>
      <c r="BV26" s="266">
        <v>1</v>
      </c>
      <c r="BW26" s="266"/>
      <c r="BX26" s="266"/>
      <c r="BY26" s="266"/>
      <c r="BZ26" s="266"/>
      <c r="CA26" s="266"/>
      <c r="CB26" s="266">
        <v>5</v>
      </c>
      <c r="CC26" s="266"/>
      <c r="CD26" s="266">
        <v>2</v>
      </c>
      <c r="CE26" s="266"/>
      <c r="CF26" s="266"/>
      <c r="CG26" s="266">
        <v>11</v>
      </c>
      <c r="CH26" s="266">
        <v>1</v>
      </c>
      <c r="CI26" s="266">
        <v>2</v>
      </c>
      <c r="CJ26" s="266"/>
      <c r="CK26" s="266">
        <v>21</v>
      </c>
      <c r="CL26" s="266">
        <v>13</v>
      </c>
      <c r="CM26" s="266"/>
      <c r="CN26" s="266">
        <v>7</v>
      </c>
      <c r="CO26" s="266">
        <v>2</v>
      </c>
      <c r="CP26" s="229">
        <v>274</v>
      </c>
      <c r="CQ26" s="229">
        <v>33</v>
      </c>
      <c r="CR26" s="307"/>
    </row>
    <row r="27" spans="1:96" ht="12.75">
      <c r="A27" s="238" t="s">
        <v>90</v>
      </c>
      <c r="C27" s="229">
        <v>369</v>
      </c>
      <c r="D27" s="231">
        <v>3268</v>
      </c>
      <c r="E27" s="229">
        <v>34</v>
      </c>
      <c r="F27" s="231">
        <v>6497</v>
      </c>
      <c r="G27" s="229">
        <v>42</v>
      </c>
      <c r="H27" s="229">
        <v>1834</v>
      </c>
      <c r="J27" s="229">
        <v>1024</v>
      </c>
      <c r="K27" s="229">
        <v>309</v>
      </c>
      <c r="L27" s="229">
        <v>721</v>
      </c>
      <c r="N27" s="248"/>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66">
        <v>2048</v>
      </c>
      <c r="AZ27" s="266">
        <v>29</v>
      </c>
      <c r="BA27" s="266">
        <v>3708</v>
      </c>
      <c r="BB27" s="266">
        <v>2</v>
      </c>
      <c r="BC27" s="266">
        <v>995</v>
      </c>
      <c r="BD27" s="266"/>
      <c r="BE27" s="266">
        <v>365</v>
      </c>
      <c r="BF27" s="266">
        <v>64</v>
      </c>
      <c r="BG27" s="266">
        <v>373</v>
      </c>
      <c r="BH27" s="266"/>
      <c r="BI27" s="286"/>
      <c r="BJ27" s="266"/>
      <c r="BK27" s="266"/>
      <c r="BL27" s="266">
        <v>142</v>
      </c>
      <c r="BM27" s="229">
        <v>68</v>
      </c>
      <c r="BN27" s="229">
        <v>451</v>
      </c>
      <c r="BO27" s="229">
        <v>57</v>
      </c>
      <c r="BP27" s="229">
        <v>414</v>
      </c>
      <c r="BQ27" s="229">
        <v>1</v>
      </c>
      <c r="BR27" s="229">
        <v>1</v>
      </c>
      <c r="BS27" s="266">
        <v>388</v>
      </c>
      <c r="BT27" s="266"/>
      <c r="BU27" s="266">
        <v>2</v>
      </c>
      <c r="BV27" s="266"/>
      <c r="BW27" s="266"/>
      <c r="BX27" s="266">
        <v>1</v>
      </c>
      <c r="BY27" s="266">
        <v>4</v>
      </c>
      <c r="BZ27" s="266"/>
      <c r="CA27" s="266"/>
      <c r="CB27" s="266"/>
      <c r="CC27" s="266"/>
      <c r="CD27" s="266">
        <v>1</v>
      </c>
      <c r="CE27" s="266"/>
      <c r="CF27" s="266"/>
      <c r="CG27" s="266">
        <v>1</v>
      </c>
      <c r="CH27" s="266"/>
      <c r="CI27" s="266"/>
      <c r="CJ27" s="266"/>
      <c r="CK27" s="266">
        <v>10</v>
      </c>
      <c r="CL27" s="266">
        <v>16</v>
      </c>
      <c r="CM27" s="266">
        <v>7</v>
      </c>
      <c r="CN27" s="266"/>
      <c r="CO27" s="266">
        <v>3</v>
      </c>
      <c r="CP27" s="229">
        <v>318</v>
      </c>
      <c r="CQ27" s="229">
        <v>53</v>
      </c>
      <c r="CR27" s="307"/>
    </row>
    <row r="28" spans="1:96" ht="12.75">
      <c r="A28" s="238" t="s">
        <v>91</v>
      </c>
      <c r="C28" s="229">
        <v>557</v>
      </c>
      <c r="D28" s="231">
        <v>3595</v>
      </c>
      <c r="F28" s="231">
        <v>10462</v>
      </c>
      <c r="G28" s="229">
        <v>50</v>
      </c>
      <c r="H28" s="231">
        <v>3124</v>
      </c>
      <c r="J28" s="231">
        <v>888</v>
      </c>
      <c r="K28" s="229">
        <v>97</v>
      </c>
      <c r="L28" s="229">
        <v>994</v>
      </c>
      <c r="N28" s="248">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66">
        <v>2135</v>
      </c>
      <c r="AZ28" s="266"/>
      <c r="BA28" s="266">
        <v>5645</v>
      </c>
      <c r="BB28" s="266">
        <v>11</v>
      </c>
      <c r="BC28" s="266">
        <v>1508</v>
      </c>
      <c r="BD28" s="266"/>
      <c r="BE28" s="266">
        <v>384</v>
      </c>
      <c r="BF28" s="266">
        <v>26</v>
      </c>
      <c r="BG28" s="266">
        <v>338</v>
      </c>
      <c r="BH28" s="266"/>
      <c r="BI28" s="286">
        <v>1</v>
      </c>
      <c r="BJ28" s="266">
        <v>1</v>
      </c>
      <c r="BK28" s="266"/>
      <c r="BL28" s="266"/>
      <c r="BM28" s="229">
        <v>66</v>
      </c>
      <c r="BN28" s="229">
        <v>322</v>
      </c>
      <c r="BO28" s="229">
        <v>35</v>
      </c>
      <c r="BP28" s="229">
        <v>344</v>
      </c>
      <c r="BQ28" s="229">
        <v>1</v>
      </c>
      <c r="BS28" s="266">
        <v>439</v>
      </c>
      <c r="BT28" s="266">
        <v>1</v>
      </c>
      <c r="BU28" s="266">
        <v>2</v>
      </c>
      <c r="BV28" s="266">
        <v>1</v>
      </c>
      <c r="BW28" s="266"/>
      <c r="BX28" s="266"/>
      <c r="BY28" s="266">
        <v>2</v>
      </c>
      <c r="BZ28" s="266">
        <v>2</v>
      </c>
      <c r="CA28" s="266"/>
      <c r="CB28" s="266">
        <v>2</v>
      </c>
      <c r="CC28" s="266"/>
      <c r="CD28" s="266">
        <v>2</v>
      </c>
      <c r="CE28" s="266"/>
      <c r="CF28" s="266"/>
      <c r="CG28" s="266"/>
      <c r="CH28" s="266"/>
      <c r="CI28" s="266">
        <v>5</v>
      </c>
      <c r="CJ28" s="266"/>
      <c r="CK28" s="266">
        <v>2</v>
      </c>
      <c r="CL28" s="266">
        <v>34</v>
      </c>
      <c r="CM28" s="266"/>
      <c r="CN28" s="266">
        <v>1</v>
      </c>
      <c r="CO28" s="266">
        <v>5</v>
      </c>
      <c r="CP28" s="229">
        <v>319</v>
      </c>
      <c r="CQ28" s="229">
        <v>2</v>
      </c>
      <c r="CR28" s="307"/>
    </row>
    <row r="29" spans="1:96" ht="12.75">
      <c r="A29" s="238" t="s">
        <v>92</v>
      </c>
      <c r="C29" s="229">
        <v>470</v>
      </c>
      <c r="D29" s="231">
        <v>2976</v>
      </c>
      <c r="E29" s="229">
        <v>1</v>
      </c>
      <c r="F29" s="231">
        <v>7630</v>
      </c>
      <c r="G29" s="229">
        <v>60</v>
      </c>
      <c r="H29" s="229">
        <v>1769</v>
      </c>
      <c r="J29" s="229">
        <v>521</v>
      </c>
      <c r="K29" s="229">
        <v>209</v>
      </c>
      <c r="L29" s="229">
        <v>1263</v>
      </c>
      <c r="N29" s="248"/>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66">
        <v>1377</v>
      </c>
      <c r="AZ29" s="266">
        <v>1</v>
      </c>
      <c r="BA29" s="266">
        <v>3293</v>
      </c>
      <c r="BB29" s="266">
        <v>23</v>
      </c>
      <c r="BC29" s="266">
        <v>338</v>
      </c>
      <c r="BD29" s="266"/>
      <c r="BE29" s="266">
        <v>144</v>
      </c>
      <c r="BF29" s="266">
        <v>40</v>
      </c>
      <c r="BG29" s="266">
        <v>593</v>
      </c>
      <c r="BH29" s="266"/>
      <c r="BI29" s="286"/>
      <c r="BJ29" s="266"/>
      <c r="BK29" s="266"/>
      <c r="BL29" s="266"/>
      <c r="BM29" s="229">
        <v>152</v>
      </c>
      <c r="BN29" s="229">
        <v>151</v>
      </c>
      <c r="BO29" s="229">
        <v>77</v>
      </c>
      <c r="BP29" s="229">
        <v>452</v>
      </c>
      <c r="BR29" s="229">
        <v>119</v>
      </c>
      <c r="BS29" s="266">
        <v>204</v>
      </c>
      <c r="BT29" s="266"/>
      <c r="BU29" s="266"/>
      <c r="BV29" s="266"/>
      <c r="BW29" s="266"/>
      <c r="BX29" s="266">
        <v>3</v>
      </c>
      <c r="BY29" s="266"/>
      <c r="BZ29" s="266"/>
      <c r="CA29" s="266"/>
      <c r="CB29" s="266"/>
      <c r="CC29" s="266"/>
      <c r="CD29" s="266"/>
      <c r="CE29" s="266"/>
      <c r="CF29" s="266"/>
      <c r="CG29" s="266"/>
      <c r="CH29" s="266"/>
      <c r="CI29" s="266">
        <v>4</v>
      </c>
      <c r="CJ29" s="266"/>
      <c r="CK29" s="266"/>
      <c r="CL29" s="266">
        <v>16</v>
      </c>
      <c r="CM29" s="266"/>
      <c r="CN29" s="266">
        <v>21</v>
      </c>
      <c r="CO29" s="266">
        <v>23</v>
      </c>
      <c r="CP29" s="229">
        <v>337</v>
      </c>
      <c r="CQ29" s="229">
        <v>109</v>
      </c>
      <c r="CR29" s="307"/>
    </row>
    <row r="30" spans="1:96" ht="12.75">
      <c r="A30" s="238" t="s">
        <v>93</v>
      </c>
      <c r="B30" s="229">
        <v>9</v>
      </c>
      <c r="C30" s="231">
        <v>2279</v>
      </c>
      <c r="D30" s="231">
        <v>6670</v>
      </c>
      <c r="E30" s="229">
        <v>3</v>
      </c>
      <c r="F30" s="231">
        <v>16542</v>
      </c>
      <c r="G30" s="229">
        <v>108</v>
      </c>
      <c r="H30" s="229">
        <v>4100</v>
      </c>
      <c r="J30" s="229">
        <v>1766</v>
      </c>
      <c r="K30" s="229">
        <v>451</v>
      </c>
      <c r="L30" s="231">
        <v>1073</v>
      </c>
      <c r="N30" s="248"/>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66">
        <v>4673</v>
      </c>
      <c r="AZ30" s="266">
        <v>2</v>
      </c>
      <c r="BA30" s="266">
        <v>11475</v>
      </c>
      <c r="BB30" s="266">
        <v>33</v>
      </c>
      <c r="BC30" s="266">
        <v>2100</v>
      </c>
      <c r="BD30" s="266"/>
      <c r="BE30" s="266">
        <v>1233</v>
      </c>
      <c r="BF30" s="266">
        <v>124</v>
      </c>
      <c r="BG30" s="266">
        <v>157</v>
      </c>
      <c r="BH30" s="266"/>
      <c r="BI30" s="286"/>
      <c r="BJ30" s="266"/>
      <c r="BK30" s="266"/>
      <c r="BL30" s="266">
        <v>1</v>
      </c>
      <c r="BM30" s="229">
        <v>71</v>
      </c>
      <c r="BN30" s="229">
        <v>122</v>
      </c>
      <c r="BO30" s="229">
        <v>11</v>
      </c>
      <c r="BP30" s="229">
        <v>605</v>
      </c>
      <c r="BQ30" s="229">
        <v>1</v>
      </c>
      <c r="BR30" s="229">
        <v>213</v>
      </c>
      <c r="BS30" s="266">
        <v>291</v>
      </c>
      <c r="BT30" s="266">
        <v>2</v>
      </c>
      <c r="BU30" s="266">
        <v>2</v>
      </c>
      <c r="BV30" s="266"/>
      <c r="BW30" s="266"/>
      <c r="BX30" s="266"/>
      <c r="BY30" s="266">
        <v>6</v>
      </c>
      <c r="BZ30" s="266">
        <v>3</v>
      </c>
      <c r="CA30" s="266"/>
      <c r="CB30" s="266">
        <v>1</v>
      </c>
      <c r="CC30" s="266"/>
      <c r="CD30" s="266">
        <v>1</v>
      </c>
      <c r="CE30" s="266"/>
      <c r="CF30" s="266"/>
      <c r="CG30" s="266"/>
      <c r="CH30" s="266"/>
      <c r="CI30" s="266"/>
      <c r="CJ30" s="266"/>
      <c r="CK30" s="266">
        <v>1</v>
      </c>
      <c r="CL30" s="266">
        <v>7</v>
      </c>
      <c r="CM30" s="266"/>
      <c r="CN30" s="266"/>
      <c r="CO30" s="266"/>
      <c r="CP30" s="229">
        <v>544</v>
      </c>
      <c r="CQ30" s="229">
        <v>16</v>
      </c>
      <c r="CR30" s="307"/>
    </row>
    <row r="31" spans="1:96" ht="12.75">
      <c r="A31" s="238" t="s">
        <v>94</v>
      </c>
      <c r="C31" s="229">
        <v>199</v>
      </c>
      <c r="D31" s="229">
        <v>962</v>
      </c>
      <c r="F31" s="231">
        <v>4365</v>
      </c>
      <c r="G31" s="229">
        <v>1</v>
      </c>
      <c r="H31" s="229">
        <v>811</v>
      </c>
      <c r="J31" s="229">
        <v>222</v>
      </c>
      <c r="K31" s="229">
        <v>8</v>
      </c>
      <c r="L31" s="229">
        <v>664</v>
      </c>
      <c r="N31" s="248"/>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66">
        <v>590</v>
      </c>
      <c r="AZ31" s="266"/>
      <c r="BA31" s="266">
        <v>2406</v>
      </c>
      <c r="BB31" s="266"/>
      <c r="BC31" s="266">
        <v>239</v>
      </c>
      <c r="BD31" s="266"/>
      <c r="BE31" s="266">
        <v>55</v>
      </c>
      <c r="BF31" s="266">
        <v>3</v>
      </c>
      <c r="BG31" s="266">
        <v>307</v>
      </c>
      <c r="BH31" s="266"/>
      <c r="BI31" s="286"/>
      <c r="BJ31" s="266"/>
      <c r="BK31" s="266"/>
      <c r="BL31" s="266"/>
      <c r="BM31" s="229">
        <v>50</v>
      </c>
      <c r="BN31" s="229">
        <v>25</v>
      </c>
      <c r="BO31" s="229">
        <v>7</v>
      </c>
      <c r="BP31" s="229">
        <v>51</v>
      </c>
      <c r="BR31" s="229">
        <v>1</v>
      </c>
      <c r="BS31" s="266">
        <v>339</v>
      </c>
      <c r="BT31" s="266">
        <v>3</v>
      </c>
      <c r="BU31" s="266"/>
      <c r="BV31" s="266"/>
      <c r="BW31" s="266"/>
      <c r="BX31" s="266"/>
      <c r="BY31" s="266"/>
      <c r="BZ31" s="266">
        <v>4</v>
      </c>
      <c r="CA31" s="266"/>
      <c r="CB31" s="266">
        <v>1</v>
      </c>
      <c r="CC31" s="266">
        <v>1</v>
      </c>
      <c r="CD31" s="266">
        <v>2</v>
      </c>
      <c r="CE31" s="266"/>
      <c r="CF31" s="266"/>
      <c r="CG31" s="266">
        <v>1</v>
      </c>
      <c r="CH31" s="266"/>
      <c r="CI31" s="266">
        <v>1</v>
      </c>
      <c r="CJ31" s="266"/>
      <c r="CK31" s="266"/>
      <c r="CL31" s="266"/>
      <c r="CM31" s="266"/>
      <c r="CN31" s="266"/>
      <c r="CO31" s="266">
        <v>3</v>
      </c>
      <c r="CP31" s="229">
        <v>6</v>
      </c>
      <c r="CQ31" s="229">
        <v>1</v>
      </c>
      <c r="CR31" s="307"/>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48">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66">
        <v>7736</v>
      </c>
      <c r="AZ32" s="266">
        <v>1</v>
      </c>
      <c r="BA32" s="266">
        <v>19497</v>
      </c>
      <c r="BB32" s="266">
        <v>17</v>
      </c>
      <c r="BC32" s="266">
        <v>1532</v>
      </c>
      <c r="BD32" s="266">
        <v>1</v>
      </c>
      <c r="BE32" s="266">
        <v>983</v>
      </c>
      <c r="BF32" s="266">
        <v>241</v>
      </c>
      <c r="BG32" s="266">
        <v>375</v>
      </c>
      <c r="BH32" s="266">
        <v>53</v>
      </c>
      <c r="BI32" s="286">
        <v>1</v>
      </c>
      <c r="BJ32" s="266"/>
      <c r="BK32" s="266"/>
      <c r="BL32" s="266"/>
      <c r="BM32" s="229">
        <v>108</v>
      </c>
      <c r="BN32" s="229">
        <v>160</v>
      </c>
      <c r="BO32" s="229">
        <v>84</v>
      </c>
      <c r="BP32" s="229">
        <v>1833</v>
      </c>
      <c r="BQ32" s="229">
        <v>2</v>
      </c>
      <c r="BR32" s="229">
        <v>91</v>
      </c>
      <c r="BS32" s="266">
        <v>802</v>
      </c>
      <c r="BT32" s="266">
        <v>4</v>
      </c>
      <c r="BU32" s="266">
        <v>2</v>
      </c>
      <c r="BV32" s="266">
        <v>2</v>
      </c>
      <c r="BW32" s="266"/>
      <c r="BX32" s="266">
        <v>12</v>
      </c>
      <c r="BY32" s="266">
        <v>2</v>
      </c>
      <c r="BZ32" s="266">
        <v>1</v>
      </c>
      <c r="CA32" s="266"/>
      <c r="CB32" s="266">
        <v>1</v>
      </c>
      <c r="CC32" s="266">
        <v>2</v>
      </c>
      <c r="CD32" s="266">
        <v>6</v>
      </c>
      <c r="CE32" s="266"/>
      <c r="CF32" s="266"/>
      <c r="CG32" s="266">
        <v>5</v>
      </c>
      <c r="CH32" s="266"/>
      <c r="CI32" s="266"/>
      <c r="CJ32" s="266"/>
      <c r="CK32" s="266"/>
      <c r="CL32" s="266">
        <v>17</v>
      </c>
      <c r="CM32" s="266"/>
      <c r="CN32" s="266">
        <v>1</v>
      </c>
      <c r="CO32" s="266">
        <v>3</v>
      </c>
      <c r="CP32" s="229">
        <v>1735</v>
      </c>
      <c r="CQ32" s="229">
        <v>35</v>
      </c>
      <c r="CR32" s="307"/>
    </row>
    <row r="33" spans="1:96" ht="12.75">
      <c r="A33" s="238" t="s">
        <v>96</v>
      </c>
      <c r="B33" s="229">
        <v>31</v>
      </c>
      <c r="C33" s="229">
        <v>6</v>
      </c>
      <c r="D33" s="229">
        <v>7</v>
      </c>
      <c r="E33" s="229">
        <v>1</v>
      </c>
      <c r="F33" s="229">
        <v>12</v>
      </c>
      <c r="H33" s="229">
        <v>6</v>
      </c>
      <c r="J33" s="229">
        <v>24</v>
      </c>
      <c r="L33" s="229">
        <v>38</v>
      </c>
      <c r="N33" s="248"/>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66">
        <v>6</v>
      </c>
      <c r="AZ33" s="266">
        <v>1</v>
      </c>
      <c r="BA33" s="266">
        <v>11</v>
      </c>
      <c r="BB33" s="266"/>
      <c r="BC33" s="266">
        <v>3</v>
      </c>
      <c r="BD33" s="266"/>
      <c r="BE33" s="266">
        <v>11</v>
      </c>
      <c r="BF33" s="266"/>
      <c r="BG33" s="266">
        <v>38</v>
      </c>
      <c r="BH33" s="266"/>
      <c r="BI33" s="286"/>
      <c r="BJ33" s="266"/>
      <c r="BK33" s="266"/>
      <c r="BL33" s="266"/>
      <c r="BM33" s="229">
        <v>2</v>
      </c>
      <c r="BN33" s="229">
        <v>28</v>
      </c>
      <c r="BP33" s="229">
        <v>19</v>
      </c>
      <c r="BQ33" s="229">
        <v>3</v>
      </c>
      <c r="BS33" s="266">
        <v>19</v>
      </c>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R33" s="307"/>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48"/>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66">
        <v>8693</v>
      </c>
      <c r="AZ34" s="266"/>
      <c r="BA34" s="266">
        <v>17054</v>
      </c>
      <c r="BB34" s="266">
        <v>105</v>
      </c>
      <c r="BC34" s="266">
        <v>6475</v>
      </c>
      <c r="BD34" s="266">
        <v>7</v>
      </c>
      <c r="BE34" s="266">
        <v>5894</v>
      </c>
      <c r="BF34" s="266">
        <v>130</v>
      </c>
      <c r="BG34" s="266">
        <v>166</v>
      </c>
      <c r="BH34" s="266"/>
      <c r="BI34" s="286"/>
      <c r="BJ34" s="266">
        <v>1</v>
      </c>
      <c r="BK34" s="266">
        <v>8</v>
      </c>
      <c r="BL34" s="266"/>
      <c r="BM34" s="229">
        <v>395</v>
      </c>
      <c r="BN34" s="229">
        <v>3421</v>
      </c>
      <c r="BO34" s="229">
        <v>19</v>
      </c>
      <c r="BP34" s="229">
        <v>1836</v>
      </c>
      <c r="BQ34" s="229">
        <v>1</v>
      </c>
      <c r="BS34" s="266">
        <v>715</v>
      </c>
      <c r="BT34" s="266">
        <v>2</v>
      </c>
      <c r="BU34" s="266">
        <v>2</v>
      </c>
      <c r="BV34" s="266"/>
      <c r="BW34" s="266"/>
      <c r="BX34" s="266">
        <v>21</v>
      </c>
      <c r="BY34" s="266">
        <v>6</v>
      </c>
      <c r="BZ34" s="266">
        <v>8</v>
      </c>
      <c r="CA34" s="266"/>
      <c r="CB34" s="266">
        <v>47</v>
      </c>
      <c r="CC34" s="266">
        <v>1</v>
      </c>
      <c r="CD34" s="266"/>
      <c r="CE34" s="266"/>
      <c r="CF34" s="266"/>
      <c r="CG34" s="266">
        <v>46</v>
      </c>
      <c r="CH34" s="266">
        <v>1</v>
      </c>
      <c r="CI34" s="266">
        <v>15</v>
      </c>
      <c r="CJ34" s="266"/>
      <c r="CK34" s="266">
        <v>4</v>
      </c>
      <c r="CL34" s="266">
        <v>4</v>
      </c>
      <c r="CM34" s="266">
        <v>2</v>
      </c>
      <c r="CN34" s="266"/>
      <c r="CO34" s="266"/>
      <c r="CP34" s="229">
        <v>1069</v>
      </c>
      <c r="CQ34" s="229">
        <v>18</v>
      </c>
      <c r="CR34" s="307"/>
    </row>
    <row r="35" spans="1:96" ht="12.75">
      <c r="A35" s="238" t="s">
        <v>98</v>
      </c>
      <c r="C35" s="229">
        <v>821</v>
      </c>
      <c r="D35" s="231">
        <v>6749</v>
      </c>
      <c r="E35" s="229">
        <v>5</v>
      </c>
      <c r="F35" s="231">
        <v>12060</v>
      </c>
      <c r="G35" s="229">
        <v>76</v>
      </c>
      <c r="H35" s="231">
        <v>1728</v>
      </c>
      <c r="J35" s="229">
        <v>1926</v>
      </c>
      <c r="K35" s="229">
        <v>320</v>
      </c>
      <c r="L35" s="229">
        <v>572</v>
      </c>
      <c r="M35" s="229">
        <v>1</v>
      </c>
      <c r="N35" s="248">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66">
        <v>5230</v>
      </c>
      <c r="AZ35" s="266">
        <v>5</v>
      </c>
      <c r="BA35" s="266">
        <v>9560</v>
      </c>
      <c r="BB35" s="266">
        <v>46</v>
      </c>
      <c r="BC35" s="266">
        <v>1161</v>
      </c>
      <c r="BD35" s="266"/>
      <c r="BE35" s="266">
        <v>1140</v>
      </c>
      <c r="BF35" s="266">
        <v>228</v>
      </c>
      <c r="BG35" s="266">
        <v>300</v>
      </c>
      <c r="BH35" s="266">
        <v>1</v>
      </c>
      <c r="BI35" s="286">
        <v>3</v>
      </c>
      <c r="BJ35" s="266"/>
      <c r="BK35" s="266">
        <v>5</v>
      </c>
      <c r="BL35" s="266"/>
      <c r="BM35" s="229">
        <v>164</v>
      </c>
      <c r="BN35" s="229">
        <v>435</v>
      </c>
      <c r="BO35" s="229">
        <v>21</v>
      </c>
      <c r="BP35" s="229">
        <v>1631</v>
      </c>
      <c r="BQ35" s="229">
        <v>1</v>
      </c>
      <c r="BR35" s="229">
        <v>495</v>
      </c>
      <c r="BS35" s="266">
        <v>468</v>
      </c>
      <c r="BT35" s="266"/>
      <c r="BU35" s="266">
        <v>1</v>
      </c>
      <c r="BV35" s="266">
        <v>2</v>
      </c>
      <c r="BW35" s="266">
        <v>1</v>
      </c>
      <c r="BX35" s="266">
        <v>3</v>
      </c>
      <c r="BY35" s="266">
        <v>4</v>
      </c>
      <c r="BZ35" s="266">
        <v>4</v>
      </c>
      <c r="CA35" s="266"/>
      <c r="CB35" s="266">
        <v>5</v>
      </c>
      <c r="CC35" s="266">
        <v>3</v>
      </c>
      <c r="CD35" s="266"/>
      <c r="CE35" s="266"/>
      <c r="CF35" s="266"/>
      <c r="CG35" s="266"/>
      <c r="CH35" s="266"/>
      <c r="CI35" s="266">
        <v>2</v>
      </c>
      <c r="CJ35" s="266"/>
      <c r="CK35" s="266">
        <v>6</v>
      </c>
      <c r="CL35" s="266">
        <v>54</v>
      </c>
      <c r="CM35" s="266">
        <v>3</v>
      </c>
      <c r="CN35" s="266"/>
      <c r="CO35" s="266"/>
      <c r="CP35" s="229">
        <v>1614</v>
      </c>
      <c r="CQ35" s="229">
        <v>9</v>
      </c>
      <c r="CR35" s="307"/>
    </row>
    <row r="36" spans="1:96" ht="12.75">
      <c r="A36" s="238" t="s">
        <v>99</v>
      </c>
      <c r="C36" s="229">
        <v>253</v>
      </c>
      <c r="D36" s="231">
        <v>3276</v>
      </c>
      <c r="F36" s="231">
        <v>3456</v>
      </c>
      <c r="G36" s="229">
        <v>18</v>
      </c>
      <c r="H36" s="229">
        <v>657</v>
      </c>
      <c r="J36" s="229">
        <v>812</v>
      </c>
      <c r="K36" s="229">
        <v>69</v>
      </c>
      <c r="L36" s="229">
        <v>629</v>
      </c>
      <c r="N36" s="248"/>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66">
        <v>1776</v>
      </c>
      <c r="AZ36" s="266"/>
      <c r="BA36" s="266">
        <v>1964</v>
      </c>
      <c r="BB36" s="266">
        <v>6</v>
      </c>
      <c r="BC36" s="266">
        <v>236</v>
      </c>
      <c r="BD36" s="266"/>
      <c r="BE36" s="266">
        <v>635</v>
      </c>
      <c r="BF36" s="266">
        <v>13</v>
      </c>
      <c r="BG36" s="266">
        <v>183</v>
      </c>
      <c r="BH36" s="266"/>
      <c r="BI36" s="286"/>
      <c r="BJ36" s="266"/>
      <c r="BK36" s="266"/>
      <c r="BL36" s="266"/>
      <c r="BM36" s="229">
        <v>14</v>
      </c>
      <c r="BN36" s="229">
        <v>91</v>
      </c>
      <c r="BO36" s="229">
        <v>6</v>
      </c>
      <c r="BP36" s="229">
        <v>386</v>
      </c>
      <c r="BQ36" s="229">
        <v>5</v>
      </c>
      <c r="BR36" s="229">
        <v>1</v>
      </c>
      <c r="BS36" s="266">
        <v>135</v>
      </c>
      <c r="BT36" s="266"/>
      <c r="BU36" s="266"/>
      <c r="BV36" s="266"/>
      <c r="BW36" s="266"/>
      <c r="BX36" s="266">
        <v>1</v>
      </c>
      <c r="BY36" s="266"/>
      <c r="BZ36" s="266">
        <v>1</v>
      </c>
      <c r="CA36" s="266"/>
      <c r="CB36" s="266">
        <v>3</v>
      </c>
      <c r="CC36" s="266"/>
      <c r="CD36" s="266"/>
      <c r="CE36" s="266"/>
      <c r="CF36" s="266"/>
      <c r="CG36" s="266"/>
      <c r="CH36" s="266"/>
      <c r="CI36" s="266">
        <v>1</v>
      </c>
      <c r="CJ36" s="266"/>
      <c r="CK36" s="266"/>
      <c r="CL36" s="266"/>
      <c r="CM36" s="266"/>
      <c r="CN36" s="266">
        <v>1</v>
      </c>
      <c r="CO36" s="266">
        <v>1</v>
      </c>
      <c r="CP36" s="229">
        <v>371</v>
      </c>
      <c r="CQ36" s="229">
        <v>1</v>
      </c>
      <c r="CR36" s="307"/>
    </row>
    <row r="37" spans="1:96" ht="12.75">
      <c r="A37" s="238" t="s">
        <v>100</v>
      </c>
      <c r="C37" s="229">
        <v>43</v>
      </c>
      <c r="D37" s="229">
        <v>432</v>
      </c>
      <c r="F37" s="229">
        <v>785</v>
      </c>
      <c r="G37" s="229">
        <v>26</v>
      </c>
      <c r="H37" s="229">
        <v>56</v>
      </c>
      <c r="J37" s="229">
        <v>37</v>
      </c>
      <c r="K37" s="229">
        <v>57</v>
      </c>
      <c r="L37" s="229">
        <v>65</v>
      </c>
      <c r="N37" s="248"/>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66">
        <v>170</v>
      </c>
      <c r="AZ37" s="266"/>
      <c r="BA37" s="266">
        <v>276</v>
      </c>
      <c r="BB37" s="266"/>
      <c r="BC37" s="266">
        <v>5</v>
      </c>
      <c r="BD37" s="266"/>
      <c r="BE37" s="266">
        <v>7</v>
      </c>
      <c r="BF37" s="266">
        <v>12</v>
      </c>
      <c r="BG37" s="266">
        <v>10</v>
      </c>
      <c r="BH37" s="266"/>
      <c r="BI37" s="286"/>
      <c r="BJ37" s="266"/>
      <c r="BK37" s="266"/>
      <c r="BL37" s="266"/>
      <c r="BN37" s="229">
        <v>9</v>
      </c>
      <c r="BP37" s="229">
        <v>52</v>
      </c>
      <c r="BR37" s="229">
        <v>12</v>
      </c>
      <c r="BS37" s="266">
        <v>23</v>
      </c>
      <c r="BT37" s="266">
        <v>1</v>
      </c>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29">
        <v>46</v>
      </c>
      <c r="CQ37" s="229">
        <v>6</v>
      </c>
      <c r="CR37" s="307"/>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48">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66">
        <v>7319</v>
      </c>
      <c r="AZ38" s="266">
        <v>5</v>
      </c>
      <c r="BA38" s="266">
        <v>16272</v>
      </c>
      <c r="BB38" s="266">
        <v>2</v>
      </c>
      <c r="BC38" s="266">
        <v>4625</v>
      </c>
      <c r="BD38" s="266"/>
      <c r="BE38" s="266">
        <v>2197</v>
      </c>
      <c r="BF38" s="266">
        <v>211</v>
      </c>
      <c r="BG38" s="266">
        <v>962</v>
      </c>
      <c r="BH38" s="266">
        <v>1</v>
      </c>
      <c r="BI38" s="286">
        <v>2</v>
      </c>
      <c r="BJ38" s="266">
        <v>1</v>
      </c>
      <c r="BK38" s="266">
        <v>2</v>
      </c>
      <c r="BL38" s="266"/>
      <c r="BM38" s="229">
        <v>215</v>
      </c>
      <c r="BN38" s="229">
        <v>384</v>
      </c>
      <c r="BO38" s="229">
        <v>113</v>
      </c>
      <c r="BP38" s="229">
        <v>699</v>
      </c>
      <c r="BQ38" s="229">
        <v>2</v>
      </c>
      <c r="BR38" s="229">
        <v>526</v>
      </c>
      <c r="BS38" s="266">
        <v>1650</v>
      </c>
      <c r="BT38" s="266">
        <v>8</v>
      </c>
      <c r="BU38" s="266">
        <v>8</v>
      </c>
      <c r="BV38" s="266">
        <v>3</v>
      </c>
      <c r="BW38" s="266">
        <v>1</v>
      </c>
      <c r="BX38" s="266">
        <v>18</v>
      </c>
      <c r="BY38" s="266">
        <v>4</v>
      </c>
      <c r="BZ38" s="266">
        <v>10</v>
      </c>
      <c r="CA38" s="266">
        <v>2</v>
      </c>
      <c r="CB38" s="266">
        <v>5</v>
      </c>
      <c r="CC38" s="266">
        <v>2</v>
      </c>
      <c r="CD38" s="266">
        <v>1</v>
      </c>
      <c r="CE38" s="266"/>
      <c r="CF38" s="266"/>
      <c r="CG38" s="266">
        <v>11</v>
      </c>
      <c r="CH38" s="266"/>
      <c r="CI38" s="266">
        <v>2</v>
      </c>
      <c r="CJ38" s="266"/>
      <c r="CK38" s="266">
        <v>4</v>
      </c>
      <c r="CL38" s="266">
        <v>3</v>
      </c>
      <c r="CM38" s="266">
        <v>2</v>
      </c>
      <c r="CN38" s="266">
        <v>4</v>
      </c>
      <c r="CO38" s="266">
        <v>5</v>
      </c>
      <c r="CP38" s="229">
        <v>462</v>
      </c>
      <c r="CQ38" s="229">
        <v>60</v>
      </c>
      <c r="CR38" s="307"/>
    </row>
    <row r="39" spans="1:96" ht="12.75">
      <c r="A39" s="238" t="s">
        <v>102</v>
      </c>
      <c r="C39" s="229">
        <v>93</v>
      </c>
      <c r="D39" s="229">
        <v>991</v>
      </c>
      <c r="F39" s="231">
        <v>1905</v>
      </c>
      <c r="G39" s="229">
        <v>47</v>
      </c>
      <c r="H39" s="229">
        <v>159</v>
      </c>
      <c r="J39" s="229">
        <v>72</v>
      </c>
      <c r="K39" s="229">
        <v>71</v>
      </c>
      <c r="L39" s="229">
        <v>152</v>
      </c>
      <c r="N39" s="248"/>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66">
        <v>178</v>
      </c>
      <c r="AZ39" s="266"/>
      <c r="BA39" s="266">
        <v>412</v>
      </c>
      <c r="BB39" s="266">
        <v>3</v>
      </c>
      <c r="BC39" s="266">
        <v>5</v>
      </c>
      <c r="BD39" s="266"/>
      <c r="BE39" s="266">
        <v>8</v>
      </c>
      <c r="BF39" s="266">
        <v>3</v>
      </c>
      <c r="BG39" s="266">
        <v>5</v>
      </c>
      <c r="BH39" s="266"/>
      <c r="BI39" s="286"/>
      <c r="BJ39" s="266"/>
      <c r="BK39" s="266"/>
      <c r="BL39" s="266"/>
      <c r="BM39" s="229">
        <v>10</v>
      </c>
      <c r="BN39" s="229">
        <v>40</v>
      </c>
      <c r="BO39" s="229">
        <v>3</v>
      </c>
      <c r="BP39" s="229">
        <v>29</v>
      </c>
      <c r="BR39" s="229">
        <v>6</v>
      </c>
      <c r="BS39" s="266">
        <v>106</v>
      </c>
      <c r="BT39" s="266"/>
      <c r="BU39" s="266"/>
      <c r="BV39" s="266"/>
      <c r="BW39" s="266"/>
      <c r="BX39" s="266"/>
      <c r="BY39" s="266"/>
      <c r="BZ39" s="266"/>
      <c r="CA39" s="266"/>
      <c r="CB39" s="266"/>
      <c r="CC39" s="266"/>
      <c r="CD39" s="266"/>
      <c r="CE39" s="266"/>
      <c r="CF39" s="266"/>
      <c r="CG39" s="266"/>
      <c r="CH39" s="266"/>
      <c r="CI39" s="266">
        <v>1</v>
      </c>
      <c r="CJ39" s="266"/>
      <c r="CK39" s="266"/>
      <c r="CL39" s="266"/>
      <c r="CM39" s="266"/>
      <c r="CN39" s="266"/>
      <c r="CO39" s="266">
        <v>7</v>
      </c>
      <c r="CP39" s="229">
        <v>27</v>
      </c>
      <c r="CQ39" s="229">
        <v>2</v>
      </c>
      <c r="CR39" s="307"/>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48"/>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66">
        <v>1242</v>
      </c>
      <c r="AZ40" s="266">
        <v>1</v>
      </c>
      <c r="BA40" s="266">
        <v>3277</v>
      </c>
      <c r="BB40" s="266">
        <v>28</v>
      </c>
      <c r="BC40" s="266">
        <v>505</v>
      </c>
      <c r="BD40" s="266"/>
      <c r="BE40" s="266">
        <v>336</v>
      </c>
      <c r="BF40" s="266">
        <v>38</v>
      </c>
      <c r="BG40" s="266">
        <v>771</v>
      </c>
      <c r="BH40" s="266"/>
      <c r="BI40" s="286"/>
      <c r="BJ40" s="266"/>
      <c r="BK40" s="266"/>
      <c r="BL40" s="266"/>
      <c r="BM40" s="229">
        <v>606</v>
      </c>
      <c r="BN40" s="229">
        <v>282</v>
      </c>
      <c r="BO40" s="229">
        <v>29</v>
      </c>
      <c r="BP40" s="229">
        <v>176</v>
      </c>
      <c r="BQ40" s="229"/>
      <c r="BR40" s="229">
        <v>413</v>
      </c>
      <c r="BS40" s="266">
        <v>420</v>
      </c>
      <c r="BT40" s="266"/>
      <c r="BU40" s="266">
        <v>3</v>
      </c>
      <c r="BV40" s="266"/>
      <c r="BW40" s="266"/>
      <c r="BX40" s="266"/>
      <c r="BY40" s="266"/>
      <c r="BZ40" s="266">
        <v>1</v>
      </c>
      <c r="CA40" s="266"/>
      <c r="CB40" s="266"/>
      <c r="CC40" s="266"/>
      <c r="CD40" s="266">
        <v>2</v>
      </c>
      <c r="CE40" s="266"/>
      <c r="CF40" s="266"/>
      <c r="CG40" s="266"/>
      <c r="CH40" s="266"/>
      <c r="CI40" s="266">
        <v>1</v>
      </c>
      <c r="CJ40" s="266"/>
      <c r="CK40" s="266">
        <v>2</v>
      </c>
      <c r="CL40" s="266">
        <v>17</v>
      </c>
      <c r="CM40" s="266">
        <v>2</v>
      </c>
      <c r="CN40" s="266">
        <v>3</v>
      </c>
      <c r="CO40" s="266">
        <v>5</v>
      </c>
      <c r="CP40" s="229">
        <v>141</v>
      </c>
      <c r="CQ40" s="229">
        <v>17</v>
      </c>
      <c r="CR40" s="307"/>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4"/>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5">
        <v>622</v>
      </c>
      <c r="AZ41" s="265">
        <v>1509</v>
      </c>
      <c r="BA41" s="265">
        <v>2147</v>
      </c>
      <c r="BB41" s="265">
        <v>20</v>
      </c>
      <c r="BC41" s="265">
        <v>571</v>
      </c>
      <c r="BD41" s="265"/>
      <c r="BE41" s="265">
        <v>1945</v>
      </c>
      <c r="BF41" s="265">
        <v>42</v>
      </c>
      <c r="BG41" s="265">
        <v>141</v>
      </c>
      <c r="BH41" s="265">
        <v>71</v>
      </c>
      <c r="BI41" s="285"/>
      <c r="BJ41" s="265"/>
      <c r="BK41" s="265"/>
      <c r="BL41" s="265"/>
      <c r="BM41" s="233">
        <v>17</v>
      </c>
      <c r="BN41" s="233">
        <v>14</v>
      </c>
      <c r="BO41" s="233">
        <v>10</v>
      </c>
      <c r="BP41" s="233">
        <v>196</v>
      </c>
      <c r="BQ41" s="233">
        <v>5</v>
      </c>
      <c r="BR41" s="233">
        <v>27</v>
      </c>
      <c r="BS41" s="265">
        <v>311</v>
      </c>
      <c r="BT41" s="265">
        <v>2</v>
      </c>
      <c r="BU41" s="265">
        <v>1295</v>
      </c>
      <c r="BV41" s="265">
        <v>914</v>
      </c>
      <c r="BW41" s="265">
        <v>5458</v>
      </c>
      <c r="BX41" s="265">
        <v>28</v>
      </c>
      <c r="BY41" s="265">
        <v>505</v>
      </c>
      <c r="BZ41" s="265">
        <v>1029</v>
      </c>
      <c r="CA41" s="265"/>
      <c r="CB41" s="265">
        <v>1445</v>
      </c>
      <c r="CC41" s="265">
        <v>125</v>
      </c>
      <c r="CD41" s="265">
        <v>3381</v>
      </c>
      <c r="CE41" s="265"/>
      <c r="CF41" s="265">
        <v>2</v>
      </c>
      <c r="CG41" s="265">
        <v>12</v>
      </c>
      <c r="CH41" s="265">
        <v>5</v>
      </c>
      <c r="CI41" s="265">
        <v>253</v>
      </c>
      <c r="CJ41" s="265">
        <v>2</v>
      </c>
      <c r="CK41" s="265">
        <v>4316</v>
      </c>
      <c r="CL41" s="265">
        <v>944</v>
      </c>
      <c r="CM41" s="265">
        <v>789</v>
      </c>
      <c r="CN41" s="265"/>
      <c r="CO41" s="265"/>
      <c r="CP41" s="233">
        <v>180</v>
      </c>
      <c r="CQ41" s="233">
        <v>1</v>
      </c>
      <c r="CR41" s="307"/>
    </row>
    <row r="42" spans="1:96" ht="12.75">
      <c r="A42" s="238" t="s">
        <v>105</v>
      </c>
      <c r="B42" s="229">
        <v>2</v>
      </c>
      <c r="C42" s="229">
        <v>861</v>
      </c>
      <c r="D42" s="231">
        <v>3151</v>
      </c>
      <c r="E42" s="229">
        <v>7</v>
      </c>
      <c r="F42" s="231">
        <v>8777</v>
      </c>
      <c r="G42" s="229">
        <v>7</v>
      </c>
      <c r="H42" s="229">
        <v>1334</v>
      </c>
      <c r="J42" s="229">
        <v>656</v>
      </c>
      <c r="K42" s="229">
        <v>272</v>
      </c>
      <c r="L42" s="229">
        <v>673</v>
      </c>
      <c r="N42" s="248">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66">
        <v>1561</v>
      </c>
      <c r="AZ42" s="266">
        <v>5</v>
      </c>
      <c r="BA42" s="266">
        <v>4906</v>
      </c>
      <c r="BB42" s="266">
        <v>5</v>
      </c>
      <c r="BC42" s="266">
        <v>343</v>
      </c>
      <c r="BD42" s="266"/>
      <c r="BE42" s="266">
        <v>208</v>
      </c>
      <c r="BF42" s="266">
        <v>58</v>
      </c>
      <c r="BG42" s="266">
        <v>81</v>
      </c>
      <c r="BH42" s="266"/>
      <c r="BI42" s="286"/>
      <c r="BJ42" s="266"/>
      <c r="BK42" s="266"/>
      <c r="BL42" s="266"/>
      <c r="BM42" s="229">
        <v>82</v>
      </c>
      <c r="BN42" s="229">
        <v>242</v>
      </c>
      <c r="BO42" s="229">
        <v>10</v>
      </c>
      <c r="BP42" s="229">
        <v>545</v>
      </c>
      <c r="BQ42" s="229">
        <v>2</v>
      </c>
      <c r="BR42" s="229">
        <v>2</v>
      </c>
      <c r="BS42" s="266">
        <v>307</v>
      </c>
      <c r="BT42" s="266"/>
      <c r="BU42" s="266">
        <v>1</v>
      </c>
      <c r="BV42" s="266"/>
      <c r="BW42" s="266"/>
      <c r="BX42" s="266"/>
      <c r="BY42" s="266">
        <v>1</v>
      </c>
      <c r="BZ42" s="266">
        <v>2</v>
      </c>
      <c r="CA42" s="266"/>
      <c r="CB42" s="266"/>
      <c r="CC42" s="266"/>
      <c r="CD42" s="266">
        <v>3</v>
      </c>
      <c r="CE42" s="266"/>
      <c r="CF42" s="266"/>
      <c r="CG42" s="266"/>
      <c r="CH42" s="266"/>
      <c r="CI42" s="266">
        <v>2</v>
      </c>
      <c r="CJ42" s="266"/>
      <c r="CK42" s="266">
        <v>9</v>
      </c>
      <c r="CL42" s="266">
        <v>5</v>
      </c>
      <c r="CM42" s="266">
        <v>2</v>
      </c>
      <c r="CN42" s="266">
        <v>2</v>
      </c>
      <c r="CO42" s="266">
        <v>130</v>
      </c>
      <c r="CP42" s="229">
        <v>514</v>
      </c>
      <c r="CQ42" s="229">
        <v>28</v>
      </c>
      <c r="CR42" s="307"/>
    </row>
    <row r="43" spans="1:96" ht="12.75">
      <c r="A43" s="238" t="s">
        <v>106</v>
      </c>
      <c r="C43" s="229">
        <v>539</v>
      </c>
      <c r="D43" s="231">
        <v>2884</v>
      </c>
      <c r="E43" s="229">
        <v>2</v>
      </c>
      <c r="F43" s="231">
        <v>7787</v>
      </c>
      <c r="G43" s="229">
        <v>71</v>
      </c>
      <c r="H43" s="229">
        <v>1860</v>
      </c>
      <c r="J43" s="229">
        <v>783</v>
      </c>
      <c r="K43" s="229">
        <v>283</v>
      </c>
      <c r="L43" s="229">
        <v>490</v>
      </c>
      <c r="N43" s="248">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66">
        <v>1901</v>
      </c>
      <c r="AZ43" s="266">
        <v>1</v>
      </c>
      <c r="BA43" s="266">
        <v>5098</v>
      </c>
      <c r="BB43" s="266">
        <v>34</v>
      </c>
      <c r="BC43" s="266">
        <v>1010</v>
      </c>
      <c r="BD43" s="266"/>
      <c r="BE43" s="266">
        <v>498</v>
      </c>
      <c r="BF43" s="266">
        <v>109</v>
      </c>
      <c r="BG43" s="266">
        <v>274</v>
      </c>
      <c r="BH43" s="266"/>
      <c r="BI43" s="286">
        <v>1</v>
      </c>
      <c r="BJ43" s="266"/>
      <c r="BK43" s="266"/>
      <c r="BL43" s="266"/>
      <c r="BM43" s="229">
        <v>50</v>
      </c>
      <c r="BN43" s="229">
        <v>116</v>
      </c>
      <c r="BP43" s="229">
        <v>746</v>
      </c>
      <c r="BQ43" s="229">
        <v>2</v>
      </c>
      <c r="BR43" s="229">
        <v>25</v>
      </c>
      <c r="BS43" s="266">
        <v>288</v>
      </c>
      <c r="BT43" s="266">
        <v>28</v>
      </c>
      <c r="BU43" s="266">
        <v>2</v>
      </c>
      <c r="BV43" s="266">
        <v>1</v>
      </c>
      <c r="BW43" s="266"/>
      <c r="BX43" s="266">
        <v>9</v>
      </c>
      <c r="BY43" s="266">
        <v>5</v>
      </c>
      <c r="BZ43" s="266">
        <v>10</v>
      </c>
      <c r="CA43" s="266"/>
      <c r="CB43" s="266">
        <v>1</v>
      </c>
      <c r="CC43" s="266">
        <v>2</v>
      </c>
      <c r="CD43" s="266">
        <v>3</v>
      </c>
      <c r="CE43" s="266"/>
      <c r="CF43" s="266"/>
      <c r="CG43" s="266">
        <v>1</v>
      </c>
      <c r="CH43" s="266"/>
      <c r="CI43" s="266">
        <v>3</v>
      </c>
      <c r="CJ43" s="266"/>
      <c r="CK43" s="266">
        <v>4</v>
      </c>
      <c r="CL43" s="266">
        <v>29</v>
      </c>
      <c r="CM43" s="266">
        <v>4</v>
      </c>
      <c r="CN43" s="266"/>
      <c r="CO43" s="266">
        <v>3</v>
      </c>
      <c r="CP43" s="229">
        <v>671</v>
      </c>
      <c r="CQ43" s="229">
        <v>59</v>
      </c>
      <c r="CR43" s="307"/>
    </row>
    <row r="44" spans="1:96" ht="12.75">
      <c r="A44" s="238" t="s">
        <v>107</v>
      </c>
      <c r="B44" s="229">
        <v>1</v>
      </c>
      <c r="C44" s="229">
        <v>56</v>
      </c>
      <c r="D44" s="229">
        <v>359</v>
      </c>
      <c r="F44" s="229">
        <v>702</v>
      </c>
      <c r="G44" s="229">
        <v>22</v>
      </c>
      <c r="H44" s="229">
        <v>75</v>
      </c>
      <c r="J44" s="229">
        <v>64</v>
      </c>
      <c r="K44" s="229">
        <v>57</v>
      </c>
      <c r="L44" s="229">
        <v>77</v>
      </c>
      <c r="N44" s="248"/>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66">
        <v>126</v>
      </c>
      <c r="AZ44" s="266"/>
      <c r="BA44" s="266">
        <v>174</v>
      </c>
      <c r="BB44" s="266"/>
      <c r="BC44" s="266">
        <v>13</v>
      </c>
      <c r="BD44" s="266"/>
      <c r="BE44" s="266">
        <v>7</v>
      </c>
      <c r="BF44" s="266">
        <v>5</v>
      </c>
      <c r="BG44" s="266">
        <v>6</v>
      </c>
      <c r="BH44" s="266"/>
      <c r="BI44" s="286"/>
      <c r="BJ44" s="266"/>
      <c r="BK44" s="266"/>
      <c r="BL44" s="266"/>
      <c r="BN44" s="229">
        <v>53</v>
      </c>
      <c r="BP44" s="229">
        <v>11</v>
      </c>
      <c r="BR44" s="229">
        <v>21</v>
      </c>
      <c r="BS44" s="266">
        <v>17</v>
      </c>
      <c r="BT44" s="266"/>
      <c r="BU44" s="266"/>
      <c r="BV44" s="266"/>
      <c r="BW44" s="266"/>
      <c r="BX44" s="266"/>
      <c r="BY44" s="266"/>
      <c r="BZ44" s="266"/>
      <c r="CA44" s="266"/>
      <c r="CB44" s="266"/>
      <c r="CC44" s="266"/>
      <c r="CD44" s="266"/>
      <c r="CE44" s="266"/>
      <c r="CF44" s="266"/>
      <c r="CG44" s="266"/>
      <c r="CH44" s="266"/>
      <c r="CI44" s="266"/>
      <c r="CJ44" s="266"/>
      <c r="CK44" s="266"/>
      <c r="CL44" s="266">
        <v>2</v>
      </c>
      <c r="CM44" s="266"/>
      <c r="CN44" s="266"/>
      <c r="CO44" s="266"/>
      <c r="CP44" s="229">
        <v>10</v>
      </c>
      <c r="CR44" s="307"/>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48"/>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66">
        <v>3742</v>
      </c>
      <c r="AZ45" s="266">
        <v>2</v>
      </c>
      <c r="BA45" s="266">
        <v>7229</v>
      </c>
      <c r="BB45" s="266">
        <v>39</v>
      </c>
      <c r="BC45" s="266">
        <v>846</v>
      </c>
      <c r="BD45" s="266"/>
      <c r="BE45" s="266">
        <v>393</v>
      </c>
      <c r="BF45" s="266">
        <v>122</v>
      </c>
      <c r="BG45" s="266">
        <v>238</v>
      </c>
      <c r="BH45" s="266">
        <v>1</v>
      </c>
      <c r="BI45" s="286"/>
      <c r="BJ45" s="266"/>
      <c r="BK45" s="266">
        <v>5</v>
      </c>
      <c r="BL45" s="266"/>
      <c r="BM45" s="229">
        <v>84</v>
      </c>
      <c r="BN45" s="229">
        <v>200</v>
      </c>
      <c r="BO45" s="229">
        <v>1</v>
      </c>
      <c r="BP45" s="229">
        <v>355</v>
      </c>
      <c r="BQ45" s="229">
        <v>2</v>
      </c>
      <c r="BR45" s="229">
        <v>5</v>
      </c>
      <c r="BS45" s="266">
        <v>647</v>
      </c>
      <c r="BT45" s="266">
        <v>4</v>
      </c>
      <c r="BU45" s="266"/>
      <c r="BV45" s="266"/>
      <c r="BW45" s="266"/>
      <c r="BX45" s="266"/>
      <c r="BY45" s="266">
        <v>1</v>
      </c>
      <c r="BZ45" s="266">
        <v>1</v>
      </c>
      <c r="CA45" s="266"/>
      <c r="CB45" s="266">
        <v>1</v>
      </c>
      <c r="CC45" s="266"/>
      <c r="CD45" s="266"/>
      <c r="CE45" s="266"/>
      <c r="CF45" s="266"/>
      <c r="CG45" s="266"/>
      <c r="CH45" s="266"/>
      <c r="CI45" s="266">
        <v>2</v>
      </c>
      <c r="CJ45" s="266"/>
      <c r="CK45" s="266">
        <v>1</v>
      </c>
      <c r="CL45" s="266">
        <v>30</v>
      </c>
      <c r="CM45" s="266">
        <v>1</v>
      </c>
      <c r="CN45" s="266">
        <v>1</v>
      </c>
      <c r="CO45" s="266"/>
      <c r="CP45" s="229">
        <v>263</v>
      </c>
      <c r="CQ45" s="229">
        <v>88</v>
      </c>
      <c r="CR45" s="307"/>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4"/>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5">
        <v>373</v>
      </c>
      <c r="AZ46" s="265">
        <v>1641</v>
      </c>
      <c r="BA46" s="265">
        <v>909</v>
      </c>
      <c r="BB46" s="265"/>
      <c r="BC46" s="265">
        <v>2084</v>
      </c>
      <c r="BD46" s="265"/>
      <c r="BE46" s="265">
        <v>2376</v>
      </c>
      <c r="BF46" s="265">
        <v>2</v>
      </c>
      <c r="BG46" s="265">
        <v>1818</v>
      </c>
      <c r="BH46" s="265">
        <v>369</v>
      </c>
      <c r="BI46" s="285"/>
      <c r="BJ46" s="265"/>
      <c r="BK46" s="265"/>
      <c r="BL46" s="265"/>
      <c r="BM46" s="233">
        <v>27</v>
      </c>
      <c r="BN46" s="233">
        <v>168</v>
      </c>
      <c r="BO46" s="233">
        <v>49</v>
      </c>
      <c r="BP46" s="233">
        <v>125</v>
      </c>
      <c r="BQ46" s="233">
        <v>1</v>
      </c>
      <c r="BR46" s="233">
        <v>3</v>
      </c>
      <c r="BS46" s="265">
        <v>1725</v>
      </c>
      <c r="BT46" s="265">
        <v>7</v>
      </c>
      <c r="BU46" s="265">
        <v>780</v>
      </c>
      <c r="BV46" s="265">
        <v>355</v>
      </c>
      <c r="BW46" s="265">
        <v>9884</v>
      </c>
      <c r="BX46" s="265">
        <v>181</v>
      </c>
      <c r="BY46" s="265">
        <v>2035</v>
      </c>
      <c r="BZ46" s="265">
        <v>7951</v>
      </c>
      <c r="CA46" s="265">
        <v>1</v>
      </c>
      <c r="CB46" s="265">
        <v>2336</v>
      </c>
      <c r="CC46" s="265">
        <v>1739</v>
      </c>
      <c r="CD46" s="265">
        <v>5926</v>
      </c>
      <c r="CE46" s="265"/>
      <c r="CF46" s="265">
        <v>158</v>
      </c>
      <c r="CG46" s="265">
        <v>70</v>
      </c>
      <c r="CH46" s="265"/>
      <c r="CI46" s="265">
        <v>1534</v>
      </c>
      <c r="CJ46" s="265">
        <v>6</v>
      </c>
      <c r="CK46" s="265">
        <v>15748</v>
      </c>
      <c r="CL46" s="265">
        <v>1984</v>
      </c>
      <c r="CM46" s="265">
        <v>13837</v>
      </c>
      <c r="CN46" s="265"/>
      <c r="CO46" s="265">
        <v>1</v>
      </c>
      <c r="CP46" s="233">
        <v>41</v>
      </c>
      <c r="CQ46" s="233">
        <v>13</v>
      </c>
      <c r="CR46" s="307"/>
    </row>
    <row r="47" spans="1:96" ht="12.75">
      <c r="A47" s="238" t="s">
        <v>110</v>
      </c>
      <c r="B47" s="229">
        <v>13</v>
      </c>
      <c r="C47" s="231">
        <v>2629</v>
      </c>
      <c r="D47" s="231">
        <v>11913</v>
      </c>
      <c r="E47" s="229">
        <v>17</v>
      </c>
      <c r="F47" s="231">
        <v>32238</v>
      </c>
      <c r="G47" s="229">
        <v>46</v>
      </c>
      <c r="H47" s="231">
        <v>3913</v>
      </c>
      <c r="J47" s="229">
        <v>1215</v>
      </c>
      <c r="K47" s="229">
        <v>532</v>
      </c>
      <c r="L47" s="231">
        <v>1345</v>
      </c>
      <c r="N47" s="248">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66">
        <v>9071</v>
      </c>
      <c r="AZ47" s="266">
        <v>13</v>
      </c>
      <c r="BA47" s="266">
        <v>24752</v>
      </c>
      <c r="BB47" s="266">
        <v>27</v>
      </c>
      <c r="BC47" s="266">
        <v>1206</v>
      </c>
      <c r="BD47" s="266"/>
      <c r="BE47" s="266">
        <v>427</v>
      </c>
      <c r="BF47" s="266">
        <v>295</v>
      </c>
      <c r="BG47" s="266">
        <v>508</v>
      </c>
      <c r="BH47" s="266"/>
      <c r="BI47" s="286">
        <v>4</v>
      </c>
      <c r="BJ47" s="266"/>
      <c r="BK47" s="266"/>
      <c r="BL47" s="266">
        <v>1</v>
      </c>
      <c r="BM47" s="229">
        <v>125</v>
      </c>
      <c r="BN47" s="229">
        <v>107</v>
      </c>
      <c r="BO47" s="229">
        <v>70</v>
      </c>
      <c r="BP47" s="229">
        <v>1660</v>
      </c>
      <c r="BQ47" s="229">
        <v>1</v>
      </c>
      <c r="BR47" s="229">
        <v>444</v>
      </c>
      <c r="BS47" s="266">
        <v>951</v>
      </c>
      <c r="BT47" s="266"/>
      <c r="BU47" s="266">
        <v>3</v>
      </c>
      <c r="BV47" s="266"/>
      <c r="BW47" s="266">
        <v>1</v>
      </c>
      <c r="BX47" s="266"/>
      <c r="BY47" s="266">
        <v>1</v>
      </c>
      <c r="BZ47" s="266">
        <v>2</v>
      </c>
      <c r="CA47" s="266"/>
      <c r="CB47" s="266">
        <v>1</v>
      </c>
      <c r="CC47" s="266">
        <v>1</v>
      </c>
      <c r="CD47" s="266">
        <v>2</v>
      </c>
      <c r="CE47" s="266"/>
      <c r="CF47" s="266"/>
      <c r="CG47" s="266"/>
      <c r="CH47" s="266"/>
      <c r="CI47" s="266">
        <v>3</v>
      </c>
      <c r="CJ47" s="266"/>
      <c r="CK47" s="266">
        <v>124</v>
      </c>
      <c r="CL47" s="266">
        <v>73</v>
      </c>
      <c r="CM47" s="266">
        <v>39</v>
      </c>
      <c r="CN47" s="266">
        <v>104</v>
      </c>
      <c r="CO47" s="266">
        <v>2192</v>
      </c>
      <c r="CP47" s="229">
        <v>1598</v>
      </c>
      <c r="CQ47" s="229">
        <v>28</v>
      </c>
      <c r="CR47" s="307"/>
    </row>
    <row r="48" spans="1:96" ht="12.75">
      <c r="A48" s="238" t="s">
        <v>111</v>
      </c>
      <c r="B48" s="229">
        <v>1</v>
      </c>
      <c r="C48" s="229">
        <v>235</v>
      </c>
      <c r="D48" s="229">
        <v>1427</v>
      </c>
      <c r="F48" s="231">
        <v>3328</v>
      </c>
      <c r="G48" s="229">
        <v>44</v>
      </c>
      <c r="H48" s="229">
        <v>485</v>
      </c>
      <c r="J48" s="229">
        <v>187</v>
      </c>
      <c r="K48" s="229">
        <v>122</v>
      </c>
      <c r="L48" s="229">
        <v>366</v>
      </c>
      <c r="N48" s="248"/>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66">
        <v>828</v>
      </c>
      <c r="AZ48" s="266"/>
      <c r="BA48" s="266">
        <v>1930</v>
      </c>
      <c r="BB48" s="266">
        <v>22</v>
      </c>
      <c r="BC48" s="266">
        <v>55</v>
      </c>
      <c r="BD48" s="266"/>
      <c r="BE48" s="266">
        <v>56</v>
      </c>
      <c r="BF48" s="266">
        <v>52</v>
      </c>
      <c r="BG48" s="266">
        <v>70</v>
      </c>
      <c r="BH48" s="266"/>
      <c r="BI48" s="286"/>
      <c r="BJ48" s="266">
        <v>1</v>
      </c>
      <c r="BK48" s="266"/>
      <c r="BL48" s="266"/>
      <c r="BM48" s="229">
        <v>1</v>
      </c>
      <c r="BN48" s="229">
        <v>5</v>
      </c>
      <c r="BP48" s="229">
        <v>219</v>
      </c>
      <c r="BQ48" s="229">
        <v>6</v>
      </c>
      <c r="BR48" s="229">
        <v>57</v>
      </c>
      <c r="BS48" s="266">
        <v>65</v>
      </c>
      <c r="BT48" s="266">
        <v>1</v>
      </c>
      <c r="BU48" s="266">
        <v>1</v>
      </c>
      <c r="BV48" s="266"/>
      <c r="BW48" s="266"/>
      <c r="BX48" s="266"/>
      <c r="BY48" s="266">
        <v>1</v>
      </c>
      <c r="BZ48" s="266"/>
      <c r="CA48" s="266"/>
      <c r="CB48" s="266"/>
      <c r="CC48" s="266"/>
      <c r="CD48" s="266">
        <v>1</v>
      </c>
      <c r="CE48" s="266"/>
      <c r="CF48" s="266"/>
      <c r="CG48" s="266">
        <v>1</v>
      </c>
      <c r="CH48" s="266"/>
      <c r="CI48" s="266"/>
      <c r="CJ48" s="266"/>
      <c r="CK48" s="266"/>
      <c r="CL48" s="266"/>
      <c r="CM48" s="266"/>
      <c r="CN48" s="266"/>
      <c r="CO48" s="266">
        <v>2</v>
      </c>
      <c r="CP48" s="229">
        <v>163</v>
      </c>
      <c r="CQ48" s="229">
        <v>8</v>
      </c>
      <c r="CR48" s="307"/>
    </row>
    <row r="49" spans="1:96" ht="12.75">
      <c r="A49" s="238" t="s">
        <v>112</v>
      </c>
      <c r="C49" s="229">
        <v>288</v>
      </c>
      <c r="D49" s="229">
        <v>1138</v>
      </c>
      <c r="F49" s="231">
        <v>3458</v>
      </c>
      <c r="G49" s="229">
        <v>42</v>
      </c>
      <c r="H49" s="229">
        <v>683</v>
      </c>
      <c r="J49" s="229">
        <v>187</v>
      </c>
      <c r="K49" s="229">
        <v>43</v>
      </c>
      <c r="L49" s="229">
        <v>317</v>
      </c>
      <c r="N49" s="248"/>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66">
        <v>665</v>
      </c>
      <c r="AZ49" s="266"/>
      <c r="BA49" s="266">
        <v>1849</v>
      </c>
      <c r="BB49" s="266">
        <v>7</v>
      </c>
      <c r="BC49" s="266">
        <v>200</v>
      </c>
      <c r="BD49" s="266"/>
      <c r="BE49" s="266">
        <v>84</v>
      </c>
      <c r="BF49" s="266">
        <v>10</v>
      </c>
      <c r="BG49" s="266">
        <v>72</v>
      </c>
      <c r="BH49" s="266"/>
      <c r="BI49" s="286"/>
      <c r="BJ49" s="266"/>
      <c r="BK49" s="266"/>
      <c r="BL49" s="266"/>
      <c r="BM49" s="229">
        <v>7</v>
      </c>
      <c r="BN49" s="229">
        <v>25</v>
      </c>
      <c r="BO49" s="229">
        <v>9</v>
      </c>
      <c r="BP49" s="229">
        <v>124</v>
      </c>
      <c r="BQ49" s="229">
        <v>1</v>
      </c>
      <c r="BR49" s="229">
        <v>77</v>
      </c>
      <c r="BS49" s="266">
        <v>91</v>
      </c>
      <c r="BT49" s="266"/>
      <c r="BU49" s="266"/>
      <c r="BV49" s="266"/>
      <c r="BW49" s="266"/>
      <c r="BX49" s="266">
        <v>3</v>
      </c>
      <c r="BY49" s="266"/>
      <c r="BZ49" s="266"/>
      <c r="CA49" s="266"/>
      <c r="CB49" s="266"/>
      <c r="CC49" s="266"/>
      <c r="CD49" s="266"/>
      <c r="CE49" s="266"/>
      <c r="CF49" s="266"/>
      <c r="CG49" s="266">
        <v>1</v>
      </c>
      <c r="CH49" s="266"/>
      <c r="CI49" s="266"/>
      <c r="CJ49" s="266"/>
      <c r="CK49" s="266"/>
      <c r="CL49" s="266"/>
      <c r="CM49" s="266"/>
      <c r="CN49" s="266"/>
      <c r="CO49" s="266"/>
      <c r="CP49" s="229">
        <v>84</v>
      </c>
      <c r="CQ49" s="229">
        <v>32</v>
      </c>
      <c r="CR49" s="307"/>
    </row>
    <row r="50" spans="1:96" ht="12.75">
      <c r="A50" s="238" t="s">
        <v>113</v>
      </c>
      <c r="B50" s="229">
        <v>5</v>
      </c>
      <c r="C50" s="229">
        <v>198</v>
      </c>
      <c r="D50" s="229">
        <v>571</v>
      </c>
      <c r="F50" s="229">
        <v>1014</v>
      </c>
      <c r="H50" s="229">
        <v>645</v>
      </c>
      <c r="J50" s="229">
        <v>632</v>
      </c>
      <c r="K50" s="229">
        <v>78</v>
      </c>
      <c r="L50" s="229">
        <v>203</v>
      </c>
      <c r="N50" s="248"/>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66">
        <v>293</v>
      </c>
      <c r="AZ50" s="266"/>
      <c r="BA50" s="266">
        <v>468</v>
      </c>
      <c r="BB50" s="266"/>
      <c r="BC50" s="266">
        <v>397</v>
      </c>
      <c r="BD50" s="266"/>
      <c r="BE50" s="266">
        <v>363</v>
      </c>
      <c r="BF50" s="266">
        <v>7</v>
      </c>
      <c r="BG50" s="266">
        <v>88</v>
      </c>
      <c r="BH50" s="266"/>
      <c r="BI50" s="286"/>
      <c r="BJ50" s="266"/>
      <c r="BK50" s="266"/>
      <c r="BL50" s="266"/>
      <c r="BM50" s="229">
        <v>28</v>
      </c>
      <c r="BN50" s="229">
        <v>335</v>
      </c>
      <c r="BO50" s="229">
        <v>13</v>
      </c>
      <c r="BP50" s="229">
        <v>21</v>
      </c>
      <c r="BQ50" s="229">
        <v>5</v>
      </c>
      <c r="BR50" s="229">
        <v>97</v>
      </c>
      <c r="BS50" s="266">
        <v>89</v>
      </c>
      <c r="BT50" s="266">
        <v>1</v>
      </c>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29">
        <v>17</v>
      </c>
      <c r="CQ50" s="229">
        <v>1</v>
      </c>
      <c r="CR50" s="307"/>
    </row>
    <row r="51" spans="1:96" ht="12.75">
      <c r="A51" s="238" t="s">
        <v>114</v>
      </c>
      <c r="B51" s="229">
        <v>1</v>
      </c>
      <c r="C51" s="229">
        <v>119</v>
      </c>
      <c r="D51" s="229">
        <v>607</v>
      </c>
      <c r="E51" s="229">
        <v>1</v>
      </c>
      <c r="F51" s="229">
        <v>1574</v>
      </c>
      <c r="H51" s="229">
        <v>415</v>
      </c>
      <c r="I51" s="229">
        <v>1</v>
      </c>
      <c r="J51" s="229">
        <v>104</v>
      </c>
      <c r="K51" s="229">
        <v>97</v>
      </c>
      <c r="L51" s="229">
        <v>296</v>
      </c>
      <c r="N51" s="248"/>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66">
        <v>239</v>
      </c>
      <c r="AZ51" s="266">
        <v>1</v>
      </c>
      <c r="BA51" s="266">
        <v>663</v>
      </c>
      <c r="BB51" s="266"/>
      <c r="BC51" s="266">
        <v>107</v>
      </c>
      <c r="BD51" s="266"/>
      <c r="BE51" s="266">
        <v>27</v>
      </c>
      <c r="BF51" s="266">
        <v>34</v>
      </c>
      <c r="BG51" s="266">
        <v>84</v>
      </c>
      <c r="BH51" s="266"/>
      <c r="BI51" s="286"/>
      <c r="BJ51" s="266"/>
      <c r="BK51" s="266"/>
      <c r="BL51" s="266"/>
      <c r="BM51" s="229">
        <v>11</v>
      </c>
      <c r="BN51" s="229">
        <v>17</v>
      </c>
      <c r="BO51" s="229">
        <v>9</v>
      </c>
      <c r="BP51" s="229">
        <v>111</v>
      </c>
      <c r="BQ51" s="229">
        <v>6</v>
      </c>
      <c r="BR51" s="229">
        <v>31</v>
      </c>
      <c r="BS51" s="266">
        <v>58</v>
      </c>
      <c r="BT51" s="266"/>
      <c r="BU51" s="266">
        <v>1</v>
      </c>
      <c r="BV51" s="266"/>
      <c r="BW51" s="266"/>
      <c r="BX51" s="266"/>
      <c r="BY51" s="266"/>
      <c r="BZ51" s="266"/>
      <c r="CA51" s="266"/>
      <c r="CB51" s="266"/>
      <c r="CC51" s="266"/>
      <c r="CD51" s="266"/>
      <c r="CE51" s="266"/>
      <c r="CF51" s="266"/>
      <c r="CG51" s="266"/>
      <c r="CH51" s="266"/>
      <c r="CI51" s="266"/>
      <c r="CJ51" s="266"/>
      <c r="CK51" s="266"/>
      <c r="CL51" s="266"/>
      <c r="CM51" s="266"/>
      <c r="CN51" s="266">
        <v>1</v>
      </c>
      <c r="CO51" s="266">
        <v>1</v>
      </c>
      <c r="CP51" s="229">
        <v>46</v>
      </c>
      <c r="CQ51" s="229">
        <v>14</v>
      </c>
      <c r="CR51" s="307"/>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07"/>
    </row>
    <row r="53" spans="1:96" ht="12.75">
      <c r="A53" s="238" t="s">
        <v>373</v>
      </c>
      <c r="B53" s="229">
        <v>2</v>
      </c>
      <c r="C53" s="229">
        <v>687</v>
      </c>
      <c r="D53" s="229">
        <v>3479</v>
      </c>
      <c r="E53" s="229">
        <v>1</v>
      </c>
      <c r="F53" s="231">
        <v>6754</v>
      </c>
      <c r="G53" s="229">
        <v>25</v>
      </c>
      <c r="H53" s="229">
        <v>1889</v>
      </c>
      <c r="J53" s="229">
        <v>641</v>
      </c>
      <c r="K53" s="229">
        <v>258</v>
      </c>
      <c r="L53" s="229">
        <v>497</v>
      </c>
      <c r="N53" s="248"/>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66">
        <v>1980</v>
      </c>
      <c r="AZ53" s="266"/>
      <c r="BA53" s="266">
        <v>3625</v>
      </c>
      <c r="BB53" s="266">
        <v>11</v>
      </c>
      <c r="BC53" s="266">
        <v>718</v>
      </c>
      <c r="BD53" s="266"/>
      <c r="BE53" s="266">
        <v>219</v>
      </c>
      <c r="BF53" s="266">
        <v>98</v>
      </c>
      <c r="BG53" s="266">
        <v>101</v>
      </c>
      <c r="BH53" s="266"/>
      <c r="BI53" s="286"/>
      <c r="BJ53" s="266"/>
      <c r="BK53" s="266">
        <v>1</v>
      </c>
      <c r="BL53" s="266"/>
      <c r="BM53" s="229">
        <v>25</v>
      </c>
      <c r="BN53" s="229">
        <v>140</v>
      </c>
      <c r="BO53" s="229">
        <v>2</v>
      </c>
      <c r="BP53" s="229">
        <v>266</v>
      </c>
      <c r="BR53" s="229">
        <v>8</v>
      </c>
      <c r="BS53" s="266">
        <v>167</v>
      </c>
      <c r="BT53" s="266">
        <v>1</v>
      </c>
      <c r="BU53" s="266">
        <v>3</v>
      </c>
      <c r="BV53" s="266">
        <v>1</v>
      </c>
      <c r="BW53" s="266"/>
      <c r="BX53" s="266">
        <v>2</v>
      </c>
      <c r="BY53" s="266"/>
      <c r="BZ53" s="266">
        <v>3</v>
      </c>
      <c r="CA53" s="266"/>
      <c r="CB53" s="266">
        <v>1</v>
      </c>
      <c r="CC53" s="266"/>
      <c r="CD53" s="266">
        <v>1</v>
      </c>
      <c r="CE53" s="266"/>
      <c r="CF53" s="266"/>
      <c r="CG53" s="266"/>
      <c r="CH53" s="266"/>
      <c r="CI53" s="266"/>
      <c r="CJ53" s="266"/>
      <c r="CK53" s="266">
        <v>2</v>
      </c>
      <c r="CL53" s="266">
        <v>1</v>
      </c>
      <c r="CM53" s="266">
        <v>2</v>
      </c>
      <c r="CN53" s="266"/>
      <c r="CO53" s="266">
        <v>2</v>
      </c>
      <c r="CP53" s="229">
        <v>234</v>
      </c>
      <c r="CQ53" s="229">
        <v>26</v>
      </c>
      <c r="CR53" s="307"/>
    </row>
    <row r="54" spans="1:96" ht="12.75">
      <c r="A54" s="238" t="s">
        <v>374</v>
      </c>
      <c r="C54" s="229">
        <v>52</v>
      </c>
      <c r="D54" s="229">
        <v>333</v>
      </c>
      <c r="F54" s="231">
        <v>586</v>
      </c>
      <c r="G54" s="229">
        <v>1</v>
      </c>
      <c r="H54" s="229">
        <v>193</v>
      </c>
      <c r="J54" s="229">
        <v>302</v>
      </c>
      <c r="K54" s="229">
        <v>35</v>
      </c>
      <c r="L54" s="229">
        <v>76</v>
      </c>
      <c r="N54" s="248"/>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66">
        <v>127</v>
      </c>
      <c r="AZ54" s="266"/>
      <c r="BA54" s="266">
        <v>245</v>
      </c>
      <c r="BB54" s="266"/>
      <c r="BC54" s="266">
        <v>101</v>
      </c>
      <c r="BD54" s="266"/>
      <c r="BE54" s="266">
        <v>227</v>
      </c>
      <c r="BF54" s="266">
        <v>4</v>
      </c>
      <c r="BG54" s="266">
        <v>46</v>
      </c>
      <c r="BH54" s="266"/>
      <c r="BI54" s="286"/>
      <c r="BJ54" s="266"/>
      <c r="BK54" s="266"/>
      <c r="BL54" s="266"/>
      <c r="BM54" s="229">
        <v>1</v>
      </c>
      <c r="BN54" s="229">
        <v>9</v>
      </c>
      <c r="BP54" s="229">
        <v>53</v>
      </c>
      <c r="BR54" s="229">
        <v>67</v>
      </c>
      <c r="BS54" s="266">
        <v>39</v>
      </c>
      <c r="BT54" s="266"/>
      <c r="BU54" s="266"/>
      <c r="BV54" s="266"/>
      <c r="BW54" s="266">
        <v>1</v>
      </c>
      <c r="BX54" s="266"/>
      <c r="BY54" s="266"/>
      <c r="BZ54" s="266">
        <v>1</v>
      </c>
      <c r="CA54" s="266"/>
      <c r="CB54" s="266"/>
      <c r="CC54" s="266"/>
      <c r="CD54" s="266"/>
      <c r="CE54" s="266"/>
      <c r="CF54" s="266"/>
      <c r="CG54" s="266"/>
      <c r="CH54" s="266"/>
      <c r="CI54" s="266"/>
      <c r="CJ54" s="266"/>
      <c r="CK54" s="266">
        <v>1</v>
      </c>
      <c r="CL54" s="266">
        <v>1</v>
      </c>
      <c r="CM54" s="266">
        <v>1</v>
      </c>
      <c r="CN54" s="266"/>
      <c r="CO54" s="266"/>
      <c r="CP54" s="229">
        <v>20</v>
      </c>
      <c r="CR54" s="307"/>
    </row>
    <row r="55" spans="1:96" ht="12.75">
      <c r="A55" s="238" t="s">
        <v>116</v>
      </c>
      <c r="C55" s="229">
        <v>56</v>
      </c>
      <c r="D55" s="231">
        <v>443</v>
      </c>
      <c r="F55" s="231">
        <v>930</v>
      </c>
      <c r="G55" s="229">
        <v>5</v>
      </c>
      <c r="H55" s="229">
        <v>219</v>
      </c>
      <c r="J55" s="229">
        <v>195</v>
      </c>
      <c r="K55" s="229">
        <v>47</v>
      </c>
      <c r="L55" s="231">
        <v>79</v>
      </c>
      <c r="N55" s="248"/>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66">
        <v>89</v>
      </c>
      <c r="AZ55" s="266"/>
      <c r="BA55" s="266">
        <v>211</v>
      </c>
      <c r="BB55" s="266">
        <v>2</v>
      </c>
      <c r="BC55" s="266">
        <v>14</v>
      </c>
      <c r="BD55" s="266"/>
      <c r="BE55" s="266">
        <v>62</v>
      </c>
      <c r="BF55" s="266">
        <v>9</v>
      </c>
      <c r="BG55" s="266">
        <v>6</v>
      </c>
      <c r="BH55" s="266"/>
      <c r="BI55" s="286"/>
      <c r="BJ55" s="266"/>
      <c r="BK55" s="266"/>
      <c r="BL55" s="266"/>
      <c r="BM55" s="229">
        <v>9</v>
      </c>
      <c r="BN55" s="229">
        <v>10</v>
      </c>
      <c r="BO55" s="229">
        <v>2</v>
      </c>
      <c r="BP55" s="229">
        <v>13</v>
      </c>
      <c r="BR55" s="229">
        <v>16</v>
      </c>
      <c r="BS55" s="266">
        <v>37</v>
      </c>
      <c r="BT55" s="266">
        <v>1</v>
      </c>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29">
        <v>12</v>
      </c>
      <c r="CR55" s="307"/>
    </row>
    <row r="56" spans="1:96" ht="12.75">
      <c r="A56" s="238" t="s">
        <v>117</v>
      </c>
      <c r="B56" s="229">
        <v>1</v>
      </c>
      <c r="C56" s="229">
        <v>358</v>
      </c>
      <c r="D56" s="229">
        <v>1492</v>
      </c>
      <c r="E56" s="229">
        <v>1</v>
      </c>
      <c r="F56" s="231">
        <v>3759</v>
      </c>
      <c r="G56" s="229">
        <v>11</v>
      </c>
      <c r="H56" s="229">
        <v>284</v>
      </c>
      <c r="J56" s="231">
        <v>164</v>
      </c>
      <c r="K56" s="229">
        <v>42</v>
      </c>
      <c r="L56" s="229">
        <v>249</v>
      </c>
      <c r="N56" s="248"/>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66">
        <v>1013</v>
      </c>
      <c r="AZ56" s="266">
        <v>1</v>
      </c>
      <c r="BA56" s="266">
        <v>2695</v>
      </c>
      <c r="BB56" s="266">
        <v>6</v>
      </c>
      <c r="BC56" s="266">
        <v>59</v>
      </c>
      <c r="BD56" s="266"/>
      <c r="BE56" s="266">
        <v>72</v>
      </c>
      <c r="BF56" s="266">
        <v>8</v>
      </c>
      <c r="BG56" s="266">
        <v>38</v>
      </c>
      <c r="BH56" s="266"/>
      <c r="BI56" s="286"/>
      <c r="BJ56" s="266"/>
      <c r="BK56" s="266"/>
      <c r="BL56" s="266"/>
      <c r="BM56" s="229">
        <v>11</v>
      </c>
      <c r="BN56" s="229">
        <v>17</v>
      </c>
      <c r="BO56" s="229">
        <v>1</v>
      </c>
      <c r="BP56" s="229">
        <v>126</v>
      </c>
      <c r="BR56" s="229">
        <v>360</v>
      </c>
      <c r="BS56" s="266">
        <v>248</v>
      </c>
      <c r="BT56" s="266"/>
      <c r="BU56" s="266"/>
      <c r="BV56" s="266"/>
      <c r="BW56" s="266"/>
      <c r="BX56" s="266"/>
      <c r="BY56" s="266">
        <v>1</v>
      </c>
      <c r="BZ56" s="266">
        <v>1</v>
      </c>
      <c r="CA56" s="266"/>
      <c r="CB56" s="266"/>
      <c r="CC56" s="266"/>
      <c r="CD56" s="266"/>
      <c r="CE56" s="266"/>
      <c r="CF56" s="266">
        <v>1</v>
      </c>
      <c r="CG56" s="266"/>
      <c r="CH56" s="266"/>
      <c r="CI56" s="266"/>
      <c r="CJ56" s="266"/>
      <c r="CK56" s="266">
        <v>1</v>
      </c>
      <c r="CL56" s="266">
        <v>1</v>
      </c>
      <c r="CM56" s="266"/>
      <c r="CN56" s="266">
        <v>1</v>
      </c>
      <c r="CO56" s="266"/>
      <c r="CP56" s="229">
        <v>120</v>
      </c>
      <c r="CQ56" s="229">
        <v>4</v>
      </c>
      <c r="CR56" s="307"/>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48"/>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66">
        <v>5777</v>
      </c>
      <c r="AZ57" s="266">
        <v>1</v>
      </c>
      <c r="BA57" s="266">
        <v>11252</v>
      </c>
      <c r="BB57" s="266">
        <v>9</v>
      </c>
      <c r="BC57" s="266">
        <v>944</v>
      </c>
      <c r="BD57" s="266"/>
      <c r="BE57" s="266">
        <v>633</v>
      </c>
      <c r="BF57" s="266">
        <v>96</v>
      </c>
      <c r="BG57" s="266">
        <v>780</v>
      </c>
      <c r="BH57" s="266">
        <v>1</v>
      </c>
      <c r="BI57" s="286"/>
      <c r="BJ57" s="266"/>
      <c r="BK57" s="266"/>
      <c r="BL57" s="266"/>
      <c r="BM57" s="229">
        <v>36</v>
      </c>
      <c r="BN57" s="229">
        <v>1410</v>
      </c>
      <c r="BO57" s="229">
        <v>2</v>
      </c>
      <c r="BP57" s="229">
        <v>496</v>
      </c>
      <c r="BQ57" s="229">
        <v>172</v>
      </c>
      <c r="BR57" s="229">
        <v>115</v>
      </c>
      <c r="BS57" s="266">
        <v>479</v>
      </c>
      <c r="BT57" s="266"/>
      <c r="BU57" s="266">
        <v>4</v>
      </c>
      <c r="BV57" s="266"/>
      <c r="BW57" s="266"/>
      <c r="BX57" s="266">
        <v>1</v>
      </c>
      <c r="BY57" s="266">
        <v>1</v>
      </c>
      <c r="BZ57" s="266">
        <v>2</v>
      </c>
      <c r="CA57" s="266"/>
      <c r="CB57" s="266"/>
      <c r="CC57" s="266"/>
      <c r="CD57" s="266"/>
      <c r="CE57" s="266"/>
      <c r="CF57" s="266"/>
      <c r="CG57" s="266"/>
      <c r="CH57" s="266"/>
      <c r="CI57" s="266">
        <v>2</v>
      </c>
      <c r="CJ57" s="266"/>
      <c r="CK57" s="266">
        <v>1</v>
      </c>
      <c r="CL57" s="266">
        <v>1</v>
      </c>
      <c r="CM57" s="266">
        <v>1</v>
      </c>
      <c r="CN57" s="266"/>
      <c r="CO57" s="266">
        <v>8</v>
      </c>
      <c r="CP57" s="229">
        <v>393</v>
      </c>
      <c r="CQ57" s="229">
        <v>42</v>
      </c>
      <c r="CR57" s="307"/>
    </row>
    <row r="58" spans="1:96" ht="12.75">
      <c r="A58" s="238" t="s">
        <v>119</v>
      </c>
      <c r="C58" s="229">
        <v>102</v>
      </c>
      <c r="D58" s="231">
        <v>609</v>
      </c>
      <c r="E58" s="229">
        <v>336</v>
      </c>
      <c r="F58" s="231">
        <v>2463</v>
      </c>
      <c r="G58" s="229">
        <v>16</v>
      </c>
      <c r="H58" s="229">
        <v>512</v>
      </c>
      <c r="J58" s="229">
        <v>449</v>
      </c>
      <c r="K58" s="229">
        <v>33</v>
      </c>
      <c r="L58" s="229">
        <v>234</v>
      </c>
      <c r="N58" s="248"/>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66">
        <v>363</v>
      </c>
      <c r="AZ58" s="266">
        <v>127</v>
      </c>
      <c r="BA58" s="266">
        <v>1408</v>
      </c>
      <c r="BB58" s="266">
        <v>9</v>
      </c>
      <c r="BC58" s="266">
        <v>175</v>
      </c>
      <c r="BD58" s="266"/>
      <c r="BE58" s="266">
        <v>109</v>
      </c>
      <c r="BF58" s="266">
        <v>15</v>
      </c>
      <c r="BG58" s="266">
        <v>113</v>
      </c>
      <c r="BH58" s="266"/>
      <c r="BI58" s="286"/>
      <c r="BJ58" s="266"/>
      <c r="BK58" s="266">
        <v>1</v>
      </c>
      <c r="BL58" s="266"/>
      <c r="BM58" s="229">
        <v>9</v>
      </c>
      <c r="BN58" s="229">
        <v>63</v>
      </c>
      <c r="BO58" s="229">
        <v>55</v>
      </c>
      <c r="BP58" s="229">
        <v>300</v>
      </c>
      <c r="BR58" s="229">
        <v>53</v>
      </c>
      <c r="BS58" s="266">
        <v>367</v>
      </c>
      <c r="BT58" s="266">
        <v>1</v>
      </c>
      <c r="BU58" s="266">
        <v>14</v>
      </c>
      <c r="BV58" s="266">
        <v>4</v>
      </c>
      <c r="BW58" s="266">
        <v>12</v>
      </c>
      <c r="BX58" s="266"/>
      <c r="BY58" s="266"/>
      <c r="BZ58" s="266">
        <v>38</v>
      </c>
      <c r="CA58" s="266">
        <v>1</v>
      </c>
      <c r="CB58" s="266"/>
      <c r="CC58" s="266"/>
      <c r="CD58" s="266">
        <v>16</v>
      </c>
      <c r="CE58" s="266"/>
      <c r="CF58" s="266"/>
      <c r="CG58" s="266"/>
      <c r="CH58" s="266"/>
      <c r="CI58" s="266"/>
      <c r="CJ58" s="266"/>
      <c r="CK58" s="266">
        <v>70</v>
      </c>
      <c r="CL58" s="266">
        <v>22</v>
      </c>
      <c r="CM58" s="266"/>
      <c r="CN58" s="266"/>
      <c r="CO58" s="266">
        <v>1</v>
      </c>
      <c r="CP58" s="229">
        <v>48</v>
      </c>
      <c r="CQ58" s="229">
        <v>1</v>
      </c>
      <c r="CR58" s="307"/>
    </row>
    <row r="59" spans="1:96" ht="12.75">
      <c r="A59" s="238" t="s">
        <v>120</v>
      </c>
      <c r="B59" s="229">
        <v>35</v>
      </c>
      <c r="C59" s="229">
        <v>1547</v>
      </c>
      <c r="D59" s="231">
        <v>10897</v>
      </c>
      <c r="F59" s="231">
        <v>19925</v>
      </c>
      <c r="G59" s="229">
        <v>20</v>
      </c>
      <c r="H59" s="231">
        <v>4439</v>
      </c>
      <c r="J59" s="231">
        <v>1793</v>
      </c>
      <c r="K59" s="229">
        <v>751</v>
      </c>
      <c r="L59" s="229">
        <v>982</v>
      </c>
      <c r="M59" s="229">
        <v>1</v>
      </c>
      <c r="N59" s="248">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66">
        <v>8347</v>
      </c>
      <c r="AZ59" s="266"/>
      <c r="BA59" s="266">
        <v>15509</v>
      </c>
      <c r="BB59" s="266">
        <v>13</v>
      </c>
      <c r="BC59" s="266">
        <v>2611</v>
      </c>
      <c r="BD59" s="266"/>
      <c r="BE59" s="266">
        <v>1195</v>
      </c>
      <c r="BF59" s="266">
        <v>261</v>
      </c>
      <c r="BG59" s="266">
        <v>363</v>
      </c>
      <c r="BH59" s="266">
        <v>1</v>
      </c>
      <c r="BI59" s="286">
        <v>6</v>
      </c>
      <c r="BJ59" s="266">
        <v>1</v>
      </c>
      <c r="BK59" s="266"/>
      <c r="BL59" s="266"/>
      <c r="BM59" s="229">
        <v>21</v>
      </c>
      <c r="BN59" s="229">
        <v>75</v>
      </c>
      <c r="BO59" s="229">
        <v>18</v>
      </c>
      <c r="BP59" s="229">
        <v>1066</v>
      </c>
      <c r="BR59" s="229">
        <v>1545</v>
      </c>
      <c r="BS59" s="266">
        <v>679</v>
      </c>
      <c r="BT59" s="266">
        <v>1</v>
      </c>
      <c r="BU59" s="266">
        <v>5</v>
      </c>
      <c r="BV59" s="266">
        <v>1</v>
      </c>
      <c r="BW59" s="266"/>
      <c r="BX59" s="266"/>
      <c r="BY59" s="266">
        <v>4</v>
      </c>
      <c r="BZ59" s="266">
        <v>2</v>
      </c>
      <c r="CA59" s="266"/>
      <c r="CB59" s="266"/>
      <c r="CC59" s="266"/>
      <c r="CD59" s="266">
        <v>2</v>
      </c>
      <c r="CE59" s="266"/>
      <c r="CF59" s="266">
        <v>1</v>
      </c>
      <c r="CG59" s="266"/>
      <c r="CH59" s="266"/>
      <c r="CI59" s="266"/>
      <c r="CJ59" s="266"/>
      <c r="CK59" s="266">
        <v>3</v>
      </c>
      <c r="CL59" s="266">
        <v>2</v>
      </c>
      <c r="CM59" s="266"/>
      <c r="CN59" s="266"/>
      <c r="CO59" s="266"/>
      <c r="CP59" s="229">
        <v>944</v>
      </c>
      <c r="CQ59" s="229">
        <v>33</v>
      </c>
      <c r="CR59" s="307"/>
    </row>
    <row r="60" spans="1:96" ht="12.75">
      <c r="A60" s="238" t="s">
        <v>121</v>
      </c>
      <c r="B60" s="229">
        <v>2</v>
      </c>
      <c r="C60" s="229">
        <v>1087</v>
      </c>
      <c r="D60" s="229">
        <v>6214</v>
      </c>
      <c r="E60" s="229">
        <v>1</v>
      </c>
      <c r="F60" s="231">
        <v>12314</v>
      </c>
      <c r="G60" s="229">
        <v>19</v>
      </c>
      <c r="H60" s="229">
        <v>1353</v>
      </c>
      <c r="J60" s="229">
        <v>403</v>
      </c>
      <c r="K60" s="229">
        <v>217</v>
      </c>
      <c r="L60" s="229">
        <v>858</v>
      </c>
      <c r="N60" s="248">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66">
        <v>4571</v>
      </c>
      <c r="AZ60" s="266">
        <v>1</v>
      </c>
      <c r="BA60" s="266">
        <v>9059</v>
      </c>
      <c r="BB60" s="266">
        <v>3</v>
      </c>
      <c r="BC60" s="266">
        <v>319</v>
      </c>
      <c r="BD60" s="266"/>
      <c r="BE60" s="266">
        <v>153</v>
      </c>
      <c r="BF60" s="266">
        <v>81</v>
      </c>
      <c r="BG60" s="266">
        <v>166</v>
      </c>
      <c r="BH60" s="266"/>
      <c r="BI60" s="286">
        <v>3</v>
      </c>
      <c r="BJ60" s="266">
        <v>1</v>
      </c>
      <c r="BK60" s="266"/>
      <c r="BL60" s="266"/>
      <c r="BM60" s="229">
        <v>60</v>
      </c>
      <c r="BN60" s="229">
        <v>470</v>
      </c>
      <c r="BO60" s="229">
        <v>1</v>
      </c>
      <c r="BP60" s="229">
        <v>1075</v>
      </c>
      <c r="BR60" s="229">
        <v>92</v>
      </c>
      <c r="BS60" s="266">
        <v>213</v>
      </c>
      <c r="BT60" s="266"/>
      <c r="BU60" s="266"/>
      <c r="BV60" s="266"/>
      <c r="BW60" s="266"/>
      <c r="BX60" s="266">
        <v>4</v>
      </c>
      <c r="BY60" s="266"/>
      <c r="BZ60" s="266">
        <v>1</v>
      </c>
      <c r="CA60" s="266"/>
      <c r="CB60" s="266"/>
      <c r="CC60" s="266"/>
      <c r="CD60" s="266"/>
      <c r="CE60" s="266"/>
      <c r="CF60" s="266"/>
      <c r="CG60" s="266">
        <v>1</v>
      </c>
      <c r="CH60" s="266"/>
      <c r="CI60" s="266"/>
      <c r="CJ60" s="266"/>
      <c r="CK60" s="266"/>
      <c r="CL60" s="266">
        <v>1</v>
      </c>
      <c r="CM60" s="266"/>
      <c r="CN60" s="266">
        <v>11</v>
      </c>
      <c r="CO60" s="266">
        <v>20</v>
      </c>
      <c r="CP60" s="229">
        <v>964</v>
      </c>
      <c r="CQ60" s="229">
        <v>1</v>
      </c>
      <c r="CR60" s="307"/>
    </row>
    <row r="61" spans="1:96" ht="12.75">
      <c r="A61" s="238" t="s">
        <v>122</v>
      </c>
      <c r="B61" s="229">
        <v>1</v>
      </c>
      <c r="C61" s="229">
        <v>667</v>
      </c>
      <c r="D61" s="229">
        <v>4054</v>
      </c>
      <c r="E61" s="229">
        <v>3</v>
      </c>
      <c r="F61" s="231">
        <v>7156</v>
      </c>
      <c r="G61" s="229">
        <v>149</v>
      </c>
      <c r="H61" s="229">
        <v>1809</v>
      </c>
      <c r="J61" s="229">
        <v>1416</v>
      </c>
      <c r="K61" s="229">
        <v>274</v>
      </c>
      <c r="L61" s="229">
        <v>395</v>
      </c>
      <c r="N61" s="248"/>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66">
        <v>2676</v>
      </c>
      <c r="AZ61" s="266">
        <v>2</v>
      </c>
      <c r="BA61" s="266">
        <v>4548</v>
      </c>
      <c r="BB61" s="266">
        <v>26</v>
      </c>
      <c r="BC61" s="266">
        <v>891</v>
      </c>
      <c r="BD61" s="266"/>
      <c r="BE61" s="266">
        <v>1035</v>
      </c>
      <c r="BF61" s="266">
        <v>43</v>
      </c>
      <c r="BG61" s="266">
        <v>81</v>
      </c>
      <c r="BH61" s="266"/>
      <c r="BI61" s="286"/>
      <c r="BJ61" s="266">
        <v>1</v>
      </c>
      <c r="BK61" s="266"/>
      <c r="BL61" s="266"/>
      <c r="BM61" s="229">
        <v>25</v>
      </c>
      <c r="BN61" s="229">
        <v>344</v>
      </c>
      <c r="BO61" s="229">
        <v>34</v>
      </c>
      <c r="BP61" s="229">
        <v>447</v>
      </c>
      <c r="BR61" s="229">
        <v>36</v>
      </c>
      <c r="BS61" s="266">
        <v>197</v>
      </c>
      <c r="BT61" s="266"/>
      <c r="BU61" s="266"/>
      <c r="BV61" s="266"/>
      <c r="BW61" s="266"/>
      <c r="BX61" s="266"/>
      <c r="BY61" s="266"/>
      <c r="BZ61" s="266"/>
      <c r="CA61" s="266"/>
      <c r="CB61" s="266">
        <v>2</v>
      </c>
      <c r="CC61" s="266"/>
      <c r="CD61" s="266"/>
      <c r="CE61" s="266"/>
      <c r="CF61" s="266"/>
      <c r="CG61" s="266"/>
      <c r="CH61" s="266"/>
      <c r="CI61" s="266"/>
      <c r="CJ61" s="266"/>
      <c r="CK61" s="266">
        <v>4</v>
      </c>
      <c r="CL61" s="266">
        <v>8</v>
      </c>
      <c r="CM61" s="266">
        <v>3</v>
      </c>
      <c r="CN61" s="266"/>
      <c r="CO61" s="266"/>
      <c r="CP61" s="229">
        <v>398</v>
      </c>
      <c r="CQ61" s="229">
        <v>41</v>
      </c>
      <c r="CR61" s="307"/>
    </row>
    <row r="62" spans="1:96" ht="12.75">
      <c r="A62" s="238" t="s">
        <v>123</v>
      </c>
      <c r="B62" s="229">
        <v>2</v>
      </c>
      <c r="C62" s="229">
        <v>530</v>
      </c>
      <c r="D62" s="231">
        <v>2092</v>
      </c>
      <c r="E62" s="229">
        <v>1</v>
      </c>
      <c r="F62" s="231">
        <v>5040</v>
      </c>
      <c r="H62" s="229">
        <v>974</v>
      </c>
      <c r="I62" s="229">
        <v>1</v>
      </c>
      <c r="J62" s="229">
        <v>368</v>
      </c>
      <c r="K62" s="229">
        <v>168</v>
      </c>
      <c r="L62" s="229">
        <v>267</v>
      </c>
      <c r="N62" s="248"/>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66">
        <v>1478</v>
      </c>
      <c r="AZ62" s="266"/>
      <c r="BA62" s="266">
        <v>3639</v>
      </c>
      <c r="BB62" s="266"/>
      <c r="BC62" s="266">
        <v>397</v>
      </c>
      <c r="BD62" s="266">
        <v>1</v>
      </c>
      <c r="BE62" s="266">
        <v>236</v>
      </c>
      <c r="BF62" s="266">
        <v>89</v>
      </c>
      <c r="BG62" s="266">
        <v>77</v>
      </c>
      <c r="BH62" s="266"/>
      <c r="BI62" s="286"/>
      <c r="BJ62" s="266">
        <v>1</v>
      </c>
      <c r="BK62" s="266"/>
      <c r="BL62" s="266"/>
      <c r="BM62" s="229">
        <v>24</v>
      </c>
      <c r="BN62" s="229">
        <v>25</v>
      </c>
      <c r="BO62" s="229">
        <v>1</v>
      </c>
      <c r="BP62" s="229">
        <v>298</v>
      </c>
      <c r="BR62" s="229">
        <v>219</v>
      </c>
      <c r="BS62" s="266">
        <v>86</v>
      </c>
      <c r="BT62" s="266"/>
      <c r="BU62" s="266"/>
      <c r="BV62" s="266"/>
      <c r="BW62" s="266"/>
      <c r="BX62" s="266"/>
      <c r="BY62" s="266"/>
      <c r="BZ62" s="266">
        <v>1</v>
      </c>
      <c r="CA62" s="266"/>
      <c r="CB62" s="266"/>
      <c r="CC62" s="266"/>
      <c r="CD62" s="266"/>
      <c r="CE62" s="266"/>
      <c r="CF62" s="266"/>
      <c r="CG62" s="266"/>
      <c r="CH62" s="266"/>
      <c r="CI62" s="266"/>
      <c r="CJ62" s="266"/>
      <c r="CK62" s="266">
        <v>1</v>
      </c>
      <c r="CL62" s="266"/>
      <c r="CM62" s="266"/>
      <c r="CN62" s="266"/>
      <c r="CO62" s="266">
        <v>1</v>
      </c>
      <c r="CP62" s="229">
        <v>226</v>
      </c>
      <c r="CQ62" s="229">
        <v>48</v>
      </c>
      <c r="CR62" s="307"/>
    </row>
    <row r="63" spans="1:96" ht="12.75">
      <c r="A63" s="238" t="s">
        <v>124</v>
      </c>
      <c r="B63" s="229">
        <v>1</v>
      </c>
      <c r="C63" s="229">
        <v>6754</v>
      </c>
      <c r="D63" s="231">
        <v>2950</v>
      </c>
      <c r="F63" s="231">
        <v>6034</v>
      </c>
      <c r="G63" s="229">
        <v>168</v>
      </c>
      <c r="H63" s="231">
        <v>2798</v>
      </c>
      <c r="J63" s="231">
        <v>860</v>
      </c>
      <c r="K63" s="229">
        <v>188</v>
      </c>
      <c r="L63" s="229">
        <v>543</v>
      </c>
      <c r="N63" s="248"/>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66">
        <v>1284</v>
      </c>
      <c r="AZ63" s="266"/>
      <c r="BA63" s="266">
        <v>3770</v>
      </c>
      <c r="BB63" s="266">
        <v>29</v>
      </c>
      <c r="BC63" s="266">
        <v>1676</v>
      </c>
      <c r="BD63" s="266"/>
      <c r="BE63" s="266">
        <v>449</v>
      </c>
      <c r="BF63" s="266">
        <v>129</v>
      </c>
      <c r="BG63" s="266">
        <v>82</v>
      </c>
      <c r="BH63" s="266"/>
      <c r="BI63" s="286"/>
      <c r="BJ63" s="266"/>
      <c r="BK63" s="266"/>
      <c r="BL63" s="266"/>
      <c r="BM63" s="229">
        <v>41</v>
      </c>
      <c r="BN63" s="229">
        <v>1234</v>
      </c>
      <c r="BO63" s="229">
        <v>2</v>
      </c>
      <c r="BP63" s="229">
        <v>674</v>
      </c>
      <c r="BQ63" s="229">
        <v>2</v>
      </c>
      <c r="BR63" s="229">
        <v>33</v>
      </c>
      <c r="BS63" s="266">
        <v>410</v>
      </c>
      <c r="BT63" s="266">
        <v>21</v>
      </c>
      <c r="BU63" s="266"/>
      <c r="BV63" s="266">
        <v>1</v>
      </c>
      <c r="BW63" s="266"/>
      <c r="BX63" s="266"/>
      <c r="BY63" s="266"/>
      <c r="BZ63" s="266">
        <v>1</v>
      </c>
      <c r="CA63" s="266"/>
      <c r="CB63" s="266">
        <v>3</v>
      </c>
      <c r="CC63" s="266"/>
      <c r="CD63" s="266"/>
      <c r="CE63" s="266"/>
      <c r="CF63" s="266"/>
      <c r="CG63" s="266"/>
      <c r="CH63" s="266"/>
      <c r="CI63" s="266"/>
      <c r="CJ63" s="266"/>
      <c r="CK63" s="266"/>
      <c r="CL63" s="266"/>
      <c r="CM63" s="266"/>
      <c r="CN63" s="266"/>
      <c r="CO63" s="266"/>
      <c r="CP63" s="229">
        <v>3</v>
      </c>
      <c r="CR63" s="307"/>
    </row>
    <row r="64" spans="1:96" ht="12.75">
      <c r="A64" s="238" t="s">
        <v>125</v>
      </c>
      <c r="B64" s="229">
        <v>61</v>
      </c>
      <c r="C64" s="229">
        <v>8199</v>
      </c>
      <c r="D64" s="231">
        <v>9962</v>
      </c>
      <c r="F64" s="231">
        <v>10176</v>
      </c>
      <c r="H64" s="231">
        <v>1516</v>
      </c>
      <c r="J64" s="231">
        <v>544</v>
      </c>
      <c r="K64" s="229">
        <v>356</v>
      </c>
      <c r="L64" s="229">
        <v>548</v>
      </c>
      <c r="N64" s="248"/>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66">
        <v>6159</v>
      </c>
      <c r="AZ64" s="266"/>
      <c r="BA64" s="266">
        <v>6578</v>
      </c>
      <c r="BB64" s="266"/>
      <c r="BC64" s="266">
        <v>295</v>
      </c>
      <c r="BD64" s="266"/>
      <c r="BE64" s="266">
        <v>171</v>
      </c>
      <c r="BF64" s="266">
        <v>60</v>
      </c>
      <c r="BG64" s="266">
        <v>95</v>
      </c>
      <c r="BH64" s="266"/>
      <c r="BI64" s="286"/>
      <c r="BJ64" s="266">
        <v>1</v>
      </c>
      <c r="BK64" s="266"/>
      <c r="BL64" s="266"/>
      <c r="BM64" s="229">
        <v>91</v>
      </c>
      <c r="BN64" s="229">
        <v>344</v>
      </c>
      <c r="BO64" s="229">
        <v>24</v>
      </c>
      <c r="BP64" s="229">
        <v>228</v>
      </c>
      <c r="BQ64" s="229">
        <v>4</v>
      </c>
      <c r="BR64" s="229">
        <v>12</v>
      </c>
      <c r="BS64" s="266">
        <v>362</v>
      </c>
      <c r="BT64" s="266">
        <v>3</v>
      </c>
      <c r="BU64" s="266"/>
      <c r="BV64" s="266"/>
      <c r="BW64" s="266"/>
      <c r="BX64" s="266">
        <v>1</v>
      </c>
      <c r="BY64" s="266"/>
      <c r="BZ64" s="266">
        <v>1</v>
      </c>
      <c r="CA64" s="266"/>
      <c r="CB64" s="266"/>
      <c r="CC64" s="266"/>
      <c r="CD64" s="266">
        <v>1</v>
      </c>
      <c r="CE64" s="266"/>
      <c r="CF64" s="266"/>
      <c r="CG64" s="266">
        <v>1</v>
      </c>
      <c r="CH64" s="266"/>
      <c r="CI64" s="266"/>
      <c r="CJ64" s="266"/>
      <c r="CK64" s="266"/>
      <c r="CL64" s="266"/>
      <c r="CM64" s="266"/>
      <c r="CN64" s="266"/>
      <c r="CO64" s="266"/>
      <c r="CP64" s="229">
        <v>97</v>
      </c>
      <c r="CQ64" s="229">
        <v>33</v>
      </c>
      <c r="CR64" s="307"/>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48">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66">
        <v>5031</v>
      </c>
      <c r="AZ65" s="266">
        <v>10</v>
      </c>
      <c r="BA65" s="266">
        <v>10076</v>
      </c>
      <c r="BB65" s="266">
        <v>63</v>
      </c>
      <c r="BC65" s="266">
        <v>2645</v>
      </c>
      <c r="BD65" s="266"/>
      <c r="BE65" s="266">
        <v>2007</v>
      </c>
      <c r="BF65" s="266">
        <v>243</v>
      </c>
      <c r="BG65" s="266">
        <v>12</v>
      </c>
      <c r="BH65" s="266"/>
      <c r="BI65" s="286">
        <v>8</v>
      </c>
      <c r="BJ65" s="266">
        <v>1</v>
      </c>
      <c r="BK65" s="266">
        <v>3</v>
      </c>
      <c r="BL65" s="266"/>
      <c r="BM65" s="229">
        <v>44</v>
      </c>
      <c r="BN65" s="229">
        <v>618</v>
      </c>
      <c r="BO65" s="229">
        <v>42</v>
      </c>
      <c r="BP65" s="229">
        <v>654</v>
      </c>
      <c r="BQ65" s="229"/>
      <c r="BR65" s="229">
        <v>397</v>
      </c>
      <c r="BS65" s="266">
        <v>729</v>
      </c>
      <c r="BT65" s="266">
        <v>1</v>
      </c>
      <c r="BU65" s="266">
        <v>2</v>
      </c>
      <c r="BV65" s="266"/>
      <c r="BW65" s="266">
        <v>2</v>
      </c>
      <c r="BX65" s="266"/>
      <c r="BY65" s="266">
        <v>5</v>
      </c>
      <c r="BZ65" s="266">
        <v>4</v>
      </c>
      <c r="CA65" s="266">
        <v>1</v>
      </c>
      <c r="CB65" s="266">
        <v>9</v>
      </c>
      <c r="CC65" s="266"/>
      <c r="CD65" s="266">
        <v>1</v>
      </c>
      <c r="CE65" s="266">
        <v>1</v>
      </c>
      <c r="CF65" s="266"/>
      <c r="CG65" s="266"/>
      <c r="CH65" s="266"/>
      <c r="CI65" s="266">
        <v>3</v>
      </c>
      <c r="CJ65" s="266"/>
      <c r="CK65" s="266">
        <v>219</v>
      </c>
      <c r="CL65" s="266">
        <v>145</v>
      </c>
      <c r="CM65" s="266">
        <v>14</v>
      </c>
      <c r="CN65" s="266">
        <v>514</v>
      </c>
      <c r="CO65" s="266">
        <v>5509</v>
      </c>
      <c r="CP65" s="229">
        <v>557</v>
      </c>
      <c r="CQ65" s="229">
        <v>55</v>
      </c>
      <c r="CR65" s="307"/>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67"/>
      <c r="AZ66" s="267"/>
      <c r="BA66" s="267"/>
      <c r="BB66" s="267"/>
      <c r="BC66" s="267">
        <v>1</v>
      </c>
      <c r="BD66" s="267"/>
      <c r="BE66" s="267">
        <v>1</v>
      </c>
      <c r="BF66" s="267"/>
      <c r="BG66" s="267"/>
      <c r="BH66" s="267"/>
      <c r="BI66" s="267"/>
      <c r="BJ66" s="267"/>
      <c r="BK66" s="267"/>
      <c r="BL66" s="267"/>
      <c r="BS66" s="267">
        <v>6</v>
      </c>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R66" s="307"/>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67"/>
      <c r="AZ67" s="267"/>
      <c r="BA67" s="267">
        <v>1</v>
      </c>
      <c r="BB67" s="267"/>
      <c r="BC67" s="267"/>
      <c r="BD67" s="267"/>
      <c r="BE67" s="267"/>
      <c r="BF67" s="267"/>
      <c r="BG67" s="267">
        <v>2</v>
      </c>
      <c r="BH67" s="267"/>
      <c r="BI67" s="267"/>
      <c r="BJ67" s="267"/>
      <c r="BK67" s="267"/>
      <c r="BL67" s="267"/>
      <c r="BM67" s="243"/>
      <c r="BN67" s="243">
        <v>11</v>
      </c>
      <c r="BO67" s="243"/>
      <c r="BP67" s="243"/>
      <c r="BQ67" s="243"/>
      <c r="BR67" s="243"/>
      <c r="BS67" s="267">
        <v>8</v>
      </c>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43"/>
      <c r="CQ67" s="243"/>
      <c r="CR67" s="307"/>
    </row>
    <row r="68" spans="1:96" ht="12.75">
      <c r="A68" s="307"/>
      <c r="B68" s="307"/>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P68" s="307"/>
      <c r="BQ68" s="307"/>
      <c r="BR68" s="307"/>
      <c r="BS68" s="307"/>
      <c r="BT68" s="307"/>
      <c r="BU68" s="307"/>
      <c r="BV68" s="307"/>
      <c r="BW68" s="307"/>
      <c r="BX68" s="307"/>
      <c r="BY68" s="307"/>
      <c r="BZ68" s="307"/>
      <c r="CA68" s="307"/>
      <c r="CB68" s="307"/>
      <c r="CC68" s="307"/>
      <c r="CD68" s="307"/>
      <c r="CE68" s="307"/>
      <c r="CF68" s="307"/>
      <c r="CG68" s="307"/>
      <c r="CH68" s="307"/>
      <c r="CI68" s="307"/>
      <c r="CJ68" s="307"/>
      <c r="CK68" s="307"/>
      <c r="CL68" s="307"/>
      <c r="CM68" s="307"/>
      <c r="CN68" s="307"/>
      <c r="CO68" s="307"/>
      <c r="CP68" s="307"/>
      <c r="CQ68" s="307"/>
      <c r="CR68" s="307"/>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A1" sqref="A1"/>
    </sheetView>
  </sheetViews>
  <sheetFormatPr defaultColWidth="9.140625" defaultRowHeight="12.75"/>
  <cols>
    <col min="1" max="1" width="14.28125" style="0" customWidth="1"/>
    <col min="2" max="2" width="14.8515625" style="0" customWidth="1"/>
    <col min="3" max="3" width="19.57421875" style="357" customWidth="1"/>
    <col min="4" max="4" width="18.57421875" style="0" customWidth="1"/>
    <col min="5" max="5" width="23.421875" style="0" customWidth="1"/>
    <col min="6" max="6" width="16.140625" style="0" customWidth="1"/>
    <col min="7" max="7" width="21.00390625" style="332" customWidth="1"/>
  </cols>
  <sheetData>
    <row r="1" spans="1:7" ht="12.75">
      <c r="A1" s="458" t="s">
        <v>540</v>
      </c>
      <c r="B1" s="458"/>
      <c r="C1" s="458"/>
      <c r="D1" s="458"/>
      <c r="E1" s="458"/>
      <c r="F1" s="458"/>
      <c r="G1" s="458"/>
    </row>
    <row r="2" spans="1:7" ht="12.75">
      <c r="A2" s="292" t="s">
        <v>426</v>
      </c>
      <c r="B2" s="292" t="s">
        <v>427</v>
      </c>
      <c r="C2" s="356" t="s">
        <v>493</v>
      </c>
      <c r="D2" s="292" t="s">
        <v>541</v>
      </c>
      <c r="E2" s="292" t="s">
        <v>542</v>
      </c>
      <c r="F2" s="292" t="s">
        <v>543</v>
      </c>
      <c r="G2" s="331" t="s">
        <v>544</v>
      </c>
    </row>
    <row r="3" ht="12.75">
      <c r="A3" t="s">
        <v>69</v>
      </c>
    </row>
    <row r="4" spans="1:7" ht="12.75">
      <c r="A4" t="s">
        <v>431</v>
      </c>
      <c r="B4">
        <v>19301</v>
      </c>
      <c r="C4" s="357">
        <v>16164</v>
      </c>
      <c r="F4">
        <v>8</v>
      </c>
      <c r="G4" s="332">
        <v>8</v>
      </c>
    </row>
    <row r="5" spans="1:7" ht="12.75">
      <c r="A5" t="s">
        <v>433</v>
      </c>
      <c r="B5">
        <v>11201</v>
      </c>
      <c r="C5" s="357">
        <v>8406</v>
      </c>
      <c r="F5">
        <v>3</v>
      </c>
      <c r="G5" s="332">
        <v>3</v>
      </c>
    </row>
    <row r="6" spans="1:7" ht="12.75">
      <c r="A6" t="s">
        <v>334</v>
      </c>
      <c r="B6">
        <v>7870</v>
      </c>
      <c r="C6" s="357">
        <v>4718</v>
      </c>
      <c r="F6">
        <v>2</v>
      </c>
      <c r="G6" s="332">
        <v>2</v>
      </c>
    </row>
    <row r="7" spans="1:7" ht="12.75">
      <c r="A7" t="s">
        <v>436</v>
      </c>
      <c r="B7">
        <v>23854</v>
      </c>
      <c r="C7" s="357">
        <v>16674</v>
      </c>
      <c r="F7">
        <v>6</v>
      </c>
      <c r="G7" s="332">
        <v>2</v>
      </c>
    </row>
    <row r="8" spans="1:6" ht="12.75">
      <c r="A8" t="s">
        <v>440</v>
      </c>
      <c r="B8">
        <v>17199</v>
      </c>
      <c r="C8" s="357">
        <v>10534</v>
      </c>
      <c r="F8">
        <v>9</v>
      </c>
    </row>
    <row r="9" spans="1:3" ht="12.75">
      <c r="A9" t="s">
        <v>443</v>
      </c>
      <c r="B9">
        <v>2906</v>
      </c>
      <c r="C9" s="357">
        <v>1232</v>
      </c>
    </row>
    <row r="10" spans="1:7" ht="12.75">
      <c r="A10" t="s">
        <v>447</v>
      </c>
      <c r="B10">
        <v>19269</v>
      </c>
      <c r="C10" s="357">
        <v>15217</v>
      </c>
      <c r="F10">
        <v>4</v>
      </c>
      <c r="G10" s="332">
        <v>3</v>
      </c>
    </row>
    <row r="11" spans="1:7" ht="12.75">
      <c r="A11" t="s">
        <v>453</v>
      </c>
      <c r="B11">
        <v>2194</v>
      </c>
      <c r="C11" s="357">
        <v>1424</v>
      </c>
      <c r="F11">
        <v>1</v>
      </c>
      <c r="G11" s="332">
        <v>1</v>
      </c>
    </row>
    <row r="12" spans="1:7" ht="12.75">
      <c r="A12" t="s">
        <v>459</v>
      </c>
      <c r="B12">
        <v>12948</v>
      </c>
      <c r="C12" s="357">
        <v>10424</v>
      </c>
      <c r="F12">
        <v>4</v>
      </c>
      <c r="G12" s="332">
        <v>4</v>
      </c>
    </row>
    <row r="13" spans="1:7" ht="12.75">
      <c r="A13" t="s">
        <v>460</v>
      </c>
      <c r="B13">
        <v>4441</v>
      </c>
      <c r="C13" s="357">
        <v>2494</v>
      </c>
      <c r="F13">
        <v>4</v>
      </c>
      <c r="G13" s="332">
        <v>3</v>
      </c>
    </row>
    <row r="14" spans="1:7" ht="12.75">
      <c r="A14" t="s">
        <v>462</v>
      </c>
      <c r="B14">
        <v>22952</v>
      </c>
      <c r="C14" s="357">
        <v>13857</v>
      </c>
      <c r="F14">
        <v>34082</v>
      </c>
      <c r="G14" s="332">
        <v>21189</v>
      </c>
    </row>
    <row r="15" spans="1:7" ht="12.75">
      <c r="A15" t="s">
        <v>464</v>
      </c>
      <c r="B15">
        <v>11268</v>
      </c>
      <c r="C15" s="357">
        <v>8216</v>
      </c>
      <c r="F15">
        <v>3</v>
      </c>
      <c r="G15" s="332">
        <v>3</v>
      </c>
    </row>
    <row r="16" spans="1:3" ht="12.75">
      <c r="A16" t="s">
        <v>466</v>
      </c>
      <c r="B16">
        <v>3777</v>
      </c>
      <c r="C16" s="357">
        <v>1512</v>
      </c>
    </row>
    <row r="17" spans="1:3" ht="12.75">
      <c r="A17" t="s">
        <v>477</v>
      </c>
      <c r="B17">
        <v>3188</v>
      </c>
      <c r="C17" s="357">
        <v>584</v>
      </c>
    </row>
    <row r="18" spans="1:7" ht="12.75">
      <c r="A18" t="s">
        <v>481</v>
      </c>
      <c r="B18">
        <v>994</v>
      </c>
      <c r="C18" s="357">
        <v>581</v>
      </c>
      <c r="F18">
        <v>1</v>
      </c>
      <c r="G18" s="332">
        <v>1</v>
      </c>
    </row>
    <row r="19" spans="1:3" ht="12.75">
      <c r="A19" t="s">
        <v>483</v>
      </c>
      <c r="B19">
        <v>1044</v>
      </c>
      <c r="C19" s="357">
        <v>538</v>
      </c>
    </row>
    <row r="20" spans="1:7" ht="12.75">
      <c r="A20" t="s">
        <v>335</v>
      </c>
      <c r="B20">
        <v>32433</v>
      </c>
      <c r="C20" s="357">
        <v>20214</v>
      </c>
      <c r="F20">
        <v>4</v>
      </c>
      <c r="G20" s="332">
        <v>3</v>
      </c>
    </row>
    <row r="21" spans="1:7" ht="12.75">
      <c r="A21" t="s">
        <v>437</v>
      </c>
      <c r="B21">
        <v>23465</v>
      </c>
      <c r="C21" s="357">
        <v>15226</v>
      </c>
      <c r="F21">
        <v>7</v>
      </c>
      <c r="G21" s="332">
        <v>2</v>
      </c>
    </row>
    <row r="22" spans="1:7" ht="12.75">
      <c r="A22" t="s">
        <v>446</v>
      </c>
      <c r="B22">
        <v>10293</v>
      </c>
      <c r="C22" s="357">
        <v>4876</v>
      </c>
      <c r="F22">
        <v>3</v>
      </c>
      <c r="G22" s="332">
        <v>3</v>
      </c>
    </row>
    <row r="23" spans="1:7" ht="12.75">
      <c r="A23" t="s">
        <v>448</v>
      </c>
      <c r="B23">
        <v>10573</v>
      </c>
      <c r="C23" s="357">
        <v>7455</v>
      </c>
      <c r="F23">
        <v>3</v>
      </c>
      <c r="G23" s="332">
        <v>1</v>
      </c>
    </row>
    <row r="24" spans="1:7" ht="12.75">
      <c r="A24" t="s">
        <v>452</v>
      </c>
      <c r="B24">
        <v>11056</v>
      </c>
      <c r="C24" s="357">
        <v>6963</v>
      </c>
      <c r="F24">
        <v>2</v>
      </c>
      <c r="G24" s="332">
        <v>1</v>
      </c>
    </row>
    <row r="25" spans="1:7" ht="12.75">
      <c r="A25" t="s">
        <v>456</v>
      </c>
      <c r="B25">
        <v>14978</v>
      </c>
      <c r="C25" s="357">
        <v>10167</v>
      </c>
      <c r="F25">
        <v>11</v>
      </c>
      <c r="G25" s="332">
        <v>8</v>
      </c>
    </row>
    <row r="26" spans="1:3" ht="12.75">
      <c r="A26" t="s">
        <v>457</v>
      </c>
      <c r="B26">
        <v>12779</v>
      </c>
      <c r="C26" s="357">
        <v>4889</v>
      </c>
    </row>
    <row r="27" spans="1:7" ht="12.75">
      <c r="A27" t="s">
        <v>468</v>
      </c>
      <c r="B27">
        <v>28435</v>
      </c>
      <c r="C27" s="357">
        <v>20892</v>
      </c>
      <c r="F27">
        <v>12</v>
      </c>
      <c r="G27" s="332">
        <v>3</v>
      </c>
    </row>
    <row r="28" spans="1:7" ht="12.75">
      <c r="A28" t="s">
        <v>471</v>
      </c>
      <c r="B28">
        <v>5139</v>
      </c>
      <c r="C28" s="357">
        <v>3456</v>
      </c>
      <c r="F28">
        <v>4</v>
      </c>
      <c r="G28" s="332">
        <v>4</v>
      </c>
    </row>
    <row r="29" spans="1:7" ht="12.75">
      <c r="A29" t="s">
        <v>476</v>
      </c>
      <c r="B29">
        <v>46968</v>
      </c>
      <c r="C29" s="357">
        <v>30009</v>
      </c>
      <c r="F29">
        <v>44</v>
      </c>
      <c r="G29" s="332">
        <v>16</v>
      </c>
    </row>
    <row r="30" spans="1:3" ht="12.75">
      <c r="A30" t="s">
        <v>479</v>
      </c>
      <c r="B30">
        <v>126</v>
      </c>
      <c r="C30" s="357">
        <v>63</v>
      </c>
    </row>
    <row r="31" spans="1:7" ht="12.75">
      <c r="A31" t="s">
        <v>484</v>
      </c>
      <c r="B31">
        <v>47385</v>
      </c>
      <c r="C31" s="357">
        <v>30108</v>
      </c>
      <c r="F31">
        <v>7</v>
      </c>
      <c r="G31" s="332">
        <v>5</v>
      </c>
    </row>
    <row r="32" spans="1:7" ht="12.75">
      <c r="A32" t="s">
        <v>435</v>
      </c>
      <c r="B32">
        <v>21334</v>
      </c>
      <c r="C32" s="357">
        <v>17064</v>
      </c>
      <c r="F32">
        <v>7</v>
      </c>
      <c r="G32" s="332">
        <v>7</v>
      </c>
    </row>
    <row r="33" spans="1:3" ht="12.75">
      <c r="A33" t="s">
        <v>439</v>
      </c>
      <c r="B33">
        <v>7096</v>
      </c>
      <c r="C33" s="357">
        <v>4877</v>
      </c>
    </row>
    <row r="34" spans="1:3" ht="12.75">
      <c r="A34" t="s">
        <v>441</v>
      </c>
      <c r="B34">
        <v>1045</v>
      </c>
      <c r="C34" s="357">
        <v>299</v>
      </c>
    </row>
    <row r="35" spans="1:7" ht="12.75">
      <c r="A35" t="s">
        <v>445</v>
      </c>
      <c r="B35">
        <v>37709</v>
      </c>
      <c r="C35" s="357">
        <v>27905</v>
      </c>
      <c r="F35">
        <v>8</v>
      </c>
      <c r="G35" s="332">
        <v>5</v>
      </c>
    </row>
    <row r="36" spans="1:6" ht="12.75">
      <c r="A36" t="s">
        <v>449</v>
      </c>
      <c r="B36">
        <v>4797</v>
      </c>
      <c r="C36" s="357">
        <v>1541</v>
      </c>
      <c r="F36">
        <v>2</v>
      </c>
    </row>
    <row r="37" spans="1:7" ht="12.75">
      <c r="A37" t="s">
        <v>450</v>
      </c>
      <c r="B37">
        <v>8201</v>
      </c>
      <c r="C37" s="357">
        <v>5145</v>
      </c>
      <c r="F37">
        <v>5</v>
      </c>
      <c r="G37" s="332">
        <v>2</v>
      </c>
    </row>
    <row r="38" spans="1:7" ht="12.75">
      <c r="A38" t="s">
        <v>455</v>
      </c>
      <c r="B38">
        <v>10282</v>
      </c>
      <c r="C38" s="357">
        <v>3885</v>
      </c>
      <c r="F38">
        <v>16960</v>
      </c>
      <c r="G38" s="332">
        <v>4735</v>
      </c>
    </row>
    <row r="39" spans="1:3" ht="12.75">
      <c r="A39" t="s">
        <v>337</v>
      </c>
      <c r="B39">
        <v>17625</v>
      </c>
      <c r="C39" s="357">
        <v>8866</v>
      </c>
    </row>
    <row r="40" spans="1:7" ht="12.75">
      <c r="A40" t="s">
        <v>458</v>
      </c>
      <c r="B40">
        <v>14191</v>
      </c>
      <c r="C40" s="357">
        <v>9653</v>
      </c>
      <c r="F40">
        <v>2</v>
      </c>
      <c r="G40" s="332">
        <v>2</v>
      </c>
    </row>
    <row r="41" spans="1:3" ht="12.75">
      <c r="A41" t="s">
        <v>473</v>
      </c>
      <c r="B41">
        <v>1069</v>
      </c>
      <c r="C41" s="357">
        <v>365</v>
      </c>
    </row>
    <row r="42" spans="1:7" ht="12.75">
      <c r="A42" t="s">
        <v>474</v>
      </c>
      <c r="B42">
        <v>19502</v>
      </c>
      <c r="C42" s="357">
        <v>12807</v>
      </c>
      <c r="F42">
        <v>9</v>
      </c>
      <c r="G42" s="332">
        <v>7</v>
      </c>
    </row>
    <row r="43" spans="1:7" ht="12.75">
      <c r="A43" t="s">
        <v>475</v>
      </c>
      <c r="B43">
        <v>12064</v>
      </c>
      <c r="C43" s="357">
        <v>3346</v>
      </c>
      <c r="F43">
        <v>25315</v>
      </c>
      <c r="G43" s="332">
        <v>11796</v>
      </c>
    </row>
    <row r="44" spans="1:7" ht="12.75">
      <c r="A44" t="s">
        <v>478</v>
      </c>
      <c r="B44">
        <v>49132</v>
      </c>
      <c r="C44" s="357">
        <v>37667</v>
      </c>
      <c r="F44">
        <v>13</v>
      </c>
      <c r="G44" s="332">
        <v>6</v>
      </c>
    </row>
    <row r="45" spans="1:3" ht="12.75">
      <c r="A45" t="s">
        <v>482</v>
      </c>
      <c r="B45">
        <v>4764</v>
      </c>
      <c r="C45" s="357">
        <v>2547</v>
      </c>
    </row>
    <row r="46" spans="1:3" ht="12.75">
      <c r="A46" t="s">
        <v>428</v>
      </c>
      <c r="B46">
        <v>5128</v>
      </c>
      <c r="C46" s="357">
        <v>2750</v>
      </c>
    </row>
    <row r="47" spans="1:3" ht="12.75">
      <c r="A47" t="s">
        <v>430</v>
      </c>
      <c r="B47">
        <v>2514</v>
      </c>
      <c r="C47" s="357">
        <v>1648</v>
      </c>
    </row>
    <row r="48" spans="1:3" ht="12.75">
      <c r="A48" t="s">
        <v>432</v>
      </c>
      <c r="B48">
        <v>2220</v>
      </c>
      <c r="C48" s="357">
        <v>1048</v>
      </c>
    </row>
    <row r="49" spans="1:7" ht="12.75">
      <c r="A49" t="s">
        <v>438</v>
      </c>
      <c r="B49">
        <v>12649</v>
      </c>
      <c r="C49" s="357">
        <v>7547</v>
      </c>
      <c r="D49">
        <v>383</v>
      </c>
      <c r="E49">
        <v>257</v>
      </c>
      <c r="F49">
        <v>3</v>
      </c>
      <c r="G49" s="332">
        <v>3</v>
      </c>
    </row>
    <row r="50" spans="1:7" ht="12.75">
      <c r="A50" t="s">
        <v>434</v>
      </c>
      <c r="B50">
        <v>1279</v>
      </c>
      <c r="C50" s="357">
        <v>451</v>
      </c>
      <c r="F50">
        <v>4</v>
      </c>
      <c r="G50" s="332">
        <v>3</v>
      </c>
    </row>
    <row r="51" spans="1:3" ht="12.75">
      <c r="A51" t="s">
        <v>442</v>
      </c>
      <c r="B51">
        <v>2002</v>
      </c>
      <c r="C51" s="357">
        <v>940</v>
      </c>
    </row>
    <row r="52" spans="1:3" ht="12.75">
      <c r="A52" t="s">
        <v>444</v>
      </c>
      <c r="B52">
        <v>6036</v>
      </c>
      <c r="C52" s="357">
        <v>4629</v>
      </c>
    </row>
    <row r="53" spans="1:7" ht="12.75">
      <c r="A53" t="s">
        <v>451</v>
      </c>
      <c r="B53">
        <v>22362</v>
      </c>
      <c r="C53" s="357">
        <v>20364</v>
      </c>
      <c r="F53">
        <v>6</v>
      </c>
      <c r="G53" s="332">
        <v>4</v>
      </c>
    </row>
    <row r="54" spans="1:7" ht="12.75">
      <c r="A54" t="s">
        <v>454</v>
      </c>
      <c r="B54">
        <v>2590</v>
      </c>
      <c r="C54" s="357">
        <v>1605</v>
      </c>
      <c r="F54">
        <v>195</v>
      </c>
      <c r="G54" s="332">
        <v>57</v>
      </c>
    </row>
    <row r="55" spans="1:7" ht="12.75">
      <c r="A55" t="s">
        <v>461</v>
      </c>
      <c r="B55">
        <v>29649</v>
      </c>
      <c r="C55" s="357">
        <v>27317</v>
      </c>
      <c r="F55">
        <v>5</v>
      </c>
      <c r="G55" s="332">
        <v>4</v>
      </c>
    </row>
    <row r="56" spans="1:7" ht="12.75">
      <c r="A56" t="s">
        <v>463</v>
      </c>
      <c r="B56">
        <v>22676</v>
      </c>
      <c r="C56" s="357">
        <v>17043</v>
      </c>
      <c r="F56">
        <v>2</v>
      </c>
      <c r="G56" s="332">
        <v>1</v>
      </c>
    </row>
    <row r="57" spans="1:7" ht="12.75">
      <c r="A57" t="s">
        <v>465</v>
      </c>
      <c r="B57">
        <v>11793</v>
      </c>
      <c r="C57" s="357">
        <v>7509</v>
      </c>
      <c r="F57">
        <v>3</v>
      </c>
      <c r="G57" s="332">
        <v>2</v>
      </c>
    </row>
    <row r="58" spans="1:7" ht="12.75">
      <c r="A58" t="s">
        <v>467</v>
      </c>
      <c r="B58">
        <v>9485</v>
      </c>
      <c r="C58" s="357">
        <v>7455</v>
      </c>
      <c r="F58">
        <v>4</v>
      </c>
      <c r="G58" s="332">
        <v>1</v>
      </c>
    </row>
    <row r="59" spans="1:3" ht="12.75">
      <c r="A59" t="s">
        <v>469</v>
      </c>
      <c r="B59">
        <v>18453</v>
      </c>
      <c r="C59" s="357">
        <v>13326</v>
      </c>
    </row>
    <row r="60" spans="1:3" ht="12.75">
      <c r="A60" t="s">
        <v>470</v>
      </c>
      <c r="B60">
        <v>29356</v>
      </c>
      <c r="C60" s="357">
        <v>19146</v>
      </c>
    </row>
    <row r="61" spans="1:7" ht="12.75">
      <c r="A61" t="s">
        <v>472</v>
      </c>
      <c r="B61">
        <v>24340</v>
      </c>
      <c r="C61" s="357">
        <v>18686</v>
      </c>
      <c r="F61">
        <v>5</v>
      </c>
      <c r="G61" s="332">
        <v>3</v>
      </c>
    </row>
    <row r="62" ht="12.75">
      <c r="A62" t="s">
        <v>480</v>
      </c>
    </row>
    <row r="63" ht="12.75">
      <c r="A63" t="s">
        <v>539</v>
      </c>
    </row>
    <row r="64" spans="1:3" ht="12.75">
      <c r="A64" t="s">
        <v>429</v>
      </c>
      <c r="B64">
        <v>1</v>
      </c>
      <c r="C64" s="357">
        <v>1</v>
      </c>
    </row>
  </sheetData>
  <sheetProtection/>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zoomScalePageLayoutView="0" workbookViewId="0" topLeftCell="A1">
      <selection activeCell="A1" sqref="A1"/>
    </sheetView>
  </sheetViews>
  <sheetFormatPr defaultColWidth="9.140625" defaultRowHeight="12.75"/>
  <cols>
    <col min="1" max="1" width="18.28125" style="0" customWidth="1"/>
    <col min="2" max="2" width="12.140625" style="332" customWidth="1"/>
    <col min="3" max="3" width="25.421875" style="0" customWidth="1"/>
    <col min="5" max="5" width="14.28125" style="332" bestFit="1" customWidth="1"/>
    <col min="6" max="6" width="22.28125" style="0" customWidth="1"/>
    <col min="7" max="7" width="16.7109375" style="332" customWidth="1"/>
  </cols>
  <sheetData>
    <row r="1" spans="1:7" ht="12.75">
      <c r="A1" s="458" t="s">
        <v>425</v>
      </c>
      <c r="B1" s="458"/>
      <c r="C1" s="458" t="s">
        <v>495</v>
      </c>
      <c r="D1" s="458"/>
      <c r="E1" s="458"/>
      <c r="F1" s="458" t="s">
        <v>492</v>
      </c>
      <c r="G1" s="458"/>
    </row>
    <row r="2" spans="1:7" ht="12.75">
      <c r="A2" t="s">
        <v>175</v>
      </c>
      <c r="B2" s="332">
        <f>SUM(B3:B4)</f>
        <v>1</v>
      </c>
      <c r="C2" t="s">
        <v>546</v>
      </c>
      <c r="D2">
        <f>SUM(D6,D4)</f>
        <v>13032</v>
      </c>
      <c r="F2" t="s">
        <v>175</v>
      </c>
      <c r="G2" s="332">
        <f>SUM(G3:G4)</f>
        <v>1</v>
      </c>
    </row>
    <row r="3" spans="1:7" ht="12.75">
      <c r="A3" t="s">
        <v>480</v>
      </c>
      <c r="B3" s="332">
        <f>VLOOKUP(A3,Entitlement_Data!A3:C64,2,FALSE)</f>
        <v>0</v>
      </c>
      <c r="C3" t="s">
        <v>547</v>
      </c>
      <c r="D3">
        <f>SUM(D5,D7)</f>
        <v>7804</v>
      </c>
      <c r="F3" t="s">
        <v>480</v>
      </c>
      <c r="G3" s="339">
        <f>IF(ISNA(VLOOKUP(F3,Entitlement_Data!A2:G66,3,FALSE)),"0",(VLOOKUP(F3,Entitlement_Data!A2:G66,3,FALSE)))</f>
        <v>0</v>
      </c>
    </row>
    <row r="4" spans="1:7" ht="12.75">
      <c r="A4" t="s">
        <v>429</v>
      </c>
      <c r="B4" s="332">
        <f>VLOOKUP(A4,Entitlement_Data!A3:C64,2,FALSE)</f>
        <v>1</v>
      </c>
      <c r="C4" t="s">
        <v>438</v>
      </c>
      <c r="D4">
        <f>VLOOKUP(C4,Entitlement_Data!A2:G67,2,FALSE)</f>
        <v>12649</v>
      </c>
      <c r="E4" s="332" t="s">
        <v>491</v>
      </c>
      <c r="F4" t="s">
        <v>429</v>
      </c>
      <c r="G4" s="339">
        <f>IF(ISNA(VLOOKUP(F4,Entitlement_Data!A2:G67,3,FALSE)),"0",(VLOOKUP(F4,Entitlement_Data!A2:G67,3,FALSE)))</f>
        <v>1</v>
      </c>
    </row>
    <row r="5" spans="3:4" ht="12.75">
      <c r="C5" t="s">
        <v>438</v>
      </c>
      <c r="D5">
        <f>VLOOKUP(C5,Entitlement_Data!A2:G67,3,FALSE)</f>
        <v>7547</v>
      </c>
    </row>
    <row r="6" spans="3:5" ht="12.75">
      <c r="C6" t="s">
        <v>438</v>
      </c>
      <c r="D6">
        <f>VLOOKUP(C6,Entitlement_Data!A2:G66,4,FALSE)</f>
        <v>383</v>
      </c>
      <c r="E6" s="332" t="s">
        <v>280</v>
      </c>
    </row>
    <row r="7" spans="3:5" ht="12.75">
      <c r="C7" t="s">
        <v>438</v>
      </c>
      <c r="D7">
        <f>VLOOKUP(C7,Entitlement_Data!A2:G68,5,FALSE)</f>
        <v>257</v>
      </c>
      <c r="E7" s="332" t="s">
        <v>545</v>
      </c>
    </row>
  </sheetData>
  <sheetProtection/>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zoomScalePageLayoutView="0" workbookViewId="0" topLeftCell="A1">
      <selection activeCell="A1" sqref="A1"/>
    </sheetView>
  </sheetViews>
  <sheetFormatPr defaultColWidth="9.140625" defaultRowHeight="12.75"/>
  <cols>
    <col min="1" max="1" width="14.28125" style="0" customWidth="1"/>
    <col min="2" max="2" width="7.57421875" style="0" customWidth="1"/>
    <col min="3" max="3" width="14.8515625" style="0" customWidth="1"/>
    <col min="4" max="4" width="19.57421875" style="332" customWidth="1"/>
    <col min="5" max="5" width="12.00390625" style="0" customWidth="1"/>
    <col min="6" max="6" width="16.28125" style="0" customWidth="1"/>
    <col min="7" max="7" width="11.00390625" style="0" customWidth="1"/>
    <col min="8" max="8" width="21.140625" style="332" customWidth="1"/>
    <col min="9" max="9" width="14.00390625" style="0" customWidth="1"/>
    <col min="10" max="10" width="7.8515625" style="0" customWidth="1"/>
    <col min="11" max="11" width="19.421875" style="332" customWidth="1"/>
    <col min="12" max="12" width="10.8515625" style="0" bestFit="1" customWidth="1"/>
    <col min="13" max="13" width="10.00390625" style="0" bestFit="1" customWidth="1"/>
    <col min="14" max="14" width="19.421875" style="332" bestFit="1" customWidth="1"/>
    <col min="15" max="15" width="13.421875" style="0" bestFit="1" customWidth="1"/>
    <col min="16" max="16" width="7.8515625" style="0" customWidth="1"/>
    <col min="17" max="17" width="14.421875" style="332" bestFit="1" customWidth="1"/>
    <col min="18" max="18" width="13.421875" style="0" customWidth="1"/>
    <col min="19" max="19" width="7.8515625" style="0" customWidth="1"/>
    <col min="20" max="20" width="19.421875" style="332" bestFit="1" customWidth="1"/>
  </cols>
  <sheetData>
    <row r="1" spans="1:20" ht="12.75">
      <c r="A1" s="458" t="s">
        <v>496</v>
      </c>
      <c r="B1" s="458"/>
      <c r="C1" s="458"/>
      <c r="D1" s="458"/>
      <c r="E1" s="458"/>
      <c r="F1" s="458"/>
      <c r="G1" s="458"/>
      <c r="H1" s="458"/>
      <c r="I1" s="458"/>
      <c r="J1" s="458"/>
      <c r="K1" s="458"/>
      <c r="N1"/>
      <c r="Q1"/>
      <c r="T1"/>
    </row>
    <row r="2" spans="1:20" ht="12.75">
      <c r="A2" s="292" t="s">
        <v>426</v>
      </c>
      <c r="B2" s="292" t="s">
        <v>548</v>
      </c>
      <c r="C2" s="292" t="s">
        <v>427</v>
      </c>
      <c r="D2" s="331" t="s">
        <v>493</v>
      </c>
      <c r="E2" s="333" t="s">
        <v>549</v>
      </c>
      <c r="F2" s="292" t="s">
        <v>550</v>
      </c>
      <c r="G2" s="292" t="s">
        <v>551</v>
      </c>
      <c r="H2" s="331" t="s">
        <v>552</v>
      </c>
      <c r="I2" s="333"/>
      <c r="J2" s="292"/>
      <c r="K2" s="331"/>
      <c r="N2"/>
      <c r="Q2"/>
      <c r="T2"/>
    </row>
    <row r="3" spans="1:20" ht="12.75">
      <c r="A3" t="s">
        <v>69</v>
      </c>
      <c r="B3">
        <v>0</v>
      </c>
      <c r="E3" s="293"/>
      <c r="I3" s="293"/>
      <c r="N3"/>
      <c r="Q3"/>
      <c r="T3"/>
    </row>
    <row r="4" spans="1:20" ht="12.75">
      <c r="A4" t="s">
        <v>431</v>
      </c>
      <c r="B4">
        <v>313</v>
      </c>
      <c r="C4">
        <v>5474</v>
      </c>
      <c r="D4" s="332">
        <v>4086</v>
      </c>
      <c r="E4" s="293">
        <v>23</v>
      </c>
      <c r="F4">
        <v>23</v>
      </c>
      <c r="I4" s="293"/>
      <c r="N4"/>
      <c r="Q4"/>
      <c r="T4"/>
    </row>
    <row r="5" spans="1:20" ht="12.75">
      <c r="A5" t="s">
        <v>433</v>
      </c>
      <c r="B5">
        <v>301</v>
      </c>
      <c r="C5">
        <v>4130</v>
      </c>
      <c r="D5" s="332">
        <v>1933</v>
      </c>
      <c r="E5">
        <v>9</v>
      </c>
      <c r="F5">
        <v>9</v>
      </c>
      <c r="I5" s="293"/>
      <c r="N5"/>
      <c r="Q5"/>
      <c r="T5"/>
    </row>
    <row r="6" spans="1:20" ht="12.75">
      <c r="A6" t="s">
        <v>334</v>
      </c>
      <c r="B6">
        <v>307</v>
      </c>
      <c r="C6">
        <v>3539</v>
      </c>
      <c r="D6" s="332">
        <v>1962</v>
      </c>
      <c r="E6">
        <v>9</v>
      </c>
      <c r="F6">
        <v>8</v>
      </c>
      <c r="I6" s="293"/>
      <c r="N6"/>
      <c r="Q6"/>
      <c r="T6"/>
    </row>
    <row r="7" spans="1:20" ht="12.75">
      <c r="A7" t="s">
        <v>436</v>
      </c>
      <c r="B7">
        <v>325</v>
      </c>
      <c r="C7">
        <v>6899</v>
      </c>
      <c r="D7" s="332">
        <v>3920</v>
      </c>
      <c r="E7">
        <v>30</v>
      </c>
      <c r="F7">
        <v>26</v>
      </c>
      <c r="I7" s="293"/>
      <c r="N7"/>
      <c r="Q7"/>
      <c r="T7"/>
    </row>
    <row r="8" spans="1:20" ht="12.75">
      <c r="A8" t="s">
        <v>440</v>
      </c>
      <c r="B8">
        <v>329</v>
      </c>
      <c r="C8">
        <v>5885</v>
      </c>
      <c r="D8" s="332">
        <v>3470</v>
      </c>
      <c r="E8">
        <v>14</v>
      </c>
      <c r="F8">
        <v>6</v>
      </c>
      <c r="I8" s="293"/>
      <c r="N8"/>
      <c r="Q8"/>
      <c r="T8"/>
    </row>
    <row r="9" spans="1:20" ht="12.75">
      <c r="A9" t="s">
        <v>443</v>
      </c>
      <c r="B9">
        <v>308</v>
      </c>
      <c r="C9">
        <v>1123</v>
      </c>
      <c r="D9" s="332">
        <v>278</v>
      </c>
      <c r="E9">
        <v>1</v>
      </c>
      <c r="F9">
        <v>1</v>
      </c>
      <c r="I9" s="293"/>
      <c r="N9"/>
      <c r="Q9"/>
      <c r="T9"/>
    </row>
    <row r="10" spans="1:20" ht="12.75">
      <c r="A10" t="s">
        <v>447</v>
      </c>
      <c r="B10">
        <v>326</v>
      </c>
      <c r="C10">
        <v>5688</v>
      </c>
      <c r="D10" s="332">
        <v>4057</v>
      </c>
      <c r="E10">
        <v>10</v>
      </c>
      <c r="F10">
        <v>8</v>
      </c>
      <c r="I10" s="293"/>
      <c r="N10"/>
      <c r="Q10"/>
      <c r="T10"/>
    </row>
    <row r="11" spans="1:20" ht="12.75">
      <c r="A11" t="s">
        <v>453</v>
      </c>
      <c r="B11">
        <v>373</v>
      </c>
      <c r="C11">
        <v>923</v>
      </c>
      <c r="D11" s="332">
        <v>519</v>
      </c>
      <c r="E11">
        <v>2</v>
      </c>
      <c r="F11">
        <v>2</v>
      </c>
      <c r="I11" s="293"/>
      <c r="N11"/>
      <c r="Q11"/>
      <c r="T11"/>
    </row>
    <row r="12" spans="1:20" ht="12.75">
      <c r="A12" t="s">
        <v>459</v>
      </c>
      <c r="B12">
        <v>306</v>
      </c>
      <c r="C12">
        <v>4666</v>
      </c>
      <c r="D12" s="332">
        <v>2047</v>
      </c>
      <c r="E12">
        <v>12</v>
      </c>
      <c r="F12">
        <v>12</v>
      </c>
      <c r="I12" s="293"/>
      <c r="N12"/>
      <c r="Q12"/>
      <c r="T12"/>
    </row>
    <row r="13" spans="1:20" ht="12.75">
      <c r="A13" t="s">
        <v>460</v>
      </c>
      <c r="B13">
        <v>309</v>
      </c>
      <c r="C13">
        <v>1801</v>
      </c>
      <c r="D13" s="332">
        <v>1029</v>
      </c>
      <c r="E13">
        <v>3</v>
      </c>
      <c r="F13">
        <v>3</v>
      </c>
      <c r="I13" s="293"/>
      <c r="N13"/>
      <c r="Q13"/>
      <c r="T13"/>
    </row>
    <row r="14" spans="1:20" ht="12.75">
      <c r="A14" t="s">
        <v>462</v>
      </c>
      <c r="B14">
        <v>310</v>
      </c>
      <c r="C14">
        <v>6257</v>
      </c>
      <c r="D14" s="332">
        <v>3839</v>
      </c>
      <c r="E14">
        <v>53761</v>
      </c>
      <c r="F14">
        <v>40134</v>
      </c>
      <c r="I14" s="293"/>
      <c r="N14"/>
      <c r="Q14"/>
      <c r="T14"/>
    </row>
    <row r="15" spans="1:20" ht="12.75">
      <c r="A15" t="s">
        <v>464</v>
      </c>
      <c r="B15">
        <v>311</v>
      </c>
      <c r="C15">
        <v>4388</v>
      </c>
      <c r="D15" s="332">
        <v>3316</v>
      </c>
      <c r="E15">
        <v>4</v>
      </c>
      <c r="F15">
        <v>2</v>
      </c>
      <c r="I15" s="293"/>
      <c r="N15"/>
      <c r="Q15"/>
      <c r="T15"/>
    </row>
    <row r="16" spans="1:20" ht="12.75">
      <c r="A16" t="s">
        <v>466</v>
      </c>
      <c r="B16">
        <v>304</v>
      </c>
      <c r="C16">
        <v>1006</v>
      </c>
      <c r="D16" s="332">
        <v>320</v>
      </c>
      <c r="E16">
        <v>2</v>
      </c>
      <c r="F16">
        <v>1</v>
      </c>
      <c r="I16" s="293"/>
      <c r="N16"/>
      <c r="Q16"/>
      <c r="T16"/>
    </row>
    <row r="17" spans="1:20" ht="12.75">
      <c r="A17" t="s">
        <v>477</v>
      </c>
      <c r="B17">
        <v>402</v>
      </c>
      <c r="C17">
        <v>2067</v>
      </c>
      <c r="D17" s="332">
        <v>1016</v>
      </c>
      <c r="E17">
        <v>2</v>
      </c>
      <c r="F17">
        <v>2</v>
      </c>
      <c r="I17" s="293"/>
      <c r="N17"/>
      <c r="Q17"/>
      <c r="T17"/>
    </row>
    <row r="18" spans="1:20" ht="12.75">
      <c r="A18" t="s">
        <v>481</v>
      </c>
      <c r="B18">
        <v>405</v>
      </c>
      <c r="C18">
        <v>425</v>
      </c>
      <c r="D18" s="332">
        <v>184</v>
      </c>
      <c r="E18">
        <v>1</v>
      </c>
      <c r="I18" s="293"/>
      <c r="N18"/>
      <c r="Q18"/>
      <c r="T18"/>
    </row>
    <row r="19" spans="1:20" ht="12.75">
      <c r="A19" t="s">
        <v>483</v>
      </c>
      <c r="B19">
        <v>460</v>
      </c>
      <c r="C19">
        <v>528</v>
      </c>
      <c r="D19" s="332">
        <v>323</v>
      </c>
      <c r="E19">
        <v>2</v>
      </c>
      <c r="F19">
        <v>2</v>
      </c>
      <c r="I19" s="293"/>
      <c r="N19"/>
      <c r="Q19"/>
      <c r="T19"/>
    </row>
    <row r="20" spans="1:20" ht="12.75">
      <c r="A20" t="s">
        <v>335</v>
      </c>
      <c r="B20">
        <v>316</v>
      </c>
      <c r="C20">
        <v>11463</v>
      </c>
      <c r="D20" s="332">
        <v>6069</v>
      </c>
      <c r="E20">
        <v>10</v>
      </c>
      <c r="F20">
        <v>4</v>
      </c>
      <c r="I20" s="293"/>
      <c r="N20"/>
      <c r="Q20"/>
      <c r="T20"/>
    </row>
    <row r="21" spans="1:20" ht="12.75">
      <c r="A21" t="s">
        <v>437</v>
      </c>
      <c r="B21">
        <v>319</v>
      </c>
      <c r="C21">
        <v>5362</v>
      </c>
      <c r="D21" s="332">
        <v>1379</v>
      </c>
      <c r="E21">
        <v>21</v>
      </c>
      <c r="F21">
        <v>17</v>
      </c>
      <c r="I21" s="293"/>
      <c r="N21"/>
      <c r="Q21"/>
      <c r="T21"/>
    </row>
    <row r="22" spans="1:20" ht="12.75">
      <c r="A22" t="s">
        <v>446</v>
      </c>
      <c r="B22">
        <v>315</v>
      </c>
      <c r="C22">
        <v>1979</v>
      </c>
      <c r="D22" s="332">
        <v>607</v>
      </c>
      <c r="E22">
        <v>4</v>
      </c>
      <c r="F22">
        <v>2</v>
      </c>
      <c r="I22" s="293"/>
      <c r="N22"/>
      <c r="Q22"/>
      <c r="T22"/>
    </row>
    <row r="23" spans="1:20" ht="12.75">
      <c r="A23" t="s">
        <v>448</v>
      </c>
      <c r="B23">
        <v>323</v>
      </c>
      <c r="C23">
        <v>3054</v>
      </c>
      <c r="D23" s="332">
        <v>755</v>
      </c>
      <c r="E23">
        <v>18</v>
      </c>
      <c r="F23">
        <v>5</v>
      </c>
      <c r="I23" s="293"/>
      <c r="N23"/>
      <c r="Q23"/>
      <c r="T23"/>
    </row>
    <row r="24" spans="1:20" ht="12.75">
      <c r="A24" t="s">
        <v>452</v>
      </c>
      <c r="B24">
        <v>327</v>
      </c>
      <c r="C24">
        <v>4945</v>
      </c>
      <c r="D24" s="332">
        <v>3419</v>
      </c>
      <c r="E24">
        <v>5</v>
      </c>
      <c r="F24">
        <v>5</v>
      </c>
      <c r="I24" s="293"/>
      <c r="N24"/>
      <c r="Q24"/>
      <c r="T24"/>
    </row>
    <row r="25" spans="1:20" ht="12.75">
      <c r="A25" t="s">
        <v>456</v>
      </c>
      <c r="B25">
        <v>322</v>
      </c>
      <c r="C25">
        <v>6703</v>
      </c>
      <c r="D25" s="332">
        <v>3947</v>
      </c>
      <c r="E25">
        <v>8</v>
      </c>
      <c r="F25">
        <v>6</v>
      </c>
      <c r="I25" s="293"/>
      <c r="N25"/>
      <c r="Q25"/>
      <c r="T25"/>
    </row>
    <row r="26" spans="1:20" ht="12.75">
      <c r="A26" t="s">
        <v>457</v>
      </c>
      <c r="B26">
        <v>320</v>
      </c>
      <c r="C26">
        <v>5711</v>
      </c>
      <c r="D26" s="332">
        <v>2535</v>
      </c>
      <c r="E26">
        <v>50</v>
      </c>
      <c r="F26">
        <v>16</v>
      </c>
      <c r="I26" s="293"/>
      <c r="N26"/>
      <c r="Q26"/>
      <c r="T26"/>
    </row>
    <row r="27" spans="1:20" ht="12.75">
      <c r="A27" t="s">
        <v>468</v>
      </c>
      <c r="B27">
        <v>314</v>
      </c>
      <c r="C27">
        <v>10690</v>
      </c>
      <c r="D27" s="332">
        <v>7041</v>
      </c>
      <c r="E27">
        <v>25</v>
      </c>
      <c r="F27">
        <v>19</v>
      </c>
      <c r="I27" s="293"/>
      <c r="N27"/>
      <c r="Q27"/>
      <c r="T27"/>
    </row>
    <row r="28" spans="1:20" ht="12.75">
      <c r="A28" t="s">
        <v>471</v>
      </c>
      <c r="B28">
        <v>355</v>
      </c>
      <c r="C28">
        <v>2105</v>
      </c>
      <c r="D28" s="332">
        <v>1152</v>
      </c>
      <c r="E28">
        <v>4</v>
      </c>
      <c r="F28">
        <v>2</v>
      </c>
      <c r="I28" s="293"/>
      <c r="N28"/>
      <c r="Q28"/>
      <c r="T28"/>
    </row>
    <row r="29" spans="1:20" ht="12.75">
      <c r="A29" t="s">
        <v>476</v>
      </c>
      <c r="B29">
        <v>317</v>
      </c>
      <c r="C29">
        <v>14405</v>
      </c>
      <c r="D29" s="332">
        <v>7996</v>
      </c>
      <c r="E29">
        <v>40</v>
      </c>
      <c r="F29">
        <v>33</v>
      </c>
      <c r="I29" s="293"/>
      <c r="N29"/>
      <c r="Q29"/>
      <c r="T29"/>
    </row>
    <row r="30" spans="1:20" ht="12.75">
      <c r="A30" t="s">
        <v>479</v>
      </c>
      <c r="B30">
        <v>372</v>
      </c>
      <c r="C30">
        <v>52</v>
      </c>
      <c r="D30" s="332">
        <v>46</v>
      </c>
      <c r="E30">
        <v>1</v>
      </c>
      <c r="F30">
        <v>1</v>
      </c>
      <c r="I30" s="293"/>
      <c r="N30"/>
      <c r="Q30"/>
      <c r="T30"/>
    </row>
    <row r="31" spans="1:20" ht="12.75">
      <c r="A31" t="s">
        <v>484</v>
      </c>
      <c r="B31">
        <v>318</v>
      </c>
      <c r="C31">
        <v>25187</v>
      </c>
      <c r="D31" s="332">
        <v>18951</v>
      </c>
      <c r="E31">
        <v>148</v>
      </c>
      <c r="F31">
        <v>94</v>
      </c>
      <c r="I31" s="293"/>
      <c r="N31"/>
      <c r="Q31"/>
      <c r="T31"/>
    </row>
    <row r="32" spans="1:20" ht="12.75">
      <c r="A32" t="s">
        <v>435</v>
      </c>
      <c r="B32">
        <v>328</v>
      </c>
      <c r="C32">
        <v>5388</v>
      </c>
      <c r="D32" s="332">
        <v>4478</v>
      </c>
      <c r="E32">
        <v>33</v>
      </c>
      <c r="F32">
        <v>30</v>
      </c>
      <c r="I32" s="293"/>
      <c r="N32"/>
      <c r="Q32"/>
      <c r="T32"/>
    </row>
    <row r="33" spans="1:20" ht="12.75">
      <c r="A33" t="s">
        <v>439</v>
      </c>
      <c r="B33">
        <v>333</v>
      </c>
      <c r="C33">
        <v>2301</v>
      </c>
      <c r="D33" s="332">
        <v>1203</v>
      </c>
      <c r="E33">
        <v>9</v>
      </c>
      <c r="F33">
        <v>5</v>
      </c>
      <c r="I33" s="293"/>
      <c r="N33"/>
      <c r="Q33"/>
      <c r="T33"/>
    </row>
    <row r="34" spans="1:20" ht="12.75">
      <c r="A34" t="s">
        <v>441</v>
      </c>
      <c r="B34">
        <v>437</v>
      </c>
      <c r="C34">
        <v>512</v>
      </c>
      <c r="D34" s="332">
        <v>28</v>
      </c>
      <c r="I34" s="293"/>
      <c r="N34"/>
      <c r="Q34"/>
      <c r="T34"/>
    </row>
    <row r="35" spans="1:20" ht="12.75">
      <c r="A35" t="s">
        <v>445</v>
      </c>
      <c r="B35">
        <v>362</v>
      </c>
      <c r="C35">
        <v>14488</v>
      </c>
      <c r="D35" s="332">
        <v>10084</v>
      </c>
      <c r="E35">
        <v>29</v>
      </c>
      <c r="F35">
        <v>27</v>
      </c>
      <c r="I35" s="293"/>
      <c r="N35"/>
      <c r="Q35"/>
      <c r="T35"/>
    </row>
    <row r="36" spans="1:20" ht="12.75">
      <c r="A36" t="s">
        <v>449</v>
      </c>
      <c r="B36">
        <v>334</v>
      </c>
      <c r="C36">
        <v>1812</v>
      </c>
      <c r="D36" s="332">
        <v>269</v>
      </c>
      <c r="E36">
        <v>16</v>
      </c>
      <c r="F36">
        <v>7</v>
      </c>
      <c r="I36" s="293"/>
      <c r="N36"/>
      <c r="Q36"/>
      <c r="T36"/>
    </row>
    <row r="37" spans="1:20" ht="12.75">
      <c r="A37" t="s">
        <v>450</v>
      </c>
      <c r="B37">
        <v>350</v>
      </c>
      <c r="C37">
        <v>5569</v>
      </c>
      <c r="D37" s="332">
        <v>2530</v>
      </c>
      <c r="E37">
        <v>8</v>
      </c>
      <c r="F37">
        <v>7</v>
      </c>
      <c r="I37" s="293"/>
      <c r="N37"/>
      <c r="Q37"/>
      <c r="T37"/>
    </row>
    <row r="38" spans="1:20" ht="12.75">
      <c r="A38" t="s">
        <v>455</v>
      </c>
      <c r="B38">
        <v>330</v>
      </c>
      <c r="C38">
        <v>3789</v>
      </c>
      <c r="D38" s="332">
        <v>1058</v>
      </c>
      <c r="E38">
        <v>18944</v>
      </c>
      <c r="F38">
        <v>4168</v>
      </c>
      <c r="I38" s="293"/>
      <c r="N38"/>
      <c r="Q38"/>
      <c r="T38"/>
    </row>
    <row r="39" spans="1:20" ht="12.75">
      <c r="A39" t="s">
        <v>337</v>
      </c>
      <c r="B39">
        <v>351</v>
      </c>
      <c r="C39">
        <v>5551</v>
      </c>
      <c r="D39" s="332">
        <v>1080</v>
      </c>
      <c r="E39">
        <v>11</v>
      </c>
      <c r="F39">
        <v>8</v>
      </c>
      <c r="I39" s="293"/>
      <c r="N39"/>
      <c r="Q39"/>
      <c r="T39"/>
    </row>
    <row r="40" spans="1:20" ht="12.75">
      <c r="A40" t="s">
        <v>458</v>
      </c>
      <c r="B40">
        <v>321</v>
      </c>
      <c r="C40">
        <v>5004</v>
      </c>
      <c r="D40" s="332">
        <v>3308</v>
      </c>
      <c r="E40">
        <v>45</v>
      </c>
      <c r="F40">
        <v>39</v>
      </c>
      <c r="I40" s="293"/>
      <c r="N40"/>
      <c r="Q40"/>
      <c r="T40"/>
    </row>
    <row r="41" spans="1:20" ht="12.75">
      <c r="A41" t="s">
        <v>473</v>
      </c>
      <c r="B41">
        <v>438</v>
      </c>
      <c r="C41">
        <v>780</v>
      </c>
      <c r="D41" s="332">
        <v>23</v>
      </c>
      <c r="E41">
        <v>1</v>
      </c>
      <c r="F41">
        <v>1</v>
      </c>
      <c r="I41" s="293"/>
      <c r="N41"/>
      <c r="Q41"/>
      <c r="T41"/>
    </row>
    <row r="42" spans="1:20" ht="12.75">
      <c r="A42" t="s">
        <v>474</v>
      </c>
      <c r="B42">
        <v>331</v>
      </c>
      <c r="C42">
        <v>5373</v>
      </c>
      <c r="D42" s="332">
        <v>3291</v>
      </c>
      <c r="E42">
        <v>10</v>
      </c>
      <c r="F42">
        <v>10</v>
      </c>
      <c r="I42" s="293"/>
      <c r="N42"/>
      <c r="Q42"/>
      <c r="T42"/>
    </row>
    <row r="43" spans="1:20" ht="12.75">
      <c r="A43" t="s">
        <v>475</v>
      </c>
      <c r="B43">
        <v>335</v>
      </c>
      <c r="C43">
        <v>4018</v>
      </c>
      <c r="D43" s="332">
        <v>575</v>
      </c>
      <c r="E43">
        <v>35132</v>
      </c>
      <c r="F43">
        <v>22256</v>
      </c>
      <c r="I43" s="293"/>
      <c r="N43"/>
      <c r="Q43"/>
      <c r="T43"/>
    </row>
    <row r="44" spans="1:20" ht="12.75">
      <c r="A44" t="s">
        <v>478</v>
      </c>
      <c r="B44">
        <v>349</v>
      </c>
      <c r="C44">
        <v>10598</v>
      </c>
      <c r="D44" s="332">
        <v>5383</v>
      </c>
      <c r="E44">
        <v>19</v>
      </c>
      <c r="F44">
        <v>13</v>
      </c>
      <c r="I44" s="293"/>
      <c r="N44"/>
      <c r="Q44"/>
      <c r="T44"/>
    </row>
    <row r="45" spans="1:20" ht="12.75">
      <c r="A45" t="s">
        <v>482</v>
      </c>
      <c r="B45">
        <v>452</v>
      </c>
      <c r="C45">
        <v>1818</v>
      </c>
      <c r="D45" s="332">
        <v>759</v>
      </c>
      <c r="E45">
        <v>6</v>
      </c>
      <c r="F45">
        <v>4</v>
      </c>
      <c r="I45" s="293"/>
      <c r="N45"/>
      <c r="Q45"/>
      <c r="T45"/>
    </row>
    <row r="46" spans="1:20" ht="12.75">
      <c r="A46" t="s">
        <v>428</v>
      </c>
      <c r="B46">
        <v>340</v>
      </c>
      <c r="C46">
        <v>2146</v>
      </c>
      <c r="D46" s="332">
        <v>1090</v>
      </c>
      <c r="E46">
        <v>6</v>
      </c>
      <c r="F46">
        <v>6</v>
      </c>
      <c r="I46" s="293"/>
      <c r="N46"/>
      <c r="Q46"/>
      <c r="T46"/>
    </row>
    <row r="47" spans="1:20" ht="12.75">
      <c r="A47" t="s">
        <v>430</v>
      </c>
      <c r="B47">
        <v>463</v>
      </c>
      <c r="C47">
        <v>2335</v>
      </c>
      <c r="D47" s="332">
        <v>1515</v>
      </c>
      <c r="E47">
        <v>1</v>
      </c>
      <c r="F47">
        <v>1</v>
      </c>
      <c r="I47" s="293"/>
      <c r="N47"/>
      <c r="Q47"/>
      <c r="T47"/>
    </row>
    <row r="48" spans="1:20" ht="12.75">
      <c r="A48" t="s">
        <v>432</v>
      </c>
      <c r="B48">
        <v>347</v>
      </c>
      <c r="C48">
        <v>1478</v>
      </c>
      <c r="D48" s="332">
        <v>438</v>
      </c>
      <c r="E48">
        <v>1</v>
      </c>
      <c r="I48" s="293"/>
      <c r="N48"/>
      <c r="Q48"/>
      <c r="T48"/>
    </row>
    <row r="49" spans="1:20" ht="12.75">
      <c r="A49" t="s">
        <v>438</v>
      </c>
      <c r="B49">
        <v>339</v>
      </c>
      <c r="C49">
        <v>5639</v>
      </c>
      <c r="D49" s="332">
        <v>3101</v>
      </c>
      <c r="E49">
        <v>7</v>
      </c>
      <c r="F49">
        <v>6</v>
      </c>
      <c r="G49">
        <v>7</v>
      </c>
      <c r="H49" s="332">
        <v>5</v>
      </c>
      <c r="I49" s="293"/>
      <c r="N49"/>
      <c r="Q49"/>
      <c r="T49"/>
    </row>
    <row r="50" spans="1:20" ht="12.75">
      <c r="A50" t="s">
        <v>434</v>
      </c>
      <c r="B50">
        <v>442</v>
      </c>
      <c r="C50">
        <v>536</v>
      </c>
      <c r="D50" s="332">
        <v>246</v>
      </c>
      <c r="E50">
        <v>2</v>
      </c>
      <c r="F50">
        <v>2</v>
      </c>
      <c r="I50" s="293"/>
      <c r="N50"/>
      <c r="Q50"/>
      <c r="T50"/>
    </row>
    <row r="51" spans="1:20" ht="12.75">
      <c r="A51" t="s">
        <v>442</v>
      </c>
      <c r="B51">
        <v>436</v>
      </c>
      <c r="C51">
        <v>1189</v>
      </c>
      <c r="D51" s="332">
        <v>388</v>
      </c>
      <c r="E51">
        <v>1</v>
      </c>
      <c r="F51">
        <v>1</v>
      </c>
      <c r="I51" s="293"/>
      <c r="N51"/>
      <c r="Q51"/>
      <c r="T51"/>
    </row>
    <row r="52" spans="1:20" ht="12.75">
      <c r="A52" t="s">
        <v>444</v>
      </c>
      <c r="B52">
        <v>459</v>
      </c>
      <c r="C52">
        <v>1635</v>
      </c>
      <c r="D52" s="332">
        <v>315</v>
      </c>
      <c r="I52" s="293"/>
      <c r="N52"/>
      <c r="Q52"/>
      <c r="T52"/>
    </row>
    <row r="53" spans="1:20" ht="12.75">
      <c r="A53" t="s">
        <v>451</v>
      </c>
      <c r="B53">
        <v>344</v>
      </c>
      <c r="C53">
        <v>6417</v>
      </c>
      <c r="D53" s="332">
        <v>3313</v>
      </c>
      <c r="E53">
        <v>9</v>
      </c>
      <c r="F53">
        <v>8</v>
      </c>
      <c r="I53" s="293"/>
      <c r="N53"/>
      <c r="Q53"/>
      <c r="T53"/>
    </row>
    <row r="54" spans="1:20" ht="12.75">
      <c r="A54" t="s">
        <v>454</v>
      </c>
      <c r="B54">
        <v>358</v>
      </c>
      <c r="C54">
        <v>1296</v>
      </c>
      <c r="D54" s="332">
        <v>502</v>
      </c>
      <c r="E54">
        <v>278</v>
      </c>
      <c r="F54">
        <v>236</v>
      </c>
      <c r="I54" s="293"/>
      <c r="N54"/>
      <c r="Q54"/>
      <c r="T54"/>
    </row>
    <row r="55" spans="1:20" ht="12.75">
      <c r="A55" t="s">
        <v>461</v>
      </c>
      <c r="B55">
        <v>343</v>
      </c>
      <c r="C55">
        <v>10861</v>
      </c>
      <c r="D55" s="332">
        <v>7418</v>
      </c>
      <c r="E55">
        <v>12</v>
      </c>
      <c r="F55">
        <v>11</v>
      </c>
      <c r="I55" s="293"/>
      <c r="N55"/>
      <c r="Q55"/>
      <c r="T55"/>
    </row>
    <row r="56" spans="1:20" ht="12.75">
      <c r="A56" t="s">
        <v>463</v>
      </c>
      <c r="B56">
        <v>345</v>
      </c>
      <c r="C56">
        <v>6055</v>
      </c>
      <c r="D56" s="332">
        <v>2728</v>
      </c>
      <c r="E56">
        <v>6</v>
      </c>
      <c r="F56">
        <v>6</v>
      </c>
      <c r="I56" s="293"/>
      <c r="N56"/>
      <c r="Q56"/>
      <c r="T56"/>
    </row>
    <row r="57" spans="1:20" ht="12.75">
      <c r="A57" t="s">
        <v>465</v>
      </c>
      <c r="B57">
        <v>348</v>
      </c>
      <c r="C57">
        <v>5703</v>
      </c>
      <c r="D57" s="332">
        <v>3493</v>
      </c>
      <c r="E57">
        <v>13</v>
      </c>
      <c r="F57">
        <v>9</v>
      </c>
      <c r="I57" s="293"/>
      <c r="N57"/>
      <c r="Q57"/>
      <c r="T57"/>
    </row>
    <row r="58" spans="1:20" ht="12.75">
      <c r="A58" t="s">
        <v>467</v>
      </c>
      <c r="B58">
        <v>354</v>
      </c>
      <c r="C58">
        <v>2365</v>
      </c>
      <c r="D58" s="332">
        <v>1493</v>
      </c>
      <c r="E58">
        <v>1</v>
      </c>
      <c r="I58" s="293"/>
      <c r="N58"/>
      <c r="Q58"/>
      <c r="T58"/>
    </row>
    <row r="59" spans="1:20" ht="12.75">
      <c r="A59" t="s">
        <v>469</v>
      </c>
      <c r="B59">
        <v>341</v>
      </c>
      <c r="C59">
        <v>8769</v>
      </c>
      <c r="D59" s="332">
        <v>5995</v>
      </c>
      <c r="E59">
        <v>39</v>
      </c>
      <c r="F59">
        <v>22</v>
      </c>
      <c r="I59" s="293"/>
      <c r="N59"/>
      <c r="Q59"/>
      <c r="T59"/>
    </row>
    <row r="60" spans="1:20" ht="12.75">
      <c r="A60" t="s">
        <v>470</v>
      </c>
      <c r="B60">
        <v>377</v>
      </c>
      <c r="C60">
        <v>6054</v>
      </c>
      <c r="D60" s="332">
        <v>3449</v>
      </c>
      <c r="E60">
        <v>29</v>
      </c>
      <c r="F60">
        <v>24</v>
      </c>
      <c r="I60" s="293"/>
      <c r="N60"/>
      <c r="Q60"/>
      <c r="T60"/>
    </row>
    <row r="61" spans="1:20" ht="12.75">
      <c r="A61" t="s">
        <v>472</v>
      </c>
      <c r="B61">
        <v>346</v>
      </c>
      <c r="C61">
        <v>12623</v>
      </c>
      <c r="D61" s="332">
        <v>8581</v>
      </c>
      <c r="E61">
        <v>14</v>
      </c>
      <c r="F61">
        <v>11</v>
      </c>
      <c r="I61" s="293"/>
      <c r="N61"/>
      <c r="Q61"/>
      <c r="T61"/>
    </row>
    <row r="62" spans="1:20" ht="12.75">
      <c r="A62" t="s">
        <v>480</v>
      </c>
      <c r="B62">
        <v>101</v>
      </c>
      <c r="C62">
        <v>2</v>
      </c>
      <c r="D62" s="332">
        <v>2</v>
      </c>
      <c r="I62" s="293"/>
      <c r="N62"/>
      <c r="Q62"/>
      <c r="T62"/>
    </row>
    <row r="63" spans="1:20" ht="12.75">
      <c r="A63" t="s">
        <v>539</v>
      </c>
      <c r="B63">
        <v>376</v>
      </c>
      <c r="N63"/>
      <c r="Q63"/>
      <c r="T63"/>
    </row>
    <row r="64" spans="1:20" ht="12.75">
      <c r="A64" t="s">
        <v>429</v>
      </c>
      <c r="B64">
        <v>397</v>
      </c>
      <c r="C64">
        <v>34</v>
      </c>
      <c r="D64" s="332">
        <v>8</v>
      </c>
      <c r="N64"/>
      <c r="Q64"/>
      <c r="T64"/>
    </row>
    <row r="65" spans="14:20" ht="12.75">
      <c r="N65"/>
      <c r="Q65"/>
      <c r="T65"/>
    </row>
    <row r="66" spans="14:20" ht="12.75">
      <c r="N66"/>
      <c r="Q66"/>
      <c r="T66"/>
    </row>
    <row r="67" spans="10:20" ht="12.75">
      <c r="J67" s="334"/>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sheetProtection/>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zoomScalePageLayoutView="0" workbookViewId="0" topLeftCell="J1">
      <selection activeCell="A1" sqref="A1"/>
    </sheetView>
  </sheetViews>
  <sheetFormatPr defaultColWidth="9.140625" defaultRowHeight="12.75"/>
  <cols>
    <col min="1" max="1" width="18.28125" style="0" customWidth="1"/>
    <col min="2" max="2" width="12.140625" style="332" customWidth="1"/>
    <col min="3" max="3" width="25.57421875" style="0" bestFit="1" customWidth="1"/>
    <col min="5" max="5" width="14.28125" style="332" bestFit="1" customWidth="1"/>
    <col min="6" max="6" width="22.28125" style="0" customWidth="1"/>
    <col min="7" max="7" width="16.7109375" style="332" customWidth="1"/>
    <col min="8" max="8" width="13.8515625" style="0" customWidth="1"/>
    <col min="10" max="10" width="17.140625" style="0" customWidth="1"/>
    <col min="11" max="11" width="11.8515625" style="0" customWidth="1"/>
    <col min="12" max="12" width="8.8515625" style="332" customWidth="1"/>
    <col min="13" max="13" width="7.57421875" style="0" customWidth="1"/>
    <col min="14" max="14" width="18.57421875" style="0" customWidth="1"/>
    <col min="15" max="15" width="24.57421875" style="332" customWidth="1"/>
    <col min="16" max="16" width="7.57421875" style="357" customWidth="1"/>
    <col min="17" max="17" width="18.57421875" style="0" customWidth="1"/>
    <col min="18" max="18" width="24.57421875" style="0" customWidth="1"/>
  </cols>
  <sheetData>
    <row r="1" spans="1:18" ht="12.75">
      <c r="A1" s="337" t="s">
        <v>496</v>
      </c>
      <c r="B1" s="337"/>
      <c r="C1" s="458" t="s">
        <v>555</v>
      </c>
      <c r="D1" s="458"/>
      <c r="E1" s="458"/>
      <c r="F1" s="458" t="s">
        <v>497</v>
      </c>
      <c r="G1" s="458"/>
      <c r="H1" s="458" t="s">
        <v>568</v>
      </c>
      <c r="I1" s="458"/>
      <c r="J1" s="458" t="s">
        <v>579</v>
      </c>
      <c r="K1" s="458"/>
      <c r="L1" s="458"/>
      <c r="M1" s="292" t="s">
        <v>548</v>
      </c>
      <c r="N1" s="292" t="s">
        <v>580</v>
      </c>
      <c r="O1" s="331" t="s">
        <v>556</v>
      </c>
      <c r="P1" s="333" t="s">
        <v>548</v>
      </c>
      <c r="Q1" s="292" t="s">
        <v>580</v>
      </c>
      <c r="R1" s="292" t="s">
        <v>556</v>
      </c>
    </row>
    <row r="2" spans="1:18" ht="12.75">
      <c r="A2" t="s">
        <v>175</v>
      </c>
      <c r="B2" s="332">
        <f>SUM(B3:B4)</f>
        <v>36</v>
      </c>
      <c r="C2" t="s">
        <v>546</v>
      </c>
      <c r="D2">
        <f>SUM(D4:D5)</f>
        <v>5646</v>
      </c>
      <c r="F2" t="s">
        <v>175</v>
      </c>
      <c r="G2" s="332">
        <f>SUM(G3:G4)</f>
        <v>10</v>
      </c>
      <c r="H2" t="s">
        <v>175</v>
      </c>
      <c r="J2" t="s">
        <v>182</v>
      </c>
      <c r="K2" t="s">
        <v>462</v>
      </c>
      <c r="L2" s="332">
        <f>IF(ISNA(VLOOKUP(K2,'Award Adjustment_Data'!$A$2:$I$69,3,FALSE)),"0",(VLOOKUP(K2,'Award Adjustment_Data'!$A$2:$I$69,3,FALSE)))</f>
        <v>6257</v>
      </c>
      <c r="M2">
        <v>310</v>
      </c>
      <c r="N2">
        <v>135</v>
      </c>
      <c r="O2" s="332">
        <v>568</v>
      </c>
      <c r="P2" s="293">
        <v>310</v>
      </c>
      <c r="Q2">
        <v>135</v>
      </c>
      <c r="R2">
        <v>210</v>
      </c>
    </row>
    <row r="3" spans="1:18" ht="12.75">
      <c r="A3" t="s">
        <v>480</v>
      </c>
      <c r="B3" s="332">
        <f>VLOOKUP(A3,'Award Adjustment_Data'!A$3:K$65,3,FALSE)</f>
        <v>2</v>
      </c>
      <c r="C3" t="s">
        <v>547</v>
      </c>
      <c r="D3">
        <f>SUM(D6:D7)</f>
        <v>3106</v>
      </c>
      <c r="F3" t="s">
        <v>480</v>
      </c>
      <c r="G3" s="339">
        <f>IF(ISNA(VLOOKUP(F3,'Award Adjustment_Data'!A2:H69,4,FALSE)),"0",(VLOOKUP(F3,'Award Adjustment_Data'!A2:H69,4,FALSE)))</f>
        <v>2</v>
      </c>
      <c r="H3" t="s">
        <v>480</v>
      </c>
      <c r="I3" s="339" t="str">
        <f>IF(ISNA(VLOOKUP(H3,'Award Adjustment_Data'!C2:J69,5,FALSE)),"0",(VLOOKUP(H3,'Award Adjustment_Data'!C2:J69,5,FALSE)))</f>
        <v>0</v>
      </c>
      <c r="J3" s="360"/>
      <c r="K3" t="s">
        <v>455</v>
      </c>
      <c r="L3" s="332">
        <f>IF(ISNA(VLOOKUP(K3,'Award Adjustment_Data'!$A$2:$I$69,3,FALSE)),"0",(VLOOKUP(K3,'Award Adjustment_Data'!$A$2:$I$69,3,FALSE)))</f>
        <v>3789</v>
      </c>
      <c r="M3">
        <v>330</v>
      </c>
      <c r="N3">
        <v>135</v>
      </c>
      <c r="O3" s="332">
        <v>564</v>
      </c>
      <c r="P3" s="293">
        <v>330</v>
      </c>
      <c r="Q3">
        <v>135</v>
      </c>
      <c r="R3">
        <v>35</v>
      </c>
    </row>
    <row r="4" spans="1:18" ht="12.75">
      <c r="A4" t="s">
        <v>429</v>
      </c>
      <c r="B4" s="332">
        <f>VLOOKUP(A4,'Award Adjustment_Data'!A$3:K$65,3,FALSE)</f>
        <v>34</v>
      </c>
      <c r="C4" t="s">
        <v>438</v>
      </c>
      <c r="D4">
        <f>VLOOKUP(C4,'Award Adjustment_Data'!A3:G66,3,FALSE)</f>
        <v>5639</v>
      </c>
      <c r="E4" s="332" t="s">
        <v>491</v>
      </c>
      <c r="F4" t="s">
        <v>429</v>
      </c>
      <c r="G4" s="339">
        <f>IF(ISNA(VLOOKUP(F4,'Award Adjustment_Data'!A2:H69,4,FALSE)),"0",(VLOOKUP(F4,'Award Adjustment_Data'!A2:H69,4,FALSE)))</f>
        <v>8</v>
      </c>
      <c r="H4" t="s">
        <v>429</v>
      </c>
      <c r="I4" s="339" t="str">
        <f>IF(ISNA(VLOOKUP(H4,'Award Adjustment_Data'!C3:J70,5,FALSE)),"0",(VLOOKUP(H4,'Award Adjustment_Data'!C3:J70,5,FALSE)))</f>
        <v>0</v>
      </c>
      <c r="J4" s="360"/>
      <c r="K4" t="s">
        <v>475</v>
      </c>
      <c r="L4" s="332">
        <f>IF(ISNA(VLOOKUP(K4,'Award Adjustment_Data'!$A$2:$I$69,3,FALSE)),"0",(VLOOKUP(K4,'Award Adjustment_Data'!$A$2:$I$69,3,FALSE)))</f>
        <v>4018</v>
      </c>
      <c r="M4">
        <v>335</v>
      </c>
      <c r="N4">
        <v>135</v>
      </c>
      <c r="O4" s="332">
        <v>551</v>
      </c>
      <c r="P4" s="293">
        <v>335</v>
      </c>
      <c r="Q4">
        <v>135</v>
      </c>
      <c r="R4">
        <v>255</v>
      </c>
    </row>
    <row r="5" spans="3:12" ht="12.75">
      <c r="C5" t="s">
        <v>438</v>
      </c>
      <c r="D5">
        <f>VLOOKUP(C4,'Award Adjustment_Data'!A2:G69,7,FALSE)</f>
        <v>7</v>
      </c>
      <c r="E5" s="332" t="s">
        <v>489</v>
      </c>
      <c r="J5" t="s">
        <v>581</v>
      </c>
      <c r="K5" t="s">
        <v>462</v>
      </c>
      <c r="L5" s="332">
        <f>IF(ISNA(VLOOKUP(K5,'Award Adjustment_Data'!$A$2:$I$69,4,FALSE)),"0",(VLOOKUP(K5,'Award Adjustment_Data'!$A$2:$I$69,4,FALSE)))</f>
        <v>3839</v>
      </c>
    </row>
    <row r="6" spans="3:12" ht="12.75">
      <c r="C6" t="s">
        <v>438</v>
      </c>
      <c r="D6">
        <f>VLOOKUP(C6,'Award Adjustment_Data'!A5:G68,4,FALSE)</f>
        <v>3101</v>
      </c>
      <c r="E6" s="332" t="s">
        <v>554</v>
      </c>
      <c r="K6" t="s">
        <v>455</v>
      </c>
      <c r="L6" s="332">
        <f>IF(ISNA(VLOOKUP(K6,'Award Adjustment_Data'!$A$2:$I$69,4,FALSE)),"0",(VLOOKUP(K6,'Award Adjustment_Data'!$A$2:$I$69,4,FALSE)))</f>
        <v>1058</v>
      </c>
    </row>
    <row r="7" spans="3:12" ht="12.75">
      <c r="C7" t="s">
        <v>438</v>
      </c>
      <c r="D7">
        <f>VLOOKUP(C6,'Award Adjustment_Data'!A4:H71,8,FALSE)</f>
        <v>5</v>
      </c>
      <c r="E7" s="332" t="s">
        <v>553</v>
      </c>
      <c r="K7" t="s">
        <v>475</v>
      </c>
      <c r="L7" s="332">
        <f>IF(ISNA(VLOOKUP(K7,'Award Adjustment_Data'!$A$2:$I$69,3,FALSE)),"0",(VLOOKUP(K7,'Award Adjustment_Data'!$A$2:$I$69,4,FALSE)))</f>
        <v>575</v>
      </c>
    </row>
  </sheetData>
  <sheetProtection/>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22, 2012  Monday Morning Workload Report (Office of Performance Analysis and Integrity)</dc:title>
  <dc:subject>October 22, 2012-Monday Morning Workload Report</dc:subject>
  <dc:creator>Wallace, Kirkland, VBAVACO</dc:creator>
  <cp:keywords>vacols, scorecard, rating, pending, 180, c&amp;p, wipp, pre-discharge,  appeals, SOC's, adjudicative, IVMs, guarantees, COE</cp:keywords>
  <dc:description/>
  <cp:lastModifiedBy>Wallace, Kirkland, VBAVACO</cp:lastModifiedBy>
  <cp:lastPrinted>2012-10-01T16:41:03Z</cp:lastPrinted>
  <dcterms:created xsi:type="dcterms:W3CDTF">2009-08-25T18:46:26Z</dcterms:created>
  <dcterms:modified xsi:type="dcterms:W3CDTF">2012-11-07T16:47:38Z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20121022</vt:lpwstr>
  </property>
  <property fmtid="{D5CDD505-2E9C-101B-9397-08002B2CF9AE}" pid="6" name="Type">
    <vt:lpwstr>Report</vt:lpwstr>
  </property>
</Properties>
</file>