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20" windowWidth="19095" windowHeight="11400" tabRatio="746" activeTab="0"/>
  </bookViews>
  <sheets>
    <sheet name="Transformation" sheetId="1" r:id="rId1"/>
    <sheet name="Final Aggregate" sheetId="2" r:id="rId2"/>
    <sheet name="Aggregate Worksheet" sheetId="3" state="hidden" r:id="rId3"/>
    <sheet name="Entitlement_Data" sheetId="4" state="hidden" r:id="rId4"/>
    <sheet name="Award_Formulas" sheetId="5" state="hidden" r:id="rId5"/>
    <sheet name="Transformation_Data" sheetId="6" state="hidden" r:id="rId6"/>
    <sheet name="Program_Review_Data" sheetId="7" state="hidden" r:id="rId7"/>
    <sheet name="Program_Review_Formulas" sheetId="8" state="hidden" r:id="rId8"/>
    <sheet name="Other_Data" sheetId="9" state="hidden" r:id="rId9"/>
    <sheet name="Other_Data_Formulas" sheetId="10" state="hidden" r:id="rId10"/>
    <sheet name="Burial_Data" sheetId="11" state="hidden" r:id="rId11"/>
    <sheet name="Burial_Formulas" sheetId="12" state="hidden" r:id="rId12"/>
    <sheet name="Accrued_Data" sheetId="13" state="hidden" r:id="rId13"/>
    <sheet name="Accrued_Formulas" sheetId="14" state="hidden" r:id="rId14"/>
    <sheet name="SB Calculation" sheetId="15" state="hidden" r:id="rId15"/>
  </sheets>
  <definedNames>
    <definedName name="_xlnm.Print_Area" localSheetId="2">'Aggregate Worksheet'!$A$1:$P$99</definedName>
    <definedName name="_xlnm.Print_Area" localSheetId="1">'Final Aggregate'!$A$1:$Q$97</definedName>
    <definedName name="Query_from_MS_Access_Database" localSheetId="4">'Award_Formulas'!$M$1:$O$4</definedName>
    <definedName name="Query_from_MS_Access_Database" localSheetId="3">'Entitlement_Data'!$A$2:$G$64</definedName>
    <definedName name="Query_from_MS_Access_Database_1" localSheetId="12">'Accrued_Data'!$A$2:$D$48</definedName>
    <definedName name="Query_from_MS_Access_Database_1" localSheetId="4">'Award_Formulas'!$P$1:$R$4</definedName>
    <definedName name="Query_from_MS_Access_Database_1" localSheetId="10">'Burial_Data'!$A$2:$C$64</definedName>
    <definedName name="Query_from_MS_Access_Database_1" localSheetId="8">'Other_Data'!$A$2:$E$64</definedName>
    <definedName name="Query_from_MS_Access_Database_1" localSheetId="6">'Program_Review_Data'!$A$2:$E$64</definedName>
    <definedName name="Query_from_MS_Access_Database_5" localSheetId="5">'Transformation_Data'!$A$2:$B$50</definedName>
    <definedName name="Query_from_MS_Access_Database_6" localSheetId="5">'Transformation_Data'!$C$2:$D$50</definedName>
    <definedName name="Query_from_MS_Access_Database_7" localSheetId="5">'Transformation_Data'!$A$54:$A$56</definedName>
    <definedName name="Query_from_MS_Access_Database_8" localSheetId="5">'Transformation_Data'!$C$54:$C$56</definedName>
    <definedName name="TableName">"Dummy"</definedName>
  </definedNames>
  <calcPr fullCalcOnLoad="1"/>
</workbook>
</file>

<file path=xl/comments15.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3.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sharedStrings.xml><?xml version="1.0" encoding="utf-8"?>
<sst xmlns="http://schemas.openxmlformats.org/spreadsheetml/2006/main" count="1159" uniqueCount="454">
  <si>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</si>
  <si>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</si>
  <si>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</si>
  <si>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</si>
  <si>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</si>
  <si>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</si>
  <si>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</si>
  <si>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</si>
  <si>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Number of cases Pending for over 125 Days</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</si>
  <si>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</si>
  <si>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</si>
  <si>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</si>
  <si>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</si>
  <si>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</si>
  <si>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</si>
  <si>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Accrued</t>
  </si>
  <si>
    <t>165 (PMC)</t>
  </si>
  <si>
    <t># Pending Over 125</t>
  </si>
  <si>
    <t>% Over 125</t>
  </si>
  <si>
    <t>Pending over 125 days</t>
  </si>
  <si>
    <t>Percent Pending over 125 days</t>
  </si>
  <si>
    <t>407 (PMCs Only), 507, 937 (PMCs only)</t>
  </si>
  <si>
    <t>154, 696 (PMCs Only), 697(PMC Only)</t>
  </si>
  <si>
    <t>165(PMC)</t>
  </si>
  <si>
    <t>VACOLS +BVA</t>
  </si>
  <si>
    <t># Pending</t>
  </si>
  <si>
    <t>USA</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</si>
  <si>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</si>
  <si>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</si>
  <si>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</si>
  <si>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</si>
  <si>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</si>
  <si>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</si>
  <si>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</si>
  <si>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</si>
  <si>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</si>
  <si>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</si>
  <si>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</si>
  <si>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</si>
  <si>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</si>
  <si>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</si>
  <si>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</si>
  <si>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</si>
  <si>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</si>
  <si>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</si>
  <si>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</si>
  <si>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</si>
  <si>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</si>
  <si>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</si>
  <si>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</si>
  <si>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</si>
  <si>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</si>
  <si>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</si>
  <si>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</si>
  <si>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</si>
  <si>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</si>
  <si>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</si>
  <si>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</si>
  <si>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</si>
  <si>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</si>
  <si>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</si>
  <si>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</si>
  <si>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</si>
  <si>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</si>
  <si>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</si>
  <si>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</si>
  <si>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</si>
  <si>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</si>
  <si>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</si>
  <si>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</si>
  <si>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</si>
  <si>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</si>
  <si>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</si>
  <si>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</si>
  <si>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</si>
  <si>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</si>
  <si>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</si>
  <si>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</si>
  <si>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</si>
  <si>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</si>
  <si>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</si>
  <si>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</si>
  <si>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</si>
  <si>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</si>
  <si>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</si>
  <si>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</si>
  <si>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</si>
  <si>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</si>
  <si>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</si>
  <si>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</si>
  <si>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</si>
  <si>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</si>
  <si>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</si>
  <si>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</si>
  <si>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</si>
  <si>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</si>
  <si>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</si>
  <si>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</si>
  <si>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</si>
  <si>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</si>
  <si>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</si>
  <si>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</si>
  <si>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</si>
  <si>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</si>
  <si>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</si>
  <si>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</si>
  <si>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</si>
  <si>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</si>
  <si>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</si>
  <si>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</si>
  <si>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</si>
  <si>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</si>
  <si>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</si>
  <si>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</si>
  <si>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</si>
  <si>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</si>
  <si>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</si>
  <si>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</si>
  <si>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</si>
  <si>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</si>
  <si>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</si>
  <si>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</si>
  <si>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</si>
  <si>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</si>
  <si>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</si>
  <si>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</si>
  <si>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</si>
  <si>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</si>
  <si>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</si>
  <si>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</si>
  <si>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</si>
  <si>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</si>
  <si>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</si>
  <si>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</si>
  <si>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</si>
  <si>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</si>
  <si>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</si>
  <si>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</si>
  <si>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</si>
  <si>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</si>
  <si>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</si>
  <si>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</si>
  <si>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</si>
  <si>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</si>
  <si>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</si>
  <si>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</si>
  <si>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</si>
  <si>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</si>
  <si>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</si>
  <si>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</si>
  <si>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</si>
  <si>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</si>
  <si>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</si>
  <si>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</si>
  <si>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</si>
  <si>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</si>
  <si>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</si>
  <si>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</si>
  <si>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</si>
  <si>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</si>
  <si>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</si>
  <si>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</si>
  <si>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</si>
  <si>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</si>
  <si>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</si>
  <si>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</si>
  <si>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</si>
  <si>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</si>
  <si>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</si>
  <si>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</si>
  <si>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</si>
  <si>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</si>
  <si>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</si>
  <si>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</si>
  <si>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</si>
  <si>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</si>
  <si>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</si>
  <si>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</si>
  <si>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</si>
  <si>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</si>
  <si>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</si>
  <si>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</si>
  <si>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</si>
  <si>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</si>
  <si>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</si>
  <si>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</si>
  <si>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</si>
  <si>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</si>
  <si>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</si>
  <si>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</si>
  <si>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</si>
  <si>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</si>
  <si>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</si>
  <si>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</si>
  <si>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</si>
  <si>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</si>
  <si>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</si>
  <si>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</si>
  <si>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</si>
  <si>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</si>
  <si>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</si>
  <si>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</si>
  <si>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</si>
  <si>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</si>
  <si>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</si>
  <si>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</si>
  <si>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</si>
  <si>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</si>
  <si>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</si>
  <si>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</si>
  <si>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</si>
  <si>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</si>
  <si>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</si>
  <si>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</si>
  <si>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</si>
  <si>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</si>
  <si>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</si>
  <si>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</si>
  <si>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</si>
  <si>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</si>
  <si>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</si>
  <si>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</si>
  <si>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</si>
  <si>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</si>
  <si>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</si>
  <si>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</si>
  <si>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</si>
  <si>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</si>
  <si>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</si>
  <si>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</si>
  <si>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</si>
  <si>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</si>
  <si>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</si>
  <si>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</si>
  <si>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</si>
  <si>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</si>
  <si>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</si>
  <si>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</si>
  <si>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</si>
  <si>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</si>
  <si>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</si>
  <si>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</si>
  <si>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</si>
  <si>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</si>
  <si>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</si>
  <si>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</si>
  <si>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</si>
  <si>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</si>
  <si>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</si>
  <si>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</si>
  <si>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</si>
  <si>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</si>
  <si>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</si>
  <si>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</si>
  <si>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</si>
  <si>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</si>
  <si>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</si>
  <si>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</si>
  <si>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</si>
  <si>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</si>
  <si>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</si>
  <si>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</si>
  <si>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</si>
  <si>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</si>
  <si>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</si>
  <si>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</si>
  <si>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</si>
  <si>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</si>
  <si>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</si>
  <si>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</si>
  <si>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Cheyenne</t>
  </si>
  <si>
    <t xml:space="preserve">      EP 410 </t>
  </si>
  <si>
    <t xml:space="preserve">     EP 420</t>
  </si>
  <si>
    <t xml:space="preserve">      EP 450</t>
  </si>
  <si>
    <t>407, 507, 937, 967</t>
  </si>
  <si>
    <t xml:space="preserve">* Revised to more accurately categorize the Agent Orange presumptive workload.  </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</si>
  <si>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</si>
  <si>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</si>
  <si>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</si>
  <si>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</si>
  <si>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</si>
  <si>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010, 110, 140, 180, 020, 120, 310, 320, 681, 687, 405, 409</t>
  </si>
  <si>
    <t xml:space="preserve"> Pending over 125 days</t>
  </si>
  <si>
    <t>(095, 010, 110)+(140, 410)+(020,320,420)+(681+687+ 405+409)</t>
  </si>
  <si>
    <t xml:space="preserve">VSC and AMC total (Cell P11) + PMCs (Cell P76) </t>
  </si>
  <si>
    <t>314, 680, 682, 684,685, 690, 690 grp (less 696, 697)</t>
  </si>
  <si>
    <t>`</t>
  </si>
  <si>
    <t>135 (at PMC), 137, 150, 155, 297, 607</t>
  </si>
  <si>
    <t>Check:  Should match total in cell D105 of Transformation sheet</t>
  </si>
  <si>
    <t>Press Once</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</si>
  <si>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</si>
  <si>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</si>
  <si>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</si>
  <si>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</si>
  <si>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</si>
  <si>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</si>
  <si>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</si>
  <si>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</si>
  <si>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</si>
  <si>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</si>
  <si>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</si>
  <si>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</si>
  <si>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</si>
  <si>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</si>
  <si>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</si>
  <si>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</si>
  <si>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</si>
  <si>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</si>
  <si>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</si>
  <si>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</si>
  <si>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</si>
  <si>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</si>
  <si>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</si>
  <si>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</si>
  <si>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</si>
  <si>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</si>
  <si>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</si>
  <si>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</si>
  <si>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</si>
  <si>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</si>
  <si>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</si>
  <si>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</si>
  <si>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</si>
  <si>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</si>
  <si>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</si>
  <si>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</si>
  <si>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</si>
  <si>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</si>
  <si>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</si>
  <si>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</si>
  <si>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</si>
  <si>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</si>
  <si>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</si>
  <si>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</si>
  <si>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</si>
  <si>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</si>
  <si>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</si>
  <si>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</si>
  <si>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</si>
  <si>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</si>
  <si>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</si>
  <si>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</si>
  <si>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</si>
  <si>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</si>
  <si>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</si>
  <si>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</si>
  <si>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</si>
  <si>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</si>
  <si>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</si>
  <si>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</si>
  <si>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</si>
  <si>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</si>
  <si>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</si>
  <si>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</si>
  <si>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</si>
  <si>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</si>
  <si>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Rating Ent&gt;125 Days</t>
  </si>
  <si>
    <t>Other  (in transit)</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</si>
  <si>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</si>
  <si>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</si>
  <si>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</si>
  <si>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</si>
  <si>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</si>
  <si>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</si>
  <si>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</si>
  <si>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</si>
  <si>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</si>
  <si>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</si>
  <si>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</si>
  <si>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</si>
  <si>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</si>
  <si>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</si>
  <si>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</si>
  <si>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</si>
  <si>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</si>
  <si>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</si>
  <si>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</si>
  <si>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</si>
  <si>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</si>
  <si>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</si>
  <si>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</si>
  <si>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</si>
  <si>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</si>
  <si>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</si>
  <si>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</si>
  <si>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</si>
  <si>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</si>
  <si>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</si>
  <si>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</si>
  <si>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</si>
  <si>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</si>
  <si>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</si>
  <si>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</si>
  <si>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</si>
  <si>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</si>
  <si>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</si>
  <si>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</si>
  <si>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</si>
  <si>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</si>
  <si>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</si>
  <si>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</si>
  <si>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</si>
  <si>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</si>
  <si>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</si>
  <si>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</si>
  <si>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</si>
  <si>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</si>
  <si>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Total Denver Entitlement</t>
  </si>
  <si>
    <t>Total Denver Entitlement &gt;125</t>
  </si>
  <si>
    <t>STA_ID</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</si>
  <si>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</si>
  <si>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</si>
  <si>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</si>
  <si>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</si>
  <si>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</si>
  <si>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</si>
  <si>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</si>
  <si>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</si>
  <si>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</si>
  <si>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</si>
  <si>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</si>
  <si>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</si>
  <si>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</si>
  <si>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</si>
  <si>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</si>
  <si>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</si>
  <si>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</si>
  <si>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</si>
  <si>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</si>
  <si>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</si>
  <si>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</si>
  <si>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</si>
  <si>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</si>
  <si>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</si>
  <si>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</si>
  <si>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</si>
  <si>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</si>
  <si>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</si>
  <si>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</si>
  <si>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</si>
  <si>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</si>
  <si>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</si>
  <si>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</si>
  <si>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</si>
  <si>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</si>
  <si>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</si>
  <si>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</si>
  <si>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</si>
  <si>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</si>
  <si>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</si>
  <si>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</si>
  <si>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</si>
  <si>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</si>
  <si>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December 15,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</si>
</sst>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6">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2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0" fontId="27" fillId="0" borderId="0" xfId="61" applyFont="1" applyAlignment="1">
      <alignment horizontal="right"/>
      <protection/>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7"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38"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49"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49"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49"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34" borderId="49"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0"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1" xfId="0" applyFont="1" applyFill="1" applyBorder="1" applyAlignment="1">
      <alignment horizontal="left" vertical="center" wrapText="1"/>
    </xf>
    <xf numFmtId="0" fontId="0" fillId="33" borderId="52"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3"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4"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5"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6" xfId="0" applyNumberFormat="1" applyFill="1" applyBorder="1" applyAlignment="1" applyProtection="1">
      <alignment/>
      <protection/>
    </xf>
    <xf numFmtId="173" fontId="0" fillId="7" borderId="57" xfId="0" applyNumberFormat="1" applyFill="1" applyBorder="1" applyAlignment="1" applyProtection="1">
      <alignment/>
      <protection/>
    </xf>
    <xf numFmtId="173" fontId="0" fillId="7" borderId="58" xfId="0" applyNumberFormat="1" applyFill="1" applyBorder="1" applyAlignment="1" applyProtection="1">
      <alignment/>
      <protection/>
    </xf>
    <xf numFmtId="3" fontId="30" fillId="7" borderId="59" xfId="0" applyNumberFormat="1" applyFont="1" applyFill="1" applyBorder="1" applyAlignment="1">
      <alignment horizontal="center"/>
    </xf>
    <xf numFmtId="3" fontId="30" fillId="7" borderId="60" xfId="0" applyNumberFormat="1" applyFont="1" applyFill="1" applyBorder="1" applyAlignment="1">
      <alignment horizontal="center"/>
    </xf>
    <xf numFmtId="3" fontId="30" fillId="7" borderId="61" xfId="0" applyNumberFormat="1" applyFont="1" applyFill="1" applyBorder="1" applyAlignment="1">
      <alignment horizontal="center"/>
    </xf>
    <xf numFmtId="3" fontId="0" fillId="39" borderId="17" xfId="0" applyNumberFormat="1" applyFill="1" applyBorder="1" applyAlignment="1">
      <alignment/>
    </xf>
    <xf numFmtId="3" fontId="8" fillId="35" borderId="62"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3"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1" xfId="0" applyNumberFormat="1" applyFont="1" applyFill="1" applyBorder="1" applyAlignment="1">
      <alignment horizontal="left" wrapText="1"/>
    </xf>
    <xf numFmtId="0" fontId="0" fillId="0" borderId="52" xfId="0" applyBorder="1" applyAlignment="1">
      <alignment horizontal="left" wrapText="1"/>
    </xf>
    <xf numFmtId="0" fontId="0" fillId="0" borderId="53" xfId="0" applyBorder="1" applyAlignment="1">
      <alignment horizontal="left" wrapText="1"/>
    </xf>
    <xf numFmtId="0" fontId="5" fillId="34" borderId="37" xfId="0" applyFont="1" applyFill="1" applyBorder="1" applyAlignment="1">
      <alignment horizontal="center" wrapText="1"/>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2"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8" borderId="0" xfId="0" applyFont="1" applyFill="1" applyAlignment="1">
      <alignment horizontal="center"/>
    </xf>
    <xf numFmtId="0" fontId="8" fillId="40"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5"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205</v>
      </c>
      <c r="C2" s="290"/>
      <c r="D2" s="224"/>
      <c r="E2" s="162" t="s">
        <v>25</v>
      </c>
      <c r="F2" s="160" t="s">
        <v>17</v>
      </c>
      <c r="G2" s="160" t="s">
        <v>18</v>
      </c>
    </row>
    <row r="3" spans="2:7" ht="3.75" customHeight="1">
      <c r="B3" s="225"/>
      <c r="C3" s="291"/>
      <c r="D3" s="226"/>
      <c r="E3" s="368">
        <v>899049</v>
      </c>
      <c r="F3" s="370">
        <v>607235</v>
      </c>
      <c r="G3" s="366">
        <v>0.6754192485615356</v>
      </c>
    </row>
    <row r="4" spans="2:7" ht="14.25" customHeight="1" thickBot="1">
      <c r="B4" s="237">
        <v>41258</v>
      </c>
      <c r="C4" s="292"/>
      <c r="D4" s="227"/>
      <c r="E4" s="369"/>
      <c r="F4" s="371"/>
      <c r="G4" s="367"/>
    </row>
    <row r="5" spans="2:7" ht="10.5" customHeight="1" thickBot="1">
      <c r="B5" s="105"/>
      <c r="C5" s="105"/>
      <c r="D5" s="106"/>
      <c r="E5" s="53"/>
      <c r="F5" s="53"/>
      <c r="G5" s="53"/>
    </row>
    <row r="6" spans="2:7" ht="25.5">
      <c r="B6" s="372" t="s">
        <v>225</v>
      </c>
      <c r="C6" s="373"/>
      <c r="D6" s="374"/>
      <c r="E6" s="162" t="s">
        <v>25</v>
      </c>
      <c r="F6" s="160" t="s">
        <v>17</v>
      </c>
      <c r="G6" s="160" t="s">
        <v>18</v>
      </c>
    </row>
    <row r="7" spans="2:7" ht="12" customHeight="1">
      <c r="B7" s="375"/>
      <c r="C7" s="376"/>
      <c r="D7" s="377"/>
      <c r="E7" s="368">
        <v>863787</v>
      </c>
      <c r="F7" s="370">
        <v>581445</v>
      </c>
      <c r="G7" s="366">
        <v>0.6731346964008488</v>
      </c>
    </row>
    <row r="8" spans="2:7" ht="2.25" customHeight="1" thickBot="1">
      <c r="B8" s="378"/>
      <c r="C8" s="379"/>
      <c r="D8" s="380"/>
      <c r="E8" s="369"/>
      <c r="F8" s="371"/>
      <c r="G8" s="367"/>
    </row>
    <row r="9" spans="2:7" ht="18.75" customHeight="1" thickBot="1">
      <c r="B9" s="108" t="s">
        <v>206</v>
      </c>
      <c r="C9" s="108"/>
      <c r="D9" s="106"/>
      <c r="E9" s="54"/>
      <c r="F9" s="54"/>
      <c r="G9" s="54"/>
    </row>
    <row r="10" spans="2:8" ht="27" customHeight="1">
      <c r="B10" s="109"/>
      <c r="C10" s="293"/>
      <c r="D10" s="345" t="s">
        <v>14</v>
      </c>
      <c r="E10" s="162" t="s">
        <v>25</v>
      </c>
      <c r="F10" s="163" t="s">
        <v>17</v>
      </c>
      <c r="G10" s="164" t="s">
        <v>18</v>
      </c>
      <c r="H10" s="50"/>
    </row>
    <row r="11" spans="2:8" ht="15" customHeight="1">
      <c r="B11" s="137" t="s">
        <v>13</v>
      </c>
      <c r="C11" s="294"/>
      <c r="D11" s="346"/>
      <c r="E11" s="127">
        <v>824016</v>
      </c>
      <c r="F11" s="128">
        <v>567039</v>
      </c>
      <c r="G11" s="129">
        <v>0.6881407642570048</v>
      </c>
      <c r="H11" s="50"/>
    </row>
    <row r="12" spans="1:8" s="113" customFormat="1" ht="21" customHeight="1">
      <c r="A12" s="111"/>
      <c r="B12" s="112" t="s">
        <v>6</v>
      </c>
      <c r="C12" s="295"/>
      <c r="D12" s="110"/>
      <c r="E12" s="58"/>
      <c r="F12" s="59"/>
      <c r="G12" s="55"/>
      <c r="H12" s="51"/>
    </row>
    <row r="13" spans="2:8" ht="15">
      <c r="B13" s="114" t="s">
        <v>207</v>
      </c>
      <c r="C13" s="308" t="s">
        <v>400</v>
      </c>
      <c r="D13" s="178" t="s">
        <v>219</v>
      </c>
      <c r="E13" s="130">
        <v>1790</v>
      </c>
      <c r="F13" s="130">
        <v>1436</v>
      </c>
      <c r="G13" s="132">
        <v>0.8022346368715084</v>
      </c>
      <c r="H13" s="50"/>
    </row>
    <row r="14" spans="2:8" ht="15">
      <c r="B14" s="114" t="s">
        <v>208</v>
      </c>
      <c r="C14" s="308" t="s">
        <v>386</v>
      </c>
      <c r="D14" s="179" t="s">
        <v>220</v>
      </c>
      <c r="E14" s="130">
        <v>74616</v>
      </c>
      <c r="F14" s="130">
        <v>50932</v>
      </c>
      <c r="G14" s="132">
        <v>0.6825881848397126</v>
      </c>
      <c r="H14" s="50"/>
    </row>
    <row r="15" spans="2:8" ht="15">
      <c r="B15" s="114" t="s">
        <v>9</v>
      </c>
      <c r="C15" s="308" t="s">
        <v>385</v>
      </c>
      <c r="D15" s="170">
        <v>110</v>
      </c>
      <c r="E15" s="130">
        <v>242742</v>
      </c>
      <c r="F15" s="130">
        <v>171507</v>
      </c>
      <c r="G15" s="132">
        <v>0.7065402773314877</v>
      </c>
      <c r="H15" s="50"/>
    </row>
    <row r="16" spans="2:8" ht="24.75" customHeight="1">
      <c r="B16" s="112" t="s">
        <v>7</v>
      </c>
      <c r="C16" s="295"/>
      <c r="D16" s="180"/>
      <c r="E16" s="58"/>
      <c r="F16" s="59"/>
      <c r="G16" s="191"/>
      <c r="H16" s="50"/>
    </row>
    <row r="17" spans="2:8" ht="15">
      <c r="B17" s="115" t="s">
        <v>209</v>
      </c>
      <c r="C17" s="308" t="s">
        <v>387</v>
      </c>
      <c r="D17" s="170">
        <v>140</v>
      </c>
      <c r="E17" s="130">
        <v>13642</v>
      </c>
      <c r="F17" s="130">
        <v>6079</v>
      </c>
      <c r="G17" s="132">
        <v>0.44560914821873626</v>
      </c>
      <c r="H17" s="50"/>
    </row>
    <row r="18" spans="2:8" ht="15">
      <c r="B18" s="115" t="s">
        <v>217</v>
      </c>
      <c r="C18" s="308" t="s">
        <v>351</v>
      </c>
      <c r="D18" s="170">
        <v>410</v>
      </c>
      <c r="E18" s="130">
        <v>369</v>
      </c>
      <c r="F18" s="130">
        <v>232</v>
      </c>
      <c r="G18" s="132">
        <v>0.6287262872628726</v>
      </c>
      <c r="H18" s="50"/>
    </row>
    <row r="19" spans="2:8" ht="21.75" customHeight="1">
      <c r="B19" s="112" t="s">
        <v>10</v>
      </c>
      <c r="C19" s="295"/>
      <c r="D19" s="180"/>
      <c r="E19" s="58"/>
      <c r="F19" s="59"/>
      <c r="G19" s="191"/>
      <c r="H19" s="50"/>
    </row>
    <row r="20" spans="2:8" ht="15">
      <c r="B20" s="114" t="s">
        <v>210</v>
      </c>
      <c r="C20" s="308" t="s">
        <v>380</v>
      </c>
      <c r="D20" s="179" t="s">
        <v>224</v>
      </c>
      <c r="E20" s="130">
        <v>482955</v>
      </c>
      <c r="F20" s="130">
        <v>330737</v>
      </c>
      <c r="G20" s="132">
        <v>0.6848194966404737</v>
      </c>
      <c r="H20" s="52"/>
    </row>
    <row r="21" spans="2:8" ht="15">
      <c r="B21" s="115" t="s">
        <v>211</v>
      </c>
      <c r="C21" s="308" t="s">
        <v>384</v>
      </c>
      <c r="D21" s="170">
        <v>320</v>
      </c>
      <c r="E21" s="130">
        <v>2101</v>
      </c>
      <c r="F21" s="130">
        <v>724</v>
      </c>
      <c r="G21" s="132">
        <v>0.34459781056639693</v>
      </c>
      <c r="H21" s="50"/>
    </row>
    <row r="22" spans="2:8" ht="15">
      <c r="B22" s="115" t="s">
        <v>216</v>
      </c>
      <c r="C22" s="308" t="s">
        <v>352</v>
      </c>
      <c r="D22" s="170">
        <v>420</v>
      </c>
      <c r="E22" s="130">
        <v>141</v>
      </c>
      <c r="F22" s="130">
        <v>101</v>
      </c>
      <c r="G22" s="132">
        <v>0.7163120567375887</v>
      </c>
      <c r="H22" s="50"/>
    </row>
    <row r="23" spans="2:8" ht="15">
      <c r="B23" s="315" t="s">
        <v>447</v>
      </c>
      <c r="C23" s="316" t="s">
        <v>368</v>
      </c>
      <c r="D23" s="169">
        <v>681</v>
      </c>
      <c r="E23" s="317">
        <v>285</v>
      </c>
      <c r="F23" s="317">
        <v>78</v>
      </c>
      <c r="G23" s="318">
        <v>0.2736842105263158</v>
      </c>
      <c r="H23" s="50"/>
    </row>
    <row r="24" spans="2:8" ht="15">
      <c r="B24" s="115" t="s">
        <v>448</v>
      </c>
      <c r="C24" s="308" t="s">
        <v>369</v>
      </c>
      <c r="D24" s="170">
        <v>687</v>
      </c>
      <c r="E24" s="130" t="s">
        <v>452</v>
      </c>
      <c r="F24" s="130" t="s">
        <v>452</v>
      </c>
      <c r="G24" s="132" t="e">
        <v>#DIV/0!</v>
      </c>
      <c r="H24" s="50"/>
    </row>
    <row r="25" spans="2:8" ht="15">
      <c r="B25" s="115" t="s">
        <v>449</v>
      </c>
      <c r="C25" s="308" t="s">
        <v>363</v>
      </c>
      <c r="D25" s="262">
        <v>405</v>
      </c>
      <c r="E25" s="131">
        <v>4831</v>
      </c>
      <c r="F25" s="130">
        <v>4808</v>
      </c>
      <c r="G25" s="132">
        <v>0.9952390809356241</v>
      </c>
      <c r="H25" s="50"/>
    </row>
    <row r="26" spans="2:8" ht="15">
      <c r="B26" s="115" t="s">
        <v>450</v>
      </c>
      <c r="C26" s="309" t="s">
        <v>365</v>
      </c>
      <c r="D26" s="262">
        <v>409</v>
      </c>
      <c r="E26" s="131">
        <v>544</v>
      </c>
      <c r="F26" s="131">
        <v>405</v>
      </c>
      <c r="G26" s="313">
        <v>0.7444852941176471</v>
      </c>
      <c r="H26" s="50"/>
    </row>
    <row r="27" spans="2:8" ht="18">
      <c r="B27" s="112" t="s">
        <v>451</v>
      </c>
      <c r="C27" s="312"/>
      <c r="D27" s="260"/>
      <c r="E27" s="314"/>
      <c r="F27" s="314"/>
      <c r="G27" s="261"/>
      <c r="H27" s="50"/>
    </row>
    <row r="28" spans="2:8" ht="33.75" customHeight="1">
      <c r="B28" s="362" t="s">
        <v>440</v>
      </c>
      <c r="C28" s="363"/>
      <c r="D28" s="363"/>
      <c r="E28" s="363"/>
      <c r="F28" s="363"/>
      <c r="G28" s="364"/>
      <c r="H28" s="50"/>
    </row>
    <row r="29" spans="2:8" ht="72.75" customHeight="1" thickBot="1">
      <c r="B29" s="359" t="s">
        <v>439</v>
      </c>
      <c r="C29" s="360"/>
      <c r="D29" s="360"/>
      <c r="E29" s="360"/>
      <c r="F29" s="360"/>
      <c r="G29" s="361"/>
      <c r="H29" s="50"/>
    </row>
    <row r="30" spans="2:7" ht="31.5" customHeight="1" thickBot="1">
      <c r="B30" s="357"/>
      <c r="C30" s="357"/>
      <c r="D30" s="357"/>
      <c r="E30" s="357"/>
      <c r="F30" s="357"/>
      <c r="G30" s="357"/>
    </row>
    <row r="31" spans="2:8" ht="27" customHeight="1">
      <c r="B31" s="116"/>
      <c r="C31" s="297"/>
      <c r="D31" s="345" t="s">
        <v>14</v>
      </c>
      <c r="E31" s="162" t="s">
        <v>25</v>
      </c>
      <c r="F31" s="163" t="s">
        <v>17</v>
      </c>
      <c r="G31" s="164" t="s">
        <v>18</v>
      </c>
      <c r="H31" s="50"/>
    </row>
    <row r="32" spans="2:8" ht="15" customHeight="1">
      <c r="B32" s="136" t="s">
        <v>111</v>
      </c>
      <c r="C32" s="298"/>
      <c r="D32" s="346"/>
      <c r="E32" s="127">
        <v>299368</v>
      </c>
      <c r="F32" s="128">
        <v>192005</v>
      </c>
      <c r="G32" s="133">
        <v>0.6413678148633121</v>
      </c>
      <c r="H32" s="50"/>
    </row>
    <row r="33" spans="2:8" ht="15">
      <c r="B33" s="115" t="s">
        <v>112</v>
      </c>
      <c r="C33" s="308" t="s">
        <v>112</v>
      </c>
      <c r="D33" s="169">
        <v>130</v>
      </c>
      <c r="E33" s="131">
        <v>168456</v>
      </c>
      <c r="F33" s="131">
        <v>112130</v>
      </c>
      <c r="G33" s="132">
        <v>0.6656337559956309</v>
      </c>
      <c r="H33" s="50"/>
    </row>
    <row r="34" spans="2:8" ht="15">
      <c r="B34" s="115" t="s">
        <v>113</v>
      </c>
      <c r="C34" s="308" t="s">
        <v>399</v>
      </c>
      <c r="D34" s="170">
        <v>133</v>
      </c>
      <c r="E34" s="131">
        <v>33</v>
      </c>
      <c r="F34" s="131">
        <v>19</v>
      </c>
      <c r="G34" s="132">
        <v>0.5757575757575758</v>
      </c>
      <c r="H34" s="50"/>
    </row>
    <row r="35" spans="2:8" ht="15">
      <c r="B35" s="115" t="s">
        <v>114</v>
      </c>
      <c r="C35" s="308" t="s">
        <v>379</v>
      </c>
      <c r="D35" s="170">
        <v>135</v>
      </c>
      <c r="E35" s="131">
        <v>207</v>
      </c>
      <c r="F35" s="131">
        <v>156</v>
      </c>
      <c r="G35" s="132">
        <v>0.7536231884057971</v>
      </c>
      <c r="H35" s="50"/>
    </row>
    <row r="36" spans="2:8" ht="15">
      <c r="B36" s="115" t="s">
        <v>115</v>
      </c>
      <c r="C36" s="308" t="s">
        <v>390</v>
      </c>
      <c r="D36" s="170">
        <v>290</v>
      </c>
      <c r="E36" s="131">
        <v>73013</v>
      </c>
      <c r="F36" s="131">
        <v>53977</v>
      </c>
      <c r="G36" s="132">
        <v>0.7392793064248833</v>
      </c>
      <c r="H36" s="50"/>
    </row>
    <row r="37" spans="2:8" ht="15">
      <c r="B37" s="115" t="s">
        <v>218</v>
      </c>
      <c r="C37" s="308" t="s">
        <v>354</v>
      </c>
      <c r="D37" s="170">
        <v>450</v>
      </c>
      <c r="E37" s="131">
        <v>7</v>
      </c>
      <c r="F37" s="131">
        <v>7</v>
      </c>
      <c r="G37" s="132">
        <v>1</v>
      </c>
      <c r="H37" s="50"/>
    </row>
    <row r="38" spans="2:8" ht="15">
      <c r="B38" s="115" t="s">
        <v>116</v>
      </c>
      <c r="C38" s="308" t="s">
        <v>378</v>
      </c>
      <c r="D38" s="170">
        <v>310</v>
      </c>
      <c r="E38" s="131">
        <v>15451</v>
      </c>
      <c r="F38" s="131">
        <v>6515</v>
      </c>
      <c r="G38" s="132">
        <v>0.42165555627467477</v>
      </c>
      <c r="H38" s="50"/>
    </row>
    <row r="39" spans="2:8" ht="15">
      <c r="B39" s="115" t="s">
        <v>117</v>
      </c>
      <c r="C39" s="308" t="s">
        <v>375</v>
      </c>
      <c r="D39" s="170">
        <v>600</v>
      </c>
      <c r="E39" s="131">
        <v>42201</v>
      </c>
      <c r="F39" s="131">
        <v>19201</v>
      </c>
      <c r="G39" s="132">
        <v>0.45498921826497</v>
      </c>
      <c r="H39" s="50"/>
    </row>
    <row r="40" spans="2:8" ht="58.5" customHeight="1" thickBot="1">
      <c r="B40" s="348" t="s">
        <v>441</v>
      </c>
      <c r="C40" s="349"/>
      <c r="D40" s="349"/>
      <c r="E40" s="349"/>
      <c r="F40" s="349"/>
      <c r="G40" s="117"/>
      <c r="H40" s="50"/>
    </row>
    <row r="41" spans="2:7" ht="18" customHeight="1" thickBot="1">
      <c r="B41" s="108"/>
      <c r="C41" s="108"/>
      <c r="D41" s="106"/>
      <c r="E41" s="53"/>
      <c r="F41" s="53"/>
      <c r="G41" s="53"/>
    </row>
    <row r="42" spans="2:8" ht="27" customHeight="1">
      <c r="B42" s="116"/>
      <c r="C42" s="297"/>
      <c r="D42" s="345" t="s">
        <v>14</v>
      </c>
      <c r="E42" s="162" t="s">
        <v>25</v>
      </c>
      <c r="F42" s="163" t="s">
        <v>17</v>
      </c>
      <c r="G42" s="164" t="s">
        <v>18</v>
      </c>
      <c r="H42" s="50"/>
    </row>
    <row r="43" spans="2:8" ht="15" customHeight="1">
      <c r="B43" s="136" t="s">
        <v>279</v>
      </c>
      <c r="C43" s="298"/>
      <c r="D43" s="346"/>
      <c r="E43" s="127">
        <v>74755</v>
      </c>
      <c r="F43" s="134">
        <v>36340</v>
      </c>
      <c r="G43" s="133">
        <v>0.4861213296769447</v>
      </c>
      <c r="H43" s="50"/>
    </row>
    <row r="44" spans="2:8" ht="15">
      <c r="B44" s="115" t="s">
        <v>119</v>
      </c>
      <c r="C44" s="308" t="s">
        <v>382</v>
      </c>
      <c r="D44" s="169">
        <v>314</v>
      </c>
      <c r="E44" s="131">
        <v>7667</v>
      </c>
      <c r="F44" s="131">
        <v>2326</v>
      </c>
      <c r="G44" s="132">
        <v>0.3033781139950437</v>
      </c>
      <c r="H44" s="50"/>
    </row>
    <row r="45" spans="2:8" ht="15">
      <c r="B45" s="115" t="s">
        <v>278</v>
      </c>
      <c r="C45" s="308" t="s">
        <v>394</v>
      </c>
      <c r="D45" s="170">
        <v>680</v>
      </c>
      <c r="E45" s="131">
        <v>27</v>
      </c>
      <c r="F45" s="131">
        <v>25</v>
      </c>
      <c r="G45" s="132">
        <v>0.9259259259259259</v>
      </c>
      <c r="H45" s="50"/>
    </row>
    <row r="46" spans="2:8" ht="15">
      <c r="B46" s="115" t="s">
        <v>120</v>
      </c>
      <c r="C46" s="308" t="s">
        <v>397</v>
      </c>
      <c r="D46" s="170">
        <v>682</v>
      </c>
      <c r="E46" s="131">
        <v>987</v>
      </c>
      <c r="F46" s="131">
        <v>905</v>
      </c>
      <c r="G46" s="132">
        <v>0.916919959473151</v>
      </c>
      <c r="H46" s="50"/>
    </row>
    <row r="47" spans="2:8" ht="15">
      <c r="B47" s="115" t="s">
        <v>121</v>
      </c>
      <c r="C47" s="308" t="s">
        <v>396</v>
      </c>
      <c r="D47" s="170">
        <v>684</v>
      </c>
      <c r="E47" s="131">
        <v>20449</v>
      </c>
      <c r="F47" s="131">
        <v>163</v>
      </c>
      <c r="G47" s="132">
        <v>0.007971049929091888</v>
      </c>
      <c r="H47" s="50"/>
    </row>
    <row r="48" spans="2:8" ht="15.75" customHeight="1">
      <c r="B48" s="115" t="s">
        <v>168</v>
      </c>
      <c r="C48" s="308" t="s">
        <v>393</v>
      </c>
      <c r="D48" s="170">
        <v>685</v>
      </c>
      <c r="E48" s="131">
        <v>133</v>
      </c>
      <c r="F48" s="131">
        <v>130</v>
      </c>
      <c r="G48" s="132">
        <v>0.9774436090225563</v>
      </c>
      <c r="H48" s="50"/>
    </row>
    <row r="49" spans="2:8" ht="15">
      <c r="B49" s="115" t="s">
        <v>169</v>
      </c>
      <c r="C49" s="308" t="s">
        <v>370</v>
      </c>
      <c r="D49" s="170">
        <v>690</v>
      </c>
      <c r="E49" s="131">
        <v>9770</v>
      </c>
      <c r="F49" s="131">
        <v>6200</v>
      </c>
      <c r="G49" s="132">
        <v>0.6345957011258956</v>
      </c>
      <c r="H49" s="50"/>
    </row>
    <row r="50" spans="2:8" ht="15">
      <c r="B50" s="115" t="s">
        <v>170</v>
      </c>
      <c r="C50" s="308" t="s">
        <v>398</v>
      </c>
      <c r="D50" s="170" t="s">
        <v>2</v>
      </c>
      <c r="E50" s="131">
        <v>35722</v>
      </c>
      <c r="F50" s="131">
        <v>26591</v>
      </c>
      <c r="G50" s="132">
        <v>0.7443872123621298</v>
      </c>
      <c r="H50" s="50"/>
    </row>
    <row r="51" spans="2:8" ht="63" customHeight="1" thickBot="1">
      <c r="B51" s="355" t="s">
        <v>442</v>
      </c>
      <c r="C51" s="356"/>
      <c r="D51" s="356"/>
      <c r="E51" s="356"/>
      <c r="F51" s="356"/>
      <c r="G51" s="117"/>
      <c r="H51" s="50"/>
    </row>
    <row r="52" spans="2:7" ht="15.75" thickBot="1">
      <c r="B52" s="357"/>
      <c r="C52" s="357"/>
      <c r="D52" s="357"/>
      <c r="E52" s="357"/>
      <c r="F52" s="357"/>
      <c r="G52" s="357"/>
    </row>
    <row r="53" spans="2:8" ht="27" customHeight="1">
      <c r="B53" s="116"/>
      <c r="C53" s="297"/>
      <c r="D53" s="345" t="s">
        <v>14</v>
      </c>
      <c r="E53" s="162" t="s">
        <v>25</v>
      </c>
      <c r="F53" s="163" t="s">
        <v>17</v>
      </c>
      <c r="G53" s="164" t="s">
        <v>18</v>
      </c>
      <c r="H53" s="50"/>
    </row>
    <row r="54" spans="2:8" ht="15" customHeight="1">
      <c r="B54" s="136" t="s">
        <v>163</v>
      </c>
      <c r="C54" s="298"/>
      <c r="D54" s="346"/>
      <c r="E54" s="127">
        <v>86279</v>
      </c>
      <c r="F54" s="134">
        <v>57408</v>
      </c>
      <c r="G54" s="133">
        <v>0.6653762792800102</v>
      </c>
      <c r="H54" s="50"/>
    </row>
    <row r="55" spans="2:8" ht="15">
      <c r="B55" s="115" t="s">
        <v>171</v>
      </c>
      <c r="C55" s="308" t="s">
        <v>392</v>
      </c>
      <c r="D55" s="169">
        <v>173</v>
      </c>
      <c r="E55" s="131">
        <v>2190</v>
      </c>
      <c r="F55" s="131">
        <v>1679</v>
      </c>
      <c r="G55" s="132">
        <v>0.7666666666666667</v>
      </c>
      <c r="H55" s="50"/>
    </row>
    <row r="56" spans="2:8" ht="15">
      <c r="B56" s="115" t="s">
        <v>172</v>
      </c>
      <c r="C56" s="308" t="s">
        <v>373</v>
      </c>
      <c r="D56" s="170">
        <v>400</v>
      </c>
      <c r="E56" s="131">
        <v>24846</v>
      </c>
      <c r="F56" s="131">
        <v>16257</v>
      </c>
      <c r="G56" s="132">
        <v>0.6543105530065202</v>
      </c>
      <c r="H56" s="50"/>
    </row>
    <row r="57" spans="2:8" ht="15">
      <c r="B57" s="115" t="s">
        <v>173</v>
      </c>
      <c r="C57" s="308" t="s">
        <v>371</v>
      </c>
      <c r="D57" s="170">
        <v>500</v>
      </c>
      <c r="E57" s="131">
        <v>2534</v>
      </c>
      <c r="F57" s="131">
        <v>442</v>
      </c>
      <c r="G57" s="132">
        <v>0.17442778216258878</v>
      </c>
      <c r="H57" s="50"/>
    </row>
    <row r="58" spans="2:8" ht="15">
      <c r="B58" s="115" t="s">
        <v>174</v>
      </c>
      <c r="C58" s="308" t="s">
        <v>377</v>
      </c>
      <c r="D58" s="170">
        <v>510</v>
      </c>
      <c r="E58" s="131">
        <v>26240</v>
      </c>
      <c r="F58" s="131">
        <v>13722</v>
      </c>
      <c r="G58" s="132">
        <v>0.5229420731707317</v>
      </c>
      <c r="H58" s="50"/>
    </row>
    <row r="59" spans="2:8" ht="15">
      <c r="B59" s="115" t="s">
        <v>175</v>
      </c>
      <c r="C59" s="308" t="s">
        <v>395</v>
      </c>
      <c r="D59" s="170">
        <v>930</v>
      </c>
      <c r="E59" s="131">
        <v>29518</v>
      </c>
      <c r="F59" s="131">
        <v>24727</v>
      </c>
      <c r="G59" s="132">
        <v>0.8376922555728707</v>
      </c>
      <c r="H59" s="50"/>
    </row>
    <row r="60" spans="2:8" ht="15">
      <c r="B60" s="115" t="s">
        <v>176</v>
      </c>
      <c r="C60" s="308" t="s">
        <v>372</v>
      </c>
      <c r="D60" s="170">
        <v>960</v>
      </c>
      <c r="E60" s="131">
        <v>951</v>
      </c>
      <c r="F60" s="131">
        <v>581</v>
      </c>
      <c r="G60" s="132">
        <v>0.6109358569926393</v>
      </c>
      <c r="H60" s="50"/>
    </row>
    <row r="61" spans="2:8" ht="36" customHeight="1" thickBot="1">
      <c r="B61" s="348" t="s">
        <v>443</v>
      </c>
      <c r="C61" s="358"/>
      <c r="D61" s="358"/>
      <c r="E61" s="358"/>
      <c r="F61" s="358"/>
      <c r="G61" s="117"/>
      <c r="H61" s="50"/>
    </row>
    <row r="62" spans="2:7" ht="25.5" customHeight="1" thickBot="1">
      <c r="B62" s="204" t="s">
        <v>177</v>
      </c>
      <c r="C62" s="204"/>
      <c r="D62" s="106"/>
      <c r="E62" s="53"/>
      <c r="F62" s="53"/>
      <c r="G62" s="53"/>
    </row>
    <row r="63" spans="2:8" ht="27" customHeight="1">
      <c r="B63" s="109"/>
      <c r="C63" s="293"/>
      <c r="D63" s="345" t="s">
        <v>14</v>
      </c>
      <c r="E63" s="165" t="s">
        <v>25</v>
      </c>
      <c r="F63" s="163" t="s">
        <v>17</v>
      </c>
      <c r="G63" s="164" t="s">
        <v>18</v>
      </c>
      <c r="H63" s="50"/>
    </row>
    <row r="64" spans="2:8" ht="15" customHeight="1">
      <c r="B64" s="136" t="s">
        <v>178</v>
      </c>
      <c r="C64" s="298"/>
      <c r="D64" s="346"/>
      <c r="E64" s="127">
        <v>75033</v>
      </c>
      <c r="F64" s="128">
        <v>40196</v>
      </c>
      <c r="G64" s="133">
        <v>0.535710953846974</v>
      </c>
      <c r="H64" s="50"/>
    </row>
    <row r="65" spans="2:8" ht="15">
      <c r="B65" s="114" t="s">
        <v>179</v>
      </c>
      <c r="C65" s="308" t="s">
        <v>383</v>
      </c>
      <c r="D65" s="169">
        <v>120</v>
      </c>
      <c r="E65" s="131">
        <v>15990</v>
      </c>
      <c r="F65" s="131">
        <v>5945</v>
      </c>
      <c r="G65" s="132">
        <v>0.3717948717948718</v>
      </c>
      <c r="H65" s="50"/>
    </row>
    <row r="66" spans="2:8" ht="15">
      <c r="B66" s="115" t="s">
        <v>180</v>
      </c>
      <c r="C66" s="308" t="s">
        <v>389</v>
      </c>
      <c r="D66" s="170">
        <v>180</v>
      </c>
      <c r="E66" s="131">
        <v>10630</v>
      </c>
      <c r="F66" s="131">
        <v>3715</v>
      </c>
      <c r="G66" s="132">
        <v>0.3494825964252117</v>
      </c>
      <c r="H66" s="50"/>
    </row>
    <row r="67" spans="2:8" ht="15">
      <c r="B67" s="115" t="s">
        <v>227</v>
      </c>
      <c r="C67" s="308" t="s">
        <v>388</v>
      </c>
      <c r="D67" s="170">
        <v>190</v>
      </c>
      <c r="E67" s="131">
        <v>48413</v>
      </c>
      <c r="F67" s="131">
        <v>30536</v>
      </c>
      <c r="G67" s="132">
        <v>0.630739677359387</v>
      </c>
      <c r="H67" s="50"/>
    </row>
    <row r="68" spans="2:8" ht="51.75" customHeight="1" thickBot="1">
      <c r="B68" s="348" t="s">
        <v>122</v>
      </c>
      <c r="C68" s="349"/>
      <c r="D68" s="349"/>
      <c r="E68" s="349"/>
      <c r="F68" s="349"/>
      <c r="G68" s="117"/>
      <c r="H68" s="50"/>
    </row>
    <row r="69" spans="2:7" ht="24" customHeight="1" thickBot="1">
      <c r="B69" s="105"/>
      <c r="C69" s="105"/>
      <c r="D69" s="106"/>
      <c r="E69" s="53"/>
      <c r="F69" s="53"/>
      <c r="G69" s="53"/>
    </row>
    <row r="70" spans="2:8" ht="27" customHeight="1">
      <c r="B70" s="116"/>
      <c r="C70" s="297"/>
      <c r="D70" s="345" t="s">
        <v>14</v>
      </c>
      <c r="E70" s="162" t="s">
        <v>25</v>
      </c>
      <c r="F70" s="163" t="s">
        <v>17</v>
      </c>
      <c r="G70" s="164" t="s">
        <v>18</v>
      </c>
      <c r="H70" s="50"/>
    </row>
    <row r="71" spans="2:8" ht="15.75" customHeight="1">
      <c r="B71" s="136" t="s">
        <v>111</v>
      </c>
      <c r="C71" s="298"/>
      <c r="D71" s="346"/>
      <c r="E71" s="127">
        <v>95999</v>
      </c>
      <c r="F71" s="128">
        <v>58285</v>
      </c>
      <c r="G71" s="133">
        <v>0.6071417410598027</v>
      </c>
      <c r="H71" s="50"/>
    </row>
    <row r="72" spans="2:8" ht="15">
      <c r="B72" s="115" t="s">
        <v>114</v>
      </c>
      <c r="C72" s="308" t="s">
        <v>379</v>
      </c>
      <c r="D72" s="170">
        <v>135</v>
      </c>
      <c r="E72" s="131">
        <v>1721</v>
      </c>
      <c r="F72" s="131">
        <v>610</v>
      </c>
      <c r="G72" s="132">
        <v>0.35444509006391633</v>
      </c>
      <c r="H72" s="50"/>
    </row>
    <row r="73" spans="2:8" ht="15" customHeight="1">
      <c r="B73" s="115" t="s">
        <v>112</v>
      </c>
      <c r="C73" s="308" t="s">
        <v>361</v>
      </c>
      <c r="D73" s="170">
        <v>137</v>
      </c>
      <c r="E73" s="131">
        <v>10562</v>
      </c>
      <c r="F73" s="131">
        <v>6415</v>
      </c>
      <c r="G73" s="132">
        <v>0.6073660291611437</v>
      </c>
      <c r="H73" s="50"/>
    </row>
    <row r="74" spans="2:8" ht="15">
      <c r="B74" s="115" t="s">
        <v>123</v>
      </c>
      <c r="C74" s="308" t="s">
        <v>381</v>
      </c>
      <c r="D74" s="170">
        <v>150</v>
      </c>
      <c r="E74" s="131">
        <v>41226</v>
      </c>
      <c r="F74" s="131">
        <v>30071</v>
      </c>
      <c r="G74" s="132">
        <v>0.7294183282394605</v>
      </c>
      <c r="H74" s="50"/>
    </row>
    <row r="75" spans="2:8" ht="15">
      <c r="B75" s="115" t="s">
        <v>124</v>
      </c>
      <c r="C75" s="308" t="s">
        <v>376</v>
      </c>
      <c r="D75" s="170">
        <v>155</v>
      </c>
      <c r="E75" s="131">
        <v>1289</v>
      </c>
      <c r="F75" s="131">
        <v>1253</v>
      </c>
      <c r="G75" s="132">
        <v>0.9720713731574864</v>
      </c>
      <c r="H75" s="50"/>
    </row>
    <row r="76" spans="2:8" ht="15">
      <c r="B76" s="115" t="s">
        <v>115</v>
      </c>
      <c r="C76" s="308" t="s">
        <v>362</v>
      </c>
      <c r="D76" s="170">
        <v>297</v>
      </c>
      <c r="E76" s="131">
        <v>20065</v>
      </c>
      <c r="F76" s="131">
        <v>11802</v>
      </c>
      <c r="G76" s="132">
        <v>0.5881883877398455</v>
      </c>
      <c r="H76" s="50"/>
    </row>
    <row r="77" spans="2:8" ht="15">
      <c r="B77" s="115" t="s">
        <v>117</v>
      </c>
      <c r="C77" s="308" t="s">
        <v>416</v>
      </c>
      <c r="D77" s="170">
        <v>607</v>
      </c>
      <c r="E77" s="131">
        <v>21136</v>
      </c>
      <c r="F77" s="131">
        <v>8134</v>
      </c>
      <c r="G77" s="132">
        <v>0.3848410295230886</v>
      </c>
      <c r="H77" s="50"/>
    </row>
    <row r="78" spans="2:8" ht="40.5" customHeight="1" thickBot="1">
      <c r="B78" s="348" t="s">
        <v>444</v>
      </c>
      <c r="C78" s="349"/>
      <c r="D78" s="349"/>
      <c r="E78" s="349"/>
      <c r="F78" s="181"/>
      <c r="G78" s="192"/>
      <c r="H78" s="50"/>
    </row>
    <row r="79" spans="2:7" ht="15.75" thickBot="1">
      <c r="B79" s="105"/>
      <c r="C79" s="105"/>
      <c r="D79" s="106"/>
      <c r="E79" s="53"/>
      <c r="F79" s="53"/>
      <c r="G79" s="53"/>
    </row>
    <row r="80" spans="2:8" ht="27" customHeight="1">
      <c r="B80" s="116"/>
      <c r="C80" s="297"/>
      <c r="D80" s="345" t="s">
        <v>14</v>
      </c>
      <c r="E80" s="162" t="s">
        <v>25</v>
      </c>
      <c r="F80" s="163" t="s">
        <v>17</v>
      </c>
      <c r="G80" s="164" t="s">
        <v>18</v>
      </c>
      <c r="H80" s="50"/>
    </row>
    <row r="81" spans="2:8" ht="15.75" customHeight="1">
      <c r="B81" s="136" t="s">
        <v>118</v>
      </c>
      <c r="C81" s="298"/>
      <c r="D81" s="346"/>
      <c r="E81" s="127">
        <v>73633</v>
      </c>
      <c r="F81" s="128">
        <v>27691</v>
      </c>
      <c r="G81" s="133">
        <v>0.3760677956894327</v>
      </c>
      <c r="H81" s="50"/>
    </row>
    <row r="82" spans="2:8" ht="15" customHeight="1">
      <c r="B82" s="115" t="s">
        <v>125</v>
      </c>
      <c r="C82" s="308" t="s">
        <v>417</v>
      </c>
      <c r="D82" s="169">
        <v>154</v>
      </c>
      <c r="E82" s="131">
        <v>72200</v>
      </c>
      <c r="F82" s="131">
        <v>26799</v>
      </c>
      <c r="G82" s="132">
        <v>0.37117728531855954</v>
      </c>
      <c r="H82" s="50"/>
    </row>
    <row r="83" spans="2:8" ht="15" hidden="1">
      <c r="B83" s="115" t="s">
        <v>126</v>
      </c>
      <c r="C83" s="296"/>
      <c r="D83" s="170" t="s">
        <v>127</v>
      </c>
      <c r="E83" s="131" t="s">
        <v>452</v>
      </c>
      <c r="F83" s="131" t="s">
        <v>452</v>
      </c>
      <c r="G83" s="132" t="e">
        <v>#DIV/0!</v>
      </c>
      <c r="H83" s="50"/>
    </row>
    <row r="84" spans="2:8" ht="15">
      <c r="B84" s="115" t="s">
        <v>128</v>
      </c>
      <c r="C84" s="308" t="s">
        <v>374</v>
      </c>
      <c r="D84" s="170">
        <v>696</v>
      </c>
      <c r="E84" s="131">
        <v>112</v>
      </c>
      <c r="F84" s="131">
        <v>101</v>
      </c>
      <c r="G84" s="132">
        <v>0.9017857142857143</v>
      </c>
      <c r="H84" s="50"/>
    </row>
    <row r="85" spans="2:8" ht="15">
      <c r="B85" s="115" t="s">
        <v>129</v>
      </c>
      <c r="C85" s="308" t="s">
        <v>391</v>
      </c>
      <c r="D85" s="170">
        <v>697</v>
      </c>
      <c r="E85" s="131">
        <v>1321</v>
      </c>
      <c r="F85" s="131">
        <v>791</v>
      </c>
      <c r="G85" s="132">
        <v>0.5987887963663892</v>
      </c>
      <c r="H85" s="50"/>
    </row>
    <row r="86" spans="2:8" ht="69" customHeight="1" thickBot="1">
      <c r="B86" s="348" t="s">
        <v>0</v>
      </c>
      <c r="C86" s="349"/>
      <c r="D86" s="349"/>
      <c r="E86" s="349"/>
      <c r="F86" s="181"/>
      <c r="G86" s="117"/>
      <c r="H86" s="50"/>
    </row>
    <row r="87" spans="2:7" ht="15.75" thickBot="1">
      <c r="B87" s="105"/>
      <c r="C87" s="105"/>
      <c r="D87" s="106"/>
      <c r="E87" s="53"/>
      <c r="F87" s="53"/>
      <c r="G87" s="53"/>
    </row>
    <row r="88" spans="2:8" ht="27" customHeight="1">
      <c r="B88" s="116"/>
      <c r="C88" s="297"/>
      <c r="D88" s="345" t="s">
        <v>14</v>
      </c>
      <c r="E88" s="162" t="s">
        <v>25</v>
      </c>
      <c r="F88" s="163" t="s">
        <v>17</v>
      </c>
      <c r="G88" s="164" t="s">
        <v>18</v>
      </c>
      <c r="H88" s="50"/>
    </row>
    <row r="89" spans="2:8" ht="15" customHeight="1">
      <c r="B89" s="136" t="s">
        <v>73</v>
      </c>
      <c r="C89" s="298"/>
      <c r="D89" s="346"/>
      <c r="E89" s="127">
        <v>12683</v>
      </c>
      <c r="F89" s="127">
        <v>7352</v>
      </c>
      <c r="G89" s="133">
        <v>0.5796735788062761</v>
      </c>
      <c r="H89" s="50"/>
    </row>
    <row r="90" spans="2:8" ht="15">
      <c r="B90" s="115" t="s">
        <v>172</v>
      </c>
      <c r="C90" s="308" t="s">
        <v>364</v>
      </c>
      <c r="D90" s="169">
        <v>407</v>
      </c>
      <c r="E90" s="131">
        <v>8186</v>
      </c>
      <c r="F90" s="131">
        <v>5265</v>
      </c>
      <c r="G90" s="132">
        <v>0.6431712680185683</v>
      </c>
      <c r="H90" s="50"/>
    </row>
    <row r="91" spans="2:8" ht="15">
      <c r="B91" s="115" t="s">
        <v>130</v>
      </c>
      <c r="C91" s="308" t="s">
        <v>366</v>
      </c>
      <c r="D91" s="170">
        <v>507</v>
      </c>
      <c r="E91" s="131">
        <v>1929</v>
      </c>
      <c r="F91" s="131">
        <v>95</v>
      </c>
      <c r="G91" s="132">
        <v>0.04924831518921721</v>
      </c>
      <c r="H91" s="50"/>
    </row>
    <row r="92" spans="2:8" ht="15">
      <c r="B92" s="115" t="s">
        <v>131</v>
      </c>
      <c r="C92" s="308" t="s">
        <v>415</v>
      </c>
      <c r="D92" s="170">
        <v>937</v>
      </c>
      <c r="E92" s="131">
        <v>2568</v>
      </c>
      <c r="F92" s="131">
        <v>1992</v>
      </c>
      <c r="G92" s="132">
        <v>0.7757009345794392</v>
      </c>
      <c r="H92" s="50"/>
    </row>
    <row r="93" spans="2:8" ht="35.25" customHeight="1" thickBot="1">
      <c r="B93" s="348" t="s">
        <v>443</v>
      </c>
      <c r="C93" s="349"/>
      <c r="D93" s="349"/>
      <c r="E93" s="349"/>
      <c r="F93" s="349"/>
      <c r="G93" s="117"/>
      <c r="H93" s="50"/>
    </row>
    <row r="94" spans="1:8" ht="18" customHeight="1" thickBot="1">
      <c r="A94" s="205"/>
      <c r="B94" s="206"/>
      <c r="C94" s="206"/>
      <c r="D94" s="207"/>
      <c r="E94" s="208"/>
      <c r="F94" s="208"/>
      <c r="G94" s="208"/>
      <c r="H94" s="209"/>
    </row>
    <row r="95" spans="2:7" ht="31.5" customHeight="1" thickBot="1">
      <c r="B95" s="365" t="s">
        <v>245</v>
      </c>
      <c r="C95" s="365"/>
      <c r="D95" s="365"/>
      <c r="E95" s="365"/>
      <c r="F95" s="53"/>
      <c r="G95" s="53"/>
    </row>
    <row r="96" spans="2:7" ht="18.75" customHeight="1">
      <c r="B96" s="351" t="s">
        <v>132</v>
      </c>
      <c r="C96" s="299"/>
      <c r="D96" s="166" t="s">
        <v>14</v>
      </c>
      <c r="E96" s="161" t="s">
        <v>25</v>
      </c>
      <c r="F96" s="61"/>
      <c r="G96" s="61"/>
    </row>
    <row r="97" spans="2:7" ht="15.75" customHeight="1">
      <c r="B97" s="352"/>
      <c r="C97" s="308" t="s">
        <v>132</v>
      </c>
      <c r="D97" s="167">
        <v>160</v>
      </c>
      <c r="E97" s="128">
        <v>62952</v>
      </c>
      <c r="F97" s="64"/>
      <c r="G97" s="62"/>
    </row>
    <row r="98" spans="2:7" ht="76.5" customHeight="1" thickBot="1">
      <c r="B98" s="348" t="s">
        <v>445</v>
      </c>
      <c r="C98" s="349"/>
      <c r="D98" s="349"/>
      <c r="E98" s="350"/>
      <c r="F98" s="104"/>
      <c r="G98" s="105"/>
    </row>
    <row r="99" spans="2:7" ht="15.75" thickBot="1">
      <c r="B99" s="105"/>
      <c r="C99" s="105"/>
      <c r="D99" s="106"/>
      <c r="E99" s="53"/>
      <c r="F99" s="53"/>
      <c r="G99" s="53"/>
    </row>
    <row r="100" spans="2:11" ht="20.25" customHeight="1">
      <c r="B100" s="353" t="s">
        <v>15</v>
      </c>
      <c r="C100" s="300"/>
      <c r="D100" s="166" t="s">
        <v>14</v>
      </c>
      <c r="E100" s="161" t="s">
        <v>25</v>
      </c>
      <c r="F100" s="61"/>
      <c r="G100" s="61"/>
      <c r="J100" s="118"/>
      <c r="K100" s="118"/>
    </row>
    <row r="101" spans="2:11" ht="15">
      <c r="B101" s="354"/>
      <c r="C101" s="308" t="s">
        <v>15</v>
      </c>
      <c r="D101" s="167">
        <v>165</v>
      </c>
      <c r="E101" s="128">
        <v>12938</v>
      </c>
      <c r="F101" s="64"/>
      <c r="G101" s="62"/>
      <c r="J101" s="118"/>
      <c r="K101" s="118"/>
    </row>
    <row r="102" spans="2:11" ht="36.75" customHeight="1" thickBot="1">
      <c r="B102" s="348" t="s">
        <v>11</v>
      </c>
      <c r="C102" s="349"/>
      <c r="D102" s="349"/>
      <c r="E102" s="350"/>
      <c r="F102" s="104"/>
      <c r="G102" s="105"/>
      <c r="J102" s="118"/>
      <c r="K102" s="118"/>
    </row>
    <row r="103" spans="4:11" ht="15.75" thickBot="1">
      <c r="D103" s="106"/>
      <c r="E103" s="53"/>
      <c r="F103" s="53"/>
      <c r="G103" s="53"/>
      <c r="J103" s="118"/>
      <c r="K103" s="118"/>
    </row>
    <row r="104" spans="2:11" ht="19.5" customHeight="1">
      <c r="B104" s="109" t="s">
        <v>4</v>
      </c>
      <c r="C104" s="293"/>
      <c r="D104" s="166" t="s">
        <v>14</v>
      </c>
      <c r="E104" s="160" t="s">
        <v>25</v>
      </c>
      <c r="F104" s="61"/>
      <c r="G104" s="61"/>
      <c r="J104" s="118"/>
      <c r="K104" s="118"/>
    </row>
    <row r="105" spans="2:7" ht="16.5" customHeight="1">
      <c r="B105" s="255" t="s">
        <v>453</v>
      </c>
      <c r="C105" s="301"/>
      <c r="D105" s="168" t="s">
        <v>82</v>
      </c>
      <c r="E105" s="135">
        <v>252910</v>
      </c>
      <c r="F105" s="65"/>
      <c r="G105" s="63"/>
    </row>
    <row r="106" spans="2:8" ht="36" customHeight="1" thickBot="1">
      <c r="B106" s="348" t="s">
        <v>446</v>
      </c>
      <c r="C106" s="349"/>
      <c r="D106" s="349"/>
      <c r="E106" s="350"/>
      <c r="F106" s="104"/>
      <c r="G106" s="105"/>
      <c r="H106" s="60"/>
    </row>
    <row r="107" spans="2:7" ht="14.25" customHeight="1" thickBot="1">
      <c r="B107" s="105"/>
      <c r="C107" s="105"/>
      <c r="D107" s="106"/>
      <c r="E107" s="56"/>
      <c r="F107" s="56"/>
      <c r="G107" s="56"/>
    </row>
    <row r="108" spans="2:11" ht="18.75" customHeight="1">
      <c r="B108" s="109" t="s">
        <v>229</v>
      </c>
      <c r="C108" s="293"/>
      <c r="D108" s="166" t="s">
        <v>242</v>
      </c>
      <c r="E108" s="160" t="s">
        <v>25</v>
      </c>
      <c r="F108" s="61"/>
      <c r="G108" s="61"/>
      <c r="J108" s="118"/>
      <c r="K108" s="118"/>
    </row>
    <row r="109" spans="2:7" ht="13.5" customHeight="1">
      <c r="B109" s="220"/>
      <c r="C109" s="302"/>
      <c r="D109" s="168" t="s">
        <v>244</v>
      </c>
      <c r="E109" s="135">
        <v>5463</v>
      </c>
      <c r="F109" s="65"/>
      <c r="G109" s="63"/>
    </row>
    <row r="110" spans="2:7" ht="15" customHeight="1">
      <c r="B110" s="159"/>
      <c r="C110" s="303"/>
      <c r="D110" s="168" t="s">
        <v>243</v>
      </c>
      <c r="E110" s="135">
        <v>146955</v>
      </c>
      <c r="F110" s="65"/>
      <c r="G110" s="63"/>
    </row>
    <row r="111" spans="2:8" ht="39.75" customHeight="1" thickBot="1">
      <c r="B111" s="348" t="s">
        <v>252</v>
      </c>
      <c r="C111" s="349"/>
      <c r="D111" s="349"/>
      <c r="E111" s="350"/>
      <c r="F111" s="104"/>
      <c r="G111" s="105"/>
      <c r="H111" s="60"/>
    </row>
    <row r="112" ht="3.75" customHeight="1"/>
    <row r="113" spans="2:5" ht="32.25" customHeight="1">
      <c r="B113" s="347"/>
      <c r="C113" s="347"/>
      <c r="D113" s="347"/>
      <c r="E113" s="347"/>
    </row>
    <row r="114" spans="2:5" ht="15">
      <c r="B114" s="250"/>
      <c r="C114" s="250"/>
      <c r="D114" s="251"/>
      <c r="E114" s="252"/>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10.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17" t="s">
        <v>424</v>
      </c>
      <c r="B1" s="417"/>
      <c r="C1" s="287" t="s">
        <v>423</v>
      </c>
    </row>
    <row r="2" spans="1:3" ht="12.75">
      <c r="A2" t="s">
        <v>73</v>
      </c>
      <c r="B2" s="283">
        <f>SUM(B3:B4)</f>
        <v>121</v>
      </c>
      <c r="C2" s="283">
        <f>SUM(C3:C4)</f>
        <v>90</v>
      </c>
    </row>
    <row r="3" spans="1:3" ht="12.75">
      <c r="A3" t="s">
        <v>344</v>
      </c>
      <c r="B3" s="289">
        <f>IF(ISNA(VLOOKUP(A3,Other_Data!A2:E65,2,FALSE)),"0",(VLOOKUP(A3,Other_Data!A2:E65,2,FALSE)))</f>
        <v>87</v>
      </c>
      <c r="C3" s="289">
        <f>IF(ISNA(VLOOKUP(A3,Other_Data!A2:E65,3,FALSE)),"0",(VLOOKUP(A3,Other_Data!A2:E65,3,FALSE)))</f>
        <v>82</v>
      </c>
    </row>
    <row r="4" spans="1:3" ht="12.75">
      <c r="A4" t="s">
        <v>293</v>
      </c>
      <c r="B4" s="289">
        <f>IF(ISNA(VLOOKUP(A4,Other_Data!A3:E66,2,FALSE)),"0",(VLOOKUP(A4,Other_Data!A3:E66,2,FALSE)))</f>
        <v>34</v>
      </c>
      <c r="C4" s="289">
        <f>IF(ISNA(VLOOKUP(A4,Other_Data!A2:E65,3,FALSE)),"0",(VLOOKUP(A4,Other_Data!A2:E65,3,FALSE)))</f>
        <v>8</v>
      </c>
    </row>
  </sheetData>
  <sheetProtection/>
  <mergeCells count="1">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17" t="s">
        <v>429</v>
      </c>
      <c r="B1" s="417"/>
      <c r="C1" s="417"/>
      <c r="D1" s="417"/>
      <c r="E1" s="417"/>
    </row>
    <row r="2" spans="1:3" ht="12.75">
      <c r="A2" s="256" t="s">
        <v>290</v>
      </c>
      <c r="B2" s="256" t="s">
        <v>430</v>
      </c>
      <c r="C2" s="256" t="s">
        <v>431</v>
      </c>
    </row>
    <row r="3" ht="12.75">
      <c r="A3" t="s">
        <v>26</v>
      </c>
    </row>
    <row r="4" spans="1:3" ht="12.75">
      <c r="A4" t="s">
        <v>295</v>
      </c>
      <c r="B4">
        <v>1</v>
      </c>
      <c r="C4">
        <v>2</v>
      </c>
    </row>
    <row r="5" spans="1:3" ht="12.75">
      <c r="A5" t="s">
        <v>297</v>
      </c>
      <c r="C5">
        <v>1</v>
      </c>
    </row>
    <row r="6" ht="12.75">
      <c r="A6" t="s">
        <v>231</v>
      </c>
    </row>
    <row r="7" spans="1:3" ht="12.75">
      <c r="A7" t="s">
        <v>300</v>
      </c>
      <c r="B7">
        <v>11</v>
      </c>
      <c r="C7">
        <v>3</v>
      </c>
    </row>
    <row r="8" spans="1:3" ht="12.75">
      <c r="A8" t="s">
        <v>304</v>
      </c>
      <c r="B8">
        <v>5</v>
      </c>
      <c r="C8">
        <v>2</v>
      </c>
    </row>
    <row r="9" ht="12.75">
      <c r="A9" t="s">
        <v>307</v>
      </c>
    </row>
    <row r="10" spans="1:3" ht="12.75">
      <c r="A10" t="s">
        <v>311</v>
      </c>
      <c r="B10">
        <v>8</v>
      </c>
      <c r="C10">
        <v>1</v>
      </c>
    </row>
    <row r="11" spans="1:2" ht="12.75">
      <c r="A11" t="s">
        <v>317</v>
      </c>
      <c r="B11">
        <v>1</v>
      </c>
    </row>
    <row r="12" spans="1:2" ht="12.75">
      <c r="A12" t="s">
        <v>323</v>
      </c>
      <c r="B12">
        <v>3</v>
      </c>
    </row>
    <row r="13" spans="1:3" ht="12.75">
      <c r="A13" t="s">
        <v>324</v>
      </c>
      <c r="C13">
        <v>1</v>
      </c>
    </row>
    <row r="14" spans="1:3" ht="12.75">
      <c r="A14" t="s">
        <v>326</v>
      </c>
      <c r="B14">
        <v>16738</v>
      </c>
      <c r="C14">
        <v>8822</v>
      </c>
    </row>
    <row r="15" spans="1:2" ht="12.75">
      <c r="A15" t="s">
        <v>328</v>
      </c>
      <c r="B15">
        <v>2</v>
      </c>
    </row>
    <row r="16" ht="12.75">
      <c r="A16" t="s">
        <v>330</v>
      </c>
    </row>
    <row r="17" ht="12.75">
      <c r="A17" t="s">
        <v>341</v>
      </c>
    </row>
    <row r="18" ht="12.75">
      <c r="A18" t="s">
        <v>345</v>
      </c>
    </row>
    <row r="19" ht="12.75">
      <c r="A19" t="s">
        <v>347</v>
      </c>
    </row>
    <row r="20" spans="1:2" ht="12.75">
      <c r="A20" t="s">
        <v>232</v>
      </c>
      <c r="B20">
        <v>1</v>
      </c>
    </row>
    <row r="21" spans="1:3" ht="12.75">
      <c r="A21" t="s">
        <v>301</v>
      </c>
      <c r="B21">
        <v>4</v>
      </c>
      <c r="C21">
        <v>2</v>
      </c>
    </row>
    <row r="22" spans="1:2" ht="12.75">
      <c r="A22" t="s">
        <v>310</v>
      </c>
      <c r="B22">
        <v>1</v>
      </c>
    </row>
    <row r="23" spans="1:3" ht="12.75">
      <c r="A23" t="s">
        <v>312</v>
      </c>
      <c r="B23">
        <v>41</v>
      </c>
      <c r="C23">
        <v>1</v>
      </c>
    </row>
    <row r="24" spans="1:3" ht="12.75">
      <c r="A24" t="s">
        <v>316</v>
      </c>
      <c r="B24">
        <v>24</v>
      </c>
      <c r="C24">
        <v>20</v>
      </c>
    </row>
    <row r="25" spans="1:3" ht="12.75">
      <c r="A25" t="s">
        <v>320</v>
      </c>
      <c r="B25">
        <v>3</v>
      </c>
      <c r="C25">
        <v>6</v>
      </c>
    </row>
    <row r="26" spans="1:2" ht="12.75">
      <c r="A26" t="s">
        <v>321</v>
      </c>
      <c r="B26">
        <v>5</v>
      </c>
    </row>
    <row r="27" spans="1:3" ht="12.75">
      <c r="A27" t="s">
        <v>332</v>
      </c>
      <c r="B27">
        <v>1</v>
      </c>
      <c r="C27">
        <v>1</v>
      </c>
    </row>
    <row r="28" ht="12.75">
      <c r="A28" t="s">
        <v>335</v>
      </c>
    </row>
    <row r="29" spans="1:3" ht="12.75">
      <c r="A29" t="s">
        <v>340</v>
      </c>
      <c r="B29">
        <v>11</v>
      </c>
      <c r="C29">
        <v>5</v>
      </c>
    </row>
    <row r="30" ht="12.75">
      <c r="A30" t="s">
        <v>343</v>
      </c>
    </row>
    <row r="31" spans="1:3" ht="12.75">
      <c r="A31" t="s">
        <v>348</v>
      </c>
      <c r="B31">
        <v>2</v>
      </c>
      <c r="C31">
        <v>3</v>
      </c>
    </row>
    <row r="32" spans="1:3" ht="12.75">
      <c r="A32" t="s">
        <v>299</v>
      </c>
      <c r="B32">
        <v>8</v>
      </c>
      <c r="C32">
        <v>3</v>
      </c>
    </row>
    <row r="33" ht="12.75">
      <c r="A33" t="s">
        <v>303</v>
      </c>
    </row>
    <row r="34" ht="12.75">
      <c r="A34" t="s">
        <v>305</v>
      </c>
    </row>
    <row r="35" spans="1:3" ht="12.75">
      <c r="A35" t="s">
        <v>309</v>
      </c>
      <c r="B35">
        <v>6</v>
      </c>
      <c r="C35">
        <v>3</v>
      </c>
    </row>
    <row r="36" ht="12.75">
      <c r="A36" t="s">
        <v>313</v>
      </c>
    </row>
    <row r="37" spans="1:3" ht="12.75">
      <c r="A37" t="s">
        <v>314</v>
      </c>
      <c r="B37">
        <v>6</v>
      </c>
      <c r="C37">
        <v>1</v>
      </c>
    </row>
    <row r="38" spans="1:3" ht="12.75">
      <c r="A38" t="s">
        <v>319</v>
      </c>
      <c r="B38">
        <v>11602</v>
      </c>
      <c r="C38">
        <v>2358</v>
      </c>
    </row>
    <row r="39" spans="1:3" ht="12.75">
      <c r="A39" t="s">
        <v>234</v>
      </c>
      <c r="B39">
        <v>2</v>
      </c>
      <c r="C39">
        <v>2</v>
      </c>
    </row>
    <row r="40" spans="1:3" ht="12.75">
      <c r="A40" t="s">
        <v>322</v>
      </c>
      <c r="B40">
        <v>15</v>
      </c>
      <c r="C40">
        <v>5</v>
      </c>
    </row>
    <row r="41" ht="12.75">
      <c r="A41" t="s">
        <v>337</v>
      </c>
    </row>
    <row r="42" spans="1:3" ht="12.75">
      <c r="A42" t="s">
        <v>338</v>
      </c>
      <c r="B42">
        <v>14</v>
      </c>
      <c r="C42">
        <v>5</v>
      </c>
    </row>
    <row r="43" spans="1:3" ht="12.75">
      <c r="A43" t="s">
        <v>339</v>
      </c>
      <c r="B43">
        <v>15298</v>
      </c>
      <c r="C43">
        <v>7428</v>
      </c>
    </row>
    <row r="44" spans="1:3" ht="12.75">
      <c r="A44" t="s">
        <v>342</v>
      </c>
      <c r="B44">
        <v>6</v>
      </c>
      <c r="C44">
        <v>3</v>
      </c>
    </row>
    <row r="45" ht="12.75">
      <c r="A45" t="s">
        <v>346</v>
      </c>
    </row>
    <row r="46" spans="1:3" ht="12.75">
      <c r="A46" t="s">
        <v>292</v>
      </c>
      <c r="B46">
        <v>2</v>
      </c>
      <c r="C46">
        <v>1</v>
      </c>
    </row>
    <row r="47" ht="12.75">
      <c r="A47" t="s">
        <v>294</v>
      </c>
    </row>
    <row r="48" ht="12.75">
      <c r="A48" t="s">
        <v>296</v>
      </c>
    </row>
    <row r="49" spans="1:3" ht="12.75">
      <c r="A49" t="s">
        <v>302</v>
      </c>
      <c r="B49">
        <v>9</v>
      </c>
      <c r="C49">
        <v>1</v>
      </c>
    </row>
    <row r="50" spans="1:3" ht="12.75">
      <c r="A50" t="s">
        <v>298</v>
      </c>
      <c r="B50">
        <v>2</v>
      </c>
      <c r="C50">
        <v>1</v>
      </c>
    </row>
    <row r="51" ht="12.75">
      <c r="A51" t="s">
        <v>306</v>
      </c>
    </row>
    <row r="52" spans="1:3" ht="12.75">
      <c r="A52" t="s">
        <v>308</v>
      </c>
      <c r="B52">
        <v>4</v>
      </c>
      <c r="C52">
        <v>1</v>
      </c>
    </row>
    <row r="53" spans="1:2" ht="12.75">
      <c r="A53" t="s">
        <v>315</v>
      </c>
      <c r="B53">
        <v>5</v>
      </c>
    </row>
    <row r="54" spans="1:2" ht="12.75">
      <c r="A54" t="s">
        <v>318</v>
      </c>
      <c r="B54">
        <v>360</v>
      </c>
    </row>
    <row r="55" spans="1:3" ht="12.75">
      <c r="A55" t="s">
        <v>325</v>
      </c>
      <c r="B55">
        <v>7</v>
      </c>
      <c r="C55">
        <v>1</v>
      </c>
    </row>
    <row r="56" spans="1:2" ht="12.75">
      <c r="A56" t="s">
        <v>327</v>
      </c>
      <c r="B56">
        <v>1</v>
      </c>
    </row>
    <row r="57" spans="1:3" ht="12.75">
      <c r="A57" t="s">
        <v>329</v>
      </c>
      <c r="B57">
        <v>4</v>
      </c>
      <c r="C57">
        <v>2</v>
      </c>
    </row>
    <row r="58" spans="1:2" ht="12.75">
      <c r="A58" t="s">
        <v>331</v>
      </c>
      <c r="B58">
        <v>1</v>
      </c>
    </row>
    <row r="59" ht="12.75">
      <c r="A59" t="s">
        <v>333</v>
      </c>
    </row>
    <row r="60" spans="1:3" ht="12.75">
      <c r="A60" t="s">
        <v>334</v>
      </c>
      <c r="C60">
        <v>1</v>
      </c>
    </row>
    <row r="61" spans="1:3" ht="12.75">
      <c r="A61" t="s">
        <v>336</v>
      </c>
      <c r="B61">
        <v>49</v>
      </c>
      <c r="C61">
        <v>2</v>
      </c>
    </row>
    <row r="62" ht="12.75">
      <c r="A62" t="s">
        <v>344</v>
      </c>
    </row>
    <row r="63" ht="12.75">
      <c r="A63" t="s">
        <v>401</v>
      </c>
    </row>
    <row r="64" spans="1:2" ht="12.75">
      <c r="A64" t="s">
        <v>293</v>
      </c>
      <c r="B64">
        <v>1</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17" t="s">
        <v>434</v>
      </c>
      <c r="B1" s="417"/>
    </row>
    <row r="2" spans="1:2" ht="12.75">
      <c r="A2" t="s">
        <v>73</v>
      </c>
      <c r="B2" s="283">
        <f>SUM(B3:B4)</f>
        <v>1</v>
      </c>
    </row>
    <row r="3" spans="1:2" ht="12.75">
      <c r="A3" t="s">
        <v>344</v>
      </c>
      <c r="B3" s="289">
        <f>IF(ISNA(VLOOKUP(A3,Burial_Data!A2:C67,2,FALSE)),"0",(VLOOKUP(A3,Burial_Data!A2:C67,2,FALSE)))</f>
        <v>0</v>
      </c>
    </row>
    <row r="4" spans="1:2" ht="12.75">
      <c r="A4" t="s">
        <v>293</v>
      </c>
      <c r="B4" s="289">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17" t="s">
        <v>432</v>
      </c>
      <c r="B1" s="417"/>
      <c r="C1" s="417"/>
      <c r="D1" s="417"/>
      <c r="E1" s="417"/>
    </row>
    <row r="2" spans="1:4" ht="12.75">
      <c r="A2" s="256" t="s">
        <v>290</v>
      </c>
      <c r="B2" s="256" t="s">
        <v>433</v>
      </c>
      <c r="C2" s="256" t="s">
        <v>291</v>
      </c>
      <c r="D2" s="256" t="s">
        <v>350</v>
      </c>
    </row>
    <row r="3" spans="1:4" ht="12.75">
      <c r="A3" t="s">
        <v>292</v>
      </c>
      <c r="B3">
        <v>340</v>
      </c>
      <c r="C3">
        <v>2</v>
      </c>
      <c r="D3" t="s">
        <v>15</v>
      </c>
    </row>
    <row r="4" spans="1:4" ht="12.75">
      <c r="A4" t="s">
        <v>293</v>
      </c>
      <c r="B4">
        <v>397</v>
      </c>
      <c r="C4">
        <v>5</v>
      </c>
      <c r="D4" t="s">
        <v>15</v>
      </c>
    </row>
    <row r="5" spans="1:4" ht="12.75">
      <c r="A5" t="s">
        <v>232</v>
      </c>
      <c r="B5">
        <v>316</v>
      </c>
      <c r="C5">
        <v>1</v>
      </c>
      <c r="D5" t="s">
        <v>15</v>
      </c>
    </row>
    <row r="6" spans="1:4" ht="12.75">
      <c r="A6" t="s">
        <v>295</v>
      </c>
      <c r="B6">
        <v>313</v>
      </c>
      <c r="C6">
        <v>4</v>
      </c>
      <c r="D6" t="s">
        <v>15</v>
      </c>
    </row>
    <row r="7" spans="1:4" ht="12.75">
      <c r="A7" t="s">
        <v>296</v>
      </c>
      <c r="B7">
        <v>347</v>
      </c>
      <c r="C7">
        <v>1</v>
      </c>
      <c r="D7" t="s">
        <v>15</v>
      </c>
    </row>
    <row r="8" spans="1:4" ht="12.75">
      <c r="A8" t="s">
        <v>231</v>
      </c>
      <c r="B8">
        <v>307</v>
      </c>
      <c r="C8">
        <v>1</v>
      </c>
      <c r="D8" t="s">
        <v>15</v>
      </c>
    </row>
    <row r="9" spans="1:4" ht="12.75">
      <c r="A9" t="s">
        <v>298</v>
      </c>
      <c r="B9">
        <v>442</v>
      </c>
      <c r="C9">
        <v>3</v>
      </c>
      <c r="D9" t="s">
        <v>15</v>
      </c>
    </row>
    <row r="10" spans="1:4" ht="12.75">
      <c r="A10" t="s">
        <v>299</v>
      </c>
      <c r="B10">
        <v>328</v>
      </c>
      <c r="C10">
        <v>145</v>
      </c>
      <c r="D10" t="s">
        <v>15</v>
      </c>
    </row>
    <row r="11" spans="1:4" ht="12.75">
      <c r="A11" t="s">
        <v>300</v>
      </c>
      <c r="B11">
        <v>325</v>
      </c>
      <c r="C11">
        <v>87</v>
      </c>
      <c r="D11" t="s">
        <v>15</v>
      </c>
    </row>
    <row r="12" spans="1:4" ht="12.75">
      <c r="A12" t="s">
        <v>301</v>
      </c>
      <c r="B12">
        <v>319</v>
      </c>
      <c r="C12">
        <v>9</v>
      </c>
      <c r="D12" t="s">
        <v>15</v>
      </c>
    </row>
    <row r="13" spans="1:4" ht="12.75">
      <c r="A13" t="s">
        <v>302</v>
      </c>
      <c r="B13">
        <v>339</v>
      </c>
      <c r="C13">
        <v>4</v>
      </c>
      <c r="D13" t="s">
        <v>15</v>
      </c>
    </row>
    <row r="14" spans="1:4" ht="12.75">
      <c r="A14" t="s">
        <v>303</v>
      </c>
      <c r="B14">
        <v>333</v>
      </c>
      <c r="C14">
        <v>1</v>
      </c>
      <c r="D14" t="s">
        <v>15</v>
      </c>
    </row>
    <row r="15" spans="1:4" ht="12.75">
      <c r="A15" t="s">
        <v>304</v>
      </c>
      <c r="B15">
        <v>329</v>
      </c>
      <c r="C15">
        <v>35</v>
      </c>
      <c r="D15" t="s">
        <v>15</v>
      </c>
    </row>
    <row r="16" spans="1:4" ht="12.75">
      <c r="A16" t="s">
        <v>306</v>
      </c>
      <c r="B16">
        <v>436</v>
      </c>
      <c r="C16">
        <v>1</v>
      </c>
      <c r="D16" t="s">
        <v>15</v>
      </c>
    </row>
    <row r="17" spans="1:4" ht="12.75">
      <c r="A17" t="s">
        <v>309</v>
      </c>
      <c r="B17">
        <v>362</v>
      </c>
      <c r="C17">
        <v>5</v>
      </c>
      <c r="D17" t="s">
        <v>15</v>
      </c>
    </row>
    <row r="18" spans="1:4" ht="12.75">
      <c r="A18" t="s">
        <v>310</v>
      </c>
      <c r="B18">
        <v>315</v>
      </c>
      <c r="C18">
        <v>3</v>
      </c>
      <c r="D18" t="s">
        <v>15</v>
      </c>
    </row>
    <row r="19" spans="1:4" ht="12.75">
      <c r="A19" t="s">
        <v>311</v>
      </c>
      <c r="B19">
        <v>326</v>
      </c>
      <c r="C19">
        <v>69</v>
      </c>
      <c r="D19" t="s">
        <v>15</v>
      </c>
    </row>
    <row r="20" spans="1:4" ht="12.75">
      <c r="A20" t="s">
        <v>312</v>
      </c>
      <c r="B20">
        <v>323</v>
      </c>
      <c r="C20">
        <v>11</v>
      </c>
      <c r="D20" t="s">
        <v>15</v>
      </c>
    </row>
    <row r="21" spans="1:4" ht="12.75">
      <c r="A21" t="s">
        <v>313</v>
      </c>
      <c r="B21">
        <v>334</v>
      </c>
      <c r="C21">
        <v>2</v>
      </c>
      <c r="D21" t="s">
        <v>15</v>
      </c>
    </row>
    <row r="22" spans="1:4" ht="12.75">
      <c r="A22" t="s">
        <v>314</v>
      </c>
      <c r="B22">
        <v>350</v>
      </c>
      <c r="C22">
        <v>49</v>
      </c>
      <c r="D22" t="s">
        <v>15</v>
      </c>
    </row>
    <row r="23" spans="1:4" ht="12.75">
      <c r="A23" t="s">
        <v>315</v>
      </c>
      <c r="B23">
        <v>344</v>
      </c>
      <c r="C23">
        <v>5</v>
      </c>
      <c r="D23" t="s">
        <v>15</v>
      </c>
    </row>
    <row r="24" spans="1:4" ht="12.75">
      <c r="A24" t="s">
        <v>316</v>
      </c>
      <c r="B24">
        <v>327</v>
      </c>
      <c r="C24">
        <v>57</v>
      </c>
      <c r="D24" t="s">
        <v>15</v>
      </c>
    </row>
    <row r="25" spans="1:4" ht="12.75">
      <c r="A25" t="s">
        <v>318</v>
      </c>
      <c r="B25">
        <v>358</v>
      </c>
      <c r="C25">
        <v>101</v>
      </c>
      <c r="D25" t="s">
        <v>15</v>
      </c>
    </row>
    <row r="26" spans="1:4" ht="12.75">
      <c r="A26" t="s">
        <v>319</v>
      </c>
      <c r="B26">
        <v>330</v>
      </c>
      <c r="C26">
        <v>1545</v>
      </c>
      <c r="D26" t="s">
        <v>15</v>
      </c>
    </row>
    <row r="27" spans="1:4" ht="12.75">
      <c r="A27" t="s">
        <v>320</v>
      </c>
      <c r="B27">
        <v>322</v>
      </c>
      <c r="C27">
        <v>82</v>
      </c>
      <c r="D27" t="s">
        <v>15</v>
      </c>
    </row>
    <row r="28" spans="1:4" ht="12.75">
      <c r="A28" t="s">
        <v>234</v>
      </c>
      <c r="B28">
        <v>351</v>
      </c>
      <c r="C28">
        <v>6</v>
      </c>
      <c r="D28" t="s">
        <v>15</v>
      </c>
    </row>
    <row r="29" spans="1:4" ht="12.75">
      <c r="A29" t="s">
        <v>321</v>
      </c>
      <c r="B29">
        <v>320</v>
      </c>
      <c r="C29">
        <v>42</v>
      </c>
      <c r="D29" t="s">
        <v>15</v>
      </c>
    </row>
    <row r="30" spans="1:4" ht="12.75">
      <c r="A30" t="s">
        <v>322</v>
      </c>
      <c r="B30">
        <v>321</v>
      </c>
      <c r="C30">
        <v>114</v>
      </c>
      <c r="D30" t="s">
        <v>15</v>
      </c>
    </row>
    <row r="31" spans="1:4" ht="12.75">
      <c r="A31" t="s">
        <v>323</v>
      </c>
      <c r="B31">
        <v>306</v>
      </c>
      <c r="C31">
        <v>2</v>
      </c>
      <c r="D31" t="s">
        <v>15</v>
      </c>
    </row>
    <row r="32" spans="1:4" ht="12.75">
      <c r="A32" t="s">
        <v>324</v>
      </c>
      <c r="B32">
        <v>309</v>
      </c>
      <c r="C32">
        <v>1</v>
      </c>
      <c r="D32" t="s">
        <v>15</v>
      </c>
    </row>
    <row r="33" spans="1:4" ht="12.75">
      <c r="A33" t="s">
        <v>325</v>
      </c>
      <c r="B33">
        <v>343</v>
      </c>
      <c r="C33">
        <v>5</v>
      </c>
      <c r="D33" t="s">
        <v>15</v>
      </c>
    </row>
    <row r="34" spans="1:4" ht="12.75">
      <c r="A34" t="s">
        <v>326</v>
      </c>
      <c r="B34">
        <v>310</v>
      </c>
      <c r="C34">
        <v>5251</v>
      </c>
      <c r="D34" t="s">
        <v>15</v>
      </c>
    </row>
    <row r="35" spans="1:4" ht="12.75">
      <c r="A35" t="s">
        <v>327</v>
      </c>
      <c r="B35">
        <v>345</v>
      </c>
      <c r="C35">
        <v>3</v>
      </c>
      <c r="D35" t="s">
        <v>15</v>
      </c>
    </row>
    <row r="36" spans="1:4" ht="12.75">
      <c r="A36" t="s">
        <v>329</v>
      </c>
      <c r="B36">
        <v>348</v>
      </c>
      <c r="C36">
        <v>23</v>
      </c>
      <c r="D36" t="s">
        <v>15</v>
      </c>
    </row>
    <row r="37" spans="1:4" ht="12.75">
      <c r="A37" t="s">
        <v>330</v>
      </c>
      <c r="B37">
        <v>304</v>
      </c>
      <c r="C37">
        <v>1</v>
      </c>
      <c r="D37" t="s">
        <v>15</v>
      </c>
    </row>
    <row r="38" spans="1:4" ht="12.75">
      <c r="A38" t="s">
        <v>331</v>
      </c>
      <c r="B38">
        <v>354</v>
      </c>
      <c r="C38">
        <v>3</v>
      </c>
      <c r="D38" t="s">
        <v>15</v>
      </c>
    </row>
    <row r="39" spans="1:4" ht="12.75">
      <c r="A39" t="s">
        <v>332</v>
      </c>
      <c r="B39">
        <v>314</v>
      </c>
      <c r="C39">
        <v>16</v>
      </c>
      <c r="D39" t="s">
        <v>15</v>
      </c>
    </row>
    <row r="40" spans="1:4" ht="12.75">
      <c r="A40" t="s">
        <v>333</v>
      </c>
      <c r="B40">
        <v>341</v>
      </c>
      <c r="C40">
        <v>2</v>
      </c>
      <c r="D40" t="s">
        <v>15</v>
      </c>
    </row>
    <row r="41" spans="1:4" ht="12.75">
      <c r="A41" t="s">
        <v>334</v>
      </c>
      <c r="B41">
        <v>377</v>
      </c>
      <c r="C41">
        <v>2</v>
      </c>
      <c r="D41" t="s">
        <v>15</v>
      </c>
    </row>
    <row r="42" spans="1:4" ht="12.75">
      <c r="A42" t="s">
        <v>336</v>
      </c>
      <c r="B42">
        <v>346</v>
      </c>
      <c r="C42">
        <v>41</v>
      </c>
      <c r="D42" t="s">
        <v>15</v>
      </c>
    </row>
    <row r="43" spans="1:4" ht="12.75">
      <c r="A43" t="s">
        <v>337</v>
      </c>
      <c r="B43">
        <v>438</v>
      </c>
      <c r="C43">
        <v>1</v>
      </c>
      <c r="D43" t="s">
        <v>15</v>
      </c>
    </row>
    <row r="44" spans="1:4" ht="12.75">
      <c r="A44" t="s">
        <v>338</v>
      </c>
      <c r="B44">
        <v>331</v>
      </c>
      <c r="C44">
        <v>124</v>
      </c>
      <c r="D44" t="s">
        <v>15</v>
      </c>
    </row>
    <row r="45" spans="1:4" ht="12.75">
      <c r="A45" t="s">
        <v>339</v>
      </c>
      <c r="B45">
        <v>335</v>
      </c>
      <c r="C45">
        <v>4967</v>
      </c>
      <c r="D45" t="s">
        <v>15</v>
      </c>
    </row>
    <row r="46" spans="1:4" ht="12.75">
      <c r="A46" t="s">
        <v>340</v>
      </c>
      <c r="B46">
        <v>317</v>
      </c>
      <c r="C46">
        <v>88</v>
      </c>
      <c r="D46" t="s">
        <v>15</v>
      </c>
    </row>
    <row r="47" spans="1:4" ht="12.75">
      <c r="A47" t="s">
        <v>342</v>
      </c>
      <c r="B47">
        <v>349</v>
      </c>
      <c r="C47">
        <v>11</v>
      </c>
      <c r="D47" t="s">
        <v>15</v>
      </c>
    </row>
    <row r="48" spans="1:4" ht="12.75">
      <c r="A48" t="s">
        <v>348</v>
      </c>
      <c r="B48">
        <v>318</v>
      </c>
      <c r="C48">
        <v>7</v>
      </c>
      <c r="D48" t="s">
        <v>15</v>
      </c>
    </row>
  </sheetData>
  <sheetProtection/>
  <mergeCells count="1">
    <mergeCell ref="A1:E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17" t="s">
        <v>435</v>
      </c>
      <c r="B1" s="417"/>
    </row>
    <row r="2" spans="1:2" ht="12.75">
      <c r="A2" t="s">
        <v>73</v>
      </c>
      <c r="B2" s="283">
        <f>SUM(B3:B4)</f>
        <v>5</v>
      </c>
    </row>
    <row r="3" spans="1:2" ht="12.75">
      <c r="A3" t="s">
        <v>344</v>
      </c>
      <c r="B3" s="289" t="str">
        <f>IF(ISNA(VLOOKUP(A3,Accrued_Data!$A$2:$D$51,3,FALSE)),"0",(VLOOKUP(A3,Accrued_Data!$A$2:$D$51,3,FALSE)))</f>
        <v>0</v>
      </c>
    </row>
    <row r="4" spans="1:2" ht="12.75">
      <c r="A4" t="s">
        <v>293</v>
      </c>
      <c r="B4" s="289">
        <f>IF(ISNA(VLOOKUP(A4,Accrued_Data!$A$2:$D$51,3,FALSE)),"0",(VLOOKUP(A4,Accrued_Data!$A$2:$D$51,3,FALSE)))</f>
        <v>5</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24" t="s">
        <v>223</v>
      </c>
      <c r="B1" s="424"/>
      <c r="C1" s="424"/>
      <c r="D1" s="424"/>
      <c r="E1" s="424"/>
      <c r="F1" s="424"/>
      <c r="P1" s="188"/>
      <c r="Q1" s="188"/>
    </row>
    <row r="2" spans="1:18" ht="26.25" customHeight="1">
      <c r="A2" s="123"/>
      <c r="B2" s="124"/>
      <c r="C2" s="124"/>
      <c r="H2" s="145"/>
      <c r="I2" s="425" t="s">
        <v>136</v>
      </c>
      <c r="J2" s="425"/>
      <c r="K2" s="426"/>
      <c r="L2" s="419" t="s">
        <v>8</v>
      </c>
      <c r="M2" s="420"/>
      <c r="N2" s="42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22" t="s">
        <v>221</v>
      </c>
      <c r="B4" s="423"/>
      <c r="C4" s="154"/>
      <c r="D4" s="422" t="s">
        <v>1</v>
      </c>
      <c r="E4" s="423"/>
      <c r="H4" s="156" t="s">
        <v>26</v>
      </c>
      <c r="I4" s="157">
        <f>SUM(B6)</f>
        <v>97</v>
      </c>
      <c r="J4" s="157">
        <f>SUM(B7)</f>
        <v>44</v>
      </c>
      <c r="K4" s="158">
        <f>SUM(B8)</f>
        <v>5</v>
      </c>
      <c r="L4" s="157">
        <f>SUM(E6)</f>
        <v>41</v>
      </c>
      <c r="M4" s="157">
        <f>SUM(E7)</f>
        <v>32</v>
      </c>
      <c r="N4" s="158">
        <f>SUM(E8)</f>
        <v>5</v>
      </c>
      <c r="P4" s="189"/>
      <c r="Q4" s="189"/>
      <c r="R4" s="189"/>
    </row>
    <row r="5" spans="1:18" ht="12.75">
      <c r="A5" s="201" t="s">
        <v>14</v>
      </c>
      <c r="B5" s="202"/>
      <c r="C5" s="203"/>
      <c r="D5" s="201" t="s">
        <v>14</v>
      </c>
      <c r="E5" s="200"/>
      <c r="H5" s="146" t="s">
        <v>137</v>
      </c>
      <c r="I5" s="173">
        <v>0</v>
      </c>
      <c r="J5" s="173">
        <v>0</v>
      </c>
      <c r="K5" s="174">
        <v>0</v>
      </c>
      <c r="L5" s="173">
        <v>0</v>
      </c>
      <c r="M5" s="173">
        <v>0</v>
      </c>
      <c r="N5" s="174">
        <v>0</v>
      </c>
      <c r="P5" s="188"/>
      <c r="Q5" s="188"/>
      <c r="R5" s="188"/>
    </row>
    <row r="6" spans="1:18" ht="12.75">
      <c r="A6" s="194" t="s">
        <v>271</v>
      </c>
      <c r="B6" s="193">
        <v>97</v>
      </c>
      <c r="D6" s="194" t="s">
        <v>271</v>
      </c>
      <c r="E6" s="193">
        <v>41</v>
      </c>
      <c r="H6" s="146" t="s">
        <v>138</v>
      </c>
      <c r="I6" s="173">
        <v>0</v>
      </c>
      <c r="J6" s="173">
        <v>0</v>
      </c>
      <c r="K6" s="174">
        <v>0</v>
      </c>
      <c r="L6" s="173">
        <v>0</v>
      </c>
      <c r="M6" s="173">
        <v>0</v>
      </c>
      <c r="N6" s="174">
        <v>0</v>
      </c>
      <c r="P6" s="188"/>
      <c r="Q6" s="188"/>
      <c r="R6" s="188"/>
    </row>
    <row r="7" spans="1:18" ht="12.75">
      <c r="A7" s="199" t="s">
        <v>272</v>
      </c>
      <c r="B7" s="195">
        <v>44</v>
      </c>
      <c r="D7" s="194" t="s">
        <v>272</v>
      </c>
      <c r="E7" s="195">
        <v>32</v>
      </c>
      <c r="H7" s="146" t="s">
        <v>139</v>
      </c>
      <c r="I7" s="173">
        <v>0</v>
      </c>
      <c r="J7" s="173">
        <v>0</v>
      </c>
      <c r="K7" s="174">
        <v>0</v>
      </c>
      <c r="L7" s="173">
        <v>0</v>
      </c>
      <c r="M7" s="173">
        <v>0</v>
      </c>
      <c r="N7" s="174">
        <v>0</v>
      </c>
      <c r="P7" s="188"/>
      <c r="Q7" s="188"/>
      <c r="R7" s="188"/>
    </row>
    <row r="8" spans="1:18" ht="12.75">
      <c r="A8" s="196" t="s">
        <v>273</v>
      </c>
      <c r="B8" s="195">
        <v>5</v>
      </c>
      <c r="D8" s="196" t="s">
        <v>273</v>
      </c>
      <c r="E8" s="195">
        <v>5</v>
      </c>
      <c r="H8" s="146" t="s">
        <v>140</v>
      </c>
      <c r="I8" s="173">
        <v>0</v>
      </c>
      <c r="J8" s="173">
        <v>0</v>
      </c>
      <c r="K8" s="174">
        <v>0</v>
      </c>
      <c r="L8" s="173">
        <v>0</v>
      </c>
      <c r="M8" s="173">
        <v>0</v>
      </c>
      <c r="N8" s="174">
        <v>0</v>
      </c>
      <c r="P8" s="188"/>
      <c r="Q8" s="188"/>
      <c r="R8" s="188"/>
    </row>
    <row r="9" spans="1:14" ht="13.5" thickBot="1">
      <c r="A9" s="197" t="s">
        <v>167</v>
      </c>
      <c r="B9" s="198">
        <f>SUM(B6:B8)</f>
        <v>146</v>
      </c>
      <c r="C9" s="138"/>
      <c r="D9" s="197" t="s">
        <v>167</v>
      </c>
      <c r="E9" s="198">
        <f>SUM(E6:E8)</f>
        <v>78</v>
      </c>
      <c r="H9" s="146" t="s">
        <v>141</v>
      </c>
      <c r="I9" s="173">
        <v>0</v>
      </c>
      <c r="J9" s="173">
        <v>0</v>
      </c>
      <c r="K9" s="174">
        <v>0</v>
      </c>
      <c r="L9" s="173">
        <v>0</v>
      </c>
      <c r="M9" s="173">
        <v>0</v>
      </c>
      <c r="N9" s="174">
        <v>0</v>
      </c>
    </row>
    <row r="10" spans="8:14" ht="12.75">
      <c r="H10" s="146" t="s">
        <v>142</v>
      </c>
      <c r="I10" s="173">
        <v>0</v>
      </c>
      <c r="J10" s="173">
        <v>0</v>
      </c>
      <c r="K10" s="174">
        <v>0</v>
      </c>
      <c r="L10" s="173">
        <v>0</v>
      </c>
      <c r="M10" s="173">
        <v>0</v>
      </c>
      <c r="N10" s="174">
        <v>0</v>
      </c>
    </row>
    <row r="11" spans="8:14" ht="12.75">
      <c r="H11" s="146" t="s">
        <v>143</v>
      </c>
      <c r="I11" s="173">
        <v>0</v>
      </c>
      <c r="J11" s="173">
        <v>0</v>
      </c>
      <c r="K11" s="174">
        <v>0</v>
      </c>
      <c r="L11" s="173">
        <v>0</v>
      </c>
      <c r="M11" s="173">
        <v>0</v>
      </c>
      <c r="N11" s="174">
        <v>0</v>
      </c>
    </row>
    <row r="12" spans="1:14" ht="12.75">
      <c r="A12" s="144"/>
      <c r="B12" s="144" t="s">
        <v>222</v>
      </c>
      <c r="C12" s="144"/>
      <c r="D12" s="144"/>
      <c r="E12" s="144"/>
      <c r="H12" s="146" t="s">
        <v>144</v>
      </c>
      <c r="I12" s="173">
        <v>0</v>
      </c>
      <c r="J12" s="173">
        <v>0</v>
      </c>
      <c r="K12" s="174">
        <v>0</v>
      </c>
      <c r="L12" s="173">
        <v>0</v>
      </c>
      <c r="M12" s="173">
        <v>0</v>
      </c>
      <c r="N12" s="174">
        <v>0</v>
      </c>
    </row>
    <row r="13" spans="1:14" ht="12.75" customHeight="1">
      <c r="A13" s="139"/>
      <c r="B13" s="122"/>
      <c r="F13" s="125"/>
      <c r="H13" s="146" t="s">
        <v>145</v>
      </c>
      <c r="I13" s="173">
        <v>0</v>
      </c>
      <c r="J13" s="173">
        <v>0</v>
      </c>
      <c r="K13" s="174">
        <v>0</v>
      </c>
      <c r="L13" s="173">
        <v>0</v>
      </c>
      <c r="M13" s="173">
        <v>0</v>
      </c>
      <c r="N13" s="174">
        <v>0</v>
      </c>
    </row>
    <row r="14" spans="1:14" ht="16.5" customHeight="1">
      <c r="A14" s="241" t="s">
        <v>260</v>
      </c>
      <c r="B14" s="122"/>
      <c r="D14" s="153"/>
      <c r="H14" s="146" t="s">
        <v>146</v>
      </c>
      <c r="I14" s="173">
        <v>0</v>
      </c>
      <c r="J14" s="173">
        <v>0</v>
      </c>
      <c r="K14" s="174">
        <v>0</v>
      </c>
      <c r="L14" s="173">
        <v>0</v>
      </c>
      <c r="M14" s="173">
        <v>0</v>
      </c>
      <c r="N14" s="174">
        <v>0</v>
      </c>
    </row>
    <row r="15" spans="1:14" ht="16.5" customHeight="1">
      <c r="A15" s="139" t="s">
        <v>264</v>
      </c>
      <c r="B15" s="122" t="s">
        <v>266</v>
      </c>
      <c r="H15" s="146" t="s">
        <v>147</v>
      </c>
      <c r="I15" s="173">
        <v>0</v>
      </c>
      <c r="J15" s="173">
        <v>0</v>
      </c>
      <c r="K15" s="174">
        <v>0</v>
      </c>
      <c r="L15" s="173">
        <v>0</v>
      </c>
      <c r="M15" s="173">
        <v>0</v>
      </c>
      <c r="N15" s="174">
        <v>0</v>
      </c>
    </row>
    <row r="16" spans="1:14" ht="16.5" customHeight="1">
      <c r="A16" s="139" t="s">
        <v>261</v>
      </c>
      <c r="B16" s="122" t="s">
        <v>265</v>
      </c>
      <c r="H16" s="146" t="s">
        <v>148</v>
      </c>
      <c r="I16" s="173">
        <v>0</v>
      </c>
      <c r="J16" s="173">
        <v>0</v>
      </c>
      <c r="K16" s="174">
        <v>0</v>
      </c>
      <c r="L16" s="173">
        <v>0</v>
      </c>
      <c r="M16" s="173">
        <v>0</v>
      </c>
      <c r="N16" s="174">
        <v>0</v>
      </c>
    </row>
    <row r="17" spans="1:14" ht="16.5" customHeight="1">
      <c r="A17" s="139" t="s">
        <v>262</v>
      </c>
      <c r="B17" s="122" t="s">
        <v>267</v>
      </c>
      <c r="H17" s="146" t="s">
        <v>149</v>
      </c>
      <c r="I17" s="173">
        <v>0</v>
      </c>
      <c r="J17" s="173">
        <v>0</v>
      </c>
      <c r="K17" s="174">
        <v>0</v>
      </c>
      <c r="L17" s="173">
        <v>0</v>
      </c>
      <c r="M17" s="173">
        <v>0</v>
      </c>
      <c r="N17" s="174">
        <v>0</v>
      </c>
    </row>
    <row r="18" spans="1:14" ht="16.5" customHeight="1">
      <c r="A18" s="139" t="s">
        <v>263</v>
      </c>
      <c r="B18" s="122" t="s">
        <v>268</v>
      </c>
      <c r="H18" s="146" t="s">
        <v>150</v>
      </c>
      <c r="I18" s="173">
        <v>0</v>
      </c>
      <c r="J18" s="173">
        <v>0</v>
      </c>
      <c r="K18" s="174">
        <v>0</v>
      </c>
      <c r="L18" s="173">
        <v>0</v>
      </c>
      <c r="M18" s="173">
        <v>0</v>
      </c>
      <c r="N18" s="174">
        <v>0</v>
      </c>
    </row>
    <row r="19" spans="1:14" ht="16.5" customHeight="1">
      <c r="A19"/>
      <c r="B19"/>
      <c r="C19"/>
      <c r="D19"/>
      <c r="H19" s="146" t="s">
        <v>27</v>
      </c>
      <c r="I19" s="173">
        <v>0</v>
      </c>
      <c r="J19" s="173">
        <v>0</v>
      </c>
      <c r="K19" s="174">
        <v>0</v>
      </c>
      <c r="L19" s="173">
        <v>0</v>
      </c>
      <c r="M19" s="173">
        <v>0</v>
      </c>
      <c r="N19" s="174">
        <v>0</v>
      </c>
    </row>
    <row r="20" spans="1:14" ht="12.75">
      <c r="A20"/>
      <c r="B20"/>
      <c r="C20"/>
      <c r="D20"/>
      <c r="H20" s="146" t="s">
        <v>28</v>
      </c>
      <c r="I20" s="173">
        <v>0</v>
      </c>
      <c r="J20" s="173">
        <v>0</v>
      </c>
      <c r="K20" s="174">
        <v>0</v>
      </c>
      <c r="L20" s="173">
        <v>0</v>
      </c>
      <c r="M20" s="173">
        <v>0</v>
      </c>
      <c r="N20" s="174">
        <v>0</v>
      </c>
    </row>
    <row r="21" spans="1:14" ht="12.75">
      <c r="A21"/>
      <c r="B21"/>
      <c r="C21"/>
      <c r="D21"/>
      <c r="H21" s="146" t="s">
        <v>29</v>
      </c>
      <c r="I21" s="173">
        <v>0</v>
      </c>
      <c r="J21" s="173">
        <v>0</v>
      </c>
      <c r="K21" s="174">
        <v>0</v>
      </c>
      <c r="L21" s="173">
        <v>0</v>
      </c>
      <c r="M21" s="173">
        <v>0</v>
      </c>
      <c r="N21" s="174">
        <v>0</v>
      </c>
    </row>
    <row r="22" spans="1:14" ht="12.75">
      <c r="A22"/>
      <c r="B22"/>
      <c r="C22"/>
      <c r="D22"/>
      <c r="H22" s="146" t="s">
        <v>30</v>
      </c>
      <c r="I22" s="173">
        <v>0</v>
      </c>
      <c r="J22" s="173">
        <v>0</v>
      </c>
      <c r="K22" s="174">
        <v>0</v>
      </c>
      <c r="L22" s="173">
        <v>0</v>
      </c>
      <c r="M22" s="173">
        <v>0</v>
      </c>
      <c r="N22" s="174">
        <v>0</v>
      </c>
    </row>
    <row r="23" spans="1:14" ht="12.75">
      <c r="A23" s="188"/>
      <c r="B23" s="190"/>
      <c r="C23" s="188"/>
      <c r="H23" s="146" t="s">
        <v>31</v>
      </c>
      <c r="I23" s="173">
        <v>0</v>
      </c>
      <c r="J23" s="173">
        <v>0</v>
      </c>
      <c r="K23" s="174">
        <v>0</v>
      </c>
      <c r="L23" s="173">
        <v>0</v>
      </c>
      <c r="M23" s="173">
        <v>0</v>
      </c>
      <c r="N23" s="174">
        <v>0</v>
      </c>
    </row>
    <row r="24" spans="1:14" ht="12.75">
      <c r="A24" s="188"/>
      <c r="B24" s="190"/>
      <c r="C24" s="188"/>
      <c r="H24" s="146" t="s">
        <v>32</v>
      </c>
      <c r="I24" s="173">
        <v>0</v>
      </c>
      <c r="J24" s="173">
        <v>0</v>
      </c>
      <c r="K24" s="174">
        <v>0</v>
      </c>
      <c r="L24" s="173">
        <v>0</v>
      </c>
      <c r="M24" s="173">
        <v>0</v>
      </c>
      <c r="N24" s="174">
        <v>0</v>
      </c>
    </row>
    <row r="25" spans="1:14" ht="12.75">
      <c r="A25" s="188"/>
      <c r="B25" s="190"/>
      <c r="C25" s="188"/>
      <c r="H25" s="146" t="s">
        <v>33</v>
      </c>
      <c r="I25" s="173">
        <v>0</v>
      </c>
      <c r="J25" s="173">
        <v>0</v>
      </c>
      <c r="K25" s="174">
        <v>0</v>
      </c>
      <c r="L25" s="173">
        <v>0</v>
      </c>
      <c r="M25" s="173">
        <v>0</v>
      </c>
      <c r="N25" s="174">
        <v>0</v>
      </c>
    </row>
    <row r="26" spans="1:14" ht="12.75">
      <c r="A26" s="188"/>
      <c r="B26" s="190"/>
      <c r="C26" s="188"/>
      <c r="H26" s="146" t="s">
        <v>34</v>
      </c>
      <c r="I26" s="173">
        <v>0</v>
      </c>
      <c r="J26" s="173">
        <v>0</v>
      </c>
      <c r="K26" s="174">
        <v>0</v>
      </c>
      <c r="L26" s="173">
        <v>0</v>
      </c>
      <c r="M26" s="173">
        <v>0</v>
      </c>
      <c r="N26" s="174">
        <v>0</v>
      </c>
    </row>
    <row r="27" spans="1:14" ht="12.75">
      <c r="A27" s="188"/>
      <c r="B27" s="190"/>
      <c r="C27" s="188"/>
      <c r="H27" s="146" t="s">
        <v>35</v>
      </c>
      <c r="I27" s="173">
        <v>0</v>
      </c>
      <c r="J27" s="173">
        <v>0</v>
      </c>
      <c r="K27" s="174">
        <v>0</v>
      </c>
      <c r="L27" s="173">
        <v>0</v>
      </c>
      <c r="M27" s="173">
        <v>0</v>
      </c>
      <c r="N27" s="174">
        <v>0</v>
      </c>
    </row>
    <row r="28" spans="1:14" ht="12.75">
      <c r="A28" s="188"/>
      <c r="B28" s="190"/>
      <c r="C28" s="188"/>
      <c r="H28" s="146" t="s">
        <v>36</v>
      </c>
      <c r="I28" s="173">
        <v>0</v>
      </c>
      <c r="J28" s="173">
        <v>0</v>
      </c>
      <c r="K28" s="174">
        <v>0</v>
      </c>
      <c r="L28" s="173">
        <v>0</v>
      </c>
      <c r="M28" s="173">
        <v>0</v>
      </c>
      <c r="N28" s="174">
        <v>0</v>
      </c>
    </row>
    <row r="29" spans="1:14" ht="12.75">
      <c r="A29" s="188"/>
      <c r="B29" s="190"/>
      <c r="C29" s="188"/>
      <c r="H29" s="146" t="s">
        <v>37</v>
      </c>
      <c r="I29" s="173">
        <v>0</v>
      </c>
      <c r="J29" s="173">
        <v>0</v>
      </c>
      <c r="K29" s="174">
        <v>0</v>
      </c>
      <c r="L29" s="173">
        <v>0</v>
      </c>
      <c r="M29" s="173">
        <v>0</v>
      </c>
      <c r="N29" s="174">
        <v>0</v>
      </c>
    </row>
    <row r="30" spans="1:14" ht="12.75">
      <c r="A30" s="188"/>
      <c r="B30" s="190"/>
      <c r="C30" s="188"/>
      <c r="H30" s="146" t="s">
        <v>38</v>
      </c>
      <c r="I30" s="173">
        <v>0</v>
      </c>
      <c r="J30" s="173">
        <v>0</v>
      </c>
      <c r="K30" s="174">
        <v>0</v>
      </c>
      <c r="L30" s="173">
        <v>0</v>
      </c>
      <c r="M30" s="173">
        <v>0</v>
      </c>
      <c r="N30" s="174">
        <v>0</v>
      </c>
    </row>
    <row r="31" spans="1:14" ht="12.75">
      <c r="A31" s="188"/>
      <c r="B31" s="190"/>
      <c r="C31" s="188"/>
      <c r="H31" s="146" t="s">
        <v>39</v>
      </c>
      <c r="I31" s="173">
        <v>0</v>
      </c>
      <c r="J31" s="173">
        <v>0</v>
      </c>
      <c r="K31" s="174">
        <v>0</v>
      </c>
      <c r="L31" s="173">
        <v>0</v>
      </c>
      <c r="M31" s="173">
        <v>0</v>
      </c>
      <c r="N31" s="174">
        <v>0</v>
      </c>
    </row>
    <row r="32" spans="1:14" ht="12.75">
      <c r="A32" s="188"/>
      <c r="B32" s="190"/>
      <c r="C32" s="188"/>
      <c r="H32" s="146" t="s">
        <v>40</v>
      </c>
      <c r="I32" s="173">
        <v>0</v>
      </c>
      <c r="J32" s="173">
        <v>0</v>
      </c>
      <c r="K32" s="174">
        <v>0</v>
      </c>
      <c r="L32" s="173">
        <v>0</v>
      </c>
      <c r="M32" s="173">
        <v>0</v>
      </c>
      <c r="N32" s="174">
        <v>0</v>
      </c>
    </row>
    <row r="33" spans="1:14" ht="12.75">
      <c r="A33" s="188"/>
      <c r="B33" s="190"/>
      <c r="C33" s="188"/>
      <c r="H33" s="146" t="s">
        <v>41</v>
      </c>
      <c r="I33" s="173">
        <v>0</v>
      </c>
      <c r="J33" s="173">
        <v>0</v>
      </c>
      <c r="K33" s="174">
        <v>0</v>
      </c>
      <c r="L33" s="173">
        <v>0</v>
      </c>
      <c r="M33" s="173">
        <v>0</v>
      </c>
      <c r="N33" s="174">
        <v>0</v>
      </c>
    </row>
    <row r="34" spans="1:14" ht="12.75">
      <c r="A34" s="188"/>
      <c r="B34" s="190"/>
      <c r="C34" s="188"/>
      <c r="H34" s="146" t="s">
        <v>42</v>
      </c>
      <c r="I34" s="173">
        <v>0</v>
      </c>
      <c r="J34" s="173">
        <v>0</v>
      </c>
      <c r="K34" s="174">
        <v>0</v>
      </c>
      <c r="L34" s="173">
        <v>0</v>
      </c>
      <c r="M34" s="173">
        <v>0</v>
      </c>
      <c r="N34" s="174">
        <v>0</v>
      </c>
    </row>
    <row r="35" spans="1:14" ht="12.75">
      <c r="A35" s="188"/>
      <c r="B35" s="190"/>
      <c r="C35" s="188"/>
      <c r="H35" s="146" t="s">
        <v>43</v>
      </c>
      <c r="I35" s="173">
        <v>0</v>
      </c>
      <c r="J35" s="173">
        <v>0</v>
      </c>
      <c r="K35" s="174">
        <v>0</v>
      </c>
      <c r="L35" s="173">
        <v>0</v>
      </c>
      <c r="M35" s="173">
        <v>0</v>
      </c>
      <c r="N35" s="174">
        <v>0</v>
      </c>
    </row>
    <row r="36" spans="1:14" ht="12.75">
      <c r="A36" s="188"/>
      <c r="B36" s="190"/>
      <c r="C36" s="188"/>
      <c r="H36" s="146" t="s">
        <v>44</v>
      </c>
      <c r="I36" s="173">
        <v>0</v>
      </c>
      <c r="J36" s="173">
        <v>0</v>
      </c>
      <c r="K36" s="174">
        <v>0</v>
      </c>
      <c r="L36" s="173">
        <v>0</v>
      </c>
      <c r="M36" s="173">
        <v>0</v>
      </c>
      <c r="N36" s="174">
        <v>0</v>
      </c>
    </row>
    <row r="37" spans="1:14" ht="12.75">
      <c r="A37" s="188"/>
      <c r="B37" s="190"/>
      <c r="C37" s="188"/>
      <c r="H37" s="146" t="s">
        <v>45</v>
      </c>
      <c r="I37" s="173">
        <v>0</v>
      </c>
      <c r="J37" s="173">
        <v>0</v>
      </c>
      <c r="K37" s="174">
        <v>0</v>
      </c>
      <c r="L37" s="173">
        <v>0</v>
      </c>
      <c r="M37" s="173">
        <v>0</v>
      </c>
      <c r="N37" s="174">
        <v>0</v>
      </c>
    </row>
    <row r="38" spans="1:14" ht="12.75">
      <c r="A38" s="188"/>
      <c r="B38" s="190"/>
      <c r="C38" s="188"/>
      <c r="H38" s="146" t="s">
        <v>46</v>
      </c>
      <c r="I38" s="173">
        <v>0</v>
      </c>
      <c r="J38" s="173">
        <v>0</v>
      </c>
      <c r="K38" s="174">
        <v>0</v>
      </c>
      <c r="L38" s="173">
        <v>0</v>
      </c>
      <c r="M38" s="173">
        <v>0</v>
      </c>
      <c r="N38" s="174">
        <v>0</v>
      </c>
    </row>
    <row r="39" spans="1:14" ht="12.75">
      <c r="A39" s="188"/>
      <c r="B39" s="190"/>
      <c r="C39" s="188"/>
      <c r="H39" s="146" t="s">
        <v>47</v>
      </c>
      <c r="I39" s="173">
        <v>0</v>
      </c>
      <c r="J39" s="173">
        <v>0</v>
      </c>
      <c r="K39" s="174">
        <v>0</v>
      </c>
      <c r="L39" s="173">
        <v>0</v>
      </c>
      <c r="M39" s="173">
        <v>0</v>
      </c>
      <c r="N39" s="174">
        <v>0</v>
      </c>
    </row>
    <row r="40" spans="1:14" ht="12.75">
      <c r="A40" s="188"/>
      <c r="B40" s="190"/>
      <c r="C40" s="188"/>
      <c r="H40" s="146" t="s">
        <v>48</v>
      </c>
      <c r="I40" s="173">
        <v>0</v>
      </c>
      <c r="J40" s="173">
        <v>0</v>
      </c>
      <c r="K40" s="174">
        <v>0</v>
      </c>
      <c r="L40" s="173">
        <v>0</v>
      </c>
      <c r="M40" s="173">
        <v>0</v>
      </c>
      <c r="N40" s="174">
        <v>0</v>
      </c>
    </row>
    <row r="41" spans="1:14" ht="12.75">
      <c r="A41" s="188"/>
      <c r="B41" s="190"/>
      <c r="C41" s="188"/>
      <c r="H41" s="146" t="s">
        <v>49</v>
      </c>
      <c r="I41" s="173">
        <v>0</v>
      </c>
      <c r="J41" s="173">
        <v>0</v>
      </c>
      <c r="K41" s="174">
        <v>0</v>
      </c>
      <c r="L41" s="173">
        <v>0</v>
      </c>
      <c r="M41" s="173">
        <v>0</v>
      </c>
      <c r="N41" s="174">
        <v>0</v>
      </c>
    </row>
    <row r="42" spans="1:14" ht="12.75">
      <c r="A42" s="188"/>
      <c r="B42" s="190"/>
      <c r="C42" s="188"/>
      <c r="H42" s="146" t="s">
        <v>50</v>
      </c>
      <c r="I42" s="173">
        <v>0</v>
      </c>
      <c r="J42" s="173">
        <v>0</v>
      </c>
      <c r="K42" s="174">
        <v>0</v>
      </c>
      <c r="L42" s="173">
        <v>0</v>
      </c>
      <c r="M42" s="173">
        <v>0</v>
      </c>
      <c r="N42" s="174">
        <v>0</v>
      </c>
    </row>
    <row r="43" spans="1:14" ht="12.75">
      <c r="A43" s="188"/>
      <c r="B43" s="190"/>
      <c r="C43" s="188"/>
      <c r="H43" s="146" t="s">
        <v>51</v>
      </c>
      <c r="I43" s="173">
        <v>0</v>
      </c>
      <c r="J43" s="173">
        <v>0</v>
      </c>
      <c r="K43" s="174">
        <v>0</v>
      </c>
      <c r="L43" s="173">
        <v>0</v>
      </c>
      <c r="M43" s="173">
        <v>0</v>
      </c>
      <c r="N43" s="174">
        <v>0</v>
      </c>
    </row>
    <row r="44" spans="1:14" ht="12.75">
      <c r="A44" s="188"/>
      <c r="B44" s="190"/>
      <c r="C44" s="188"/>
      <c r="H44" s="146" t="s">
        <v>52</v>
      </c>
      <c r="I44" s="173">
        <v>0</v>
      </c>
      <c r="J44" s="173">
        <v>0</v>
      </c>
      <c r="K44" s="174">
        <v>0</v>
      </c>
      <c r="L44" s="173">
        <v>0</v>
      </c>
      <c r="M44" s="173">
        <v>0</v>
      </c>
      <c r="N44" s="174">
        <v>0</v>
      </c>
    </row>
    <row r="45" spans="1:14" ht="12.75">
      <c r="A45" s="188"/>
      <c r="B45" s="190"/>
      <c r="C45" s="188"/>
      <c r="H45" s="146" t="s">
        <v>53</v>
      </c>
      <c r="I45" s="173">
        <v>0</v>
      </c>
      <c r="J45" s="173">
        <v>0</v>
      </c>
      <c r="K45" s="174">
        <v>0</v>
      </c>
      <c r="L45" s="173">
        <v>0</v>
      </c>
      <c r="M45" s="173">
        <v>0</v>
      </c>
      <c r="N45" s="174">
        <v>0</v>
      </c>
    </row>
    <row r="46" spans="1:14" ht="12.75">
      <c r="A46" s="188"/>
      <c r="B46" s="190"/>
      <c r="C46" s="188"/>
      <c r="H46" s="146" t="s">
        <v>54</v>
      </c>
      <c r="I46" s="173">
        <v>0</v>
      </c>
      <c r="J46" s="173">
        <v>0</v>
      </c>
      <c r="K46" s="174">
        <v>0</v>
      </c>
      <c r="L46" s="173">
        <v>0</v>
      </c>
      <c r="M46" s="173">
        <v>0</v>
      </c>
      <c r="N46" s="174">
        <v>0</v>
      </c>
    </row>
    <row r="47" spans="1:14" ht="12.75">
      <c r="A47" s="188"/>
      <c r="B47" s="190"/>
      <c r="C47" s="188"/>
      <c r="H47" s="146" t="s">
        <v>55</v>
      </c>
      <c r="I47" s="173">
        <v>0</v>
      </c>
      <c r="J47" s="173">
        <v>0</v>
      </c>
      <c r="K47" s="174">
        <v>0</v>
      </c>
      <c r="L47" s="173">
        <v>0</v>
      </c>
      <c r="M47" s="173">
        <v>0</v>
      </c>
      <c r="N47" s="174">
        <v>0</v>
      </c>
    </row>
    <row r="48" spans="1:14" ht="12.75">
      <c r="A48" s="188"/>
      <c r="B48" s="190"/>
      <c r="C48" s="188"/>
      <c r="H48" s="146" t="s">
        <v>56</v>
      </c>
      <c r="I48" s="173">
        <v>0</v>
      </c>
      <c r="J48" s="173">
        <v>0</v>
      </c>
      <c r="K48" s="174">
        <v>0</v>
      </c>
      <c r="L48" s="173">
        <v>0</v>
      </c>
      <c r="M48" s="173">
        <v>0</v>
      </c>
      <c r="N48" s="174">
        <v>0</v>
      </c>
    </row>
    <row r="49" spans="1:14" ht="12.75">
      <c r="A49" s="188"/>
      <c r="B49" s="190"/>
      <c r="C49" s="188"/>
      <c r="H49" s="146" t="s">
        <v>57</v>
      </c>
      <c r="I49" s="173">
        <v>0</v>
      </c>
      <c r="J49" s="173">
        <v>0</v>
      </c>
      <c r="K49" s="174">
        <v>0</v>
      </c>
      <c r="L49" s="173">
        <v>0</v>
      </c>
      <c r="M49" s="173">
        <v>0</v>
      </c>
      <c r="N49" s="174">
        <v>0</v>
      </c>
    </row>
    <row r="50" spans="1:14" ht="12.75">
      <c r="A50" s="188"/>
      <c r="B50" s="190"/>
      <c r="C50" s="188"/>
      <c r="H50" s="147" t="s">
        <v>58</v>
      </c>
      <c r="I50" s="148">
        <v>79</v>
      </c>
      <c r="J50" s="148">
        <v>54</v>
      </c>
      <c r="K50" s="126">
        <v>5</v>
      </c>
      <c r="L50" s="148">
        <v>39</v>
      </c>
      <c r="M50" s="148">
        <v>32</v>
      </c>
      <c r="N50" s="126">
        <v>5</v>
      </c>
    </row>
    <row r="51" spans="1:14" ht="12.75">
      <c r="A51" s="188"/>
      <c r="B51" s="190"/>
      <c r="C51" s="188"/>
      <c r="H51" s="146" t="s">
        <v>270</v>
      </c>
      <c r="I51" s="173">
        <v>0</v>
      </c>
      <c r="J51" s="173">
        <v>0</v>
      </c>
      <c r="K51" s="174">
        <v>0</v>
      </c>
      <c r="L51" s="173">
        <v>0</v>
      </c>
      <c r="M51" s="173">
        <v>0</v>
      </c>
      <c r="N51" s="174">
        <v>0</v>
      </c>
    </row>
    <row r="52" spans="1:14" ht="12.75">
      <c r="A52" s="188"/>
      <c r="B52" s="190"/>
      <c r="C52" s="188"/>
      <c r="H52" s="146" t="s">
        <v>59</v>
      </c>
      <c r="I52" s="173">
        <v>0</v>
      </c>
      <c r="J52" s="173">
        <v>0</v>
      </c>
      <c r="K52" s="174">
        <v>0</v>
      </c>
      <c r="L52" s="173">
        <v>0</v>
      </c>
      <c r="M52" s="173">
        <v>0</v>
      </c>
      <c r="N52" s="174">
        <v>0</v>
      </c>
    </row>
    <row r="53" spans="1:14" ht="12.75">
      <c r="A53" s="188"/>
      <c r="B53" s="190"/>
      <c r="C53" s="188"/>
      <c r="H53" s="146" t="s">
        <v>60</v>
      </c>
      <c r="I53" s="173">
        <v>0</v>
      </c>
      <c r="J53" s="173">
        <v>0</v>
      </c>
      <c r="K53" s="174">
        <v>0</v>
      </c>
      <c r="L53" s="173">
        <v>0</v>
      </c>
      <c r="M53" s="173">
        <v>0</v>
      </c>
      <c r="N53" s="174">
        <v>0</v>
      </c>
    </row>
    <row r="54" spans="1:14" ht="12.75">
      <c r="A54" s="188"/>
      <c r="B54" s="190"/>
      <c r="C54" s="188"/>
      <c r="H54" s="146" t="s">
        <v>61</v>
      </c>
      <c r="I54" s="173">
        <v>0</v>
      </c>
      <c r="J54" s="173">
        <v>0</v>
      </c>
      <c r="K54" s="174">
        <v>0</v>
      </c>
      <c r="L54" s="173">
        <v>0</v>
      </c>
      <c r="M54" s="173">
        <v>0</v>
      </c>
      <c r="N54" s="174">
        <v>0</v>
      </c>
    </row>
    <row r="55" spans="1:14" ht="12.75">
      <c r="A55" s="188"/>
      <c r="B55" s="190"/>
      <c r="C55" s="188"/>
      <c r="H55" s="146" t="s">
        <v>62</v>
      </c>
      <c r="I55" s="173">
        <v>0</v>
      </c>
      <c r="J55" s="173">
        <v>0</v>
      </c>
      <c r="K55" s="174">
        <v>0</v>
      </c>
      <c r="L55" s="173">
        <v>0</v>
      </c>
      <c r="M55" s="173">
        <v>0</v>
      </c>
      <c r="N55" s="174">
        <v>0</v>
      </c>
    </row>
    <row r="56" spans="1:14" ht="12.75">
      <c r="A56" s="188"/>
      <c r="B56" s="190"/>
      <c r="C56" s="188"/>
      <c r="H56" s="146" t="s">
        <v>63</v>
      </c>
      <c r="I56" s="173">
        <v>0</v>
      </c>
      <c r="J56" s="173">
        <v>0</v>
      </c>
      <c r="K56" s="174">
        <v>0</v>
      </c>
      <c r="L56" s="173">
        <v>0</v>
      </c>
      <c r="M56" s="173">
        <v>0</v>
      </c>
      <c r="N56" s="174">
        <v>0</v>
      </c>
    </row>
    <row r="57" spans="1:14" ht="12.75">
      <c r="A57" s="188"/>
      <c r="B57" s="190"/>
      <c r="C57" s="188"/>
      <c r="H57" s="146" t="s">
        <v>64</v>
      </c>
      <c r="I57" s="173">
        <v>0</v>
      </c>
      <c r="J57" s="173">
        <v>0</v>
      </c>
      <c r="K57" s="174">
        <v>0</v>
      </c>
      <c r="L57" s="173">
        <v>0</v>
      </c>
      <c r="M57" s="173">
        <v>0</v>
      </c>
      <c r="N57" s="174">
        <v>0</v>
      </c>
    </row>
    <row r="58" spans="1:14" ht="12.75">
      <c r="A58" s="188"/>
      <c r="B58" s="190"/>
      <c r="C58" s="188"/>
      <c r="H58" s="146" t="s">
        <v>65</v>
      </c>
      <c r="I58" s="173">
        <v>0</v>
      </c>
      <c r="J58" s="173">
        <v>0</v>
      </c>
      <c r="K58" s="174">
        <v>0</v>
      </c>
      <c r="L58" s="173">
        <v>0</v>
      </c>
      <c r="M58" s="173">
        <v>0</v>
      </c>
      <c r="N58" s="174">
        <v>0</v>
      </c>
    </row>
    <row r="59" spans="1:14" ht="12.75">
      <c r="A59" s="188"/>
      <c r="B59" s="190"/>
      <c r="C59" s="188"/>
      <c r="H59" s="146" t="s">
        <v>66</v>
      </c>
      <c r="I59" s="173">
        <v>0</v>
      </c>
      <c r="J59" s="173">
        <v>0</v>
      </c>
      <c r="K59" s="174">
        <v>0</v>
      </c>
      <c r="L59" s="173">
        <v>0</v>
      </c>
      <c r="M59" s="173">
        <v>0</v>
      </c>
      <c r="N59" s="174">
        <v>0</v>
      </c>
    </row>
    <row r="60" spans="1:14" ht="12.75">
      <c r="A60" s="188"/>
      <c r="B60" s="190"/>
      <c r="C60" s="188"/>
      <c r="H60" s="146" t="s">
        <v>67</v>
      </c>
      <c r="I60" s="173">
        <v>0</v>
      </c>
      <c r="J60" s="173">
        <v>0</v>
      </c>
      <c r="K60" s="174">
        <v>0</v>
      </c>
      <c r="L60" s="173">
        <v>0</v>
      </c>
      <c r="M60" s="173">
        <v>0</v>
      </c>
      <c r="N60" s="174">
        <v>0</v>
      </c>
    </row>
    <row r="61" spans="1:14" ht="12.75">
      <c r="A61" s="188"/>
      <c r="B61" s="190"/>
      <c r="C61" s="188"/>
      <c r="H61" s="146" t="s">
        <v>68</v>
      </c>
      <c r="I61" s="173">
        <v>0</v>
      </c>
      <c r="J61" s="173">
        <v>0</v>
      </c>
      <c r="K61" s="174">
        <v>0</v>
      </c>
      <c r="L61" s="173">
        <v>0</v>
      </c>
      <c r="M61" s="173">
        <v>0</v>
      </c>
      <c r="N61" s="174">
        <v>0</v>
      </c>
    </row>
    <row r="62" spans="1:14" ht="12.75">
      <c r="A62" s="188"/>
      <c r="B62" s="188"/>
      <c r="C62" s="188"/>
      <c r="H62" s="149" t="s">
        <v>69</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B1" sqref="B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395" t="s">
        <v>247</v>
      </c>
      <c r="D1" s="396"/>
      <c r="E1" s="396"/>
      <c r="F1" s="396"/>
      <c r="G1" s="396"/>
      <c r="H1" s="396"/>
      <c r="I1" s="396"/>
      <c r="J1" s="396"/>
      <c r="K1" s="396"/>
      <c r="L1" s="396"/>
      <c r="M1" s="396"/>
      <c r="N1" s="396"/>
      <c r="O1" s="396"/>
      <c r="P1" s="396"/>
      <c r="Q1" s="396"/>
    </row>
    <row r="2" spans="3:17" ht="15.75" customHeight="1">
      <c r="C2" s="399">
        <v>41258</v>
      </c>
      <c r="D2" s="400"/>
      <c r="E2" s="400"/>
      <c r="F2" s="400"/>
      <c r="G2" s="400"/>
      <c r="H2" s="400"/>
      <c r="I2" s="400"/>
      <c r="J2" s="400"/>
      <c r="K2" s="400"/>
      <c r="L2" s="400"/>
      <c r="M2" s="400"/>
      <c r="N2" s="400"/>
      <c r="O2" s="400"/>
      <c r="P2" s="400"/>
      <c r="Q2" s="400"/>
    </row>
    <row r="3" spans="3:5" ht="12.75">
      <c r="C3" s="389" t="s">
        <v>70</v>
      </c>
      <c r="D3" s="390"/>
      <c r="E3" s="391"/>
    </row>
    <row r="4" spans="3:17" ht="51">
      <c r="C4" s="78" t="s">
        <v>77</v>
      </c>
      <c r="D4" s="78" t="s">
        <v>19</v>
      </c>
      <c r="E4" s="71" t="s">
        <v>20</v>
      </c>
      <c r="F4" s="397" t="s">
        <v>5</v>
      </c>
      <c r="G4" s="398"/>
      <c r="H4" s="398"/>
      <c r="I4" s="398"/>
      <c r="J4" s="398"/>
      <c r="K4" s="398"/>
      <c r="L4" s="398"/>
      <c r="M4" s="398"/>
      <c r="N4" s="398"/>
      <c r="O4" s="398"/>
      <c r="P4" s="398"/>
      <c r="Q4" s="398"/>
    </row>
    <row r="5" spans="2:5" ht="12.75">
      <c r="B5" s="72" t="s">
        <v>26</v>
      </c>
      <c r="C5" s="73">
        <v>899049</v>
      </c>
      <c r="D5" s="73">
        <v>607234</v>
      </c>
      <c r="E5" s="74">
        <v>0.6754181362751085</v>
      </c>
    </row>
    <row r="6" ht="7.5" customHeight="1"/>
    <row r="7" spans="3:17" ht="26.25">
      <c r="C7" s="393" t="s">
        <v>160</v>
      </c>
      <c r="D7" s="393"/>
      <c r="E7" s="393"/>
      <c r="F7" s="393"/>
      <c r="G7" s="393"/>
      <c r="H7" s="393"/>
      <c r="I7" s="393"/>
      <c r="J7" s="393"/>
      <c r="K7" s="393"/>
      <c r="L7" s="393"/>
      <c r="M7" s="393"/>
      <c r="N7" s="393"/>
      <c r="O7" s="393"/>
      <c r="P7" s="393"/>
      <c r="Q7" s="393"/>
    </row>
    <row r="8" spans="3:17" ht="12.75">
      <c r="C8" s="389" t="s">
        <v>277</v>
      </c>
      <c r="D8" s="390"/>
      <c r="E8" s="391"/>
      <c r="F8" s="389" t="s">
        <v>71</v>
      </c>
      <c r="G8" s="390"/>
      <c r="H8" s="391"/>
      <c r="I8" s="389" t="s">
        <v>280</v>
      </c>
      <c r="J8" s="390"/>
      <c r="K8" s="391"/>
      <c r="L8" s="389" t="s">
        <v>73</v>
      </c>
      <c r="M8" s="390"/>
      <c r="N8" s="391"/>
      <c r="O8" s="69" t="s">
        <v>74</v>
      </c>
      <c r="P8" s="75" t="s">
        <v>75</v>
      </c>
      <c r="Q8" s="75" t="s">
        <v>76</v>
      </c>
    </row>
    <row r="9" spans="2:17" s="79" customFormat="1" ht="51">
      <c r="B9" s="76"/>
      <c r="C9" s="78" t="s">
        <v>77</v>
      </c>
      <c r="D9" s="77" t="s">
        <v>19</v>
      </c>
      <c r="E9" s="77" t="s">
        <v>20</v>
      </c>
      <c r="F9" s="78" t="s">
        <v>79</v>
      </c>
      <c r="G9" s="78" t="s">
        <v>19</v>
      </c>
      <c r="H9" s="77" t="s">
        <v>20</v>
      </c>
      <c r="I9" s="78" t="s">
        <v>80</v>
      </c>
      <c r="J9" s="78" t="s">
        <v>19</v>
      </c>
      <c r="K9" s="77" t="s">
        <v>20</v>
      </c>
      <c r="L9" s="78" t="s">
        <v>79</v>
      </c>
      <c r="M9" s="78" t="s">
        <v>19</v>
      </c>
      <c r="N9" s="77" t="s">
        <v>20</v>
      </c>
      <c r="O9" s="77" t="s">
        <v>77</v>
      </c>
      <c r="P9" s="78" t="s">
        <v>77</v>
      </c>
      <c r="Q9" s="78" t="s">
        <v>80</v>
      </c>
    </row>
    <row r="10" spans="2:17" ht="12.75">
      <c r="B10" s="80" t="s">
        <v>26</v>
      </c>
      <c r="C10" s="216">
        <v>824016</v>
      </c>
      <c r="D10" s="216">
        <v>567038</v>
      </c>
      <c r="E10" s="217">
        <v>0.6881395506883361</v>
      </c>
      <c r="F10" s="216">
        <v>299368</v>
      </c>
      <c r="G10" s="216">
        <v>192005</v>
      </c>
      <c r="H10" s="217">
        <v>0.6413678148633121</v>
      </c>
      <c r="I10" s="216">
        <v>74755</v>
      </c>
      <c r="J10" s="216">
        <v>36340</v>
      </c>
      <c r="K10" s="217">
        <v>0.4861213296769447</v>
      </c>
      <c r="L10" s="216">
        <v>86279</v>
      </c>
      <c r="M10" s="216">
        <v>57408</v>
      </c>
      <c r="N10" s="217">
        <v>0.6653762792800102</v>
      </c>
      <c r="O10" s="216">
        <v>44264</v>
      </c>
      <c r="P10" s="216">
        <v>1175</v>
      </c>
      <c r="Q10" s="218">
        <v>250633</v>
      </c>
    </row>
    <row r="11" spans="2:17" ht="12.75">
      <c r="B11" s="82" t="s">
        <v>161</v>
      </c>
      <c r="C11" s="83">
        <v>166275</v>
      </c>
      <c r="D11" s="83">
        <v>116527</v>
      </c>
      <c r="E11" s="84">
        <v>0.7008089009171553</v>
      </c>
      <c r="F11" s="83">
        <v>54885</v>
      </c>
      <c r="G11" s="83">
        <v>36672</v>
      </c>
      <c r="H11" s="84">
        <v>0.6681606996447117</v>
      </c>
      <c r="I11" s="83">
        <v>18142</v>
      </c>
      <c r="J11" s="83">
        <v>7513</v>
      </c>
      <c r="K11" s="84">
        <v>0.4141219270201742</v>
      </c>
      <c r="L11" s="83">
        <v>17414</v>
      </c>
      <c r="M11" s="83">
        <v>12280</v>
      </c>
      <c r="N11" s="84">
        <v>0.7051797404387274</v>
      </c>
      <c r="O11" s="83">
        <v>16769</v>
      </c>
      <c r="P11" s="187">
        <v>200</v>
      </c>
      <c r="Q11" s="182">
        <v>43151</v>
      </c>
    </row>
    <row r="12" spans="2:17" ht="12.75">
      <c r="B12" s="85" t="s">
        <v>83</v>
      </c>
      <c r="C12" s="86">
        <v>19922</v>
      </c>
      <c r="D12" s="86">
        <v>16687</v>
      </c>
      <c r="E12" s="87">
        <v>0.8376167051500853</v>
      </c>
      <c r="F12" s="86">
        <v>5761</v>
      </c>
      <c r="G12" s="86">
        <v>4629</v>
      </c>
      <c r="H12" s="87">
        <v>0.8035063357056067</v>
      </c>
      <c r="I12" s="86">
        <v>913</v>
      </c>
      <c r="J12" s="86">
        <v>449</v>
      </c>
      <c r="K12" s="87">
        <v>0.49178532311062434</v>
      </c>
      <c r="L12" s="86">
        <v>2320</v>
      </c>
      <c r="M12" s="86">
        <v>1658</v>
      </c>
      <c r="N12" s="87">
        <v>0.7146551724137931</v>
      </c>
      <c r="O12" s="86">
        <v>1</v>
      </c>
      <c r="P12" s="185">
        <v>4</v>
      </c>
      <c r="Q12" s="183">
        <v>3436</v>
      </c>
    </row>
    <row r="13" spans="2:17" ht="12.75">
      <c r="B13" s="85" t="s">
        <v>84</v>
      </c>
      <c r="C13" s="86">
        <v>11493</v>
      </c>
      <c r="D13" s="86">
        <v>8935</v>
      </c>
      <c r="E13" s="87">
        <v>0.7774297398416428</v>
      </c>
      <c r="F13" s="86">
        <v>4281</v>
      </c>
      <c r="G13" s="86">
        <v>3069</v>
      </c>
      <c r="H13" s="87">
        <v>0.7168885774351786</v>
      </c>
      <c r="I13" s="86">
        <v>1458</v>
      </c>
      <c r="J13" s="86">
        <v>653</v>
      </c>
      <c r="K13" s="87">
        <v>0.44787379972565156</v>
      </c>
      <c r="L13" s="86">
        <v>789</v>
      </c>
      <c r="M13" s="86">
        <v>619</v>
      </c>
      <c r="N13" s="87">
        <v>0.7845373891001267</v>
      </c>
      <c r="O13" s="86">
        <v>0</v>
      </c>
      <c r="P13" s="185" t="s">
        <v>452</v>
      </c>
      <c r="Q13" s="183">
        <v>4050</v>
      </c>
    </row>
    <row r="14" spans="2:17" ht="12.75">
      <c r="B14" s="85" t="s">
        <v>85</v>
      </c>
      <c r="C14" s="86">
        <v>8189</v>
      </c>
      <c r="D14" s="86">
        <v>5091</v>
      </c>
      <c r="E14" s="87">
        <v>0.6216876297472219</v>
      </c>
      <c r="F14" s="86">
        <v>3768</v>
      </c>
      <c r="G14" s="86">
        <v>2307</v>
      </c>
      <c r="H14" s="87">
        <v>0.6122611464968153</v>
      </c>
      <c r="I14" s="86">
        <v>384</v>
      </c>
      <c r="J14" s="86">
        <v>122</v>
      </c>
      <c r="K14" s="87">
        <v>0.3177083333333333</v>
      </c>
      <c r="L14" s="86">
        <v>652</v>
      </c>
      <c r="M14" s="86">
        <v>402</v>
      </c>
      <c r="N14" s="87">
        <v>0.6165644171779141</v>
      </c>
      <c r="O14" s="86">
        <v>0</v>
      </c>
      <c r="P14" s="185">
        <v>1</v>
      </c>
      <c r="Q14" s="183">
        <v>1144</v>
      </c>
    </row>
    <row r="15" spans="2:17" ht="12.75">
      <c r="B15" s="85" t="s">
        <v>86</v>
      </c>
      <c r="C15" s="86">
        <v>24104</v>
      </c>
      <c r="D15" s="86">
        <v>17516</v>
      </c>
      <c r="E15" s="87">
        <v>0.7266843677397943</v>
      </c>
      <c r="F15" s="86">
        <v>6848</v>
      </c>
      <c r="G15" s="86">
        <v>4528</v>
      </c>
      <c r="H15" s="87">
        <v>0.6612149532710281</v>
      </c>
      <c r="I15" s="86">
        <v>2188</v>
      </c>
      <c r="J15" s="86">
        <v>1148</v>
      </c>
      <c r="K15" s="87">
        <v>0.5246800731261426</v>
      </c>
      <c r="L15" s="86">
        <v>2276</v>
      </c>
      <c r="M15" s="86">
        <v>1415</v>
      </c>
      <c r="N15" s="87">
        <v>0.6217047451669596</v>
      </c>
      <c r="O15" s="86">
        <v>11</v>
      </c>
      <c r="P15" s="185">
        <v>87</v>
      </c>
      <c r="Q15" s="183">
        <v>8223</v>
      </c>
    </row>
    <row r="16" spans="2:17" ht="12.75">
      <c r="B16" s="85" t="s">
        <v>87</v>
      </c>
      <c r="C16" s="86">
        <v>17164</v>
      </c>
      <c r="D16" s="86">
        <v>10359</v>
      </c>
      <c r="E16" s="87">
        <v>0.6035306455371708</v>
      </c>
      <c r="F16" s="86">
        <v>5483</v>
      </c>
      <c r="G16" s="86">
        <v>3408</v>
      </c>
      <c r="H16" s="87">
        <v>0.621557541491884</v>
      </c>
      <c r="I16" s="86">
        <v>2017</v>
      </c>
      <c r="J16" s="86">
        <v>312</v>
      </c>
      <c r="K16" s="87">
        <v>0.15468517600396628</v>
      </c>
      <c r="L16" s="86">
        <v>2501</v>
      </c>
      <c r="M16" s="86">
        <v>1773</v>
      </c>
      <c r="N16" s="87">
        <v>0.7089164334266294</v>
      </c>
      <c r="O16" s="86">
        <v>5</v>
      </c>
      <c r="P16" s="185">
        <v>35</v>
      </c>
      <c r="Q16" s="183">
        <v>5787</v>
      </c>
    </row>
    <row r="17" spans="2:17" ht="12.75">
      <c r="B17" s="85" t="s">
        <v>88</v>
      </c>
      <c r="C17" s="86">
        <v>3008</v>
      </c>
      <c r="D17" s="86">
        <v>1420</v>
      </c>
      <c r="E17" s="87">
        <v>0.4720744680851064</v>
      </c>
      <c r="F17" s="86">
        <v>1182</v>
      </c>
      <c r="G17" s="86">
        <v>446</v>
      </c>
      <c r="H17" s="87">
        <v>0.377326565143824</v>
      </c>
      <c r="I17" s="86">
        <v>176</v>
      </c>
      <c r="J17" s="86">
        <v>6</v>
      </c>
      <c r="K17" s="87">
        <v>0.03409090909090909</v>
      </c>
      <c r="L17" s="86">
        <v>138</v>
      </c>
      <c r="M17" s="86">
        <v>85</v>
      </c>
      <c r="N17" s="87">
        <v>0.6159420289855072</v>
      </c>
      <c r="O17" s="86">
        <v>0</v>
      </c>
      <c r="P17" s="185" t="s">
        <v>452</v>
      </c>
      <c r="Q17" s="183">
        <v>781</v>
      </c>
    </row>
    <row r="18" spans="2:17" ht="12.75">
      <c r="B18" s="85" t="s">
        <v>89</v>
      </c>
      <c r="C18" s="86">
        <v>18741</v>
      </c>
      <c r="D18" s="86">
        <v>14722</v>
      </c>
      <c r="E18" s="87">
        <v>0.7855503975241449</v>
      </c>
      <c r="F18" s="86">
        <v>5835</v>
      </c>
      <c r="G18" s="86">
        <v>4359</v>
      </c>
      <c r="H18" s="87">
        <v>0.7470437017994859</v>
      </c>
      <c r="I18" s="86">
        <v>677</v>
      </c>
      <c r="J18" s="86">
        <v>370</v>
      </c>
      <c r="K18" s="87">
        <v>0.5465288035450517</v>
      </c>
      <c r="L18" s="86">
        <v>1841</v>
      </c>
      <c r="M18" s="86">
        <v>1448</v>
      </c>
      <c r="N18" s="87">
        <v>0.7865290602933188</v>
      </c>
      <c r="O18" s="86">
        <v>8</v>
      </c>
      <c r="P18" s="185">
        <v>69</v>
      </c>
      <c r="Q18" s="183">
        <v>4610</v>
      </c>
    </row>
    <row r="19" spans="2:17" ht="12.75">
      <c r="B19" s="85" t="s">
        <v>90</v>
      </c>
      <c r="C19" s="86">
        <v>2166</v>
      </c>
      <c r="D19" s="86">
        <v>1433</v>
      </c>
      <c r="E19" s="87">
        <v>0.6615881809787627</v>
      </c>
      <c r="F19" s="86">
        <v>1086</v>
      </c>
      <c r="G19" s="86">
        <v>590</v>
      </c>
      <c r="H19" s="87">
        <v>0.5432780847145487</v>
      </c>
      <c r="I19" s="86">
        <v>226</v>
      </c>
      <c r="J19" s="86">
        <v>70</v>
      </c>
      <c r="K19" s="87">
        <v>0.30973451327433627</v>
      </c>
      <c r="L19" s="86">
        <v>172</v>
      </c>
      <c r="M19" s="86">
        <v>111</v>
      </c>
      <c r="N19" s="87">
        <v>0.6453488372093024</v>
      </c>
      <c r="O19" s="86">
        <v>1</v>
      </c>
      <c r="P19" s="185" t="s">
        <v>452</v>
      </c>
      <c r="Q19" s="183">
        <v>732</v>
      </c>
    </row>
    <row r="20" spans="2:17" ht="12.75">
      <c r="B20" s="85" t="s">
        <v>91</v>
      </c>
      <c r="C20" s="86">
        <v>12779</v>
      </c>
      <c r="D20" s="86">
        <v>10133</v>
      </c>
      <c r="E20" s="87">
        <v>0.7929415447218092</v>
      </c>
      <c r="F20" s="86">
        <v>4793</v>
      </c>
      <c r="G20" s="86">
        <v>2850</v>
      </c>
      <c r="H20" s="87">
        <v>0.5946171500104319</v>
      </c>
      <c r="I20" s="86">
        <v>873</v>
      </c>
      <c r="J20" s="86">
        <v>269</v>
      </c>
      <c r="K20" s="87">
        <v>0.30813287514318444</v>
      </c>
      <c r="L20" s="86">
        <v>733</v>
      </c>
      <c r="M20" s="86">
        <v>592</v>
      </c>
      <c r="N20" s="87">
        <v>0.8076398362892224</v>
      </c>
      <c r="O20" s="86">
        <v>3</v>
      </c>
      <c r="P20" s="185">
        <v>2</v>
      </c>
      <c r="Q20" s="183">
        <v>3922</v>
      </c>
    </row>
    <row r="21" spans="2:17" ht="12.75">
      <c r="B21" s="85" t="s">
        <v>92</v>
      </c>
      <c r="C21" s="86">
        <v>4193</v>
      </c>
      <c r="D21" s="86">
        <v>2399</v>
      </c>
      <c r="E21" s="87">
        <v>0.572144049606487</v>
      </c>
      <c r="F21" s="86">
        <v>1754</v>
      </c>
      <c r="G21" s="86">
        <v>1019</v>
      </c>
      <c r="H21" s="87">
        <v>0.5809578107183581</v>
      </c>
      <c r="I21" s="86">
        <v>954</v>
      </c>
      <c r="J21" s="86">
        <v>42</v>
      </c>
      <c r="K21" s="87">
        <v>0.0440251572327044</v>
      </c>
      <c r="L21" s="86">
        <v>553</v>
      </c>
      <c r="M21" s="86">
        <v>280</v>
      </c>
      <c r="N21" s="87">
        <v>0.5063291139240507</v>
      </c>
      <c r="O21" s="86">
        <v>0</v>
      </c>
      <c r="P21" s="185">
        <v>1</v>
      </c>
      <c r="Q21" s="183">
        <v>2169</v>
      </c>
    </row>
    <row r="22" spans="2:17" ht="12.75">
      <c r="B22" s="85" t="s">
        <v>93</v>
      </c>
      <c r="C22" s="86">
        <v>23591</v>
      </c>
      <c r="D22" s="86">
        <v>15393</v>
      </c>
      <c r="E22" s="87">
        <v>0.6524945953965495</v>
      </c>
      <c r="F22" s="86">
        <v>5703</v>
      </c>
      <c r="G22" s="86">
        <v>3783</v>
      </c>
      <c r="H22" s="87">
        <v>0.663335086796423</v>
      </c>
      <c r="I22" s="86">
        <v>6195</v>
      </c>
      <c r="J22" s="86">
        <v>2992</v>
      </c>
      <c r="K22" s="87">
        <v>0.4829701372074253</v>
      </c>
      <c r="L22" s="86">
        <v>3660</v>
      </c>
      <c r="M22" s="86">
        <v>2693</v>
      </c>
      <c r="N22" s="87">
        <v>0.735792349726776</v>
      </c>
      <c r="O22" s="86">
        <v>16738</v>
      </c>
      <c r="P22" s="185" t="s">
        <v>3</v>
      </c>
      <c r="Q22" s="182">
        <v>3126</v>
      </c>
    </row>
    <row r="23" spans="2:17" ht="12.75">
      <c r="B23" s="85" t="s">
        <v>94</v>
      </c>
      <c r="C23" s="86">
        <v>11529</v>
      </c>
      <c r="D23" s="86">
        <v>8586</v>
      </c>
      <c r="E23" s="87">
        <v>0.7447306791569087</v>
      </c>
      <c r="F23" s="86">
        <v>4444</v>
      </c>
      <c r="G23" s="86">
        <v>3562</v>
      </c>
      <c r="H23" s="87">
        <v>0.8015301530153015</v>
      </c>
      <c r="I23" s="86">
        <v>805</v>
      </c>
      <c r="J23" s="86">
        <v>434</v>
      </c>
      <c r="K23" s="87">
        <v>0.5391304347826087</v>
      </c>
      <c r="L23" s="86">
        <v>1023</v>
      </c>
      <c r="M23" s="86">
        <v>695</v>
      </c>
      <c r="N23" s="87">
        <v>0.6793743890518084</v>
      </c>
      <c r="O23" s="86">
        <v>2</v>
      </c>
      <c r="P23" s="185" t="s">
        <v>452</v>
      </c>
      <c r="Q23" s="183">
        <v>2821</v>
      </c>
    </row>
    <row r="24" spans="2:17" ht="12.75">
      <c r="B24" s="85" t="s">
        <v>95</v>
      </c>
      <c r="C24" s="86">
        <v>4303</v>
      </c>
      <c r="D24" s="86">
        <v>1718</v>
      </c>
      <c r="E24" s="87">
        <v>0.399256332791076</v>
      </c>
      <c r="F24" s="86">
        <v>1054</v>
      </c>
      <c r="G24" s="86">
        <v>367</v>
      </c>
      <c r="H24" s="87">
        <v>0.34819734345351044</v>
      </c>
      <c r="I24" s="86">
        <v>282</v>
      </c>
      <c r="J24" s="86">
        <v>201</v>
      </c>
      <c r="K24" s="87">
        <v>0.7127659574468085</v>
      </c>
      <c r="L24" s="86">
        <v>210</v>
      </c>
      <c r="M24" s="86">
        <v>148</v>
      </c>
      <c r="N24" s="87">
        <v>0.7047619047619048</v>
      </c>
      <c r="O24" s="86">
        <v>0</v>
      </c>
      <c r="P24" s="185">
        <v>1</v>
      </c>
      <c r="Q24" s="183">
        <v>931</v>
      </c>
    </row>
    <row r="25" spans="2:17" ht="12.75">
      <c r="B25" s="85" t="s">
        <v>96</v>
      </c>
      <c r="C25" s="86">
        <v>2949</v>
      </c>
      <c r="D25" s="86">
        <v>959</v>
      </c>
      <c r="E25" s="87">
        <v>0.32519498134961006</v>
      </c>
      <c r="F25" s="86">
        <v>1878</v>
      </c>
      <c r="G25" s="86">
        <v>1188</v>
      </c>
      <c r="H25" s="87">
        <v>0.6325878594249201</v>
      </c>
      <c r="I25" s="86">
        <v>839</v>
      </c>
      <c r="J25" s="86">
        <v>412</v>
      </c>
      <c r="K25" s="87">
        <v>0.49106078665077474</v>
      </c>
      <c r="L25" s="86">
        <v>166</v>
      </c>
      <c r="M25" s="86">
        <v>107</v>
      </c>
      <c r="N25" s="87">
        <v>0.6445783132530121</v>
      </c>
      <c r="O25" s="86">
        <v>0</v>
      </c>
      <c r="P25" s="185" t="s">
        <v>452</v>
      </c>
      <c r="Q25" s="183">
        <v>532</v>
      </c>
    </row>
    <row r="26" spans="2:17" ht="12.75">
      <c r="B26" s="91" t="s">
        <v>215</v>
      </c>
      <c r="C26" s="86">
        <v>970</v>
      </c>
      <c r="D26" s="86">
        <v>598</v>
      </c>
      <c r="E26" s="87">
        <v>0.6164948453608248</v>
      </c>
      <c r="F26" s="86">
        <v>454</v>
      </c>
      <c r="G26" s="86">
        <v>217</v>
      </c>
      <c r="H26" s="87">
        <v>0.4779735682819383</v>
      </c>
      <c r="I26" s="86">
        <v>92</v>
      </c>
      <c r="J26" s="86">
        <v>29</v>
      </c>
      <c r="K26" s="87">
        <v>0.31521739130434784</v>
      </c>
      <c r="L26" s="86">
        <v>147</v>
      </c>
      <c r="M26" s="86">
        <v>102</v>
      </c>
      <c r="N26" s="87">
        <v>0.6938775510204082</v>
      </c>
      <c r="O26" s="86">
        <v>0</v>
      </c>
      <c r="P26" s="185" t="s">
        <v>452</v>
      </c>
      <c r="Q26" s="183">
        <v>339</v>
      </c>
    </row>
    <row r="27" spans="2:17" ht="12.75">
      <c r="B27" s="85" t="s">
        <v>97</v>
      </c>
      <c r="C27" s="88">
        <v>1174</v>
      </c>
      <c r="D27" s="88">
        <v>578</v>
      </c>
      <c r="E27" s="81">
        <v>0.49233390119250425</v>
      </c>
      <c r="F27" s="88">
        <v>561</v>
      </c>
      <c r="G27" s="88">
        <v>350</v>
      </c>
      <c r="H27" s="81">
        <v>0.6238859180035651</v>
      </c>
      <c r="I27" s="88">
        <v>63</v>
      </c>
      <c r="J27" s="88">
        <v>4</v>
      </c>
      <c r="K27" s="81">
        <v>0.06349206349206349</v>
      </c>
      <c r="L27" s="88">
        <v>233</v>
      </c>
      <c r="M27" s="88">
        <v>152</v>
      </c>
      <c r="N27" s="81">
        <v>0.6523605150214592</v>
      </c>
      <c r="O27" s="88">
        <v>0</v>
      </c>
      <c r="P27" s="186" t="s">
        <v>452</v>
      </c>
      <c r="Q27" s="184">
        <v>548</v>
      </c>
    </row>
    <row r="28" spans="2:17" ht="12.75">
      <c r="B28" s="82" t="s">
        <v>162</v>
      </c>
      <c r="C28" s="83">
        <v>244958</v>
      </c>
      <c r="D28" s="83">
        <v>160132</v>
      </c>
      <c r="E28" s="84">
        <v>0.6537120649254158</v>
      </c>
      <c r="F28" s="83">
        <v>95351</v>
      </c>
      <c r="G28" s="83">
        <v>61698</v>
      </c>
      <c r="H28" s="84">
        <v>0.6470619081079381</v>
      </c>
      <c r="I28" s="83">
        <v>21505</v>
      </c>
      <c r="J28" s="83">
        <v>11399</v>
      </c>
      <c r="K28" s="84">
        <v>0.5300627760985818</v>
      </c>
      <c r="L28" s="83">
        <v>23771</v>
      </c>
      <c r="M28" s="83">
        <v>14204</v>
      </c>
      <c r="N28" s="84">
        <v>0.5975348113247234</v>
      </c>
      <c r="O28" s="83">
        <v>93</v>
      </c>
      <c r="P28" s="187">
        <v>316</v>
      </c>
      <c r="Q28" s="182">
        <v>89134</v>
      </c>
    </row>
    <row r="29" spans="2:17" ht="12.75">
      <c r="B29" s="85" t="s">
        <v>98</v>
      </c>
      <c r="C29" s="86">
        <v>32247</v>
      </c>
      <c r="D29" s="86">
        <v>20831</v>
      </c>
      <c r="E29" s="87">
        <v>0.6459825720222037</v>
      </c>
      <c r="F29" s="86">
        <v>11013</v>
      </c>
      <c r="G29" s="86">
        <v>6946</v>
      </c>
      <c r="H29" s="87">
        <v>0.6307091618995733</v>
      </c>
      <c r="I29" s="86">
        <v>2098</v>
      </c>
      <c r="J29" s="86">
        <v>394</v>
      </c>
      <c r="K29" s="87">
        <v>0.18779790276453764</v>
      </c>
      <c r="L29" s="86">
        <v>6522</v>
      </c>
      <c r="M29" s="86">
        <v>3292</v>
      </c>
      <c r="N29" s="87">
        <v>0.504753143207605</v>
      </c>
      <c r="O29" s="86">
        <v>1</v>
      </c>
      <c r="P29" s="185">
        <v>1</v>
      </c>
      <c r="Q29" s="183">
        <v>11912</v>
      </c>
    </row>
    <row r="30" spans="2:17" ht="12.75">
      <c r="B30" s="85" t="s">
        <v>99</v>
      </c>
      <c r="C30" s="86">
        <v>24168</v>
      </c>
      <c r="D30" s="86">
        <v>16057</v>
      </c>
      <c r="E30" s="87">
        <v>0.6643909301555776</v>
      </c>
      <c r="F30" s="86">
        <v>5754</v>
      </c>
      <c r="G30" s="86">
        <v>2597</v>
      </c>
      <c r="H30" s="87">
        <v>0.451338199513382</v>
      </c>
      <c r="I30" s="86">
        <v>857</v>
      </c>
      <c r="J30" s="86">
        <v>294</v>
      </c>
      <c r="K30" s="87">
        <v>0.34305717619603265</v>
      </c>
      <c r="L30" s="86">
        <v>959</v>
      </c>
      <c r="M30" s="86">
        <v>734</v>
      </c>
      <c r="N30" s="87">
        <v>0.7653806047966631</v>
      </c>
      <c r="O30" s="86">
        <v>4</v>
      </c>
      <c r="P30" s="185">
        <v>9</v>
      </c>
      <c r="Q30" s="183">
        <v>6209</v>
      </c>
    </row>
    <row r="31" spans="2:17" ht="12.75">
      <c r="B31" s="85" t="s">
        <v>100</v>
      </c>
      <c r="C31" s="86">
        <v>10112</v>
      </c>
      <c r="D31" s="86">
        <v>6244</v>
      </c>
      <c r="E31" s="87">
        <v>0.6174841772151899</v>
      </c>
      <c r="F31" s="86">
        <v>1896</v>
      </c>
      <c r="G31" s="86">
        <v>691</v>
      </c>
      <c r="H31" s="87">
        <v>0.36445147679324896</v>
      </c>
      <c r="I31" s="86">
        <v>271</v>
      </c>
      <c r="J31" s="86">
        <v>121</v>
      </c>
      <c r="K31" s="87">
        <v>0.44649446494464945</v>
      </c>
      <c r="L31" s="86">
        <v>934</v>
      </c>
      <c r="M31" s="86">
        <v>342</v>
      </c>
      <c r="N31" s="87">
        <v>0.36616702355460384</v>
      </c>
      <c r="O31" s="86">
        <v>1</v>
      </c>
      <c r="P31" s="185">
        <v>3</v>
      </c>
      <c r="Q31" s="183">
        <v>3230</v>
      </c>
    </row>
    <row r="32" spans="2:17" ht="12.75">
      <c r="B32" s="85" t="s">
        <v>101</v>
      </c>
      <c r="C32" s="86">
        <v>10362</v>
      </c>
      <c r="D32" s="86">
        <v>7021</v>
      </c>
      <c r="E32" s="87">
        <v>0.6775718973171202</v>
      </c>
      <c r="F32" s="86">
        <v>3984</v>
      </c>
      <c r="G32" s="86">
        <v>1216</v>
      </c>
      <c r="H32" s="87">
        <v>0.30522088353413657</v>
      </c>
      <c r="I32" s="86">
        <v>1554</v>
      </c>
      <c r="J32" s="86">
        <v>1049</v>
      </c>
      <c r="K32" s="87">
        <v>0.675032175032175</v>
      </c>
      <c r="L32" s="86">
        <v>907</v>
      </c>
      <c r="M32" s="86">
        <v>644</v>
      </c>
      <c r="N32" s="87">
        <v>0.7100330760749725</v>
      </c>
      <c r="O32" s="86">
        <v>41</v>
      </c>
      <c r="P32" s="185">
        <v>11</v>
      </c>
      <c r="Q32" s="183">
        <v>4062</v>
      </c>
    </row>
    <row r="33" spans="2:17" ht="12.75">
      <c r="B33" s="85" t="s">
        <v>102</v>
      </c>
      <c r="C33" s="86">
        <v>11346</v>
      </c>
      <c r="D33" s="86">
        <v>7307</v>
      </c>
      <c r="E33" s="87">
        <v>0.64401551207474</v>
      </c>
      <c r="F33" s="86">
        <v>5461</v>
      </c>
      <c r="G33" s="86">
        <v>4092</v>
      </c>
      <c r="H33" s="87">
        <v>0.7493133125801136</v>
      </c>
      <c r="I33" s="86">
        <v>1539</v>
      </c>
      <c r="J33" s="86">
        <v>1054</v>
      </c>
      <c r="K33" s="87">
        <v>0.6848602988953866</v>
      </c>
      <c r="L33" s="86">
        <v>1394</v>
      </c>
      <c r="M33" s="86">
        <v>958</v>
      </c>
      <c r="N33" s="87">
        <v>0.6872309899569584</v>
      </c>
      <c r="O33" s="86">
        <v>24</v>
      </c>
      <c r="P33" s="185">
        <v>57</v>
      </c>
      <c r="Q33" s="183">
        <v>3197</v>
      </c>
    </row>
    <row r="34" spans="2:17" ht="12.75">
      <c r="B34" s="85" t="s">
        <v>103</v>
      </c>
      <c r="C34" s="86">
        <v>15035</v>
      </c>
      <c r="D34" s="86">
        <v>10039</v>
      </c>
      <c r="E34" s="87">
        <v>0.6677086797472565</v>
      </c>
      <c r="F34" s="86">
        <v>7261</v>
      </c>
      <c r="G34" s="86">
        <v>4777</v>
      </c>
      <c r="H34" s="87">
        <v>0.6578983611072855</v>
      </c>
      <c r="I34" s="86">
        <v>3478</v>
      </c>
      <c r="J34" s="86">
        <v>1876</v>
      </c>
      <c r="K34" s="87">
        <v>0.5393904542840713</v>
      </c>
      <c r="L34" s="86">
        <v>1205</v>
      </c>
      <c r="M34" s="86">
        <v>876</v>
      </c>
      <c r="N34" s="87">
        <v>0.7269709543568464</v>
      </c>
      <c r="O34" s="86">
        <v>3</v>
      </c>
      <c r="P34" s="185">
        <v>82</v>
      </c>
      <c r="Q34" s="183">
        <v>10762</v>
      </c>
    </row>
    <row r="35" spans="2:17" ht="12.75">
      <c r="B35" s="85" t="s">
        <v>104</v>
      </c>
      <c r="C35" s="86">
        <v>12906</v>
      </c>
      <c r="D35" s="86">
        <v>5488</v>
      </c>
      <c r="E35" s="87">
        <v>0.4252285758561909</v>
      </c>
      <c r="F35" s="86">
        <v>6155</v>
      </c>
      <c r="G35" s="86">
        <v>3053</v>
      </c>
      <c r="H35" s="87">
        <v>0.49601949634443543</v>
      </c>
      <c r="I35" s="86">
        <v>1080</v>
      </c>
      <c r="J35" s="86">
        <v>358</v>
      </c>
      <c r="K35" s="87">
        <v>0.3314814814814815</v>
      </c>
      <c r="L35" s="86">
        <v>1490</v>
      </c>
      <c r="M35" s="86">
        <v>643</v>
      </c>
      <c r="N35" s="87">
        <v>0.43154362416107384</v>
      </c>
      <c r="O35" s="86">
        <v>5</v>
      </c>
      <c r="P35" s="185">
        <v>42</v>
      </c>
      <c r="Q35" s="183">
        <v>6377</v>
      </c>
    </row>
    <row r="36" spans="2:17" ht="12.75">
      <c r="B36" s="85" t="s">
        <v>105</v>
      </c>
      <c r="C36" s="86">
        <v>29485</v>
      </c>
      <c r="D36" s="86">
        <v>22284</v>
      </c>
      <c r="E36" s="87">
        <v>0.7557741224351365</v>
      </c>
      <c r="F36" s="86">
        <v>9648</v>
      </c>
      <c r="G36" s="86">
        <v>6644</v>
      </c>
      <c r="H36" s="87">
        <v>0.6886401326699834</v>
      </c>
      <c r="I36" s="86">
        <v>1215</v>
      </c>
      <c r="J36" s="86">
        <v>383</v>
      </c>
      <c r="K36" s="87">
        <v>0.31522633744855966</v>
      </c>
      <c r="L36" s="86">
        <v>2481</v>
      </c>
      <c r="M36" s="86">
        <v>1848</v>
      </c>
      <c r="N36" s="87">
        <v>0.7448609431680774</v>
      </c>
      <c r="O36" s="86">
        <v>1</v>
      </c>
      <c r="P36" s="185">
        <v>16</v>
      </c>
      <c r="Q36" s="183">
        <v>6747</v>
      </c>
    </row>
    <row r="37" spans="2:17" ht="12.75">
      <c r="B37" s="85" t="s">
        <v>106</v>
      </c>
      <c r="C37" s="86">
        <v>5067</v>
      </c>
      <c r="D37" s="86">
        <v>3047</v>
      </c>
      <c r="E37" s="87">
        <v>0.6013420169725676</v>
      </c>
      <c r="F37" s="86">
        <v>2313</v>
      </c>
      <c r="G37" s="86">
        <v>1292</v>
      </c>
      <c r="H37" s="87">
        <v>0.5585819282317337</v>
      </c>
      <c r="I37" s="86">
        <v>543</v>
      </c>
      <c r="J37" s="86">
        <v>161</v>
      </c>
      <c r="K37" s="87">
        <v>0.2965009208103131</v>
      </c>
      <c r="L37" s="86">
        <v>1117</v>
      </c>
      <c r="M37" s="86">
        <v>913</v>
      </c>
      <c r="N37" s="87">
        <v>0.8173679498657117</v>
      </c>
      <c r="O37" s="86">
        <v>0</v>
      </c>
      <c r="P37" s="185" t="s">
        <v>452</v>
      </c>
      <c r="Q37" s="183">
        <v>4934</v>
      </c>
    </row>
    <row r="38" spans="2:17" ht="12.75">
      <c r="B38" s="85" t="s">
        <v>107</v>
      </c>
      <c r="C38" s="86">
        <v>47782</v>
      </c>
      <c r="D38" s="86">
        <v>31434</v>
      </c>
      <c r="E38" s="87">
        <v>0.6578627935205726</v>
      </c>
      <c r="F38" s="86">
        <v>15662</v>
      </c>
      <c r="G38" s="86">
        <v>9663</v>
      </c>
      <c r="H38" s="87">
        <v>0.6169710126420636</v>
      </c>
      <c r="I38" s="86">
        <v>2591</v>
      </c>
      <c r="J38" s="86">
        <v>548</v>
      </c>
      <c r="K38" s="87">
        <v>0.21150135082979546</v>
      </c>
      <c r="L38" s="86">
        <v>2576</v>
      </c>
      <c r="M38" s="86">
        <v>1547</v>
      </c>
      <c r="N38" s="87">
        <v>0.6005434782608695</v>
      </c>
      <c r="O38" s="86">
        <v>11</v>
      </c>
      <c r="P38" s="185">
        <v>88</v>
      </c>
      <c r="Q38" s="183">
        <v>20429</v>
      </c>
    </row>
    <row r="39" spans="2:17" ht="12.75">
      <c r="B39" s="85" t="s">
        <v>108</v>
      </c>
      <c r="C39" s="86">
        <v>175</v>
      </c>
      <c r="D39" s="86">
        <v>130</v>
      </c>
      <c r="E39" s="87">
        <v>0.7428571428571429</v>
      </c>
      <c r="F39" s="86">
        <v>120</v>
      </c>
      <c r="G39" s="86">
        <v>69</v>
      </c>
      <c r="H39" s="87">
        <v>0.575</v>
      </c>
      <c r="I39" s="86">
        <v>139</v>
      </c>
      <c r="J39" s="86">
        <v>38</v>
      </c>
      <c r="K39" s="87">
        <v>0.2733812949640288</v>
      </c>
      <c r="L39" s="86">
        <v>948</v>
      </c>
      <c r="M39" s="86">
        <v>944</v>
      </c>
      <c r="N39" s="87">
        <v>0.9957805907172996</v>
      </c>
      <c r="O39" s="86">
        <v>0</v>
      </c>
      <c r="P39" s="185" t="s">
        <v>452</v>
      </c>
      <c r="Q39" s="183">
        <v>0</v>
      </c>
    </row>
    <row r="40" spans="2:17" ht="13.5" customHeight="1">
      <c r="B40" s="89" t="s">
        <v>109</v>
      </c>
      <c r="C40" s="88">
        <v>46273</v>
      </c>
      <c r="D40" s="88">
        <v>30250</v>
      </c>
      <c r="E40" s="81">
        <v>0.6537289564108659</v>
      </c>
      <c r="F40" s="88">
        <v>26084</v>
      </c>
      <c r="G40" s="88">
        <v>20658</v>
      </c>
      <c r="H40" s="81">
        <v>0.7919797577058734</v>
      </c>
      <c r="I40" s="88">
        <v>6140</v>
      </c>
      <c r="J40" s="88">
        <v>5123</v>
      </c>
      <c r="K40" s="81">
        <v>0.8343648208469056</v>
      </c>
      <c r="L40" s="88">
        <v>3238</v>
      </c>
      <c r="M40" s="88">
        <v>1463</v>
      </c>
      <c r="N40" s="81">
        <v>0.45182211241507103</v>
      </c>
      <c r="O40" s="88">
        <v>2</v>
      </c>
      <c r="P40" s="186">
        <v>7</v>
      </c>
      <c r="Q40" s="184">
        <v>11275</v>
      </c>
    </row>
    <row r="41" spans="2:17" ht="12.75">
      <c r="B41" s="394" t="s">
        <v>275</v>
      </c>
      <c r="C41" s="394"/>
      <c r="D41" s="394"/>
      <c r="E41" s="394"/>
      <c r="F41" s="394"/>
      <c r="G41" s="394"/>
      <c r="H41" s="394"/>
      <c r="I41" s="394"/>
      <c r="J41" s="394"/>
      <c r="K41" s="394"/>
      <c r="L41" s="394"/>
      <c r="M41" s="394"/>
      <c r="N41" s="394"/>
      <c r="O41" s="394"/>
      <c r="P41" s="394"/>
      <c r="Q41" s="394"/>
    </row>
    <row r="42" spans="2:17" ht="23.25" customHeight="1">
      <c r="B42" s="90"/>
      <c r="C42" s="393" t="s">
        <v>160</v>
      </c>
      <c r="D42" s="393"/>
      <c r="E42" s="393"/>
      <c r="F42" s="393"/>
      <c r="G42" s="393"/>
      <c r="H42" s="393"/>
      <c r="I42" s="393"/>
      <c r="J42" s="393"/>
      <c r="K42" s="393"/>
      <c r="L42" s="393"/>
      <c r="M42" s="393"/>
      <c r="N42" s="393"/>
      <c r="O42" s="393"/>
      <c r="P42" s="393"/>
      <c r="Q42" s="393"/>
    </row>
    <row r="43" spans="2:17" ht="12.75">
      <c r="B43" s="140"/>
      <c r="C43" s="389" t="s">
        <v>277</v>
      </c>
      <c r="D43" s="390"/>
      <c r="E43" s="391"/>
      <c r="F43" s="389" t="s">
        <v>71</v>
      </c>
      <c r="G43" s="390"/>
      <c r="H43" s="391"/>
      <c r="I43" s="389" t="s">
        <v>280</v>
      </c>
      <c r="J43" s="390"/>
      <c r="K43" s="391"/>
      <c r="L43" s="389" t="s">
        <v>73</v>
      </c>
      <c r="M43" s="390"/>
      <c r="N43" s="391"/>
      <c r="O43" s="75" t="s">
        <v>74</v>
      </c>
      <c r="P43" s="69" t="s">
        <v>75</v>
      </c>
      <c r="Q43" s="75" t="s">
        <v>76</v>
      </c>
    </row>
    <row r="44" spans="2:17" s="79" customFormat="1" ht="51">
      <c r="B44" s="141"/>
      <c r="C44" s="78" t="s">
        <v>77</v>
      </c>
      <c r="D44" s="78" t="s">
        <v>19</v>
      </c>
      <c r="E44" s="77" t="s">
        <v>20</v>
      </c>
      <c r="F44" s="78" t="s">
        <v>79</v>
      </c>
      <c r="G44" s="78" t="s">
        <v>19</v>
      </c>
      <c r="H44" s="77" t="s">
        <v>20</v>
      </c>
      <c r="I44" s="78" t="s">
        <v>80</v>
      </c>
      <c r="J44" s="78" t="s">
        <v>19</v>
      </c>
      <c r="K44" s="77" t="s">
        <v>20</v>
      </c>
      <c r="L44" s="78" t="s">
        <v>79</v>
      </c>
      <c r="M44" s="78" t="s">
        <v>19</v>
      </c>
      <c r="N44" s="77" t="s">
        <v>20</v>
      </c>
      <c r="O44" s="78" t="s">
        <v>77</v>
      </c>
      <c r="P44" s="77" t="s">
        <v>77</v>
      </c>
      <c r="Q44" s="78" t="s">
        <v>80</v>
      </c>
    </row>
    <row r="45" spans="2:17" ht="12.75">
      <c r="B45" s="82" t="s">
        <v>164</v>
      </c>
      <c r="C45" s="83">
        <v>206868</v>
      </c>
      <c r="D45" s="83">
        <v>138335</v>
      </c>
      <c r="E45" s="84">
        <v>0.6687114488466075</v>
      </c>
      <c r="F45" s="83">
        <v>70159</v>
      </c>
      <c r="G45" s="83">
        <v>39744</v>
      </c>
      <c r="H45" s="84">
        <v>0.5664846990407503</v>
      </c>
      <c r="I45" s="83">
        <v>17387</v>
      </c>
      <c r="J45" s="83">
        <v>7127</v>
      </c>
      <c r="K45" s="84">
        <v>0.4099039512279289</v>
      </c>
      <c r="L45" s="83">
        <v>21239</v>
      </c>
      <c r="M45" s="83">
        <v>14843</v>
      </c>
      <c r="N45" s="84">
        <v>0.6988558783370216</v>
      </c>
      <c r="O45" s="83">
        <v>26957</v>
      </c>
      <c r="P45" s="83">
        <v>458</v>
      </c>
      <c r="Q45" s="182">
        <v>59991</v>
      </c>
    </row>
    <row r="46" spans="2:17" ht="12.75">
      <c r="B46" s="85" t="s">
        <v>110</v>
      </c>
      <c r="C46" s="86">
        <v>20973</v>
      </c>
      <c r="D46" s="86">
        <v>16856</v>
      </c>
      <c r="E46" s="87">
        <v>0.8036999952319649</v>
      </c>
      <c r="F46" s="86">
        <v>6018</v>
      </c>
      <c r="G46" s="86">
        <v>4870</v>
      </c>
      <c r="H46" s="87">
        <v>0.809238949817215</v>
      </c>
      <c r="I46" s="86">
        <v>1123</v>
      </c>
      <c r="J46" s="86">
        <v>661</v>
      </c>
      <c r="K46" s="87">
        <v>0.5886019590382903</v>
      </c>
      <c r="L46" s="86">
        <v>2862</v>
      </c>
      <c r="M46" s="86">
        <v>2403</v>
      </c>
      <c r="N46" s="87">
        <v>0.839622641509434</v>
      </c>
      <c r="O46" s="86">
        <v>8</v>
      </c>
      <c r="P46" s="185">
        <v>145</v>
      </c>
      <c r="Q46" s="183">
        <v>5640</v>
      </c>
    </row>
    <row r="47" spans="2:17" ht="12.75">
      <c r="B47" s="85" t="s">
        <v>151</v>
      </c>
      <c r="C47" s="86">
        <v>6833</v>
      </c>
      <c r="D47" s="86">
        <v>4768</v>
      </c>
      <c r="E47" s="87">
        <v>0.6977901361042002</v>
      </c>
      <c r="F47" s="86">
        <v>2817</v>
      </c>
      <c r="G47" s="86">
        <v>1789</v>
      </c>
      <c r="H47" s="87">
        <v>0.6350727724529641</v>
      </c>
      <c r="I47" s="86">
        <v>287</v>
      </c>
      <c r="J47" s="86">
        <v>105</v>
      </c>
      <c r="K47" s="87">
        <v>0.36585365853658536</v>
      </c>
      <c r="L47" s="86">
        <v>225</v>
      </c>
      <c r="M47" s="86">
        <v>167</v>
      </c>
      <c r="N47" s="87">
        <v>0.7422222222222222</v>
      </c>
      <c r="O47" s="86">
        <v>0</v>
      </c>
      <c r="P47" s="185">
        <v>1</v>
      </c>
      <c r="Q47" s="183">
        <v>1182</v>
      </c>
    </row>
    <row r="48" spans="2:17" ht="12.75">
      <c r="B48" s="85" t="s">
        <v>152</v>
      </c>
      <c r="C48" s="86">
        <v>1104</v>
      </c>
      <c r="D48" s="86">
        <v>297</v>
      </c>
      <c r="E48" s="87">
        <v>0.26902173913043476</v>
      </c>
      <c r="F48" s="86">
        <v>292</v>
      </c>
      <c r="G48" s="86">
        <v>50</v>
      </c>
      <c r="H48" s="87">
        <v>0.17123287671232876</v>
      </c>
      <c r="I48" s="86">
        <v>65</v>
      </c>
      <c r="J48" s="86">
        <v>16</v>
      </c>
      <c r="K48" s="87">
        <v>0.24615384615384617</v>
      </c>
      <c r="L48" s="86">
        <v>55</v>
      </c>
      <c r="M48" s="86">
        <v>33</v>
      </c>
      <c r="N48" s="87">
        <v>0.6</v>
      </c>
      <c r="O48" s="86">
        <v>0</v>
      </c>
      <c r="P48" s="185" t="s">
        <v>452</v>
      </c>
      <c r="Q48" s="183">
        <v>303</v>
      </c>
    </row>
    <row r="49" spans="2:17" ht="12.75">
      <c r="B49" s="85" t="s">
        <v>153</v>
      </c>
      <c r="C49" s="86">
        <v>37594</v>
      </c>
      <c r="D49" s="86">
        <v>27471</v>
      </c>
      <c r="E49" s="87">
        <v>0.7307283077086769</v>
      </c>
      <c r="F49" s="86">
        <v>14961</v>
      </c>
      <c r="G49" s="86">
        <v>10765</v>
      </c>
      <c r="H49" s="87">
        <v>0.7195374640732571</v>
      </c>
      <c r="I49" s="86">
        <v>2004</v>
      </c>
      <c r="J49" s="86">
        <v>961</v>
      </c>
      <c r="K49" s="87">
        <v>0.47954091816367267</v>
      </c>
      <c r="L49" s="86">
        <v>6424</v>
      </c>
      <c r="M49" s="86">
        <v>4947</v>
      </c>
      <c r="N49" s="87">
        <v>0.7700809464508095</v>
      </c>
      <c r="O49" s="86">
        <v>6</v>
      </c>
      <c r="P49" s="185">
        <v>5</v>
      </c>
      <c r="Q49" s="183">
        <v>14154</v>
      </c>
    </row>
    <row r="50" spans="2:17" ht="12.75">
      <c r="B50" s="85" t="s">
        <v>154</v>
      </c>
      <c r="C50" s="86">
        <v>3896</v>
      </c>
      <c r="D50" s="86">
        <v>1578</v>
      </c>
      <c r="E50" s="87">
        <v>0.40503080082135523</v>
      </c>
      <c r="F50" s="86">
        <v>2037</v>
      </c>
      <c r="G50" s="86">
        <v>317</v>
      </c>
      <c r="H50" s="87">
        <v>0.1556210112911144</v>
      </c>
      <c r="I50" s="86">
        <v>412</v>
      </c>
      <c r="J50" s="86">
        <v>88</v>
      </c>
      <c r="K50" s="87">
        <v>0.21359223300970873</v>
      </c>
      <c r="L50" s="86">
        <v>517</v>
      </c>
      <c r="M50" s="86">
        <v>206</v>
      </c>
      <c r="N50" s="87">
        <v>0.3984526112185687</v>
      </c>
      <c r="O50" s="86">
        <v>0</v>
      </c>
      <c r="P50" s="185">
        <v>2</v>
      </c>
      <c r="Q50" s="183">
        <v>1549</v>
      </c>
    </row>
    <row r="51" spans="2:17" ht="12.75">
      <c r="B51" s="85" t="s">
        <v>155</v>
      </c>
      <c r="C51" s="86">
        <v>8429</v>
      </c>
      <c r="D51" s="86">
        <v>5376</v>
      </c>
      <c r="E51" s="87">
        <v>0.6377980780638273</v>
      </c>
      <c r="F51" s="86">
        <v>5737</v>
      </c>
      <c r="G51" s="86">
        <v>4105</v>
      </c>
      <c r="H51" s="87">
        <v>0.7155307652082971</v>
      </c>
      <c r="I51" s="86">
        <v>1575</v>
      </c>
      <c r="J51" s="86">
        <v>923</v>
      </c>
      <c r="K51" s="87">
        <v>0.586031746031746</v>
      </c>
      <c r="L51" s="86">
        <v>1403</v>
      </c>
      <c r="M51" s="86">
        <v>1070</v>
      </c>
      <c r="N51" s="87">
        <v>0.7626514611546685</v>
      </c>
      <c r="O51" s="86">
        <v>6</v>
      </c>
      <c r="P51" s="185">
        <v>49</v>
      </c>
      <c r="Q51" s="183">
        <v>5221</v>
      </c>
    </row>
    <row r="52" spans="2:17" ht="12.75">
      <c r="B52" s="85" t="s">
        <v>181</v>
      </c>
      <c r="C52" s="86">
        <v>10341</v>
      </c>
      <c r="D52" s="86">
        <v>3846</v>
      </c>
      <c r="E52" s="87">
        <v>0.3719176095155207</v>
      </c>
      <c r="F52" s="86">
        <v>3489</v>
      </c>
      <c r="G52" s="86">
        <v>1189</v>
      </c>
      <c r="H52" s="87">
        <v>0.34078532530811123</v>
      </c>
      <c r="I52" s="86">
        <v>2057</v>
      </c>
      <c r="J52" s="86">
        <v>358</v>
      </c>
      <c r="K52" s="87">
        <v>0.17403986387943607</v>
      </c>
      <c r="L52" s="86">
        <v>561</v>
      </c>
      <c r="M52" s="86">
        <v>160</v>
      </c>
      <c r="N52" s="87">
        <v>0.28520499108734404</v>
      </c>
      <c r="O52" s="86">
        <v>11602</v>
      </c>
      <c r="P52" s="185" t="s">
        <v>3</v>
      </c>
      <c r="Q52" s="182">
        <v>3332</v>
      </c>
    </row>
    <row r="53" spans="2:17" ht="12.75">
      <c r="B53" s="85" t="s">
        <v>182</v>
      </c>
      <c r="C53" s="86">
        <v>17421</v>
      </c>
      <c r="D53" s="86">
        <v>10660</v>
      </c>
      <c r="E53" s="87">
        <v>0.6119051719189484</v>
      </c>
      <c r="F53" s="86">
        <v>5521</v>
      </c>
      <c r="G53" s="86">
        <v>1819</v>
      </c>
      <c r="H53" s="87">
        <v>0.329469299040029</v>
      </c>
      <c r="I53" s="86">
        <v>1215</v>
      </c>
      <c r="J53" s="86">
        <v>401</v>
      </c>
      <c r="K53" s="87">
        <v>0.3300411522633745</v>
      </c>
      <c r="L53" s="86">
        <v>1021</v>
      </c>
      <c r="M53" s="86">
        <v>408</v>
      </c>
      <c r="N53" s="87">
        <v>0.39960822722820766</v>
      </c>
      <c r="O53" s="86">
        <v>2</v>
      </c>
      <c r="P53" s="185">
        <v>6</v>
      </c>
      <c r="Q53" s="183">
        <v>3163</v>
      </c>
    </row>
    <row r="54" spans="2:17" ht="12.75">
      <c r="B54" s="85" t="s">
        <v>183</v>
      </c>
      <c r="C54" s="86">
        <v>14500</v>
      </c>
      <c r="D54" s="86">
        <v>10312</v>
      </c>
      <c r="E54" s="87">
        <v>0.7111724137931035</v>
      </c>
      <c r="F54" s="86">
        <v>5492</v>
      </c>
      <c r="G54" s="86">
        <v>3559</v>
      </c>
      <c r="H54" s="87">
        <v>0.6480335032774945</v>
      </c>
      <c r="I54" s="86">
        <v>421</v>
      </c>
      <c r="J54" s="86">
        <v>179</v>
      </c>
      <c r="K54" s="87">
        <v>0.4251781472684085</v>
      </c>
      <c r="L54" s="86">
        <v>1871</v>
      </c>
      <c r="M54" s="86">
        <v>1410</v>
      </c>
      <c r="N54" s="87">
        <v>0.7536076964190273</v>
      </c>
      <c r="O54" s="86">
        <v>15</v>
      </c>
      <c r="P54" s="185">
        <v>114</v>
      </c>
      <c r="Q54" s="183">
        <v>4743</v>
      </c>
    </row>
    <row r="55" spans="2:17" ht="12.75">
      <c r="B55" s="85" t="s">
        <v>184</v>
      </c>
      <c r="C55" s="86">
        <v>975</v>
      </c>
      <c r="D55" s="86">
        <v>277</v>
      </c>
      <c r="E55" s="87">
        <v>0.2841025641025641</v>
      </c>
      <c r="F55" s="86">
        <v>785</v>
      </c>
      <c r="G55" s="86">
        <v>63</v>
      </c>
      <c r="H55" s="87">
        <v>0.08025477707006369</v>
      </c>
      <c r="I55" s="86">
        <v>395</v>
      </c>
      <c r="J55" s="86">
        <v>35</v>
      </c>
      <c r="K55" s="87">
        <v>0.08860759493670886</v>
      </c>
      <c r="L55" s="86">
        <v>176</v>
      </c>
      <c r="M55" s="86">
        <v>85</v>
      </c>
      <c r="N55" s="87">
        <v>0.48295454545454547</v>
      </c>
      <c r="O55" s="86">
        <v>0</v>
      </c>
      <c r="P55" s="185">
        <v>1</v>
      </c>
      <c r="Q55" s="183">
        <v>229</v>
      </c>
    </row>
    <row r="56" spans="2:17" ht="12.75">
      <c r="B56" s="85" t="s">
        <v>185</v>
      </c>
      <c r="C56" s="86">
        <v>20176</v>
      </c>
      <c r="D56" s="86">
        <v>14053</v>
      </c>
      <c r="E56" s="87">
        <v>0.696520618556701</v>
      </c>
      <c r="F56" s="86">
        <v>6171</v>
      </c>
      <c r="G56" s="86">
        <v>3754</v>
      </c>
      <c r="H56" s="87">
        <v>0.6083292821260736</v>
      </c>
      <c r="I56" s="86">
        <v>1329</v>
      </c>
      <c r="J56" s="86">
        <v>692</v>
      </c>
      <c r="K56" s="87">
        <v>0.5206922498118887</v>
      </c>
      <c r="L56" s="86">
        <v>1647</v>
      </c>
      <c r="M56" s="86">
        <v>1022</v>
      </c>
      <c r="N56" s="87">
        <v>0.6205221615057681</v>
      </c>
      <c r="O56" s="86">
        <v>14</v>
      </c>
      <c r="P56" s="185">
        <v>124</v>
      </c>
      <c r="Q56" s="183">
        <v>5468</v>
      </c>
    </row>
    <row r="57" spans="2:17" ht="12.75">
      <c r="B57" s="85" t="s">
        <v>186</v>
      </c>
      <c r="C57" s="86">
        <v>11981</v>
      </c>
      <c r="D57" s="86">
        <v>3539</v>
      </c>
      <c r="E57" s="87">
        <v>0.29538435856773226</v>
      </c>
      <c r="F57" s="86">
        <v>3458</v>
      </c>
      <c r="G57" s="86">
        <v>429</v>
      </c>
      <c r="H57" s="87">
        <v>0.12406015037593984</v>
      </c>
      <c r="I57" s="86">
        <v>4895</v>
      </c>
      <c r="J57" s="86">
        <v>2075</v>
      </c>
      <c r="K57" s="87">
        <v>0.42390194075587334</v>
      </c>
      <c r="L57" s="86">
        <v>547</v>
      </c>
      <c r="M57" s="86">
        <v>276</v>
      </c>
      <c r="N57" s="87">
        <v>0.5045703839122486</v>
      </c>
      <c r="O57" s="86">
        <v>15298</v>
      </c>
      <c r="P57" s="185" t="s">
        <v>3</v>
      </c>
      <c r="Q57" s="182">
        <v>1376</v>
      </c>
    </row>
    <row r="58" spans="2:17" ht="12.75">
      <c r="B58" s="85" t="s">
        <v>187</v>
      </c>
      <c r="C58" s="86">
        <v>47603</v>
      </c>
      <c r="D58" s="86">
        <v>36416</v>
      </c>
      <c r="E58" s="87">
        <v>0.7649938029115813</v>
      </c>
      <c r="F58" s="86">
        <v>11597</v>
      </c>
      <c r="G58" s="86">
        <v>6205</v>
      </c>
      <c r="H58" s="87">
        <v>0.5350521686643097</v>
      </c>
      <c r="I58" s="86">
        <v>1481</v>
      </c>
      <c r="J58" s="86">
        <v>599</v>
      </c>
      <c r="K58" s="87">
        <v>0.40445644834571237</v>
      </c>
      <c r="L58" s="86">
        <v>3334</v>
      </c>
      <c r="M58" s="86">
        <v>2237</v>
      </c>
      <c r="N58" s="87">
        <v>0.6709658068386323</v>
      </c>
      <c r="O58" s="86">
        <v>6</v>
      </c>
      <c r="P58" s="185">
        <v>11</v>
      </c>
      <c r="Q58" s="183">
        <v>12711</v>
      </c>
    </row>
    <row r="59" spans="2:17" ht="12.75">
      <c r="B59" s="89" t="s">
        <v>188</v>
      </c>
      <c r="C59" s="88">
        <v>5042</v>
      </c>
      <c r="D59" s="88">
        <v>2886</v>
      </c>
      <c r="E59" s="81">
        <v>0.5723919079730265</v>
      </c>
      <c r="F59" s="88">
        <v>1784</v>
      </c>
      <c r="G59" s="88">
        <v>830</v>
      </c>
      <c r="H59" s="81">
        <v>0.46524663677130046</v>
      </c>
      <c r="I59" s="88">
        <v>128</v>
      </c>
      <c r="J59" s="88">
        <v>34</v>
      </c>
      <c r="K59" s="81">
        <v>0.265625</v>
      </c>
      <c r="L59" s="88">
        <v>596</v>
      </c>
      <c r="M59" s="88">
        <v>419</v>
      </c>
      <c r="N59" s="81">
        <v>0.7030201342281879</v>
      </c>
      <c r="O59" s="88">
        <v>0</v>
      </c>
      <c r="P59" s="186" t="s">
        <v>452</v>
      </c>
      <c r="Q59" s="184">
        <v>920</v>
      </c>
    </row>
    <row r="60" spans="2:17" ht="12.75">
      <c r="B60" s="82" t="s">
        <v>165</v>
      </c>
      <c r="C60" s="83">
        <v>205915</v>
      </c>
      <c r="D60" s="83">
        <v>152044</v>
      </c>
      <c r="E60" s="84">
        <v>0.7383823422285894</v>
      </c>
      <c r="F60" s="83">
        <v>78924</v>
      </c>
      <c r="G60" s="83">
        <v>53883</v>
      </c>
      <c r="H60" s="84">
        <v>0.682720085145203</v>
      </c>
      <c r="I60" s="83">
        <v>17721</v>
      </c>
      <c r="J60" s="83">
        <v>10301</v>
      </c>
      <c r="K60" s="84">
        <v>0.5812877377123187</v>
      </c>
      <c r="L60" s="83">
        <v>23734</v>
      </c>
      <c r="M60" s="83">
        <v>15991</v>
      </c>
      <c r="N60" s="84">
        <v>0.6737591640684251</v>
      </c>
      <c r="O60" s="83">
        <v>444</v>
      </c>
      <c r="P60" s="187">
        <v>196</v>
      </c>
      <c r="Q60" s="182">
        <v>45530</v>
      </c>
    </row>
    <row r="61" spans="2:17" ht="12.75">
      <c r="B61" s="85" t="s">
        <v>189</v>
      </c>
      <c r="C61" s="86">
        <v>5029</v>
      </c>
      <c r="D61" s="86">
        <v>2788</v>
      </c>
      <c r="E61" s="87">
        <v>0.5543845694969178</v>
      </c>
      <c r="F61" s="86">
        <v>2196</v>
      </c>
      <c r="G61" s="86">
        <v>1250</v>
      </c>
      <c r="H61" s="87">
        <v>0.569216757741348</v>
      </c>
      <c r="I61" s="86">
        <v>418</v>
      </c>
      <c r="J61" s="86">
        <v>124</v>
      </c>
      <c r="K61" s="87">
        <v>0.2966507177033493</v>
      </c>
      <c r="L61" s="86">
        <v>602</v>
      </c>
      <c r="M61" s="86">
        <v>416</v>
      </c>
      <c r="N61" s="87">
        <v>0.6910299003322259</v>
      </c>
      <c r="O61" s="86">
        <v>2</v>
      </c>
      <c r="P61" s="185">
        <v>2</v>
      </c>
      <c r="Q61" s="183">
        <v>1799</v>
      </c>
    </row>
    <row r="62" spans="2:17" ht="12.75">
      <c r="B62" s="85" t="s">
        <v>190</v>
      </c>
      <c r="C62" s="86">
        <v>2728</v>
      </c>
      <c r="D62" s="86">
        <v>1824</v>
      </c>
      <c r="E62" s="87">
        <v>0.6686217008797654</v>
      </c>
      <c r="F62" s="86">
        <v>2200</v>
      </c>
      <c r="G62" s="86">
        <v>1813</v>
      </c>
      <c r="H62" s="87">
        <v>0.8240909090909091</v>
      </c>
      <c r="I62" s="86">
        <v>1085</v>
      </c>
      <c r="J62" s="86">
        <v>853</v>
      </c>
      <c r="K62" s="87">
        <v>0.7861751152073733</v>
      </c>
      <c r="L62" s="86">
        <v>310</v>
      </c>
      <c r="M62" s="86">
        <v>223</v>
      </c>
      <c r="N62" s="87">
        <v>0.7193548387096774</v>
      </c>
      <c r="O62" s="86">
        <v>0</v>
      </c>
      <c r="P62" s="185" t="s">
        <v>452</v>
      </c>
      <c r="Q62" s="183">
        <v>142</v>
      </c>
    </row>
    <row r="63" spans="2:17" ht="12.75">
      <c r="B63" s="85" t="s">
        <v>191</v>
      </c>
      <c r="C63" s="86">
        <v>2140</v>
      </c>
      <c r="D63" s="86">
        <v>951</v>
      </c>
      <c r="E63" s="87">
        <v>0.444392523364486</v>
      </c>
      <c r="F63" s="86">
        <v>1428</v>
      </c>
      <c r="G63" s="86">
        <v>805</v>
      </c>
      <c r="H63" s="87">
        <v>0.5637254901960784</v>
      </c>
      <c r="I63" s="86">
        <v>276</v>
      </c>
      <c r="J63" s="86">
        <v>65</v>
      </c>
      <c r="K63" s="87">
        <v>0.23550724637681159</v>
      </c>
      <c r="L63" s="86">
        <v>559</v>
      </c>
      <c r="M63" s="86">
        <v>239</v>
      </c>
      <c r="N63" s="87">
        <v>0.4275491949910555</v>
      </c>
      <c r="O63" s="86">
        <v>0</v>
      </c>
      <c r="P63" s="185">
        <v>1</v>
      </c>
      <c r="Q63" s="183">
        <v>994</v>
      </c>
    </row>
    <row r="64" spans="2:17" ht="12.75">
      <c r="B64" s="85" t="s">
        <v>192</v>
      </c>
      <c r="C64" s="86">
        <v>13345</v>
      </c>
      <c r="D64" s="86">
        <v>8301</v>
      </c>
      <c r="E64" s="87">
        <v>0.6220307231172724</v>
      </c>
      <c r="F64" s="86">
        <v>6198</v>
      </c>
      <c r="G64" s="86">
        <v>3721</v>
      </c>
      <c r="H64" s="87">
        <v>0.6003549532107131</v>
      </c>
      <c r="I64" s="86">
        <v>1329</v>
      </c>
      <c r="J64" s="86">
        <v>590</v>
      </c>
      <c r="K64" s="87">
        <v>0.4439428141459744</v>
      </c>
      <c r="L64" s="86">
        <v>1753</v>
      </c>
      <c r="M64" s="86">
        <v>971</v>
      </c>
      <c r="N64" s="87">
        <v>0.553907586993725</v>
      </c>
      <c r="O64" s="86">
        <v>9</v>
      </c>
      <c r="P64" s="185">
        <v>4</v>
      </c>
      <c r="Q64" s="183">
        <v>290</v>
      </c>
    </row>
    <row r="65" spans="2:17" ht="12.75">
      <c r="B65" s="85" t="s">
        <v>269</v>
      </c>
      <c r="C65" s="86">
        <v>1233</v>
      </c>
      <c r="D65" s="86">
        <v>415</v>
      </c>
      <c r="E65" s="87">
        <v>0.33657745336577455</v>
      </c>
      <c r="F65" s="86">
        <v>603</v>
      </c>
      <c r="G65" s="86">
        <v>275</v>
      </c>
      <c r="H65" s="87">
        <v>0.4560530679933665</v>
      </c>
      <c r="I65" s="86">
        <v>98</v>
      </c>
      <c r="J65" s="86">
        <v>24</v>
      </c>
      <c r="K65" s="87">
        <v>0.24489795918367346</v>
      </c>
      <c r="L65" s="86">
        <v>167</v>
      </c>
      <c r="M65" s="86">
        <v>84</v>
      </c>
      <c r="N65" s="87">
        <v>0.5029940119760479</v>
      </c>
      <c r="O65" s="86">
        <v>2</v>
      </c>
      <c r="P65" s="185">
        <v>3</v>
      </c>
      <c r="Q65" s="183">
        <v>3818</v>
      </c>
    </row>
    <row r="66" spans="2:17" ht="12.75">
      <c r="B66" s="85" t="s">
        <v>193</v>
      </c>
      <c r="C66" s="86">
        <v>2188</v>
      </c>
      <c r="D66" s="86">
        <v>1095</v>
      </c>
      <c r="E66" s="87">
        <v>0.5004570383912249</v>
      </c>
      <c r="F66" s="86">
        <v>1217</v>
      </c>
      <c r="G66" s="86">
        <v>712</v>
      </c>
      <c r="H66" s="87">
        <v>0.5850451930977815</v>
      </c>
      <c r="I66" s="86">
        <v>222</v>
      </c>
      <c r="J66" s="86">
        <v>102</v>
      </c>
      <c r="K66" s="87">
        <v>0.4594594594594595</v>
      </c>
      <c r="L66" s="86">
        <v>369</v>
      </c>
      <c r="M66" s="86">
        <v>226</v>
      </c>
      <c r="N66" s="87">
        <v>0.6124661246612466</v>
      </c>
      <c r="O66" s="86">
        <v>0</v>
      </c>
      <c r="P66" s="185">
        <v>1</v>
      </c>
      <c r="Q66" s="183">
        <v>279</v>
      </c>
    </row>
    <row r="67" spans="2:17" ht="12.75">
      <c r="B67" s="85" t="s">
        <v>194</v>
      </c>
      <c r="C67" s="86">
        <v>5985</v>
      </c>
      <c r="D67" s="86">
        <v>4500</v>
      </c>
      <c r="E67" s="87">
        <v>0.7518796992481203</v>
      </c>
      <c r="F67" s="86">
        <v>1744</v>
      </c>
      <c r="G67" s="86">
        <v>859</v>
      </c>
      <c r="H67" s="87">
        <v>0.49254587155963303</v>
      </c>
      <c r="I67" s="86">
        <v>240</v>
      </c>
      <c r="J67" s="86">
        <v>116</v>
      </c>
      <c r="K67" s="87">
        <v>0.48333333333333334</v>
      </c>
      <c r="L67" s="86">
        <v>846</v>
      </c>
      <c r="M67" s="86">
        <v>729</v>
      </c>
      <c r="N67" s="87">
        <v>0.8617021276595744</v>
      </c>
      <c r="O67" s="86">
        <v>4</v>
      </c>
      <c r="P67" s="185" t="s">
        <v>452</v>
      </c>
      <c r="Q67" s="183">
        <v>794</v>
      </c>
    </row>
    <row r="68" spans="2:17" ht="12.75">
      <c r="B68" s="85" t="s">
        <v>195</v>
      </c>
      <c r="C68" s="86">
        <v>22389</v>
      </c>
      <c r="D68" s="86">
        <v>18791</v>
      </c>
      <c r="E68" s="87">
        <v>0.8392960828978516</v>
      </c>
      <c r="F68" s="86">
        <v>6642</v>
      </c>
      <c r="G68" s="86">
        <v>4908</v>
      </c>
      <c r="H68" s="87">
        <v>0.7389340560072267</v>
      </c>
      <c r="I68" s="86">
        <v>2107</v>
      </c>
      <c r="J68" s="86">
        <v>1432</v>
      </c>
      <c r="K68" s="87">
        <v>0.6796392975794969</v>
      </c>
      <c r="L68" s="86">
        <v>1332</v>
      </c>
      <c r="M68" s="86">
        <v>1091</v>
      </c>
      <c r="N68" s="87">
        <v>0.8190690690690691</v>
      </c>
      <c r="O68" s="86">
        <v>5</v>
      </c>
      <c r="P68" s="185">
        <v>5</v>
      </c>
      <c r="Q68" s="183">
        <v>5927</v>
      </c>
    </row>
    <row r="69" spans="2:17" ht="12.75">
      <c r="B69" s="91" t="s">
        <v>196</v>
      </c>
      <c r="C69" s="86">
        <v>2240</v>
      </c>
      <c r="D69" s="86">
        <v>1260</v>
      </c>
      <c r="E69" s="87">
        <v>0.5625</v>
      </c>
      <c r="F69" s="86">
        <v>1277</v>
      </c>
      <c r="G69" s="86">
        <v>438</v>
      </c>
      <c r="H69" s="87">
        <v>0.34299138606108065</v>
      </c>
      <c r="I69" s="86">
        <v>225</v>
      </c>
      <c r="J69" s="86">
        <v>114</v>
      </c>
      <c r="K69" s="87">
        <v>0.5066666666666667</v>
      </c>
      <c r="L69" s="86">
        <v>749</v>
      </c>
      <c r="M69" s="86">
        <v>548</v>
      </c>
      <c r="N69" s="87">
        <v>0.7316421895861148</v>
      </c>
      <c r="O69" s="86">
        <v>360</v>
      </c>
      <c r="P69" s="185">
        <v>101</v>
      </c>
      <c r="Q69" s="183">
        <v>1841</v>
      </c>
    </row>
    <row r="70" spans="2:17" ht="12.75">
      <c r="B70" s="85" t="s">
        <v>197</v>
      </c>
      <c r="C70" s="86">
        <v>29968</v>
      </c>
      <c r="D70" s="86">
        <v>25404</v>
      </c>
      <c r="E70" s="87">
        <v>0.8477042178323545</v>
      </c>
      <c r="F70" s="86">
        <v>11253</v>
      </c>
      <c r="G70" s="86">
        <v>7601</v>
      </c>
      <c r="H70" s="87">
        <v>0.6754643206256109</v>
      </c>
      <c r="I70" s="86">
        <v>1663</v>
      </c>
      <c r="J70" s="86">
        <v>763</v>
      </c>
      <c r="K70" s="87">
        <v>0.4588093806374023</v>
      </c>
      <c r="L70" s="86">
        <v>5544</v>
      </c>
      <c r="M70" s="86">
        <v>3935</v>
      </c>
      <c r="N70" s="87">
        <v>0.7097763347763347</v>
      </c>
      <c r="O70" s="86">
        <v>7</v>
      </c>
      <c r="P70" s="185">
        <v>5</v>
      </c>
      <c r="Q70" s="183">
        <v>7409</v>
      </c>
    </row>
    <row r="71" spans="2:17" ht="12.75">
      <c r="B71" s="85" t="s">
        <v>198</v>
      </c>
      <c r="C71" s="86">
        <v>22911</v>
      </c>
      <c r="D71" s="86">
        <v>17610</v>
      </c>
      <c r="E71" s="87">
        <v>0.7686264239884771</v>
      </c>
      <c r="F71" s="86">
        <v>6223</v>
      </c>
      <c r="G71" s="86">
        <v>4098</v>
      </c>
      <c r="H71" s="87">
        <v>0.6585248272537362</v>
      </c>
      <c r="I71" s="86">
        <v>1130</v>
      </c>
      <c r="J71" s="86">
        <v>556</v>
      </c>
      <c r="K71" s="87">
        <v>0.4920353982300885</v>
      </c>
      <c r="L71" s="86">
        <v>2220</v>
      </c>
      <c r="M71" s="86">
        <v>1105</v>
      </c>
      <c r="N71" s="87">
        <v>0.49774774774774777</v>
      </c>
      <c r="O71" s="86">
        <v>1</v>
      </c>
      <c r="P71" s="185">
        <v>3</v>
      </c>
      <c r="Q71" s="183">
        <v>5054</v>
      </c>
    </row>
    <row r="72" spans="2:17" ht="12.75">
      <c r="B72" s="85" t="s">
        <v>199</v>
      </c>
      <c r="C72" s="86">
        <v>12073</v>
      </c>
      <c r="D72" s="86">
        <v>7666</v>
      </c>
      <c r="E72" s="87">
        <v>0.6349705955437753</v>
      </c>
      <c r="F72" s="86">
        <v>5992</v>
      </c>
      <c r="G72" s="86">
        <v>4002</v>
      </c>
      <c r="H72" s="87">
        <v>0.667890520694259</v>
      </c>
      <c r="I72" s="86">
        <v>1961</v>
      </c>
      <c r="J72" s="86">
        <v>1058</v>
      </c>
      <c r="K72" s="87">
        <v>0.5395206527281999</v>
      </c>
      <c r="L72" s="86">
        <v>627</v>
      </c>
      <c r="M72" s="86">
        <v>437</v>
      </c>
      <c r="N72" s="87">
        <v>0.696969696969697</v>
      </c>
      <c r="O72" s="86">
        <v>4</v>
      </c>
      <c r="P72" s="185">
        <v>23</v>
      </c>
      <c r="Q72" s="183">
        <v>5272</v>
      </c>
    </row>
    <row r="73" spans="2:17" ht="12.75">
      <c r="B73" s="85" t="s">
        <v>200</v>
      </c>
      <c r="C73" s="86">
        <v>9816</v>
      </c>
      <c r="D73" s="86">
        <v>7916</v>
      </c>
      <c r="E73" s="87">
        <v>0.8064384678076609</v>
      </c>
      <c r="F73" s="86">
        <v>2523</v>
      </c>
      <c r="G73" s="86">
        <v>1754</v>
      </c>
      <c r="H73" s="87">
        <v>0.6952041220768926</v>
      </c>
      <c r="I73" s="86">
        <v>426</v>
      </c>
      <c r="J73" s="86">
        <v>102</v>
      </c>
      <c r="K73" s="87">
        <v>0.23943661971830985</v>
      </c>
      <c r="L73" s="86">
        <v>697</v>
      </c>
      <c r="M73" s="86">
        <v>538</v>
      </c>
      <c r="N73" s="87">
        <v>0.7718794835007173</v>
      </c>
      <c r="O73" s="86">
        <v>1</v>
      </c>
      <c r="P73" s="185">
        <v>3</v>
      </c>
      <c r="Q73" s="183">
        <v>898</v>
      </c>
    </row>
    <row r="74" spans="2:17" ht="13.5" customHeight="1">
      <c r="B74" s="85" t="s">
        <v>201</v>
      </c>
      <c r="C74" s="86">
        <v>18351</v>
      </c>
      <c r="D74" s="86">
        <v>14356</v>
      </c>
      <c r="E74" s="87">
        <v>0.7823006920603782</v>
      </c>
      <c r="F74" s="86">
        <v>8956</v>
      </c>
      <c r="G74" s="86">
        <v>7182</v>
      </c>
      <c r="H74" s="87">
        <v>0.801920500223314</v>
      </c>
      <c r="I74" s="86">
        <v>786</v>
      </c>
      <c r="J74" s="86">
        <v>559</v>
      </c>
      <c r="K74" s="87">
        <v>0.7111959287531806</v>
      </c>
      <c r="L74" s="86">
        <v>2457</v>
      </c>
      <c r="M74" s="86">
        <v>2044</v>
      </c>
      <c r="N74" s="87">
        <v>0.8319088319088319</v>
      </c>
      <c r="O74" s="86">
        <v>0</v>
      </c>
      <c r="P74" s="185">
        <v>2</v>
      </c>
      <c r="Q74" s="183">
        <v>1619</v>
      </c>
    </row>
    <row r="75" spans="2:17" ht="12.75">
      <c r="B75" s="85" t="s">
        <v>202</v>
      </c>
      <c r="C75" s="86">
        <v>29851</v>
      </c>
      <c r="D75" s="86">
        <v>19638</v>
      </c>
      <c r="E75" s="87">
        <v>0.6578674081270309</v>
      </c>
      <c r="F75" s="86">
        <v>6923</v>
      </c>
      <c r="G75" s="86">
        <v>4350</v>
      </c>
      <c r="H75" s="87">
        <v>0.6283403148923877</v>
      </c>
      <c r="I75" s="86">
        <v>2262</v>
      </c>
      <c r="J75" s="86">
        <v>1551</v>
      </c>
      <c r="K75" s="87">
        <v>0.6856763925729443</v>
      </c>
      <c r="L75" s="86">
        <v>3022</v>
      </c>
      <c r="M75" s="86">
        <v>1757</v>
      </c>
      <c r="N75" s="87">
        <v>0.5814030443414957</v>
      </c>
      <c r="O75" s="86">
        <v>0</v>
      </c>
      <c r="P75" s="185">
        <v>2</v>
      </c>
      <c r="Q75" s="183">
        <v>3971</v>
      </c>
    </row>
    <row r="76" spans="2:17" ht="12.75">
      <c r="B76" s="89" t="s">
        <v>203</v>
      </c>
      <c r="C76" s="88">
        <v>25668</v>
      </c>
      <c r="D76" s="88">
        <v>19529</v>
      </c>
      <c r="E76" s="81">
        <v>0.7608306062022752</v>
      </c>
      <c r="F76" s="88">
        <v>13549</v>
      </c>
      <c r="G76" s="88">
        <v>10115</v>
      </c>
      <c r="H76" s="81">
        <v>0.7465495608531995</v>
      </c>
      <c r="I76" s="88">
        <v>3493</v>
      </c>
      <c r="J76" s="88">
        <v>2292</v>
      </c>
      <c r="K76" s="81">
        <v>0.6561694818207844</v>
      </c>
      <c r="L76" s="88">
        <v>2480</v>
      </c>
      <c r="M76" s="88">
        <v>1648</v>
      </c>
      <c r="N76" s="81">
        <v>0.6645161290322581</v>
      </c>
      <c r="O76" s="88">
        <v>49</v>
      </c>
      <c r="P76" s="186">
        <v>41</v>
      </c>
      <c r="Q76" s="184">
        <v>5423</v>
      </c>
    </row>
    <row r="77" spans="2:17" ht="12.75">
      <c r="B77" s="89" t="s">
        <v>73</v>
      </c>
      <c r="C77" s="88">
        <v>0</v>
      </c>
      <c r="D77" s="88">
        <v>0</v>
      </c>
      <c r="E77" s="81" t="s">
        <v>3</v>
      </c>
      <c r="F77" s="88">
        <v>49</v>
      </c>
      <c r="G77" s="88">
        <v>8</v>
      </c>
      <c r="H77" s="81">
        <v>0.16326530612244897</v>
      </c>
      <c r="I77" s="88">
        <v>0</v>
      </c>
      <c r="J77" s="88">
        <v>0</v>
      </c>
      <c r="K77" s="81" t="s">
        <v>3</v>
      </c>
      <c r="L77" s="88">
        <v>121</v>
      </c>
      <c r="M77" s="88">
        <v>90</v>
      </c>
      <c r="N77" s="81">
        <v>0.743801652892562</v>
      </c>
      <c r="O77" s="88">
        <v>1</v>
      </c>
      <c r="P77" s="186">
        <v>5</v>
      </c>
      <c r="Q77" s="184">
        <v>12827</v>
      </c>
    </row>
    <row r="78" spans="2:17" ht="17.25" customHeight="1">
      <c r="B78" s="394" t="s">
        <v>275</v>
      </c>
      <c r="C78" s="394"/>
      <c r="D78" s="394"/>
      <c r="E78" s="394"/>
      <c r="F78" s="394"/>
      <c r="G78" s="394"/>
      <c r="H78" s="394"/>
      <c r="I78" s="394"/>
      <c r="J78" s="394"/>
      <c r="K78" s="394"/>
      <c r="L78" s="394"/>
      <c r="M78" s="394"/>
      <c r="N78" s="394"/>
      <c r="O78" s="394"/>
      <c r="P78" s="394"/>
      <c r="Q78" s="394"/>
    </row>
    <row r="79" spans="2:17" ht="27" customHeight="1">
      <c r="B79" s="92"/>
      <c r="C79" s="393" t="s">
        <v>166</v>
      </c>
      <c r="D79" s="393"/>
      <c r="E79" s="393"/>
      <c r="F79" s="393"/>
      <c r="G79" s="393"/>
      <c r="H79" s="393"/>
      <c r="I79" s="393"/>
      <c r="J79" s="393"/>
      <c r="K79" s="393"/>
      <c r="L79" s="393"/>
      <c r="M79" s="393"/>
      <c r="N79" s="393"/>
      <c r="O79" s="393"/>
      <c r="P79" s="393"/>
      <c r="Q79" s="393"/>
    </row>
    <row r="80" spans="2:17" ht="12.75">
      <c r="B80" s="142"/>
      <c r="C80" s="389" t="s">
        <v>70</v>
      </c>
      <c r="D80" s="390"/>
      <c r="E80" s="391"/>
      <c r="F80" s="389" t="s">
        <v>71</v>
      </c>
      <c r="G80" s="390"/>
      <c r="H80" s="391"/>
      <c r="I80" s="389" t="s">
        <v>72</v>
      </c>
      <c r="J80" s="390"/>
      <c r="K80" s="391"/>
      <c r="L80" s="389" t="s">
        <v>73</v>
      </c>
      <c r="M80" s="390"/>
      <c r="N80" s="391"/>
      <c r="O80" s="75" t="s">
        <v>74</v>
      </c>
      <c r="P80" s="68" t="s">
        <v>75</v>
      </c>
      <c r="Q80" s="75" t="s">
        <v>76</v>
      </c>
    </row>
    <row r="81" spans="2:17" s="79" customFormat="1" ht="53.25" customHeight="1">
      <c r="B81" s="141"/>
      <c r="C81" s="177" t="s">
        <v>77</v>
      </c>
      <c r="D81" s="78" t="s">
        <v>19</v>
      </c>
      <c r="E81" s="77" t="s">
        <v>20</v>
      </c>
      <c r="F81" s="177" t="s">
        <v>79</v>
      </c>
      <c r="G81" s="78" t="s">
        <v>19</v>
      </c>
      <c r="H81" s="77" t="s">
        <v>20</v>
      </c>
      <c r="I81" s="177" t="s">
        <v>80</v>
      </c>
      <c r="J81" s="78" t="s">
        <v>19</v>
      </c>
      <c r="K81" s="77" t="s">
        <v>20</v>
      </c>
      <c r="L81" s="177" t="s">
        <v>79</v>
      </c>
      <c r="M81" s="78" t="s">
        <v>19</v>
      </c>
      <c r="N81" s="77" t="s">
        <v>20</v>
      </c>
      <c r="O81" s="177" t="s">
        <v>77</v>
      </c>
      <c r="P81" s="177" t="s">
        <v>77</v>
      </c>
      <c r="Q81" s="93" t="s">
        <v>80</v>
      </c>
    </row>
    <row r="82" spans="2:17" s="79" customFormat="1" ht="25.5" hidden="1">
      <c r="B82" s="143"/>
      <c r="C82" s="385" t="s">
        <v>135</v>
      </c>
      <c r="D82" s="386"/>
      <c r="E82" s="387"/>
      <c r="F82" s="385" t="s">
        <v>204</v>
      </c>
      <c r="G82" s="386"/>
      <c r="H82" s="387"/>
      <c r="I82" s="388" t="s">
        <v>22</v>
      </c>
      <c r="J82" s="386"/>
      <c r="K82" s="387"/>
      <c r="L82" s="385" t="s">
        <v>21</v>
      </c>
      <c r="M82" s="386"/>
      <c r="N82" s="387"/>
      <c r="O82" s="94" t="s">
        <v>133</v>
      </c>
      <c r="P82" s="94" t="s">
        <v>23</v>
      </c>
      <c r="Q82" s="95" t="s">
        <v>24</v>
      </c>
    </row>
    <row r="83" spans="2:17" ht="12.75">
      <c r="B83" s="80" t="s">
        <v>156</v>
      </c>
      <c r="C83" s="219">
        <v>75033</v>
      </c>
      <c r="D83" s="219">
        <v>40196</v>
      </c>
      <c r="E83" s="215">
        <v>0.535710953846974</v>
      </c>
      <c r="F83" s="219">
        <v>95999</v>
      </c>
      <c r="G83" s="219">
        <v>58285</v>
      </c>
      <c r="H83" s="215">
        <v>0.6071417410598027</v>
      </c>
      <c r="I83" s="219">
        <v>73633</v>
      </c>
      <c r="J83" s="219">
        <v>27691</v>
      </c>
      <c r="K83" s="215">
        <v>0.3760677956894327</v>
      </c>
      <c r="L83" s="219">
        <v>12707</v>
      </c>
      <c r="M83" s="219">
        <v>7366</v>
      </c>
      <c r="N83" s="215">
        <v>0.5796804910679153</v>
      </c>
      <c r="O83" s="219">
        <v>18688</v>
      </c>
      <c r="P83" s="219">
        <v>11763</v>
      </c>
      <c r="Q83" s="219">
        <v>2277</v>
      </c>
    </row>
    <row r="84" spans="2:17" ht="12.75">
      <c r="B84" s="98" t="s">
        <v>93</v>
      </c>
      <c r="C84" s="96">
        <v>33848</v>
      </c>
      <c r="D84" s="96">
        <v>22276</v>
      </c>
      <c r="E84" s="97">
        <v>0.6581186480737414</v>
      </c>
      <c r="F84" s="96">
        <v>45978</v>
      </c>
      <c r="G84" s="96">
        <v>33847</v>
      </c>
      <c r="H84" s="97">
        <v>0.7361564226369133</v>
      </c>
      <c r="I84" s="96">
        <v>28749</v>
      </c>
      <c r="J84" s="96">
        <v>12032</v>
      </c>
      <c r="K84" s="97">
        <v>0.4185189050053915</v>
      </c>
      <c r="L84" s="96">
        <v>6536</v>
      </c>
      <c r="M84" s="96">
        <v>3325</v>
      </c>
      <c r="N84" s="97">
        <v>0.5087209302325582</v>
      </c>
      <c r="O84" s="96">
        <v>8822</v>
      </c>
      <c r="P84" s="96">
        <v>5251</v>
      </c>
      <c r="Q84" s="96">
        <v>785</v>
      </c>
    </row>
    <row r="85" spans="1:17" ht="12.75">
      <c r="A85" s="99"/>
      <c r="B85" s="98" t="s">
        <v>181</v>
      </c>
      <c r="C85" s="96">
        <v>16311</v>
      </c>
      <c r="D85" s="96">
        <v>4733</v>
      </c>
      <c r="E85" s="97">
        <v>0.2901722763779045</v>
      </c>
      <c r="F85" s="96">
        <v>16171</v>
      </c>
      <c r="G85" s="96">
        <v>2721</v>
      </c>
      <c r="H85" s="97">
        <v>0.16826417661245438</v>
      </c>
      <c r="I85" s="96">
        <v>20464</v>
      </c>
      <c r="J85" s="96">
        <v>5544</v>
      </c>
      <c r="K85" s="97">
        <v>0.2709147771696638</v>
      </c>
      <c r="L85" s="96">
        <v>587</v>
      </c>
      <c r="M85" s="96">
        <v>303</v>
      </c>
      <c r="N85" s="97">
        <v>0.5161839863713799</v>
      </c>
      <c r="O85" s="96">
        <v>2358</v>
      </c>
      <c r="P85" s="96">
        <v>1545</v>
      </c>
      <c r="Q85" s="96">
        <v>665</v>
      </c>
    </row>
    <row r="86" spans="2:17" ht="12.75">
      <c r="B86" s="101" t="s">
        <v>186</v>
      </c>
      <c r="C86" s="96">
        <v>24473</v>
      </c>
      <c r="D86" s="96">
        <v>12996</v>
      </c>
      <c r="E86" s="97">
        <v>0.5310342009561557</v>
      </c>
      <c r="F86" s="96">
        <v>33177</v>
      </c>
      <c r="G86" s="96">
        <v>21255</v>
      </c>
      <c r="H86" s="97">
        <v>0.6406546704041957</v>
      </c>
      <c r="I86" s="96">
        <v>24197</v>
      </c>
      <c r="J86" s="96">
        <v>9947</v>
      </c>
      <c r="K86" s="97">
        <v>0.41108401868000166</v>
      </c>
      <c r="L86" s="96">
        <v>5184</v>
      </c>
      <c r="M86" s="96">
        <v>3432</v>
      </c>
      <c r="N86" s="97">
        <v>0.6620370370370371</v>
      </c>
      <c r="O86" s="96">
        <v>7428</v>
      </c>
      <c r="P86" s="96">
        <v>4967</v>
      </c>
      <c r="Q86" s="96">
        <v>827</v>
      </c>
    </row>
    <row r="87" spans="2:17" ht="12.75">
      <c r="B87" s="101" t="s">
        <v>214</v>
      </c>
      <c r="C87" s="96">
        <v>401</v>
      </c>
      <c r="D87" s="96">
        <v>191</v>
      </c>
      <c r="E87" s="97">
        <v>0.4763092269326683</v>
      </c>
      <c r="F87" s="96">
        <v>673</v>
      </c>
      <c r="G87" s="96">
        <v>462</v>
      </c>
      <c r="H87" s="97">
        <v>0.6864784546805349</v>
      </c>
      <c r="I87" s="96">
        <v>223</v>
      </c>
      <c r="J87" s="96">
        <v>168</v>
      </c>
      <c r="K87" s="97">
        <v>0.7533632286995515</v>
      </c>
      <c r="L87" s="96">
        <v>400</v>
      </c>
      <c r="M87" s="96">
        <v>306</v>
      </c>
      <c r="N87" s="97">
        <v>0.765</v>
      </c>
      <c r="O87" s="96">
        <v>80</v>
      </c>
      <c r="P87" s="102" t="s">
        <v>226</v>
      </c>
      <c r="Q87" s="102" t="s">
        <v>226</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392" t="s">
        <v>239</v>
      </c>
      <c r="D89" s="392"/>
      <c r="E89" s="392"/>
      <c r="F89" s="392"/>
      <c r="G89" s="392"/>
      <c r="H89" s="392"/>
      <c r="I89" s="392"/>
      <c r="J89" s="392"/>
    </row>
    <row r="90" spans="2:10" ht="12.75">
      <c r="B90" s="100"/>
      <c r="C90" s="389" t="s">
        <v>230</v>
      </c>
      <c r="D90" s="390"/>
      <c r="E90" s="390"/>
      <c r="F90" s="390"/>
      <c r="G90" s="389" t="s">
        <v>246</v>
      </c>
      <c r="H90" s="390"/>
      <c r="I90" s="390"/>
      <c r="J90" s="391"/>
    </row>
    <row r="91" spans="2:10" ht="52.5" customHeight="1">
      <c r="B91" s="100"/>
      <c r="C91" s="177" t="s">
        <v>235</v>
      </c>
      <c r="D91" s="177" t="s">
        <v>236</v>
      </c>
      <c r="E91" s="177" t="s">
        <v>238</v>
      </c>
      <c r="F91" s="177" t="s">
        <v>241</v>
      </c>
      <c r="G91" s="93" t="s">
        <v>235</v>
      </c>
      <c r="H91" s="177" t="s">
        <v>236</v>
      </c>
      <c r="I91" s="177" t="s">
        <v>238</v>
      </c>
      <c r="J91" s="177" t="s">
        <v>241</v>
      </c>
    </row>
    <row r="92" spans="2:10" ht="12.75">
      <c r="B92" s="246" t="s">
        <v>240</v>
      </c>
      <c r="C92" s="254">
        <v>5463</v>
      </c>
      <c r="D92" s="214">
        <v>20338</v>
      </c>
      <c r="E92" s="214">
        <v>-14875</v>
      </c>
      <c r="F92" s="215">
        <v>-0.7313895171599961</v>
      </c>
      <c r="G92" s="254">
        <v>146955</v>
      </c>
      <c r="H92" s="214">
        <v>124138</v>
      </c>
      <c r="I92" s="214">
        <v>22817</v>
      </c>
      <c r="J92" s="215">
        <v>0.18380350899805056</v>
      </c>
    </row>
    <row r="93" spans="2:10" ht="12.75">
      <c r="B93" s="247" t="s">
        <v>231</v>
      </c>
      <c r="C93" s="221">
        <v>1568</v>
      </c>
      <c r="D93" s="221">
        <v>6110</v>
      </c>
      <c r="E93" s="221">
        <v>-4542</v>
      </c>
      <c r="F93" s="97">
        <v>-0.7433715220949263</v>
      </c>
      <c r="G93" s="221">
        <v>23591</v>
      </c>
      <c r="H93" s="221">
        <v>21542</v>
      </c>
      <c r="I93" s="221">
        <v>2049</v>
      </c>
      <c r="J93" s="97">
        <v>0.09511651657227742</v>
      </c>
    </row>
    <row r="94" spans="2:10" ht="12.75">
      <c r="B94" s="248" t="s">
        <v>232</v>
      </c>
      <c r="C94" s="221">
        <v>1055</v>
      </c>
      <c r="D94" s="221">
        <v>4375</v>
      </c>
      <c r="E94" s="221">
        <v>-3320</v>
      </c>
      <c r="F94" s="97">
        <v>-0.7588571428571429</v>
      </c>
      <c r="G94" s="221">
        <v>34593</v>
      </c>
      <c r="H94" s="221">
        <v>34228</v>
      </c>
      <c r="I94" s="221">
        <v>365</v>
      </c>
      <c r="J94" s="97">
        <v>0.010663784036461376</v>
      </c>
    </row>
    <row r="95" spans="2:10" ht="12.75">
      <c r="B95" s="247" t="s">
        <v>233</v>
      </c>
      <c r="C95" s="221">
        <v>693</v>
      </c>
      <c r="D95" s="221">
        <v>5796</v>
      </c>
      <c r="E95" s="221">
        <v>-5103</v>
      </c>
      <c r="F95" s="97">
        <v>-0.8804347826086957</v>
      </c>
      <c r="G95" s="221">
        <v>50945</v>
      </c>
      <c r="H95" s="221">
        <v>43145</v>
      </c>
      <c r="I95" s="221">
        <v>7800</v>
      </c>
      <c r="J95" s="97">
        <v>0.18078572256344883</v>
      </c>
    </row>
    <row r="96" spans="2:10" ht="12.75">
      <c r="B96" s="249" t="s">
        <v>234</v>
      </c>
      <c r="C96" s="221">
        <v>2147</v>
      </c>
      <c r="D96" s="221">
        <v>4057</v>
      </c>
      <c r="E96" s="221">
        <v>-1910</v>
      </c>
      <c r="F96" s="97">
        <v>-0.4707912250431353</v>
      </c>
      <c r="G96" s="221">
        <v>37826</v>
      </c>
      <c r="H96" s="221">
        <v>25223</v>
      </c>
      <c r="I96" s="221">
        <v>12603</v>
      </c>
      <c r="J96" s="97">
        <v>0.4996630059865995</v>
      </c>
    </row>
    <row r="97" spans="2:10" ht="31.5" customHeight="1">
      <c r="B97" s="381" t="s">
        <v>253</v>
      </c>
      <c r="C97" s="382"/>
      <c r="D97" s="382"/>
      <c r="E97" s="383"/>
      <c r="F97" s="383"/>
      <c r="G97" s="383"/>
      <c r="H97" s="383"/>
      <c r="I97" s="383"/>
      <c r="J97" s="384"/>
    </row>
    <row r="99" spans="2:10" ht="30" customHeight="1">
      <c r="B99" s="347"/>
      <c r="C99" s="347"/>
      <c r="D99" s="347"/>
      <c r="E99" s="347"/>
      <c r="F99" s="347"/>
      <c r="G99" s="347"/>
      <c r="H99" s="347"/>
      <c r="I99" s="347"/>
      <c r="J99" s="347"/>
    </row>
    <row r="100" spans="2:4" ht="15">
      <c r="B100" s="250"/>
      <c r="C100" s="251"/>
      <c r="D100" s="252"/>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228</v>
      </c>
      <c r="D1" s="210"/>
      <c r="E1" s="210"/>
      <c r="F1" s="210"/>
      <c r="G1" s="210"/>
      <c r="H1" s="210"/>
      <c r="I1" s="210"/>
      <c r="J1" s="210"/>
      <c r="K1" s="210"/>
      <c r="L1" s="210"/>
      <c r="M1" s="210"/>
      <c r="N1" s="210"/>
      <c r="O1" s="210"/>
      <c r="P1" s="210"/>
      <c r="Q1" s="210"/>
    </row>
    <row r="2" spans="2:17" s="3" customFormat="1" ht="15">
      <c r="B2" s="4"/>
      <c r="C2" s="401" t="s">
        <v>70</v>
      </c>
      <c r="D2" s="402"/>
      <c r="E2" s="403"/>
      <c r="F2" s="36"/>
      <c r="G2" s="36"/>
      <c r="H2" s="36"/>
      <c r="I2" s="36"/>
      <c r="J2" s="36"/>
      <c r="K2" s="36"/>
      <c r="L2" s="36"/>
      <c r="M2" s="36"/>
      <c r="N2" s="36"/>
      <c r="O2" s="36"/>
      <c r="P2" s="36"/>
      <c r="Q2" s="36"/>
    </row>
    <row r="3" spans="2:17" s="3" customFormat="1" ht="54" customHeight="1">
      <c r="B3" s="4"/>
      <c r="C3" s="37" t="s">
        <v>77</v>
      </c>
      <c r="D3" s="38" t="s">
        <v>19</v>
      </c>
      <c r="E3" s="39" t="s">
        <v>78</v>
      </c>
      <c r="F3" s="404" t="s">
        <v>159</v>
      </c>
      <c r="G3" s="405"/>
      <c r="H3" s="405"/>
      <c r="I3" s="405"/>
      <c r="J3" s="405"/>
      <c r="K3" s="405"/>
      <c r="L3" s="405"/>
      <c r="M3" s="405"/>
      <c r="N3" s="405"/>
      <c r="O3" s="405"/>
      <c r="P3" s="405"/>
      <c r="Q3" s="44"/>
    </row>
    <row r="4" spans="2:17" s="3" customFormat="1" ht="15">
      <c r="B4" s="40" t="s">
        <v>26</v>
      </c>
      <c r="C4" s="41" t="e">
        <f>B11+B76</f>
        <v>#REF!</v>
      </c>
      <c r="D4" s="42" t="e">
        <f>C11+C76</f>
        <v>#REF!</v>
      </c>
      <c r="E4" s="43" t="e">
        <f>D4/C4</f>
        <v>#REF!</v>
      </c>
      <c r="F4" s="36"/>
      <c r="G4" s="36"/>
      <c r="H4" s="36"/>
      <c r="I4" s="36"/>
      <c r="J4" s="36"/>
      <c r="K4" s="36"/>
      <c r="L4" s="36"/>
      <c r="M4" s="36"/>
      <c r="N4" s="36"/>
      <c r="O4" s="36"/>
      <c r="P4" s="36"/>
      <c r="Q4" s="36"/>
    </row>
    <row r="6" spans="2:17" ht="20.25" customHeight="1">
      <c r="B6" s="407" t="s">
        <v>81</v>
      </c>
      <c r="C6" s="407"/>
      <c r="D6" s="407"/>
      <c r="E6" s="407"/>
      <c r="F6" s="407"/>
      <c r="G6" s="407"/>
      <c r="H6" s="407"/>
      <c r="I6" s="407"/>
      <c r="J6" s="407"/>
      <c r="K6" s="407"/>
      <c r="L6" s="407"/>
      <c r="M6" s="407"/>
      <c r="N6" s="407"/>
      <c r="O6" s="407"/>
      <c r="P6" s="407"/>
      <c r="Q6" s="336"/>
    </row>
    <row r="7" spans="1:17" s="3" customFormat="1" ht="15">
      <c r="A7" s="4"/>
      <c r="B7" s="401" t="s">
        <v>70</v>
      </c>
      <c r="C7" s="402"/>
      <c r="D7" s="403"/>
      <c r="E7" s="401" t="s">
        <v>71</v>
      </c>
      <c r="F7" s="402"/>
      <c r="G7" s="403"/>
      <c r="H7" s="401" t="s">
        <v>72</v>
      </c>
      <c r="I7" s="402"/>
      <c r="J7" s="403"/>
      <c r="K7" s="401" t="s">
        <v>73</v>
      </c>
      <c r="L7" s="402"/>
      <c r="M7" s="403"/>
      <c r="N7" s="13" t="s">
        <v>74</v>
      </c>
      <c r="O7" s="11" t="s">
        <v>75</v>
      </c>
      <c r="P7" s="13" t="s">
        <v>76</v>
      </c>
      <c r="Q7" s="337"/>
    </row>
    <row r="8" spans="1:17" s="5" customFormat="1" ht="59.25" customHeight="1">
      <c r="A8" s="6"/>
      <c r="B8" s="7" t="s">
        <v>77</v>
      </c>
      <c r="C8" s="8" t="s">
        <v>19</v>
      </c>
      <c r="D8" s="9" t="s">
        <v>20</v>
      </c>
      <c r="E8" s="7" t="s">
        <v>79</v>
      </c>
      <c r="F8" s="8" t="s">
        <v>19</v>
      </c>
      <c r="G8" s="9" t="s">
        <v>20</v>
      </c>
      <c r="H8" s="7" t="s">
        <v>80</v>
      </c>
      <c r="I8" s="8" t="s">
        <v>19</v>
      </c>
      <c r="J8" s="9" t="s">
        <v>20</v>
      </c>
      <c r="K8" s="7" t="s">
        <v>79</v>
      </c>
      <c r="L8" s="8" t="s">
        <v>19</v>
      </c>
      <c r="M8" s="9" t="s">
        <v>20</v>
      </c>
      <c r="N8" s="7" t="s">
        <v>77</v>
      </c>
      <c r="O8" s="8" t="s">
        <v>77</v>
      </c>
      <c r="P8" s="10" t="s">
        <v>80</v>
      </c>
      <c r="Q8" s="338"/>
    </row>
    <row r="9" spans="2:17" s="2" customFormat="1" ht="41.25" customHeight="1">
      <c r="B9" s="408" t="s">
        <v>283</v>
      </c>
      <c r="C9" s="409"/>
      <c r="D9" s="410"/>
      <c r="E9" s="408" t="s">
        <v>213</v>
      </c>
      <c r="F9" s="409"/>
      <c r="G9" s="410"/>
      <c r="H9" s="411" t="s">
        <v>285</v>
      </c>
      <c r="I9" s="409"/>
      <c r="J9" s="410"/>
      <c r="K9" s="408" t="s">
        <v>276</v>
      </c>
      <c r="L9" s="409"/>
      <c r="M9" s="410"/>
      <c r="N9" s="12" t="s">
        <v>12</v>
      </c>
      <c r="O9" s="12" t="s">
        <v>157</v>
      </c>
      <c r="P9" s="15" t="s">
        <v>158</v>
      </c>
      <c r="Q9" s="339"/>
    </row>
    <row r="10" spans="11:26" ht="13.5" thickBot="1">
      <c r="K10" s="1"/>
      <c r="Q10" s="336"/>
      <c r="R10" s="263" t="s">
        <v>288</v>
      </c>
      <c r="S10" s="263"/>
      <c r="T10" s="263"/>
      <c r="U10" s="263"/>
      <c r="V10" s="263"/>
      <c r="W10" s="263"/>
      <c r="X10" s="263"/>
      <c r="Y10" s="263"/>
      <c r="Z10" s="263"/>
    </row>
    <row r="11" spans="1:26" ht="15.75" thickBot="1">
      <c r="A11" s="45" t="s">
        <v>349</v>
      </c>
      <c r="B11" s="47" t="e">
        <f>SUM(B12:B70)</f>
        <v>#REF!</v>
      </c>
      <c r="C11" s="47" t="e">
        <f>SUM(C12:C70)</f>
        <v>#REF!</v>
      </c>
      <c r="D11" s="46" t="e">
        <f>C11/B11</f>
        <v>#REF!</v>
      </c>
      <c r="E11" s="47" t="e">
        <f>SUM(E12:E70)</f>
        <v>#REF!</v>
      </c>
      <c r="F11" s="47" t="e">
        <f>SUM(F12:F70)</f>
        <v>#REF!</v>
      </c>
      <c r="G11" s="46" t="e">
        <f>F11/E11</f>
        <v>#REF!</v>
      </c>
      <c r="H11" s="47">
        <f>SUM(H12:H70)</f>
        <v>74755</v>
      </c>
      <c r="I11" s="47">
        <f>SUM(I12:I70)</f>
        <v>36340</v>
      </c>
      <c r="J11" s="46">
        <f>I11/H11</f>
        <v>0.4861213296769447</v>
      </c>
      <c r="K11" s="47">
        <f>SUM(K12:K70)</f>
        <v>86279</v>
      </c>
      <c r="L11" s="47">
        <f>SUM(L12:L70)</f>
        <v>57408</v>
      </c>
      <c r="M11" s="46">
        <f>L11/K11</f>
        <v>0.6653762792800102</v>
      </c>
      <c r="N11" s="47">
        <f>SUM(N12:N70)</f>
        <v>44264</v>
      </c>
      <c r="O11" s="47">
        <f>SUM(O12:O70)</f>
        <v>1175</v>
      </c>
      <c r="P11" s="267">
        <f>SUM(P12:P70)</f>
        <v>250633</v>
      </c>
      <c r="Q11" s="259"/>
      <c r="R11" s="335">
        <f>P11+P76</f>
        <v>252910</v>
      </c>
      <c r="S11" s="263"/>
      <c r="T11" s="263"/>
      <c r="U11" s="263"/>
      <c r="V11" s="263"/>
      <c r="W11" s="263"/>
      <c r="X11" s="263"/>
      <c r="Y11" s="263"/>
      <c r="Z11" s="263"/>
    </row>
    <row r="12" spans="1:26" ht="12" customHeight="1">
      <c r="A12" s="275" t="s">
        <v>295</v>
      </c>
      <c r="B12" s="265">
        <f>IF(ISNA(VLOOKUP(A12,Entitlement_Data!A$3:C$64,2,FALSE)),"0",VLOOKUP(A12,Entitlement_Data!A$3:C$64,2,FALSE))</f>
        <v>19922</v>
      </c>
      <c r="C12" s="265">
        <f>IF(ISNA(VLOOKUP(A12,Entitlement_Data!A$3:D$64,3,FALSE)),"0",VLOOKUP(A12,Entitlement_Data!A$3:D$64,3,FALSE))</f>
        <v>16687</v>
      </c>
      <c r="D12" s="25">
        <f aca="true" t="shared" si="0" ref="D12:D56">C12/B12</f>
        <v>0.8376167051500853</v>
      </c>
      <c r="E12" s="304" t="e">
        <f>IF(ISNA(VLOOKUP(A12,#REF!,3,FALSE)),"0",VLOOKUP(A12,#REF!,3,FALSE))</f>
        <v>#REF!</v>
      </c>
      <c r="F12" s="304" t="e">
        <f>IF(ISNA(VLOOKUP(A12,#REF!,4,FALSE)),"0",VLOOKUP(A12,#REF!,4,FALSE))</f>
        <v>#REF!</v>
      </c>
      <c r="G12" s="25" t="e">
        <f aca="true" t="shared" si="1" ref="G12:G70">F12/E12</f>
        <v>#REF!</v>
      </c>
      <c r="H12" s="1">
        <f>IF(ISNA(VLOOKUP($A12,Program_Review_Data!A2:E66,2,FALSE)),"0",VLOOKUP($A12,Program_Review_Data!A2:E66,2,FALSE))</f>
        <v>913</v>
      </c>
      <c r="I12" s="1">
        <f>IF(ISNA(VLOOKUP($A12,Program_Review_Data!A2:F66,3,FALSE)),"0",VLOOKUP($A12,Program_Review_Data!A2:F66,3,FALSE))</f>
        <v>449</v>
      </c>
      <c r="J12" s="25">
        <f aca="true" t="shared" si="2" ref="J12:J56">I12/H12</f>
        <v>0.49178532311062434</v>
      </c>
      <c r="K12" s="1">
        <f>IF(ISNA(VLOOKUP($A12,Other_Data!A2:E66,2,FALSE)),"0",VLOOKUP($A12,Other_Data!A2:E66,2,FALSE))</f>
        <v>2320</v>
      </c>
      <c r="L12" s="1">
        <f>IF(ISNA(VLOOKUP($A12,Other_Data!A2:E66,3,FALSE)),"0",VLOOKUP($A12,Other_Data!A2:E66,3,FALSE))</f>
        <v>1658</v>
      </c>
      <c r="M12" s="25">
        <f aca="true" t="shared" si="3" ref="M12:M70">L12/K12</f>
        <v>0.7146551724137931</v>
      </c>
      <c r="N12" s="1">
        <f>IF(ISNA(VLOOKUP($A12,Burial_Data!$A$2:$C$65,2,FALSE)),"0",VLOOKUP($A12,Burial_Data!$A$2:$C$65,2,FALSE))</f>
        <v>1</v>
      </c>
      <c r="O12" s="1">
        <f>IF(ISNA(VLOOKUP($A12,Accrued_Data!$A$2:$D$64,3,FALSE)),"0",VLOOKUP($A12,Accrued_Data!$A$2:$D$64,3,FALSE))</f>
        <v>4</v>
      </c>
      <c r="P12" s="266">
        <v>3436</v>
      </c>
      <c r="Q12" s="259"/>
      <c r="R12" s="263" t="s">
        <v>284</v>
      </c>
      <c r="S12" s="263"/>
      <c r="T12" s="263"/>
      <c r="U12" s="263"/>
      <c r="V12" s="263"/>
      <c r="W12" s="263"/>
      <c r="X12" s="263"/>
      <c r="Y12" s="263"/>
      <c r="Z12" s="263"/>
    </row>
    <row r="13" spans="1:17" ht="12" customHeight="1">
      <c r="A13" s="275" t="s">
        <v>297</v>
      </c>
      <c r="B13" s="265">
        <f>IF(ISNA(VLOOKUP(A13,Entitlement_Data!A$3:C$64,2,FALSE)),"0",VLOOKUP(A13,Entitlement_Data!A$3:C$64,2,FALSE))</f>
        <v>11493</v>
      </c>
      <c r="C13" s="265">
        <f>IF(ISNA(VLOOKUP(A13,Entitlement_Data!A$3:D$64,3,FALSE)),"0",VLOOKUP(A13,Entitlement_Data!A$3:D$64,3,FALSE))</f>
        <v>8935</v>
      </c>
      <c r="D13" s="25">
        <f t="shared" si="0"/>
        <v>0.7774297398416428</v>
      </c>
      <c r="E13" s="304" t="e">
        <f>IF(ISNA(VLOOKUP(A13,#REF!,3,FALSE)),"0",VLOOKUP(A13,#REF!,3,FALSE))</f>
        <v>#REF!</v>
      </c>
      <c r="F13" s="304" t="e">
        <f>IF(ISNA(VLOOKUP(A13,#REF!,4,FALSE)),"0",VLOOKUP(A13,#REF!,4,FALSE))</f>
        <v>#REF!</v>
      </c>
      <c r="G13" s="25" t="e">
        <f t="shared" si="1"/>
        <v>#REF!</v>
      </c>
      <c r="H13" s="1">
        <f>IF(ISNA(VLOOKUP(A13,Program_Review_Data!A3:E67,2,FALSE)),"0",VLOOKUP(A13,Program_Review_Data!A3:E67,2,FALSE))</f>
        <v>1458</v>
      </c>
      <c r="I13" s="1">
        <f>IF(ISNA(VLOOKUP($A13,Program_Review_Data!A3:F67,3,FALSE)),"0",VLOOKUP($A13,Program_Review_Data!A3:F67,3,FALSE))</f>
        <v>653</v>
      </c>
      <c r="J13" s="25">
        <f t="shared" si="2"/>
        <v>0.44787379972565156</v>
      </c>
      <c r="K13" s="1">
        <f>IF(ISNA(VLOOKUP($A13,Other_Data!A3:E67,2,FALSE)),"0",VLOOKUP($A13,Other_Data!A3:E67,2,FALSE))</f>
        <v>789</v>
      </c>
      <c r="L13" s="1">
        <f>IF(ISNA(VLOOKUP($A13,Other_Data!A3:E67,3,FALSE)),"0",VLOOKUP($A13,Other_Data!A3:E67,3,FALSE))</f>
        <v>619</v>
      </c>
      <c r="M13" s="25">
        <f t="shared" si="3"/>
        <v>0.7845373891001267</v>
      </c>
      <c r="N13" s="1">
        <f>IF(ISNA(VLOOKUP($A13,Burial_Data!$A$2:$C$65,2,FALSE)),"0",VLOOKUP($A13,Burial_Data!$A$2:$C$65,2,FALSE))</f>
        <v>0</v>
      </c>
      <c r="O13" s="304" t="str">
        <f>IF(ISNA(VLOOKUP($A13,Accrued_Data!$A$2:$D$64,3,FALSE)),"0",VLOOKUP($A13,Accrued_Data!$A$2:$D$64,3,FALSE))</f>
        <v>0</v>
      </c>
      <c r="P13" s="266">
        <v>4050</v>
      </c>
      <c r="Q13" s="259"/>
    </row>
    <row r="14" spans="1:17" ht="12" customHeight="1">
      <c r="A14" s="275" t="s">
        <v>231</v>
      </c>
      <c r="B14" s="265">
        <f>IF(ISNA(VLOOKUP(A14,Entitlement_Data!A$3:C$64,2,FALSE)),"0",VLOOKUP(A14,Entitlement_Data!A$3:C$64,2,FALSE))</f>
        <v>8189</v>
      </c>
      <c r="C14" s="265">
        <f>IF(ISNA(VLOOKUP(A14,Entitlement_Data!A$3:D$64,3,FALSE)),"0",VLOOKUP(A14,Entitlement_Data!A$3:D$64,3,FALSE))</f>
        <v>5091</v>
      </c>
      <c r="D14" s="25">
        <f t="shared" si="0"/>
        <v>0.6216876297472219</v>
      </c>
      <c r="E14" s="304" t="e">
        <f>IF(ISNA(VLOOKUP(A14,#REF!,3,FALSE)),"0",VLOOKUP(A14,#REF!,3,FALSE))</f>
        <v>#REF!</v>
      </c>
      <c r="F14" s="304" t="e">
        <f>IF(ISNA(VLOOKUP(A14,#REF!,4,FALSE)),"0",VLOOKUP(A14,#REF!,4,FALSE))</f>
        <v>#REF!</v>
      </c>
      <c r="G14" s="25" t="e">
        <f t="shared" si="1"/>
        <v>#REF!</v>
      </c>
      <c r="H14" s="1">
        <f>IF(ISNA(VLOOKUP(A14,Program_Review_Data!A4:E68,2,FALSE)),"0",VLOOKUP(A14,Program_Review_Data!A4:E68,2,FALSE))</f>
        <v>384</v>
      </c>
      <c r="I14" s="1">
        <f>IF(ISNA(VLOOKUP($A14,Program_Review_Data!A4:F68,3,FALSE)),"0",VLOOKUP($A14,Program_Review_Data!A4:F68,3,FALSE))</f>
        <v>122</v>
      </c>
      <c r="J14" s="25">
        <f t="shared" si="2"/>
        <v>0.3177083333333333</v>
      </c>
      <c r="K14" s="1">
        <f>IF(ISNA(VLOOKUP($A14,Other_Data!A4:E68,2,FALSE)),"0",VLOOKUP($A14,Other_Data!A4:E68,2,FALSE))</f>
        <v>652</v>
      </c>
      <c r="L14" s="1">
        <f>IF(ISNA(VLOOKUP($A14,Other_Data!A4:E68,3,FALSE)),"0",VLOOKUP($A14,Other_Data!A4:E68,3,FALSE))</f>
        <v>402</v>
      </c>
      <c r="M14" s="25">
        <f t="shared" si="3"/>
        <v>0.6165644171779141</v>
      </c>
      <c r="N14" s="1">
        <f>IF(ISNA(VLOOKUP($A14,Burial_Data!$A$2:$C$65,2,FALSE)),"0",VLOOKUP($A14,Burial_Data!$A$2:$C$65,2,FALSE))</f>
        <v>0</v>
      </c>
      <c r="O14" s="1">
        <f>IF(ISNA(VLOOKUP($A14,Accrued_Data!$A$2:$D$64,3,FALSE)),"0",VLOOKUP($A14,Accrued_Data!$A$2:$D$64,3,FALSE))</f>
        <v>1</v>
      </c>
      <c r="P14" s="266">
        <v>1144</v>
      </c>
      <c r="Q14" s="259"/>
    </row>
    <row r="15" spans="1:17" ht="12" customHeight="1">
      <c r="A15" s="275" t="s">
        <v>300</v>
      </c>
      <c r="B15" s="265">
        <f>IF(ISNA(VLOOKUP(A15,Entitlement_Data!A$3:C$64,2,FALSE)),"0",VLOOKUP(A15,Entitlement_Data!A$3:C$64,2,FALSE))</f>
        <v>24104</v>
      </c>
      <c r="C15" s="265">
        <f>IF(ISNA(VLOOKUP(A15,Entitlement_Data!A$3:D$64,3,FALSE)),"0",VLOOKUP(A15,Entitlement_Data!A$3:D$64,3,FALSE))</f>
        <v>17516</v>
      </c>
      <c r="D15" s="25">
        <f t="shared" si="0"/>
        <v>0.7266843677397943</v>
      </c>
      <c r="E15" s="304" t="e">
        <f>IF(ISNA(VLOOKUP(A15,#REF!,3,FALSE)),"0",VLOOKUP(A15,#REF!,3,FALSE))</f>
        <v>#REF!</v>
      </c>
      <c r="F15" s="304" t="e">
        <f>IF(ISNA(VLOOKUP(A15,#REF!,4,FALSE)),"0",VLOOKUP(A15,#REF!,4,FALSE))</f>
        <v>#REF!</v>
      </c>
      <c r="G15" s="25" t="e">
        <f t="shared" si="1"/>
        <v>#REF!</v>
      </c>
      <c r="H15" s="1">
        <f>IF(ISNA(VLOOKUP(A15,Program_Review_Data!A5:E69,2,FALSE)),"0",VLOOKUP(A15,Program_Review_Data!A5:E69,2,FALSE))</f>
        <v>2188</v>
      </c>
      <c r="I15" s="1">
        <f>IF(ISNA(VLOOKUP($A15,Program_Review_Data!A5:F69,3,FALSE)),"0",VLOOKUP($A15,Program_Review_Data!A5:F69,3,FALSE))</f>
        <v>1148</v>
      </c>
      <c r="J15" s="25">
        <f t="shared" si="2"/>
        <v>0.5246800731261426</v>
      </c>
      <c r="K15" s="1">
        <f>IF(ISNA(VLOOKUP($A15,Other_Data!A5:E69,2,FALSE)),"0",VLOOKUP($A15,Other_Data!A5:E69,2,FALSE))</f>
        <v>2276</v>
      </c>
      <c r="L15" s="1">
        <f>IF(ISNA(VLOOKUP($A15,Other_Data!A5:E69,3,FALSE)),"0",VLOOKUP($A15,Other_Data!A5:E69,3,FALSE))</f>
        <v>1415</v>
      </c>
      <c r="M15" s="25">
        <f t="shared" si="3"/>
        <v>0.6217047451669596</v>
      </c>
      <c r="N15" s="1">
        <f>IF(ISNA(VLOOKUP($A15,Burial_Data!$A$2:$C$65,2,FALSE)),"0",VLOOKUP($A15,Burial_Data!$A$2:$C$65,2,FALSE))</f>
        <v>11</v>
      </c>
      <c r="O15" s="1">
        <f>IF(ISNA(VLOOKUP($A15,Accrued_Data!$A$2:$D$64,3,FALSE)),"0",VLOOKUP($A15,Accrued_Data!$A$2:$D$64,3,FALSE))</f>
        <v>87</v>
      </c>
      <c r="P15" s="266">
        <v>8223</v>
      </c>
      <c r="Q15" s="259"/>
    </row>
    <row r="16" spans="1:17" ht="12" customHeight="1">
      <c r="A16" s="275" t="s">
        <v>304</v>
      </c>
      <c r="B16" s="265">
        <f>IF(ISNA(VLOOKUP(A16,Entitlement_Data!A$3:C$64,2,FALSE)),"0",VLOOKUP(A16,Entitlement_Data!A$3:C$64,2,FALSE))</f>
        <v>17164</v>
      </c>
      <c r="C16" s="265">
        <f>IF(ISNA(VLOOKUP(A16,Entitlement_Data!A$3:D$64,3,FALSE)),"0",VLOOKUP(A16,Entitlement_Data!A$3:D$64,3,FALSE))</f>
        <v>10359</v>
      </c>
      <c r="D16" s="25">
        <f t="shared" si="0"/>
        <v>0.6035306455371708</v>
      </c>
      <c r="E16" s="304" t="e">
        <f>IF(ISNA(VLOOKUP(A16,#REF!,3,FALSE)),"0",VLOOKUP(A16,#REF!,3,FALSE))</f>
        <v>#REF!</v>
      </c>
      <c r="F16" s="304" t="e">
        <f>IF(ISNA(VLOOKUP(A16,#REF!,4,FALSE)),"0",VLOOKUP(A16,#REF!,4,FALSE))</f>
        <v>#REF!</v>
      </c>
      <c r="G16" s="25" t="e">
        <f t="shared" si="1"/>
        <v>#REF!</v>
      </c>
      <c r="H16" s="1">
        <f>IF(ISNA(VLOOKUP(A16,Program_Review_Data!A6:E70,2,FALSE)),"0",VLOOKUP(A16,Program_Review_Data!A6:E70,2,FALSE))</f>
        <v>2017</v>
      </c>
      <c r="I16" s="1">
        <f>IF(ISNA(VLOOKUP($A16,Program_Review_Data!A6:F70,3,FALSE)),"0",VLOOKUP($A16,Program_Review_Data!A6:F70,3,FALSE))</f>
        <v>312</v>
      </c>
      <c r="J16" s="25">
        <f t="shared" si="2"/>
        <v>0.15468517600396628</v>
      </c>
      <c r="K16" s="1">
        <f>IF(ISNA(VLOOKUP($A16,Other_Data!A6:E70,2,FALSE)),"0",VLOOKUP($A16,Other_Data!A6:E70,2,FALSE))</f>
        <v>2501</v>
      </c>
      <c r="L16" s="1">
        <f>IF(ISNA(VLOOKUP($A16,Other_Data!A6:E70,3,FALSE)),"0",VLOOKUP($A16,Other_Data!A6:E70,3,FALSE))</f>
        <v>1773</v>
      </c>
      <c r="M16" s="25">
        <f t="shared" si="3"/>
        <v>0.7089164334266294</v>
      </c>
      <c r="N16" s="1">
        <f>IF(ISNA(VLOOKUP($A16,Burial_Data!$A$2:$C$65,2,FALSE)),"0",VLOOKUP($A16,Burial_Data!$A$2:$C$65,2,FALSE))</f>
        <v>5</v>
      </c>
      <c r="O16" s="1">
        <f>IF(ISNA(VLOOKUP($A16,Accrued_Data!$A$2:$D$64,3,FALSE)),"0",VLOOKUP($A16,Accrued_Data!$A$2:$D$64,3,FALSE))</f>
        <v>35</v>
      </c>
      <c r="P16" s="266">
        <v>5787</v>
      </c>
      <c r="Q16" s="259"/>
    </row>
    <row r="17" spans="1:17" ht="12" customHeight="1">
      <c r="A17" s="275" t="s">
        <v>307</v>
      </c>
      <c r="B17" s="265">
        <f>IF(ISNA(VLOOKUP(A17,Entitlement_Data!A$3:C$64,2,FALSE)),"0",VLOOKUP(A17,Entitlement_Data!A$3:C$64,2,FALSE))</f>
        <v>3008</v>
      </c>
      <c r="C17" s="265">
        <f>IF(ISNA(VLOOKUP(A17,Entitlement_Data!A$3:D$64,3,FALSE)),"0",VLOOKUP(A17,Entitlement_Data!A$3:D$64,3,FALSE))</f>
        <v>1420</v>
      </c>
      <c r="D17" s="25">
        <f t="shared" si="0"/>
        <v>0.4720744680851064</v>
      </c>
      <c r="E17" s="304" t="e">
        <f>IF(ISNA(VLOOKUP(A17,#REF!,3,FALSE)),"0",VLOOKUP(A17,#REF!,3,FALSE))</f>
        <v>#REF!</v>
      </c>
      <c r="F17" s="304" t="e">
        <f>IF(ISNA(VLOOKUP(A17,#REF!,4,FALSE)),"0",VLOOKUP(A17,#REF!,4,FALSE))</f>
        <v>#REF!</v>
      </c>
      <c r="G17" s="25" t="e">
        <f t="shared" si="1"/>
        <v>#REF!</v>
      </c>
      <c r="H17" s="1">
        <f>IF(ISNA(VLOOKUP(A17,Program_Review_Data!A7:E71,2,FALSE)),"0",VLOOKUP(A17,Program_Review_Data!A7:E71,2,FALSE))</f>
        <v>176</v>
      </c>
      <c r="I17" s="1">
        <f>IF(ISNA(VLOOKUP($A17,Program_Review_Data!A7:F71,3,FALSE)),"0",VLOOKUP($A17,Program_Review_Data!A7:F71,3,FALSE))</f>
        <v>6</v>
      </c>
      <c r="J17" s="25">
        <f t="shared" si="2"/>
        <v>0.03409090909090909</v>
      </c>
      <c r="K17" s="1">
        <f>IF(ISNA(VLOOKUP($A17,Other_Data!A7:E71,2,FALSE)),"0",VLOOKUP($A17,Other_Data!A7:E71,2,FALSE))</f>
        <v>138</v>
      </c>
      <c r="L17" s="1">
        <f>IF(ISNA(VLOOKUP($A17,Other_Data!A7:E71,3,FALSE)),"0",VLOOKUP($A17,Other_Data!A7:E71,3,FALSE))</f>
        <v>85</v>
      </c>
      <c r="M17" s="25">
        <f t="shared" si="3"/>
        <v>0.6159420289855072</v>
      </c>
      <c r="N17" s="1">
        <f>IF(ISNA(VLOOKUP($A17,Burial_Data!$A$2:$C$65,2,FALSE)),"0",VLOOKUP($A17,Burial_Data!$A$2:$C$65,2,FALSE))</f>
        <v>0</v>
      </c>
      <c r="O17" s="1" t="str">
        <f>IF(ISNA(VLOOKUP($A17,Accrued_Data!$A$2:$D$64,3,FALSE)),"0",VLOOKUP($A17,Accrued_Data!$A$2:$D$64,3,FALSE))</f>
        <v>0</v>
      </c>
      <c r="P17" s="266">
        <v>781</v>
      </c>
      <c r="Q17" s="259"/>
    </row>
    <row r="18" spans="1:17" ht="12" customHeight="1">
      <c r="A18" t="s">
        <v>311</v>
      </c>
      <c r="B18" s="265">
        <f>IF(ISNA(VLOOKUP(A18,Entitlement_Data!A$3:C$64,2,FALSE)),"0",VLOOKUP(A18,Entitlement_Data!A$3:C$64,2,FALSE))</f>
        <v>18741</v>
      </c>
      <c r="C18" s="265">
        <f>IF(ISNA(VLOOKUP(A18,Entitlement_Data!A$3:D$64,3,FALSE)),"0",VLOOKUP(A18,Entitlement_Data!A$3:D$64,3,FALSE))</f>
        <v>14722</v>
      </c>
      <c r="D18" s="25">
        <f t="shared" si="0"/>
        <v>0.7855503975241449</v>
      </c>
      <c r="E18" s="304" t="e">
        <f>IF(ISNA(VLOOKUP(A18,#REF!,3,FALSE)),"0",VLOOKUP(A18,#REF!,3,FALSE))</f>
        <v>#REF!</v>
      </c>
      <c r="F18" s="304" t="e">
        <f>IF(ISNA(VLOOKUP(A18,#REF!,4,FALSE)),"0",VLOOKUP(A18,#REF!,4,FALSE))</f>
        <v>#REF!</v>
      </c>
      <c r="G18" s="25" t="e">
        <f t="shared" si="1"/>
        <v>#REF!</v>
      </c>
      <c r="H18" s="1">
        <f>IF(ISNA(VLOOKUP(A18,Program_Review_Data!A8:E72,2,FALSE)),"0",VLOOKUP(A18,Program_Review_Data!A8:E72,2,FALSE))</f>
        <v>677</v>
      </c>
      <c r="I18" s="1">
        <f>IF(ISNA(VLOOKUP($A18,Program_Review_Data!A8:F72,3,FALSE)),"0",VLOOKUP($A18,Program_Review_Data!A8:F72,3,FALSE))</f>
        <v>370</v>
      </c>
      <c r="J18" s="25">
        <f t="shared" si="2"/>
        <v>0.5465288035450517</v>
      </c>
      <c r="K18" s="1">
        <f>IF(ISNA(VLOOKUP($A18,Other_Data!A8:E72,2,FALSE)),"0",VLOOKUP($A18,Other_Data!A8:E72,2,FALSE))</f>
        <v>1841</v>
      </c>
      <c r="L18" s="1">
        <f>IF(ISNA(VLOOKUP($A18,Other_Data!A8:E72,3,FALSE)),"0",VLOOKUP($A18,Other_Data!A8:E72,3,FALSE))</f>
        <v>1448</v>
      </c>
      <c r="M18" s="25">
        <f t="shared" si="3"/>
        <v>0.7865290602933188</v>
      </c>
      <c r="N18" s="1">
        <f>IF(ISNA(VLOOKUP($A18,Burial_Data!$A$2:$C$65,2,FALSE)),"0",VLOOKUP($A18,Burial_Data!$A$2:$C$65,2,FALSE))</f>
        <v>8</v>
      </c>
      <c r="O18" s="1">
        <f>IF(ISNA(VLOOKUP($A18,Accrued_Data!$A$2:$D$64,3,FALSE)),"0",VLOOKUP($A18,Accrued_Data!$A$2:$D$64,3,FALSE))</f>
        <v>69</v>
      </c>
      <c r="P18" s="266">
        <v>4610</v>
      </c>
      <c r="Q18" s="259"/>
    </row>
    <row r="19" spans="1:17" ht="12" customHeight="1">
      <c r="A19" t="s">
        <v>317</v>
      </c>
      <c r="B19" s="265">
        <f>IF(ISNA(VLOOKUP(A19,Entitlement_Data!A$3:C$64,2,FALSE)),"0",VLOOKUP(A19,Entitlement_Data!A$3:C$64,2,FALSE))</f>
        <v>2166</v>
      </c>
      <c r="C19" s="265">
        <f>IF(ISNA(VLOOKUP(A19,Entitlement_Data!A$3:D$64,3,FALSE)),"0",VLOOKUP(A19,Entitlement_Data!A$3:D$64,3,FALSE))</f>
        <v>1433</v>
      </c>
      <c r="D19" s="25">
        <f t="shared" si="0"/>
        <v>0.6615881809787627</v>
      </c>
      <c r="E19" s="304" t="e">
        <f>IF(ISNA(VLOOKUP(A19,#REF!,3,FALSE)),"0",VLOOKUP(A19,#REF!,3,FALSE))</f>
        <v>#REF!</v>
      </c>
      <c r="F19" s="304" t="e">
        <f>IF(ISNA(VLOOKUP(A19,#REF!,4,FALSE)),"0",VLOOKUP(A19,#REF!,4,FALSE))</f>
        <v>#REF!</v>
      </c>
      <c r="G19" s="25" t="e">
        <f t="shared" si="1"/>
        <v>#REF!</v>
      </c>
      <c r="H19" s="1">
        <f>IF(ISNA(VLOOKUP(A19,Program_Review_Data!A9:E73,2,FALSE)),"0",VLOOKUP(A19,Program_Review_Data!A9:E73,2,FALSE))</f>
        <v>226</v>
      </c>
      <c r="I19" s="1">
        <f>IF(ISNA(VLOOKUP($A19,Program_Review_Data!A9:F73,3,FALSE)),"0",VLOOKUP($A19,Program_Review_Data!A9:F73,3,FALSE))</f>
        <v>70</v>
      </c>
      <c r="J19" s="25">
        <f t="shared" si="2"/>
        <v>0.30973451327433627</v>
      </c>
      <c r="K19" s="1">
        <f>IF(ISNA(VLOOKUP($A19,Other_Data!A9:E73,2,FALSE)),"0",VLOOKUP($A19,Other_Data!A9:E73,2,FALSE))</f>
        <v>172</v>
      </c>
      <c r="L19" s="1">
        <f>IF(ISNA(VLOOKUP($A19,Other_Data!A9:E73,3,FALSE)),"0",VLOOKUP($A19,Other_Data!A9:E73,3,FALSE))</f>
        <v>111</v>
      </c>
      <c r="M19" s="25">
        <f t="shared" si="3"/>
        <v>0.6453488372093024</v>
      </c>
      <c r="N19" s="1">
        <f>IF(ISNA(VLOOKUP($A19,Burial_Data!$A$2:$C$65,2,FALSE)),"0",VLOOKUP($A19,Burial_Data!$A$2:$C$65,2,FALSE))</f>
        <v>1</v>
      </c>
      <c r="O19" s="304" t="str">
        <f>IF(ISNA(VLOOKUP($A19,Accrued_Data!$A$2:$D$64,3,FALSE)),"0",VLOOKUP($A19,Accrued_Data!$A$2:$D$64,3,FALSE))</f>
        <v>0</v>
      </c>
      <c r="P19" s="266">
        <v>732</v>
      </c>
      <c r="Q19" s="259"/>
    </row>
    <row r="20" spans="1:17" ht="12" customHeight="1">
      <c r="A20" t="s">
        <v>323</v>
      </c>
      <c r="B20" s="265">
        <f>IF(ISNA(VLOOKUP(A20,Entitlement_Data!A$3:C$64,2,FALSE)),"0",VLOOKUP(A20,Entitlement_Data!A$3:C$64,2,FALSE))</f>
        <v>12779</v>
      </c>
      <c r="C20" s="265">
        <f>IF(ISNA(VLOOKUP(A20,Entitlement_Data!A$3:D$64,3,FALSE)),"0",VLOOKUP(A20,Entitlement_Data!A$3:D$64,3,FALSE))</f>
        <v>10133</v>
      </c>
      <c r="D20" s="25">
        <f t="shared" si="0"/>
        <v>0.7929415447218092</v>
      </c>
      <c r="E20" s="304" t="e">
        <f>IF(ISNA(VLOOKUP(A20,#REF!,3,FALSE)),"0",VLOOKUP(A20,#REF!,3,FALSE))</f>
        <v>#REF!</v>
      </c>
      <c r="F20" s="304" t="e">
        <f>IF(ISNA(VLOOKUP(A20,#REF!,4,FALSE)),"0",VLOOKUP(A20,#REF!,4,FALSE))</f>
        <v>#REF!</v>
      </c>
      <c r="G20" s="25" t="e">
        <f t="shared" si="1"/>
        <v>#REF!</v>
      </c>
      <c r="H20" s="1">
        <f>IF(ISNA(VLOOKUP(A20,Program_Review_Data!A10:E74,2,FALSE)),"0",VLOOKUP(A20,Program_Review_Data!A10:E74,2,FALSE))</f>
        <v>873</v>
      </c>
      <c r="I20" s="1">
        <f>IF(ISNA(VLOOKUP($A20,Program_Review_Data!A10:F74,3,FALSE)),"0",VLOOKUP($A20,Program_Review_Data!A10:F74,3,FALSE))</f>
        <v>269</v>
      </c>
      <c r="J20" s="25">
        <f t="shared" si="2"/>
        <v>0.30813287514318444</v>
      </c>
      <c r="K20" s="1">
        <f>IF(ISNA(VLOOKUP($A20,Other_Data!A10:E74,2,FALSE)),"0",VLOOKUP($A20,Other_Data!A10:E74,2,FALSE))</f>
        <v>733</v>
      </c>
      <c r="L20" s="1">
        <f>IF(ISNA(VLOOKUP($A20,Other_Data!A10:E74,3,FALSE)),"0",VLOOKUP($A20,Other_Data!A10:E74,3,FALSE))</f>
        <v>592</v>
      </c>
      <c r="M20" s="25">
        <f t="shared" si="3"/>
        <v>0.8076398362892224</v>
      </c>
      <c r="N20" s="1">
        <f>IF(ISNA(VLOOKUP($A20,Burial_Data!$A$2:$C$65,2,FALSE)),"0",VLOOKUP($A20,Burial_Data!$A$2:$C$65,2,FALSE))</f>
        <v>3</v>
      </c>
      <c r="O20" s="304">
        <f>IF(ISNA(VLOOKUP($A20,Accrued_Data!$A$2:$D$64,3,FALSE)),"0",VLOOKUP($A20,Accrued_Data!$A$2:$D$64,3,FALSE))</f>
        <v>2</v>
      </c>
      <c r="P20" s="266">
        <v>3922</v>
      </c>
      <c r="Q20" s="259"/>
    </row>
    <row r="21" spans="1:17" ht="12" customHeight="1">
      <c r="A21" t="s">
        <v>324</v>
      </c>
      <c r="B21" s="265">
        <f>IF(ISNA(VLOOKUP(A21,Entitlement_Data!A$3:C$64,2,FALSE)),"0",VLOOKUP(A21,Entitlement_Data!A$3:C$64,2,FALSE))</f>
        <v>4193</v>
      </c>
      <c r="C21" s="265">
        <f>IF(ISNA(VLOOKUP(A21,Entitlement_Data!A$3:D$64,3,FALSE)),"0",VLOOKUP(A21,Entitlement_Data!A$3:D$64,3,FALSE))</f>
        <v>2399</v>
      </c>
      <c r="D21" s="25">
        <f t="shared" si="0"/>
        <v>0.572144049606487</v>
      </c>
      <c r="E21" s="304" t="e">
        <f>IF(ISNA(VLOOKUP(A21,#REF!,3,FALSE)),"0",VLOOKUP(A21,#REF!,3,FALSE))</f>
        <v>#REF!</v>
      </c>
      <c r="F21" s="304" t="e">
        <f>IF(ISNA(VLOOKUP(A21,#REF!,4,FALSE)),"0",VLOOKUP(A21,#REF!,4,FALSE))</f>
        <v>#REF!</v>
      </c>
      <c r="G21" s="25" t="e">
        <f t="shared" si="1"/>
        <v>#REF!</v>
      </c>
      <c r="H21" s="1">
        <f>IF(ISNA(VLOOKUP(A21,Program_Review_Data!A11:E75,2,FALSE)),"0",VLOOKUP(A21,Program_Review_Data!A11:E75,2,FALSE))</f>
        <v>954</v>
      </c>
      <c r="I21" s="1">
        <f>IF(ISNA(VLOOKUP($A21,Program_Review_Data!A11:F75,3,FALSE)),"0",VLOOKUP($A21,Program_Review_Data!A11:F75,3,FALSE))</f>
        <v>42</v>
      </c>
      <c r="J21" s="25">
        <f t="shared" si="2"/>
        <v>0.0440251572327044</v>
      </c>
      <c r="K21" s="1">
        <f>IF(ISNA(VLOOKUP($A21,Other_Data!A11:E75,2,FALSE)),"0",VLOOKUP($A21,Other_Data!A11:E75,2,FALSE))</f>
        <v>553</v>
      </c>
      <c r="L21" s="1">
        <f>IF(ISNA(VLOOKUP($A21,Other_Data!A11:E75,3,FALSE)),"0",VLOOKUP($A21,Other_Data!A11:E75,3,FALSE))</f>
        <v>280</v>
      </c>
      <c r="M21" s="25">
        <f t="shared" si="3"/>
        <v>0.5063291139240507</v>
      </c>
      <c r="N21" s="1">
        <f>IF(ISNA(VLOOKUP($A21,Burial_Data!$A$2:$C$65,2,FALSE)),"0",VLOOKUP($A21,Burial_Data!$A$2:$C$65,2,FALSE))</f>
        <v>0</v>
      </c>
      <c r="O21" s="1">
        <f>IF(ISNA(VLOOKUP($A21,Accrued_Data!$A$2:$D$64,3,FALSE)),"0",VLOOKUP($A21,Accrued_Data!$A$2:$D$64,3,FALSE))</f>
        <v>1</v>
      </c>
      <c r="P21" s="266">
        <v>2169</v>
      </c>
      <c r="Q21" s="259"/>
    </row>
    <row r="22" spans="1:17" ht="12" customHeight="1">
      <c r="A22" s="276" t="s">
        <v>326</v>
      </c>
      <c r="B22" s="280">
        <f>IF(ISNA(VLOOKUP(A22,Entitlement_Data!A$3:C$64,2,FALSE)),"0",VLOOKUP(A22,Entitlement_Data!A$3:C$64,2,FALSE))</f>
        <v>23591</v>
      </c>
      <c r="C22" s="280">
        <f>IF(ISNA(VLOOKUP(A22,Entitlement_Data!A$3:D$64,3,FALSE)),"0",VLOOKUP(A22,Entitlement_Data!A$3:D$64,3,FALSE))</f>
        <v>15393</v>
      </c>
      <c r="D22" s="34">
        <f t="shared" si="0"/>
        <v>0.6524945953965495</v>
      </c>
      <c r="E22" s="280" t="e">
        <f>Award_Formulas!L2-Award_Formulas!O2</f>
        <v>#REF!</v>
      </c>
      <c r="F22" s="35" t="e">
        <f>Award_Formulas!L5-Award_Formulas!R2</f>
        <v>#REF!</v>
      </c>
      <c r="G22" s="34" t="e">
        <f t="shared" si="1"/>
        <v>#REF!</v>
      </c>
      <c r="H22" s="35">
        <f>IF(ISNA(VLOOKUP(A22,Program_Review_Data!A12:E76,2,FALSE)),"0",VLOOKUP(A22,Program_Review_Data!A12:E76,2,FALSE))</f>
        <v>6195</v>
      </c>
      <c r="I22" s="35">
        <f>IF(ISNA(VLOOKUP($A22,Program_Review_Data!A12:F76,3,FALSE)),"0",VLOOKUP($A22,Program_Review_Data!A12:F76,3,FALSE))</f>
        <v>2992</v>
      </c>
      <c r="J22" s="34">
        <f t="shared" si="2"/>
        <v>0.4829701372074253</v>
      </c>
      <c r="K22" s="35">
        <f>IF(ISNA(VLOOKUP($A22,Other_Data!A12:E76,2,FALSE)),"0",VLOOKUP($A22,Other_Data!A12:E76,2,FALSE))</f>
        <v>3660</v>
      </c>
      <c r="L22" s="35">
        <f>IF(ISNA(VLOOKUP($A22,Other_Data!A12:E76,3,FALSE)),"0",VLOOKUP($A22,Other_Data!A12:E76,3,FALSE))</f>
        <v>2693</v>
      </c>
      <c r="M22" s="34">
        <f t="shared" si="3"/>
        <v>0.735792349726776</v>
      </c>
      <c r="N22" s="35">
        <f>IF(ISNA(VLOOKUP($A22,Burial_Data!$A$2:$C$65,2,FALSE)),"0",VLOOKUP($A22,Burial_Data!$A$2:$C$65,2,FALSE))</f>
        <v>16738</v>
      </c>
      <c r="O22" s="171" t="s">
        <v>3</v>
      </c>
      <c r="P22" s="334">
        <v>3126</v>
      </c>
      <c r="Q22" s="259"/>
    </row>
    <row r="23" spans="1:17" ht="12" customHeight="1">
      <c r="A23" t="s">
        <v>328</v>
      </c>
      <c r="B23" s="265">
        <f>IF(ISNA(VLOOKUP(A23,Entitlement_Data!A$3:C$64,2,FALSE)),"0",VLOOKUP(A23,Entitlement_Data!A$3:C$64,2,FALSE))</f>
        <v>11529</v>
      </c>
      <c r="C23" s="265">
        <f>IF(ISNA(VLOOKUP(A23,Entitlement_Data!A$3:D$64,3,FALSE)),"0",VLOOKUP(A23,Entitlement_Data!A$3:D$64,3,FALSE))</f>
        <v>8586</v>
      </c>
      <c r="D23" s="25">
        <f t="shared" si="0"/>
        <v>0.7447306791569087</v>
      </c>
      <c r="E23" s="304" t="e">
        <f>IF(ISNA(VLOOKUP(A23,#REF!,3,FALSE)),"0",VLOOKUP(A23,#REF!,3,FALSE))</f>
        <v>#REF!</v>
      </c>
      <c r="F23" s="304" t="e">
        <f>IF(ISNA(VLOOKUP(A23,#REF!,4,FALSE)),"0",VLOOKUP(A23,#REF!,4,FALSE))</f>
        <v>#REF!</v>
      </c>
      <c r="G23" s="25" t="e">
        <f t="shared" si="1"/>
        <v>#REF!</v>
      </c>
      <c r="H23" s="1">
        <f>IF(ISNA(VLOOKUP(A23,Program_Review_Data!A13:E77,2,FALSE)),"0",VLOOKUP(A23,Program_Review_Data!A13:E77,2,FALSE))</f>
        <v>805</v>
      </c>
      <c r="I23" s="1">
        <f>IF(ISNA(VLOOKUP($A23,Program_Review_Data!A13:F77,3,FALSE)),"0",VLOOKUP($A23,Program_Review_Data!A13:F77,3,FALSE))</f>
        <v>434</v>
      </c>
      <c r="J23" s="25">
        <f t="shared" si="2"/>
        <v>0.5391304347826087</v>
      </c>
      <c r="K23" s="242">
        <f>IF(ISNA(VLOOKUP($A23,Other_Data!A13:E77,2,FALSE)),"0",VLOOKUP($A23,Other_Data!A13:E77,2,FALSE))</f>
        <v>1023</v>
      </c>
      <c r="L23" s="1">
        <f>IF(ISNA(VLOOKUP($A23,Other_Data!A13:E77,3,FALSE)),"0",VLOOKUP($A23,Other_Data!A13:E77,3,FALSE))</f>
        <v>695</v>
      </c>
      <c r="M23" s="25">
        <f t="shared" si="3"/>
        <v>0.6793743890518084</v>
      </c>
      <c r="N23" s="1">
        <f>IF(ISNA(VLOOKUP($A23,Burial_Data!$A$2:$C$65,2,FALSE)),"0",VLOOKUP($A23,Burial_Data!$A$2:$C$65,2,FALSE))</f>
        <v>2</v>
      </c>
      <c r="O23" s="1" t="str">
        <f>IF(ISNA(VLOOKUP($A23,Accrued_Data!$A$2:$D$64,3,FALSE)),"0",VLOOKUP($A23,Accrued_Data!$A$2:$D$64,3,FALSE))</f>
        <v>0</v>
      </c>
      <c r="P23" s="266">
        <v>2821</v>
      </c>
      <c r="Q23" s="259"/>
    </row>
    <row r="24" spans="1:17" ht="12" customHeight="1">
      <c r="A24" t="s">
        <v>330</v>
      </c>
      <c r="B24" s="265">
        <f>IF(ISNA(VLOOKUP(A24,Entitlement_Data!A$3:C$64,2,FALSE)),"0",VLOOKUP(A24,Entitlement_Data!A$3:C$64,2,FALSE))</f>
        <v>4303</v>
      </c>
      <c r="C24" s="265">
        <f>IF(ISNA(VLOOKUP(A24,Entitlement_Data!A$3:D$64,3,FALSE)),"0",VLOOKUP(A24,Entitlement_Data!A$3:D$64,3,FALSE))</f>
        <v>1718</v>
      </c>
      <c r="D24" s="25">
        <f t="shared" si="0"/>
        <v>0.399256332791076</v>
      </c>
      <c r="E24" s="304" t="e">
        <f>IF(ISNA(VLOOKUP(A24,#REF!,3,FALSE)),"0",VLOOKUP(A24,#REF!,3,FALSE))</f>
        <v>#REF!</v>
      </c>
      <c r="F24" s="304" t="e">
        <f>IF(ISNA(VLOOKUP(A24,#REF!,4,FALSE)),"0",VLOOKUP(A24,#REF!,4,FALSE))</f>
        <v>#REF!</v>
      </c>
      <c r="G24" s="25" t="e">
        <f t="shared" si="1"/>
        <v>#REF!</v>
      </c>
      <c r="H24" s="1">
        <f>IF(ISNA(VLOOKUP(A24,Program_Review_Data!A14:E78,2,FALSE)),"0",VLOOKUP(A24,Program_Review_Data!A14:E78,2,FALSE))</f>
        <v>282</v>
      </c>
      <c r="I24" s="1">
        <f>IF(ISNA(VLOOKUP($A24,Program_Review_Data!A14:F78,3,FALSE)),"0",VLOOKUP($A24,Program_Review_Data!A14:F78,3,FALSE))</f>
        <v>201</v>
      </c>
      <c r="J24" s="25">
        <f t="shared" si="2"/>
        <v>0.7127659574468085</v>
      </c>
      <c r="K24" s="242">
        <f>IF(ISNA(VLOOKUP($A24,Other_Data!A14:E78,2,FALSE)),"0",VLOOKUP($A24,Other_Data!A14:E78,2,FALSE))</f>
        <v>210</v>
      </c>
      <c r="L24" s="1">
        <f>IF(ISNA(VLOOKUP($A24,Other_Data!A14:E78,3,FALSE)),"0",VLOOKUP($A24,Other_Data!A14:E78,3,FALSE))</f>
        <v>148</v>
      </c>
      <c r="M24" s="25">
        <f t="shared" si="3"/>
        <v>0.7047619047619048</v>
      </c>
      <c r="N24" s="1">
        <f>IF(ISNA(VLOOKUP($A24,Burial_Data!$A$2:$C$65,2,FALSE)),"0",VLOOKUP($A24,Burial_Data!$A$2:$C$65,2,FALSE))</f>
        <v>0</v>
      </c>
      <c r="O24" s="304">
        <f>IF(ISNA(VLOOKUP($A24,Accrued_Data!$A$2:$D$64,3,FALSE)),"0",VLOOKUP($A24,Accrued_Data!$A$2:$D$64,3,FALSE))</f>
        <v>1</v>
      </c>
      <c r="P24" s="266">
        <v>931</v>
      </c>
      <c r="Q24" s="259"/>
    </row>
    <row r="25" spans="1:17" ht="12" customHeight="1">
      <c r="A25" t="s">
        <v>341</v>
      </c>
      <c r="B25" s="265">
        <f>IF(ISNA(VLOOKUP(A25,Entitlement_Data!A$3:C$64,2,FALSE)),"0",VLOOKUP(A25,Entitlement_Data!A$3:C$64,2,FALSE))</f>
        <v>2949</v>
      </c>
      <c r="C25" s="265">
        <f>IF(ISNA(VLOOKUP(A25,Entitlement_Data!A$3:D$64,3,FALSE)),"0",VLOOKUP(A25,Entitlement_Data!A$3:D$64,3,FALSE))</f>
        <v>959</v>
      </c>
      <c r="D25" s="25">
        <f t="shared" si="0"/>
        <v>0.32519498134961006</v>
      </c>
      <c r="E25" s="304" t="e">
        <f>IF(ISNA(VLOOKUP(A25,#REF!,3,FALSE)),"0",VLOOKUP(A25,#REF!,3,FALSE))</f>
        <v>#REF!</v>
      </c>
      <c r="F25" s="304" t="e">
        <f>IF(ISNA(VLOOKUP(A25,#REF!,4,FALSE)),"0",VLOOKUP(A25,#REF!,4,FALSE))</f>
        <v>#REF!</v>
      </c>
      <c r="G25" s="25" t="e">
        <f t="shared" si="1"/>
        <v>#REF!</v>
      </c>
      <c r="H25" s="1">
        <f>IF(ISNA(VLOOKUP(A25,Program_Review_Data!A15:E79,2,FALSE)),"0",VLOOKUP(A25,Program_Review_Data!A15:E79,2,FALSE))</f>
        <v>839</v>
      </c>
      <c r="I25" s="1">
        <f>IF(ISNA(VLOOKUP($A25,Program_Review_Data!A15:F79,3,FALSE)),"0",VLOOKUP($A25,Program_Review_Data!A15:F79,3,FALSE))</f>
        <v>412</v>
      </c>
      <c r="J25" s="25">
        <f t="shared" si="2"/>
        <v>0.49106078665077474</v>
      </c>
      <c r="K25" s="242">
        <f>IF(ISNA(VLOOKUP($A25,Other_Data!A15:E79,2,FALSE)),"0",VLOOKUP($A25,Other_Data!A15:E79,2,FALSE))</f>
        <v>166</v>
      </c>
      <c r="L25" s="1">
        <f>IF(ISNA(VLOOKUP($A25,Other_Data!A15:E79,3,FALSE)),"0",VLOOKUP($A25,Other_Data!A15:E79,3,FALSE))</f>
        <v>107</v>
      </c>
      <c r="M25" s="25">
        <f t="shared" si="3"/>
        <v>0.6445783132530121</v>
      </c>
      <c r="N25" s="1">
        <f>IF(ISNA(VLOOKUP($A25,Burial_Data!$A$2:$C$65,2,FALSE)),"0",VLOOKUP($A25,Burial_Data!$A$2:$C$65,2,FALSE))</f>
        <v>0</v>
      </c>
      <c r="O25" s="304" t="str">
        <f>IF(ISNA(VLOOKUP($A25,Accrued_Data!$A$2:$D$64,3,FALSE)),"0",VLOOKUP($A25,Accrued_Data!$A$2:$D$64,3,FALSE))</f>
        <v>0</v>
      </c>
      <c r="P25" s="266">
        <v>532</v>
      </c>
      <c r="Q25" s="259"/>
    </row>
    <row r="26" spans="1:17" ht="12" customHeight="1">
      <c r="A26" t="s">
        <v>345</v>
      </c>
      <c r="B26" s="265">
        <f>IF(ISNA(VLOOKUP(A26,Entitlement_Data!A$3:C$64,2,FALSE)),"0",VLOOKUP(A26,Entitlement_Data!A$3:C$64,2,FALSE))</f>
        <v>970</v>
      </c>
      <c r="C26" s="265">
        <f>IF(ISNA(VLOOKUP(A26,Entitlement_Data!A$3:D$64,3,FALSE)),"0",VLOOKUP(A26,Entitlement_Data!A$3:D$64,3,FALSE))</f>
        <v>598</v>
      </c>
      <c r="D26" s="25">
        <f t="shared" si="0"/>
        <v>0.6164948453608248</v>
      </c>
      <c r="E26" s="304" t="e">
        <f>IF(ISNA(VLOOKUP(A26,#REF!,3,FALSE)),"0",VLOOKUP(A26,#REF!,3,FALSE))</f>
        <v>#REF!</v>
      </c>
      <c r="F26" s="304" t="e">
        <f>IF(ISNA(VLOOKUP(A26,#REF!,4,FALSE)),"0",VLOOKUP(A26,#REF!,4,FALSE))</f>
        <v>#REF!</v>
      </c>
      <c r="G26" s="25" t="e">
        <f t="shared" si="1"/>
        <v>#REF!</v>
      </c>
      <c r="H26" s="1">
        <f>IF(ISNA(VLOOKUP(A26,Program_Review_Data!A16:E80,2,FALSE)),"0",VLOOKUP(A26,Program_Review_Data!A16:E80,2,FALSE))</f>
        <v>92</v>
      </c>
      <c r="I26" s="1">
        <f>IF(ISNA(VLOOKUP($A26,Program_Review_Data!A16:F80,3,FALSE)),"0",VLOOKUP($A26,Program_Review_Data!A16:F80,3,FALSE))</f>
        <v>29</v>
      </c>
      <c r="J26" s="25">
        <f t="shared" si="2"/>
        <v>0.31521739130434784</v>
      </c>
      <c r="K26" s="242">
        <f>IF(ISNA(VLOOKUP($A26,Other_Data!A16:E80,2,FALSE)),"0",VLOOKUP($A26,Other_Data!A16:E80,2,FALSE))</f>
        <v>147</v>
      </c>
      <c r="L26" s="1">
        <f>IF(ISNA(VLOOKUP($A26,Other_Data!A16:E80,3,FALSE)),"0",VLOOKUP($A26,Other_Data!A16:E80,3,FALSE))</f>
        <v>102</v>
      </c>
      <c r="M26" s="25">
        <f t="shared" si="3"/>
        <v>0.6938775510204082</v>
      </c>
      <c r="N26" s="1">
        <f>IF(ISNA(VLOOKUP($A26,Burial_Data!$A$2:$C$65,2,FALSE)),"0",VLOOKUP($A26,Burial_Data!$A$2:$C$65,2,FALSE))</f>
        <v>0</v>
      </c>
      <c r="O26" s="304" t="str">
        <f>IF(ISNA(VLOOKUP($A26,Accrued_Data!$A$2:$D$64,3,FALSE)),"0",VLOOKUP($A26,Accrued_Data!$A$2:$D$64,3,FALSE))</f>
        <v>0</v>
      </c>
      <c r="P26" s="266">
        <v>339</v>
      </c>
      <c r="Q26" s="259"/>
    </row>
    <row r="27" spans="1:17" ht="12" customHeight="1">
      <c r="A27" s="279" t="s">
        <v>347</v>
      </c>
      <c r="B27" s="285">
        <f>IF(ISNA(VLOOKUP(A27,Entitlement_Data!A$3:C$64,2,FALSE)),"0",VLOOKUP(A27,Entitlement_Data!A$3:C$64,2,FALSE))</f>
        <v>1174</v>
      </c>
      <c r="C27" s="285">
        <f>IF(ISNA(VLOOKUP(A27,Entitlement_Data!A$3:D$64,3,FALSE)),"0",VLOOKUP(A27,Entitlement_Data!A$3:D$64,3,FALSE))</f>
        <v>578</v>
      </c>
      <c r="D27" s="32">
        <f t="shared" si="0"/>
        <v>0.49233390119250425</v>
      </c>
      <c r="E27" s="305" t="e">
        <f>IF(ISNA(VLOOKUP(A27,#REF!,3,FALSE)),"0",VLOOKUP(A27,#REF!,3,FALSE))</f>
        <v>#REF!</v>
      </c>
      <c r="F27" s="305" t="e">
        <f>IF(ISNA(VLOOKUP(A27,#REF!,4,FALSE)),"0",VLOOKUP(A27,#REF!,4,FALSE))</f>
        <v>#REF!</v>
      </c>
      <c r="G27" s="32" t="e">
        <f t="shared" si="1"/>
        <v>#REF!</v>
      </c>
      <c r="H27" s="33">
        <f>IF(ISNA(VLOOKUP(A27,Program_Review_Data!A17:E81,2,FALSE)),"0",VLOOKUP(A27,Program_Review_Data!A17:E81,2,FALSE))</f>
        <v>63</v>
      </c>
      <c r="I27" s="33">
        <f>IF(ISNA(VLOOKUP($A27,Program_Review_Data!A17:F81,3,FALSE)),"0",VLOOKUP($A27,Program_Review_Data!A17:F81,3,FALSE))</f>
        <v>4</v>
      </c>
      <c r="J27" s="32">
        <f t="shared" si="2"/>
        <v>0.06349206349206349</v>
      </c>
      <c r="K27" s="244">
        <f>IF(ISNA(VLOOKUP($A27,Other_Data!A17:E81,2,FALSE)),"0",VLOOKUP($A27,Other_Data!A17:E81,2,FALSE))</f>
        <v>233</v>
      </c>
      <c r="L27" s="33">
        <f>IF(ISNA(VLOOKUP($A27,Other_Data!A17:E81,3,FALSE)),"0",VLOOKUP($A27,Other_Data!A17:E81,3,FALSE))</f>
        <v>152</v>
      </c>
      <c r="M27" s="32">
        <f t="shared" si="3"/>
        <v>0.6523605150214592</v>
      </c>
      <c r="N27" s="33">
        <f>IF(ISNA(VLOOKUP($A27,Burial_Data!$A$2:$C$65,2,FALSE)),"0",VLOOKUP($A27,Burial_Data!$A$2:$C$65,2,FALSE))</f>
        <v>0</v>
      </c>
      <c r="O27" s="305" t="str">
        <f>IF(ISNA(VLOOKUP($A27,Accrued_Data!$A$2:$D$64,3,FALSE)),"0",VLOOKUP($A27,Accrued_Data!$A$2:$D$64,3,FALSE))</f>
        <v>0</v>
      </c>
      <c r="P27" s="268">
        <v>548</v>
      </c>
      <c r="Q27" s="259"/>
    </row>
    <row r="28" spans="1:17" ht="12" customHeight="1">
      <c r="A28" t="s">
        <v>232</v>
      </c>
      <c r="B28" s="265">
        <f>IF(ISNA(VLOOKUP(A28,Entitlement_Data!A$3:C$64,2,FALSE)),"0",VLOOKUP(A28,Entitlement_Data!A$3:C$64,2,FALSE))+2</f>
        <v>32247</v>
      </c>
      <c r="C28" s="265">
        <f>IF(ISNA(VLOOKUP(A28,Entitlement_Data!A$3:D$64,3,FALSE)),"0",VLOOKUP(A28,Entitlement_Data!A$3:D$64,3,FALSE))+1</f>
        <v>20831</v>
      </c>
      <c r="D28" s="25">
        <f t="shared" si="0"/>
        <v>0.6459825720222037</v>
      </c>
      <c r="E28" s="304" t="e">
        <f>IF(ISNA(VLOOKUP(A28,#REF!,3,FALSE)),"0",VLOOKUP(A28,#REF!,3,FALSE))</f>
        <v>#REF!</v>
      </c>
      <c r="F28" s="304" t="e">
        <f>IF(ISNA(VLOOKUP(A28,#REF!,4,FALSE)),"0",VLOOKUP(A28,#REF!,4,FALSE))</f>
        <v>#REF!</v>
      </c>
      <c r="G28" s="25" t="e">
        <f t="shared" si="1"/>
        <v>#REF!</v>
      </c>
      <c r="H28" s="1">
        <f>IF(ISNA(VLOOKUP(A28,Program_Review_Data!A18:E82,2,FALSE)),"0",VLOOKUP(A28,Program_Review_Data!A18:E82,2,FALSE))</f>
        <v>2098</v>
      </c>
      <c r="I28" s="1">
        <f>IF(ISNA(VLOOKUP($A28,Program_Review_Data!A18:F82,3,FALSE)),"0",VLOOKUP($A28,Program_Review_Data!A18:F82,3,FALSE))</f>
        <v>394</v>
      </c>
      <c r="J28" s="25">
        <f t="shared" si="2"/>
        <v>0.18779790276453764</v>
      </c>
      <c r="K28" s="242">
        <f>IF(ISNA(VLOOKUP($A28,Other_Data!A18:E82,2,FALSE)),"0",VLOOKUP($A28,Other_Data!A18:E82,2,FALSE))</f>
        <v>6522</v>
      </c>
      <c r="L28" s="1">
        <f>IF(ISNA(VLOOKUP($A28,Other_Data!A18:E82,3,FALSE)),"0",VLOOKUP($A28,Other_Data!A18:E82,3,FALSE))</f>
        <v>3292</v>
      </c>
      <c r="M28" s="25">
        <f t="shared" si="3"/>
        <v>0.504753143207605</v>
      </c>
      <c r="N28" s="1">
        <f>IF(ISNA(VLOOKUP($A28,Burial_Data!$A$2:$C$65,2,FALSE)),"0",VLOOKUP($A28,Burial_Data!$A$2:$C$65,2,FALSE))</f>
        <v>1</v>
      </c>
      <c r="O28" s="304">
        <f>IF(ISNA(VLOOKUP($A28,Accrued_Data!$A$2:$D$64,3,FALSE)),"0",VLOOKUP($A28,Accrued_Data!$A$2:$D$64,3,FALSE))</f>
        <v>1</v>
      </c>
      <c r="P28" s="266">
        <v>11912</v>
      </c>
      <c r="Q28" s="259"/>
    </row>
    <row r="29" spans="1:17" ht="12" customHeight="1">
      <c r="A29" t="s">
        <v>301</v>
      </c>
      <c r="B29" s="265">
        <f>IF(ISNA(VLOOKUP(A29,Entitlement_Data!A$3:C$64,2,FALSE)),"0",VLOOKUP(A29,Entitlement_Data!A$3:C$64,2,FALSE))</f>
        <v>24168</v>
      </c>
      <c r="C29" s="265">
        <f>IF(ISNA(VLOOKUP(A29,Entitlement_Data!A$3:D$64,3,FALSE)),"0",VLOOKUP(A29,Entitlement_Data!A$3:D$64,3,FALSE))</f>
        <v>16057</v>
      </c>
      <c r="D29" s="25">
        <f t="shared" si="0"/>
        <v>0.6643909301555776</v>
      </c>
      <c r="E29" s="304" t="e">
        <f>IF(ISNA(VLOOKUP(A29,#REF!,3,FALSE)),"0",VLOOKUP(A29,#REF!,3,FALSE))</f>
        <v>#REF!</v>
      </c>
      <c r="F29" s="304" t="e">
        <f>IF(ISNA(VLOOKUP(A29,#REF!,4,FALSE)),"0",VLOOKUP(A29,#REF!,4,FALSE))</f>
        <v>#REF!</v>
      </c>
      <c r="G29" s="25" t="e">
        <f t="shared" si="1"/>
        <v>#REF!</v>
      </c>
      <c r="H29" s="1">
        <f>IF(ISNA(VLOOKUP(A29,Program_Review_Data!A19:E83,2,FALSE)),"0",VLOOKUP(A29,Program_Review_Data!A19:E83,2,FALSE))</f>
        <v>857</v>
      </c>
      <c r="I29" s="1">
        <f>IF(ISNA(VLOOKUP($A29,Program_Review_Data!A19:F83,3,FALSE)),"0",VLOOKUP($A29,Program_Review_Data!A19:F83,3,FALSE))</f>
        <v>294</v>
      </c>
      <c r="J29" s="25">
        <f t="shared" si="2"/>
        <v>0.34305717619603265</v>
      </c>
      <c r="K29" s="242">
        <f>IF(ISNA(VLOOKUP($A29,Other_Data!A19:E83,2,FALSE)),"0",VLOOKUP($A29,Other_Data!A19:E83,2,FALSE))</f>
        <v>959</v>
      </c>
      <c r="L29" s="1">
        <f>IF(ISNA(VLOOKUP($A29,Other_Data!A19:E83,3,FALSE)),"0",VLOOKUP($A29,Other_Data!A19:E83,3,FALSE))</f>
        <v>734</v>
      </c>
      <c r="M29" s="25">
        <f t="shared" si="3"/>
        <v>0.7653806047966631</v>
      </c>
      <c r="N29" s="1">
        <f>IF(ISNA(VLOOKUP($A29,Burial_Data!$A$2:$C$65,2,FALSE)),"0",VLOOKUP($A29,Burial_Data!$A$2:$C$65,2,FALSE))</f>
        <v>4</v>
      </c>
      <c r="O29" s="304">
        <f>IF(ISNA(VLOOKUP($A29,Accrued_Data!$A$2:$D$64,3,FALSE)),"0",VLOOKUP($A29,Accrued_Data!$A$2:$D$64,3,FALSE))</f>
        <v>9</v>
      </c>
      <c r="P29" s="266">
        <v>6209</v>
      </c>
      <c r="Q29" s="259"/>
    </row>
    <row r="30" spans="1:17" ht="12" customHeight="1">
      <c r="A30" t="s">
        <v>310</v>
      </c>
      <c r="B30" s="265">
        <f>IF(ISNA(VLOOKUP(A30,Entitlement_Data!A$3:C$64,2,FALSE)),"0",VLOOKUP(A30,Entitlement_Data!A$3:C$64,2,FALSE))</f>
        <v>10112</v>
      </c>
      <c r="C30" s="265">
        <f>IF(ISNA(VLOOKUP(A30,Entitlement_Data!A$3:D$64,3,FALSE)),"0",VLOOKUP(A30,Entitlement_Data!A$3:D$64,3,FALSE))</f>
        <v>6244</v>
      </c>
      <c r="D30" s="25">
        <f t="shared" si="0"/>
        <v>0.6174841772151899</v>
      </c>
      <c r="E30" s="304" t="e">
        <f>IF(ISNA(VLOOKUP(A30,#REF!,3,FALSE)),"0",VLOOKUP(A30,#REF!,3,FALSE))</f>
        <v>#REF!</v>
      </c>
      <c r="F30" s="304" t="e">
        <f>IF(ISNA(VLOOKUP(A30,#REF!,4,FALSE)),"0",VLOOKUP(A30,#REF!,4,FALSE))</f>
        <v>#REF!</v>
      </c>
      <c r="G30" s="25" t="e">
        <f t="shared" si="1"/>
        <v>#REF!</v>
      </c>
      <c r="H30" s="1">
        <f>IF(ISNA(VLOOKUP(A30,Program_Review_Data!A20:E84,2,FALSE)),"0",VLOOKUP(A30,Program_Review_Data!A20:E84,2,FALSE))</f>
        <v>271</v>
      </c>
      <c r="I30" s="1">
        <f>IF(ISNA(VLOOKUP($A30,Program_Review_Data!A20:F84,3,FALSE)),"0",VLOOKUP($A30,Program_Review_Data!A20:F84,3,FALSE))</f>
        <v>121</v>
      </c>
      <c r="J30" s="25">
        <f t="shared" si="2"/>
        <v>0.44649446494464945</v>
      </c>
      <c r="K30" s="242">
        <f>IF(ISNA(VLOOKUP($A30,Other_Data!A20:E84,2,FALSE)),"0",VLOOKUP($A30,Other_Data!A20:E84,2,FALSE))</f>
        <v>934</v>
      </c>
      <c r="L30" s="1">
        <f>IF(ISNA(VLOOKUP($A30,Other_Data!A20:E84,3,FALSE)),"0",VLOOKUP($A30,Other_Data!A20:E84,3,FALSE))</f>
        <v>342</v>
      </c>
      <c r="M30" s="25">
        <f t="shared" si="3"/>
        <v>0.36616702355460384</v>
      </c>
      <c r="N30" s="1">
        <f>IF(ISNA(VLOOKUP($A30,Burial_Data!$A$2:$C$65,2,FALSE)),"0",VLOOKUP($A30,Burial_Data!$A$2:$C$65,2,FALSE))</f>
        <v>1</v>
      </c>
      <c r="O30" s="304">
        <f>IF(ISNA(VLOOKUP($A30,Accrued_Data!$A$2:$D$64,3,FALSE)),"0",VLOOKUP($A30,Accrued_Data!$A$2:$D$64,3,FALSE))</f>
        <v>3</v>
      </c>
      <c r="P30" s="266">
        <v>3230</v>
      </c>
      <c r="Q30" s="259"/>
    </row>
    <row r="31" spans="1:17" ht="12" customHeight="1">
      <c r="A31" t="s">
        <v>312</v>
      </c>
      <c r="B31" s="265">
        <f>IF(ISNA(VLOOKUP(A31,Entitlement_Data!A$3:C$64,2,FALSE)),"0",VLOOKUP(A31,Entitlement_Data!A$3:C$64,2,FALSE))</f>
        <v>10362</v>
      </c>
      <c r="C31" s="265">
        <f>IF(ISNA(VLOOKUP(A31,Entitlement_Data!A$3:D$64,3,FALSE)),"0",VLOOKUP(A31,Entitlement_Data!A$3:D$64,3,FALSE))</f>
        <v>7021</v>
      </c>
      <c r="D31" s="25">
        <f t="shared" si="0"/>
        <v>0.6775718973171202</v>
      </c>
      <c r="E31" s="304" t="e">
        <f>IF(ISNA(VLOOKUP(A31,#REF!,3,FALSE)),"0",VLOOKUP(A31,#REF!,3,FALSE))</f>
        <v>#REF!</v>
      </c>
      <c r="F31" s="304" t="e">
        <f>IF(ISNA(VLOOKUP(A31,#REF!,4,FALSE)),"0",VLOOKUP(A31,#REF!,4,FALSE))</f>
        <v>#REF!</v>
      </c>
      <c r="G31" s="25" t="e">
        <f t="shared" si="1"/>
        <v>#REF!</v>
      </c>
      <c r="H31" s="1">
        <f>IF(ISNA(VLOOKUP(A31,Program_Review_Data!A21:E85,2,FALSE)),"0",VLOOKUP(A31,Program_Review_Data!A21:E85,2,FALSE))</f>
        <v>1554</v>
      </c>
      <c r="I31" s="1">
        <f>IF(ISNA(VLOOKUP($A31,Program_Review_Data!A21:F85,3,FALSE)),"0",VLOOKUP($A31,Program_Review_Data!A21:F85,3,FALSE))</f>
        <v>1049</v>
      </c>
      <c r="J31" s="25">
        <f t="shared" si="2"/>
        <v>0.675032175032175</v>
      </c>
      <c r="K31" s="242">
        <f>IF(ISNA(VLOOKUP($A31,Other_Data!A21:E85,2,FALSE)),"0",VLOOKUP($A31,Other_Data!A21:E85,2,FALSE))</f>
        <v>907</v>
      </c>
      <c r="L31" s="1">
        <f>IF(ISNA(VLOOKUP($A31,Other_Data!A21:E85,3,FALSE)),"0",VLOOKUP($A31,Other_Data!A21:E85,3,FALSE))</f>
        <v>644</v>
      </c>
      <c r="M31" s="25">
        <f t="shared" si="3"/>
        <v>0.7100330760749725</v>
      </c>
      <c r="N31" s="1">
        <f>IF(ISNA(VLOOKUP($A31,Burial_Data!$A$2:$C$65,2,FALSE)),"0",VLOOKUP($A31,Burial_Data!$A$2:$C$65,2,FALSE))</f>
        <v>41</v>
      </c>
      <c r="O31" s="304">
        <f>IF(ISNA(VLOOKUP($A31,Accrued_Data!$A$2:$D$64,3,FALSE)),"0",VLOOKUP($A31,Accrued_Data!$A$2:$D$64,3,FALSE))</f>
        <v>11</v>
      </c>
      <c r="P31" s="266">
        <v>4062</v>
      </c>
      <c r="Q31" s="259"/>
    </row>
    <row r="32" spans="1:17" ht="12" customHeight="1">
      <c r="A32" t="s">
        <v>316</v>
      </c>
      <c r="B32" s="265">
        <f>IF(ISNA(VLOOKUP(A32,Entitlement_Data!A$3:C$64,2,FALSE)),"0",VLOOKUP(A32,Entitlement_Data!A$3:C$64,2,FALSE))</f>
        <v>11346</v>
      </c>
      <c r="C32" s="265">
        <f>IF(ISNA(VLOOKUP(A32,Entitlement_Data!A$3:D$64,3,FALSE)),"0",VLOOKUP(A32,Entitlement_Data!A$3:D$64,3,FALSE))</f>
        <v>7307</v>
      </c>
      <c r="D32" s="25">
        <f t="shared" si="0"/>
        <v>0.64401551207474</v>
      </c>
      <c r="E32" s="304" t="e">
        <f>IF(ISNA(VLOOKUP(A32,#REF!,3,FALSE)),"0",VLOOKUP(A32,#REF!,3,FALSE))</f>
        <v>#REF!</v>
      </c>
      <c r="F32" s="304" t="e">
        <f>IF(ISNA(VLOOKUP(A32,#REF!,4,FALSE)),"0",VLOOKUP(A32,#REF!,4,FALSE))</f>
        <v>#REF!</v>
      </c>
      <c r="G32" s="25" t="e">
        <f t="shared" si="1"/>
        <v>#REF!</v>
      </c>
      <c r="H32" s="1">
        <f>IF(ISNA(VLOOKUP(A32,Program_Review_Data!A22:E86,2,FALSE)),"0",VLOOKUP(A32,Program_Review_Data!A22:E86,2,FALSE))</f>
        <v>1539</v>
      </c>
      <c r="I32" s="1">
        <f>IF(ISNA(VLOOKUP($A32,Program_Review_Data!A22:F86,3,FALSE)),"0",VLOOKUP($A32,Program_Review_Data!A22:F86,3,FALSE))</f>
        <v>1054</v>
      </c>
      <c r="J32" s="25">
        <f t="shared" si="2"/>
        <v>0.6848602988953866</v>
      </c>
      <c r="K32" s="242">
        <f>IF(ISNA(VLOOKUP($A32,Other_Data!A22:E86,2,FALSE)),"0",VLOOKUP($A32,Other_Data!A22:E86,2,FALSE))</f>
        <v>1394</v>
      </c>
      <c r="L32" s="1">
        <f>IF(ISNA(VLOOKUP($A32,Other_Data!A22:E86,3,FALSE)),"0",VLOOKUP($A32,Other_Data!A22:E86,3,FALSE))</f>
        <v>958</v>
      </c>
      <c r="M32" s="25">
        <f t="shared" si="3"/>
        <v>0.6872309899569584</v>
      </c>
      <c r="N32" s="1">
        <f>IF(ISNA(VLOOKUP($A32,Burial_Data!$A$2:$C$65,2,FALSE)),"0",VLOOKUP($A32,Burial_Data!$A$2:$C$65,2,FALSE))</f>
        <v>24</v>
      </c>
      <c r="O32" s="304">
        <f>IF(ISNA(VLOOKUP($A32,Accrued_Data!$A$2:$D$64,3,FALSE)),"0",VLOOKUP($A32,Accrued_Data!$A$2:$D$64,3,FALSE))</f>
        <v>57</v>
      </c>
      <c r="P32" s="266">
        <v>3197</v>
      </c>
      <c r="Q32" s="259"/>
    </row>
    <row r="33" spans="1:17" ht="12" customHeight="1">
      <c r="A33" t="s">
        <v>320</v>
      </c>
      <c r="B33" s="265">
        <f>IF(ISNA(VLOOKUP(A33,Entitlement_Data!A$3:C$64,2,FALSE)),"0",VLOOKUP(A33,Entitlement_Data!A$3:C$64,2,FALSE))+1</f>
        <v>15035</v>
      </c>
      <c r="C33" s="265">
        <f>IF(ISNA(VLOOKUP(A33,Entitlement_Data!A$3:D$64,3,FALSE)),"0",VLOOKUP(A33,Entitlement_Data!A$3:D$64,3,FALSE))+1</f>
        <v>10039</v>
      </c>
      <c r="D33" s="25">
        <f t="shared" si="0"/>
        <v>0.6677086797472565</v>
      </c>
      <c r="E33" s="304" t="e">
        <f>IF(ISNA(VLOOKUP(A33,#REF!,3,FALSE)),"0",VLOOKUP(A33,#REF!,3,FALSE))</f>
        <v>#REF!</v>
      </c>
      <c r="F33" s="304" t="e">
        <f>IF(ISNA(VLOOKUP(A33,#REF!,4,FALSE)),"0",VLOOKUP(A33,#REF!,4,FALSE))</f>
        <v>#REF!</v>
      </c>
      <c r="G33" s="25" t="e">
        <f t="shared" si="1"/>
        <v>#REF!</v>
      </c>
      <c r="H33" s="1">
        <f>IF(ISNA(VLOOKUP(A33,Program_Review_Data!A23:E87,2,FALSE)),"0",VLOOKUP(A33,Program_Review_Data!A23:E87,2,FALSE))</f>
        <v>3478</v>
      </c>
      <c r="I33" s="1">
        <f>IF(ISNA(VLOOKUP($A33,Program_Review_Data!A23:F87,3,FALSE)),"0",VLOOKUP($A33,Program_Review_Data!A23:F87,3,FALSE))</f>
        <v>1876</v>
      </c>
      <c r="J33" s="25">
        <f t="shared" si="2"/>
        <v>0.5393904542840713</v>
      </c>
      <c r="K33" s="242">
        <f>IF(ISNA(VLOOKUP($A33,Other_Data!A23:E87,2,FALSE)),"0",VLOOKUP($A33,Other_Data!A23:E87,2,FALSE))</f>
        <v>1205</v>
      </c>
      <c r="L33" s="1">
        <f>IF(ISNA(VLOOKUP($A33,Other_Data!A23:E87,3,FALSE)),"0",VLOOKUP($A33,Other_Data!A23:E87,3,FALSE))</f>
        <v>876</v>
      </c>
      <c r="M33" s="25">
        <f t="shared" si="3"/>
        <v>0.7269709543568464</v>
      </c>
      <c r="N33" s="1">
        <f>IF(ISNA(VLOOKUP($A33,Burial_Data!$A$2:$C$65,2,FALSE)),"0",VLOOKUP($A33,Burial_Data!$A$2:$C$65,2,FALSE))</f>
        <v>3</v>
      </c>
      <c r="O33" s="304">
        <f>IF(ISNA(VLOOKUP($A33,Accrued_Data!$A$2:$D$64,3,FALSE)),"0",VLOOKUP($A33,Accrued_Data!$A$2:$D$64,3,FALSE))</f>
        <v>82</v>
      </c>
      <c r="P33" s="266">
        <v>10762</v>
      </c>
      <c r="Q33" s="259"/>
    </row>
    <row r="34" spans="1:17" ht="12" customHeight="1">
      <c r="A34" t="s">
        <v>321</v>
      </c>
      <c r="B34" s="265">
        <f>IF(ISNA(VLOOKUP(A34,Entitlement_Data!A$3:C$64,2,FALSE)),"0",VLOOKUP(A34,Entitlement_Data!A$3:C$64,2,FALSE))</f>
        <v>12906</v>
      </c>
      <c r="C34" s="265">
        <f>IF(ISNA(VLOOKUP(A34,Entitlement_Data!A$3:D$64,3,FALSE)),"0",VLOOKUP(A34,Entitlement_Data!A$3:D$64,3,FALSE))</f>
        <v>5488</v>
      </c>
      <c r="D34" s="25">
        <f t="shared" si="0"/>
        <v>0.4252285758561909</v>
      </c>
      <c r="E34" s="304" t="e">
        <f>IF(ISNA(VLOOKUP(A34,#REF!,3,FALSE)),"0",VLOOKUP(A34,#REF!,3,FALSE))</f>
        <v>#REF!</v>
      </c>
      <c r="F34" s="304" t="e">
        <f>IF(ISNA(VLOOKUP(A34,#REF!,4,FALSE)),"0",VLOOKUP(A34,#REF!,4,FALSE))</f>
        <v>#REF!</v>
      </c>
      <c r="G34" s="25" t="e">
        <f t="shared" si="1"/>
        <v>#REF!</v>
      </c>
      <c r="H34" s="1">
        <f>IF(ISNA(VLOOKUP(A34,Program_Review_Data!A24:E88,2,FALSE)),"0",VLOOKUP(A34,Program_Review_Data!A24:E88,2,FALSE))</f>
        <v>1080</v>
      </c>
      <c r="I34" s="1">
        <f>IF(ISNA(VLOOKUP($A34,Program_Review_Data!A24:F88,3,FALSE)),"0",VLOOKUP($A34,Program_Review_Data!A24:F88,3,FALSE))</f>
        <v>358</v>
      </c>
      <c r="J34" s="25">
        <f t="shared" si="2"/>
        <v>0.3314814814814815</v>
      </c>
      <c r="K34" s="242">
        <f>IF(ISNA(VLOOKUP($A34,Other_Data!A24:E88,2,FALSE)),"0",VLOOKUP($A34,Other_Data!A24:E88,2,FALSE))</f>
        <v>1490</v>
      </c>
      <c r="L34" s="1">
        <f>IF(ISNA(VLOOKUP($A34,Other_Data!A24:E88,3,FALSE)),"0",VLOOKUP($A34,Other_Data!A24:E88,3,FALSE))</f>
        <v>643</v>
      </c>
      <c r="M34" s="25">
        <f t="shared" si="3"/>
        <v>0.43154362416107384</v>
      </c>
      <c r="N34" s="1">
        <f>IF(ISNA(VLOOKUP($A34,Burial_Data!$A$2:$C$65,2,FALSE)),"0",VLOOKUP($A34,Burial_Data!$A$2:$C$65,2,FALSE))</f>
        <v>5</v>
      </c>
      <c r="O34" s="304">
        <f>IF(ISNA(VLOOKUP($A34,Accrued_Data!$A$2:$D$64,3,FALSE)),"0",VLOOKUP($A34,Accrued_Data!$A$2:$D$64,3,FALSE))</f>
        <v>42</v>
      </c>
      <c r="P34" s="266">
        <v>6377</v>
      </c>
      <c r="Q34" s="259"/>
    </row>
    <row r="35" spans="1:17" ht="12" customHeight="1">
      <c r="A35" t="s">
        <v>332</v>
      </c>
      <c r="B35" s="265">
        <f>IF(ISNA(VLOOKUP(A35,Entitlement_Data!A$3:C$64,2,FALSE)),"0",VLOOKUP(A35,Entitlement_Data!A$3:C$64,2,FALSE))</f>
        <v>29485</v>
      </c>
      <c r="C35" s="265">
        <f>IF(ISNA(VLOOKUP(A35,Entitlement_Data!A$3:D$64,3,FALSE)),"0",VLOOKUP(A35,Entitlement_Data!A$3:D$64,3,FALSE))</f>
        <v>22284</v>
      </c>
      <c r="D35" s="25">
        <f t="shared" si="0"/>
        <v>0.7557741224351365</v>
      </c>
      <c r="E35" s="304" t="e">
        <f>IF(ISNA(VLOOKUP(A35,#REF!,3,FALSE)),"0",VLOOKUP(A35,#REF!,3,FALSE))</f>
        <v>#REF!</v>
      </c>
      <c r="F35" s="304" t="e">
        <f>IF(ISNA(VLOOKUP(A35,#REF!,4,FALSE)),"0",VLOOKUP(A35,#REF!,4,FALSE))</f>
        <v>#REF!</v>
      </c>
      <c r="G35" s="25" t="e">
        <f t="shared" si="1"/>
        <v>#REF!</v>
      </c>
      <c r="H35" s="1">
        <f>IF(ISNA(VLOOKUP(A35,Program_Review_Data!A25:E89,2,FALSE)),"0",VLOOKUP(A35,Program_Review_Data!A25:E89,2,FALSE))</f>
        <v>1215</v>
      </c>
      <c r="I35" s="1">
        <f>IF(ISNA(VLOOKUP($A35,Program_Review_Data!A25:F89,3,FALSE)),"0",VLOOKUP($A35,Program_Review_Data!A25:F89,3,FALSE))</f>
        <v>383</v>
      </c>
      <c r="J35" s="25">
        <f t="shared" si="2"/>
        <v>0.31522633744855966</v>
      </c>
      <c r="K35" s="242">
        <f>IF(ISNA(VLOOKUP($A35,Other_Data!A25:E89,2,FALSE)),"0",VLOOKUP($A35,Other_Data!A25:E89,2,FALSE))</f>
        <v>2481</v>
      </c>
      <c r="L35" s="1">
        <f>IF(ISNA(VLOOKUP($A35,Other_Data!A25:E89,3,FALSE)),"0",VLOOKUP($A35,Other_Data!A25:E89,3,FALSE))</f>
        <v>1848</v>
      </c>
      <c r="M35" s="25">
        <f t="shared" si="3"/>
        <v>0.7448609431680774</v>
      </c>
      <c r="N35" s="1">
        <f>IF(ISNA(VLOOKUP($A35,Burial_Data!$A$2:$C$65,2,FALSE)),"0",VLOOKUP($A35,Burial_Data!$A$2:$C$65,2,FALSE))</f>
        <v>1</v>
      </c>
      <c r="O35" s="304">
        <f>IF(ISNA(VLOOKUP($A35,Accrued_Data!$A$2:$D$64,3,FALSE)),"0",VLOOKUP($A35,Accrued_Data!$A$2:$D$64,3,FALSE))</f>
        <v>16</v>
      </c>
      <c r="P35" s="266">
        <v>6747</v>
      </c>
      <c r="Q35" s="259"/>
    </row>
    <row r="36" spans="1:17" ht="12" customHeight="1">
      <c r="A36" t="s">
        <v>335</v>
      </c>
      <c r="B36" s="265">
        <f>IF(ISNA(VLOOKUP(A36,Entitlement_Data!A$3:C$64,2,FALSE)),"0",VLOOKUP(A36,Entitlement_Data!A$3:C$64,2,FALSE))</f>
        <v>5067</v>
      </c>
      <c r="C36" s="265">
        <f>IF(ISNA(VLOOKUP(A36,Entitlement_Data!A$3:D$64,3,FALSE)),"0",VLOOKUP(A36,Entitlement_Data!A$3:D$64,3,FALSE))</f>
        <v>3047</v>
      </c>
      <c r="D36" s="25">
        <f t="shared" si="0"/>
        <v>0.6013420169725676</v>
      </c>
      <c r="E36" s="304" t="e">
        <f>IF(ISNA(VLOOKUP(A36,#REF!,3,FALSE)),"0",VLOOKUP(A36,#REF!,3,FALSE))</f>
        <v>#REF!</v>
      </c>
      <c r="F36" s="304" t="e">
        <f>IF(ISNA(VLOOKUP(A36,#REF!,4,FALSE)),"0",VLOOKUP(A36,#REF!,4,FALSE))</f>
        <v>#REF!</v>
      </c>
      <c r="G36" s="25" t="e">
        <f t="shared" si="1"/>
        <v>#REF!</v>
      </c>
      <c r="H36" s="1">
        <f>IF(ISNA(VLOOKUP(A36,Program_Review_Data!A26:E90,2,FALSE)),"0",VLOOKUP(A36,Program_Review_Data!A26:E90,2,FALSE))</f>
        <v>543</v>
      </c>
      <c r="I36" s="1">
        <f>IF(ISNA(VLOOKUP($A36,Program_Review_Data!A26:F90,3,FALSE)),"0",VLOOKUP($A36,Program_Review_Data!A26:F90,3,FALSE))</f>
        <v>161</v>
      </c>
      <c r="J36" s="25">
        <f t="shared" si="2"/>
        <v>0.2965009208103131</v>
      </c>
      <c r="K36" s="242">
        <f>IF(ISNA(VLOOKUP($A36,Other_Data!A26:E90,2,FALSE)),"0",VLOOKUP($A36,Other_Data!A26:E90,2,FALSE))</f>
        <v>1117</v>
      </c>
      <c r="L36" s="1">
        <f>IF(ISNA(VLOOKUP($A36,Other_Data!A26:E90,3,FALSE)),"0",VLOOKUP($A36,Other_Data!A26:E90,3,FALSE))</f>
        <v>913</v>
      </c>
      <c r="M36" s="25">
        <f t="shared" si="3"/>
        <v>0.8173679498657117</v>
      </c>
      <c r="N36" s="1">
        <f>IF(ISNA(VLOOKUP($A36,Burial_Data!$A$2:$C$65,2,FALSE)),"0",VLOOKUP($A36,Burial_Data!$A$2:$C$65,2,FALSE))</f>
        <v>0</v>
      </c>
      <c r="O36" s="304" t="str">
        <f>IF(ISNA(VLOOKUP($A36,Accrued_Data!$A$2:$D$64,3,FALSE)),"0",VLOOKUP($A36,Accrued_Data!$A$2:$D$64,3,FALSE))</f>
        <v>0</v>
      </c>
      <c r="P36" s="266">
        <v>4934</v>
      </c>
      <c r="Q36" s="259"/>
    </row>
    <row r="37" spans="1:17" ht="12" customHeight="1">
      <c r="A37" t="s">
        <v>340</v>
      </c>
      <c r="B37" s="265">
        <f>IF(ISNA(VLOOKUP(A37,Entitlement_Data!A$3:C$64,2,FALSE)),"0",VLOOKUP(A37,Entitlement_Data!A$3:C$64,2,FALSE))</f>
        <v>47782</v>
      </c>
      <c r="C37" s="265">
        <f>IF(ISNA(VLOOKUP(A37,Entitlement_Data!A$3:D$64,3,FALSE)),"0",VLOOKUP(A37,Entitlement_Data!A$3:D$64,3,FALSE))</f>
        <v>31434</v>
      </c>
      <c r="D37" s="25">
        <f t="shared" si="0"/>
        <v>0.6578627935205726</v>
      </c>
      <c r="E37" s="304" t="e">
        <f>IF(ISNA(VLOOKUP(A37,#REF!,3,FALSE)),"0",VLOOKUP(A37,#REF!,3,FALSE))</f>
        <v>#REF!</v>
      </c>
      <c r="F37" s="304" t="e">
        <f>IF(ISNA(VLOOKUP(A37,#REF!,4,FALSE)),"0",VLOOKUP(A37,#REF!,4,FALSE))</f>
        <v>#REF!</v>
      </c>
      <c r="G37" s="25" t="e">
        <f t="shared" si="1"/>
        <v>#REF!</v>
      </c>
      <c r="H37" s="1">
        <f>IF(ISNA(VLOOKUP(A37,Program_Review_Data!A27:E91,2,FALSE)),"0",VLOOKUP(A37,Program_Review_Data!A27:E91,2,FALSE))</f>
        <v>2591</v>
      </c>
      <c r="I37" s="1">
        <f>IF(ISNA(VLOOKUP($A37,Program_Review_Data!A27:F91,3,FALSE)),"0",VLOOKUP($A37,Program_Review_Data!A27:F91,3,FALSE))</f>
        <v>548</v>
      </c>
      <c r="J37" s="25">
        <f t="shared" si="2"/>
        <v>0.21150135082979546</v>
      </c>
      <c r="K37" s="242">
        <f>IF(ISNA(VLOOKUP($A37,Other_Data!A27:E91,2,FALSE)),"0",VLOOKUP($A37,Other_Data!A27:E91,2,FALSE))</f>
        <v>2576</v>
      </c>
      <c r="L37" s="1">
        <f>IF(ISNA(VLOOKUP($A37,Other_Data!A27:E91,3,FALSE)),"0",VLOOKUP($A37,Other_Data!A27:E91,3,FALSE))</f>
        <v>1547</v>
      </c>
      <c r="M37" s="25">
        <f t="shared" si="3"/>
        <v>0.6005434782608695</v>
      </c>
      <c r="N37" s="1">
        <f>IF(ISNA(VLOOKUP($A37,Burial_Data!$A$2:$C$65,2,FALSE)),"0",VLOOKUP($A37,Burial_Data!$A$2:$C$65,2,FALSE))</f>
        <v>11</v>
      </c>
      <c r="O37" s="304">
        <f>IF(ISNA(VLOOKUP($A37,Accrued_Data!$A$2:$D$64,3,FALSE)),"0",VLOOKUP($A37,Accrued_Data!$A$2:$D$64,3,FALSE))</f>
        <v>88</v>
      </c>
      <c r="P37" s="266">
        <v>20429</v>
      </c>
      <c r="Q37" s="259"/>
    </row>
    <row r="38" spans="1:17" ht="12" customHeight="1">
      <c r="A38" t="s">
        <v>343</v>
      </c>
      <c r="B38" s="265">
        <f>IF(ISNA(VLOOKUP(A38,Entitlement_Data!A$3:C$64,2,FALSE)),"0",VLOOKUP(A38,Entitlement_Data!A$3:C$64,2,FALSE))</f>
        <v>175</v>
      </c>
      <c r="C38" s="265">
        <f>IF(ISNA(VLOOKUP(A38,Entitlement_Data!A$3:D$64,3,FALSE)),"0",VLOOKUP(A38,Entitlement_Data!A$3:D$64,3,FALSE))</f>
        <v>130</v>
      </c>
      <c r="D38" s="25">
        <f t="shared" si="0"/>
        <v>0.7428571428571429</v>
      </c>
      <c r="E38" s="304" t="e">
        <f>IF(ISNA(VLOOKUP(A38,#REF!,3,FALSE)),"0",VLOOKUP(A38,#REF!,3,FALSE))</f>
        <v>#REF!</v>
      </c>
      <c r="F38" s="304" t="e">
        <f>IF(ISNA(VLOOKUP(A38,#REF!,4,FALSE)),"0",VLOOKUP(A38,#REF!,4,FALSE))</f>
        <v>#REF!</v>
      </c>
      <c r="G38" s="25" t="e">
        <f t="shared" si="1"/>
        <v>#REF!</v>
      </c>
      <c r="H38" s="1">
        <f>IF(ISNA(VLOOKUP(A38,Program_Review_Data!A28:E92,2,FALSE)),"0",VLOOKUP(A38,Program_Review_Data!A28:E92,2,FALSE))</f>
        <v>139</v>
      </c>
      <c r="I38" s="1">
        <f>IF(ISNA(VLOOKUP($A38,Program_Review_Data!A28:F92,3,FALSE)),"0",VLOOKUP($A38,Program_Review_Data!A28:F92,3,FALSE))</f>
        <v>38</v>
      </c>
      <c r="J38" s="25">
        <f t="shared" si="2"/>
        <v>0.2733812949640288</v>
      </c>
      <c r="K38" s="242">
        <f>IF(ISNA(VLOOKUP($A38,Other_Data!A28:E92,2,FALSE)),"0",VLOOKUP($A38,Other_Data!A28:E92,2,FALSE))</f>
        <v>948</v>
      </c>
      <c r="L38" s="1">
        <f>IF(ISNA(VLOOKUP($A38,Other_Data!A28:E92,3,FALSE)),"0",VLOOKUP($A38,Other_Data!A28:E92,3,FALSE))</f>
        <v>944</v>
      </c>
      <c r="M38" s="25">
        <f t="shared" si="3"/>
        <v>0.9957805907172996</v>
      </c>
      <c r="N38" s="1">
        <f>IF(ISNA(VLOOKUP($A38,Burial_Data!$A$2:$C$65,2,FALSE)),"0",VLOOKUP($A38,Burial_Data!$A$2:$C$65,2,FALSE))</f>
        <v>0</v>
      </c>
      <c r="O38" s="304" t="str">
        <f>IF(ISNA(VLOOKUP($A38,Accrued_Data!$A$2:$D$64,3,FALSE)),"0",VLOOKUP($A38,Accrued_Data!$A$2:$D$64,3,FALSE))</f>
        <v>0</v>
      </c>
      <c r="P38" s="266">
        <v>0</v>
      </c>
      <c r="Q38" s="259"/>
    </row>
    <row r="39" spans="1:17" ht="12" customHeight="1">
      <c r="A39" s="279" t="s">
        <v>348</v>
      </c>
      <c r="B39" s="285">
        <f>IF(ISNA(VLOOKUP(A39,Entitlement_Data!A$3:C$64,2,FALSE)),"0",VLOOKUP(A39,Entitlement_Data!A$3:C$64,2,FALSE))</f>
        <v>46273</v>
      </c>
      <c r="C39" s="285">
        <f>IF(ISNA(VLOOKUP(A39,Entitlement_Data!A$3:D$64,3,FALSE)),"0",VLOOKUP(A39,Entitlement_Data!A$3:D$64,3,FALSE))</f>
        <v>30250</v>
      </c>
      <c r="D39" s="32">
        <f t="shared" si="0"/>
        <v>0.6537289564108659</v>
      </c>
      <c r="E39" s="305" t="e">
        <f>IF(ISNA(VLOOKUP(A39,#REF!,3,FALSE)),"0",VLOOKUP(A39,#REF!,3,FALSE))</f>
        <v>#REF!</v>
      </c>
      <c r="F39" s="305" t="e">
        <f>IF(ISNA(VLOOKUP(A39,#REF!,4,FALSE)),"0",VLOOKUP(A39,#REF!,4,FALSE))</f>
        <v>#REF!</v>
      </c>
      <c r="G39" s="32" t="e">
        <f t="shared" si="1"/>
        <v>#REF!</v>
      </c>
      <c r="H39" s="33">
        <f>IF(ISNA(VLOOKUP(A39,Program_Review_Data!A29:E93,2,FALSE)),"0",VLOOKUP(A39,Program_Review_Data!A29:E93,2,FALSE))</f>
        <v>6140</v>
      </c>
      <c r="I39" s="33">
        <f>IF(ISNA(VLOOKUP($A39,Program_Review_Data!A29:F93,3,FALSE)),"0",VLOOKUP($A39,Program_Review_Data!A29:F93,3,FALSE))</f>
        <v>5123</v>
      </c>
      <c r="J39" s="32">
        <f t="shared" si="2"/>
        <v>0.8343648208469056</v>
      </c>
      <c r="K39" s="244">
        <f>IF(ISNA(VLOOKUP($A39,Other_Data!A29:E93,2,FALSE)),"0",VLOOKUP($A39,Other_Data!A29:E93,2,FALSE))</f>
        <v>3238</v>
      </c>
      <c r="L39" s="33">
        <f>IF(ISNA(VLOOKUP($A39,Other_Data!A29:E93,3,FALSE)),"0",VLOOKUP($A39,Other_Data!A29:E93,3,FALSE))</f>
        <v>1463</v>
      </c>
      <c r="M39" s="32">
        <f t="shared" si="3"/>
        <v>0.45182211241507103</v>
      </c>
      <c r="N39" s="33">
        <f>IF(ISNA(VLOOKUP($A39,Burial_Data!$A$2:$C$65,2,FALSE)),"0",VLOOKUP($A39,Burial_Data!$A$2:$C$65,2,FALSE))</f>
        <v>2</v>
      </c>
      <c r="O39" s="305">
        <f>IF(ISNA(VLOOKUP($A39,Accrued_Data!$A$2:$D$64,3,FALSE)),"0",VLOOKUP($A39,Accrued_Data!$A$2:$D$64,3,FALSE))</f>
        <v>7</v>
      </c>
      <c r="P39" s="268">
        <v>11275</v>
      </c>
      <c r="Q39" s="259"/>
    </row>
    <row r="40" spans="1:17" ht="12" customHeight="1">
      <c r="A40" t="s">
        <v>299</v>
      </c>
      <c r="B40" s="265">
        <f>IF(ISNA(VLOOKUP(A40,Entitlement_Data!A$3:C$64,2,FALSE)),"0",VLOOKUP(A40,Entitlement_Data!A$3:C$64,2,FALSE))</f>
        <v>20973</v>
      </c>
      <c r="C40" s="265">
        <f>IF(ISNA(VLOOKUP(A40,Entitlement_Data!A$3:D$64,3,FALSE)),"0",VLOOKUP(A40,Entitlement_Data!A$3:D$64,3,FALSE))</f>
        <v>16856</v>
      </c>
      <c r="D40" s="25">
        <f t="shared" si="0"/>
        <v>0.8036999952319649</v>
      </c>
      <c r="E40" s="304" t="e">
        <f>IF(ISNA(VLOOKUP(A40,#REF!,3,FALSE)),"0",VLOOKUP(A40,#REF!,3,FALSE))</f>
        <v>#REF!</v>
      </c>
      <c r="F40" s="304" t="e">
        <f>IF(ISNA(VLOOKUP(A40,#REF!,4,FALSE)),"0",VLOOKUP(A40,#REF!,4,FALSE))</f>
        <v>#REF!</v>
      </c>
      <c r="G40" s="25" t="e">
        <f t="shared" si="1"/>
        <v>#REF!</v>
      </c>
      <c r="H40" s="1">
        <f>IF(ISNA(VLOOKUP(A40,Program_Review_Data!A30:E94,2,FALSE)),"0",VLOOKUP(A40,Program_Review_Data!A30:E94,2,FALSE))</f>
        <v>1123</v>
      </c>
      <c r="I40" s="1">
        <f>IF(ISNA(VLOOKUP($A40,Program_Review_Data!A30:F94,3,FALSE)),"0",VLOOKUP($A40,Program_Review_Data!A30:F94,3,FALSE))</f>
        <v>661</v>
      </c>
      <c r="J40" s="25">
        <f t="shared" si="2"/>
        <v>0.5886019590382903</v>
      </c>
      <c r="K40" s="242">
        <f>IF(ISNA(VLOOKUP($A40,Other_Data!A30:E94,2,FALSE)),"0",VLOOKUP($A40,Other_Data!A30:E94,2,FALSE))</f>
        <v>2862</v>
      </c>
      <c r="L40" s="1">
        <f>IF(ISNA(VLOOKUP($A40,Other_Data!A30:E94,3,FALSE)),"0",VLOOKUP($A40,Other_Data!A30:E94,3,FALSE))</f>
        <v>2403</v>
      </c>
      <c r="M40" s="25">
        <f t="shared" si="3"/>
        <v>0.839622641509434</v>
      </c>
      <c r="N40" s="1">
        <f>IF(ISNA(VLOOKUP($A40,Burial_Data!$A$2:$C$65,2,FALSE)),"0",VLOOKUP($A40,Burial_Data!$A$2:$C$65,2,FALSE))</f>
        <v>8</v>
      </c>
      <c r="O40" s="304">
        <f>IF(ISNA(VLOOKUP($A40,Accrued_Data!$A$2:$D$64,3,FALSE)),"0",VLOOKUP($A40,Accrued_Data!$A$2:$D$64,3,FALSE))</f>
        <v>145</v>
      </c>
      <c r="P40" s="266">
        <v>5640</v>
      </c>
      <c r="Q40" s="259"/>
    </row>
    <row r="41" spans="1:17" ht="12" customHeight="1">
      <c r="A41" t="s">
        <v>303</v>
      </c>
      <c r="B41" s="265">
        <f>IF(ISNA(VLOOKUP(A41,Entitlement_Data!A$3:C$64,2,FALSE)),"0",VLOOKUP(A41,Entitlement_Data!A$3:C$64,2,FALSE))</f>
        <v>6833</v>
      </c>
      <c r="C41" s="265">
        <f>IF(ISNA(VLOOKUP(A41,Entitlement_Data!A$3:D$64,3,FALSE)),"0",VLOOKUP(A41,Entitlement_Data!A$3:D$64,3,FALSE))</f>
        <v>4768</v>
      </c>
      <c r="D41" s="25">
        <f t="shared" si="0"/>
        <v>0.6977901361042002</v>
      </c>
      <c r="E41" s="304" t="e">
        <f>IF(ISNA(VLOOKUP(A41,#REF!,3,FALSE)),"0",VLOOKUP(A41,#REF!,3,FALSE))</f>
        <v>#REF!</v>
      </c>
      <c r="F41" s="304" t="e">
        <f>IF(ISNA(VLOOKUP(A41,#REF!,4,FALSE)),"0",VLOOKUP(A41,#REF!,4,FALSE))</f>
        <v>#REF!</v>
      </c>
      <c r="G41" s="25" t="e">
        <f t="shared" si="1"/>
        <v>#REF!</v>
      </c>
      <c r="H41" s="1">
        <f>IF(ISNA(VLOOKUP(A41,Program_Review_Data!A31:E95,2,FALSE)),"0",VLOOKUP(A41,Program_Review_Data!A31:E95,2,FALSE))</f>
        <v>287</v>
      </c>
      <c r="I41" s="1">
        <f>IF(ISNA(VLOOKUP($A41,Program_Review_Data!A31:F95,3,FALSE)),"0",VLOOKUP($A41,Program_Review_Data!A31:F95,3,FALSE))</f>
        <v>105</v>
      </c>
      <c r="J41" s="25">
        <f t="shared" si="2"/>
        <v>0.36585365853658536</v>
      </c>
      <c r="K41" s="242">
        <f>IF(ISNA(VLOOKUP($A41,Other_Data!A31:E95,2,FALSE)),"0",VLOOKUP($A41,Other_Data!A31:E95,2,FALSE))</f>
        <v>225</v>
      </c>
      <c r="L41" s="1">
        <f>IF(ISNA(VLOOKUP($A41,Other_Data!A31:E95,3,FALSE)),"0",VLOOKUP($A41,Other_Data!A31:E95,3,FALSE))</f>
        <v>167</v>
      </c>
      <c r="M41" s="25">
        <f t="shared" si="3"/>
        <v>0.7422222222222222</v>
      </c>
      <c r="N41" s="1">
        <f>IF(ISNA(VLOOKUP($A41,Burial_Data!$A$2:$C$65,2,FALSE)),"0",VLOOKUP($A41,Burial_Data!$A$2:$C$65,2,FALSE))</f>
        <v>0</v>
      </c>
      <c r="O41" s="304">
        <f>IF(ISNA(VLOOKUP($A41,Accrued_Data!$A$2:$D$64,3,FALSE)),"0",VLOOKUP($A41,Accrued_Data!$A$2:$D$64,3,FALSE))</f>
        <v>1</v>
      </c>
      <c r="P41" s="266">
        <v>1182</v>
      </c>
      <c r="Q41" s="259"/>
    </row>
    <row r="42" spans="1:17" ht="12" customHeight="1">
      <c r="A42" t="s">
        <v>305</v>
      </c>
      <c r="B42" s="265">
        <f>IF(ISNA(VLOOKUP(A42,Entitlement_Data!A$3:C$64,2,FALSE)),"0",VLOOKUP(A42,Entitlement_Data!A$3:C$64,2,FALSE))</f>
        <v>1104</v>
      </c>
      <c r="C42" s="265">
        <f>IF(ISNA(VLOOKUP(A42,Entitlement_Data!A$3:D$64,3,FALSE)),"0",VLOOKUP(A42,Entitlement_Data!A$3:D$64,3,FALSE))</f>
        <v>297</v>
      </c>
      <c r="D42" s="25">
        <f t="shared" si="0"/>
        <v>0.26902173913043476</v>
      </c>
      <c r="E42" s="304" t="e">
        <f>IF(ISNA(VLOOKUP(A42,#REF!,3,FALSE)),"0",VLOOKUP(A42,#REF!,3,FALSE))</f>
        <v>#REF!</v>
      </c>
      <c r="F42" s="304" t="e">
        <f>IF(ISNA(VLOOKUP(A42,#REF!,4,FALSE)),"0",VLOOKUP(A42,#REF!,4,FALSE))</f>
        <v>#REF!</v>
      </c>
      <c r="G42" s="25" t="e">
        <f t="shared" si="1"/>
        <v>#REF!</v>
      </c>
      <c r="H42" s="1">
        <f>IF(ISNA(VLOOKUP(A42,Program_Review_Data!A32:E96,2,FALSE)),"0",VLOOKUP(A42,Program_Review_Data!A32:E96,2,FALSE))</f>
        <v>65</v>
      </c>
      <c r="I42" s="1">
        <f>IF(ISNA(VLOOKUP($A42,Program_Review_Data!A32:F96,3,FALSE)),"0",VLOOKUP($A42,Program_Review_Data!A32:F96,3,FALSE))</f>
        <v>16</v>
      </c>
      <c r="J42" s="25">
        <f t="shared" si="2"/>
        <v>0.24615384615384617</v>
      </c>
      <c r="K42" s="242">
        <f>IF(ISNA(VLOOKUP($A42,Other_Data!A32:E96,2,FALSE)),"0",VLOOKUP($A42,Other_Data!A32:E96,2,FALSE))</f>
        <v>55</v>
      </c>
      <c r="L42" s="1">
        <f>IF(ISNA(VLOOKUP($A42,Other_Data!A32:E96,3,FALSE)),"0",VLOOKUP($A42,Other_Data!A32:E96,3,FALSE))</f>
        <v>33</v>
      </c>
      <c r="M42" s="25">
        <f t="shared" si="3"/>
        <v>0.6</v>
      </c>
      <c r="N42" s="1">
        <f>IF(ISNA(VLOOKUP($A42,Burial_Data!$A$2:$C$65,2,FALSE)),"0",VLOOKUP($A42,Burial_Data!$A$2:$C$65,2,FALSE))</f>
        <v>0</v>
      </c>
      <c r="O42" s="304" t="str">
        <f>IF(ISNA(VLOOKUP($A42,Accrued_Data!$A$2:$D$64,3,FALSE)),"0",VLOOKUP($A42,Accrued_Data!$A$2:$D$64,3,FALSE))</f>
        <v>0</v>
      </c>
      <c r="P42" s="266">
        <v>303</v>
      </c>
      <c r="Q42" s="259"/>
    </row>
    <row r="43" spans="1:17" ht="12" customHeight="1">
      <c r="A43" t="s">
        <v>309</v>
      </c>
      <c r="B43" s="265">
        <f>IF(ISNA(VLOOKUP(A43,Entitlement_Data!A$3:C$64,2,FALSE)),"0",VLOOKUP(A43,Entitlement_Data!A$3:C$64,2,FALSE))</f>
        <v>37594</v>
      </c>
      <c r="C43" s="265">
        <f>IF(ISNA(VLOOKUP(A43,Entitlement_Data!A$3:D$64,3,FALSE)),"0",VLOOKUP(A43,Entitlement_Data!A$3:D$64,3,FALSE))</f>
        <v>27471</v>
      </c>
      <c r="D43" s="25">
        <f t="shared" si="0"/>
        <v>0.7307283077086769</v>
      </c>
      <c r="E43" s="304" t="e">
        <f>IF(ISNA(VLOOKUP(A43,#REF!,3,FALSE)),"0",VLOOKUP(A43,#REF!,3,FALSE))</f>
        <v>#REF!</v>
      </c>
      <c r="F43" s="304" t="e">
        <f>IF(ISNA(VLOOKUP(A43,#REF!,4,FALSE)),"0",VLOOKUP(A43,#REF!,4,FALSE))</f>
        <v>#REF!</v>
      </c>
      <c r="G43" s="25" t="e">
        <f t="shared" si="1"/>
        <v>#REF!</v>
      </c>
      <c r="H43" s="1">
        <f>IF(ISNA(VLOOKUP(A43,Program_Review_Data!A33:E97,2,FALSE)),"0",VLOOKUP(A43,Program_Review_Data!A33:E97,2,FALSE))</f>
        <v>2004</v>
      </c>
      <c r="I43" s="1">
        <f>IF(ISNA(VLOOKUP($A43,Program_Review_Data!A33:F97,3,FALSE)),"0",VLOOKUP($A43,Program_Review_Data!A33:F97,3,FALSE))</f>
        <v>961</v>
      </c>
      <c r="J43" s="25">
        <f t="shared" si="2"/>
        <v>0.47954091816367267</v>
      </c>
      <c r="K43" s="242">
        <f>IF(ISNA(VLOOKUP($A43,Other_Data!A33:E97,2,FALSE)),"0",VLOOKUP($A43,Other_Data!A33:E97,2,FALSE))</f>
        <v>6424</v>
      </c>
      <c r="L43" s="1">
        <f>IF(ISNA(VLOOKUP($A43,Other_Data!A33:E97,3,FALSE)),"0",VLOOKUP($A43,Other_Data!A33:E97,3,FALSE))</f>
        <v>4947</v>
      </c>
      <c r="M43" s="25">
        <f t="shared" si="3"/>
        <v>0.7700809464508095</v>
      </c>
      <c r="N43" s="1">
        <f>IF(ISNA(VLOOKUP($A43,Burial_Data!$A$2:$C$65,2,FALSE)),"0",VLOOKUP($A43,Burial_Data!$A$2:$C$65,2,FALSE))</f>
        <v>6</v>
      </c>
      <c r="O43" s="304">
        <f>IF(ISNA(VLOOKUP($A43,Accrued_Data!$A$2:$D$64,3,FALSE)),"0",VLOOKUP($A43,Accrued_Data!$A$2:$D$64,3,FALSE))</f>
        <v>5</v>
      </c>
      <c r="P43" s="266">
        <v>14154</v>
      </c>
      <c r="Q43" s="259"/>
    </row>
    <row r="44" spans="1:17" ht="12" customHeight="1">
      <c r="A44" t="s">
        <v>313</v>
      </c>
      <c r="B44" s="265">
        <f>IF(ISNA(VLOOKUP(A44,Entitlement_Data!A$3:C$64,2,FALSE)),"0",VLOOKUP(A44,Entitlement_Data!A$3:C$64,2,FALSE))</f>
        <v>3896</v>
      </c>
      <c r="C44" s="265">
        <f>IF(ISNA(VLOOKUP(A44,Entitlement_Data!A$3:D$64,3,FALSE)),"0",VLOOKUP(A44,Entitlement_Data!A$3:D$64,3,FALSE))</f>
        <v>1578</v>
      </c>
      <c r="D44" s="25">
        <f t="shared" si="0"/>
        <v>0.40503080082135523</v>
      </c>
      <c r="E44" s="304" t="e">
        <f>IF(ISNA(VLOOKUP(A44,#REF!,3,FALSE)),"0",VLOOKUP(A44,#REF!,3,FALSE))</f>
        <v>#REF!</v>
      </c>
      <c r="F44" s="304" t="e">
        <f>IF(ISNA(VLOOKUP(A44,#REF!,4,FALSE)),"0",VLOOKUP(A44,#REF!,4,FALSE))</f>
        <v>#REF!</v>
      </c>
      <c r="G44" s="25" t="e">
        <f t="shared" si="1"/>
        <v>#REF!</v>
      </c>
      <c r="H44" s="1">
        <f>IF(ISNA(VLOOKUP(A44,Program_Review_Data!A34:E98,2,FALSE)),"0",VLOOKUP(A44,Program_Review_Data!A34:E98,2,FALSE))</f>
        <v>412</v>
      </c>
      <c r="I44" s="1">
        <f>IF(ISNA(VLOOKUP($A44,Program_Review_Data!A34:F98,3,FALSE)),"0",VLOOKUP($A44,Program_Review_Data!A34:F98,3,FALSE))</f>
        <v>88</v>
      </c>
      <c r="J44" s="25">
        <f t="shared" si="2"/>
        <v>0.21359223300970873</v>
      </c>
      <c r="K44" s="242">
        <f>IF(ISNA(VLOOKUP($A44,Other_Data!A34:E98,2,FALSE)),"0",VLOOKUP($A44,Other_Data!A34:E98,2,FALSE))</f>
        <v>517</v>
      </c>
      <c r="L44" s="1">
        <f>IF(ISNA(VLOOKUP($A44,Other_Data!A34:E98,3,FALSE)),"0",VLOOKUP($A44,Other_Data!A34:E98,3,FALSE))</f>
        <v>206</v>
      </c>
      <c r="M44" s="25">
        <f t="shared" si="3"/>
        <v>0.3984526112185687</v>
      </c>
      <c r="N44" s="1">
        <f>IF(ISNA(VLOOKUP($A44,Burial_Data!$A$2:$C$65,2,FALSE)),"0",VLOOKUP($A44,Burial_Data!$A$2:$C$65,2,FALSE))</f>
        <v>0</v>
      </c>
      <c r="O44" s="304">
        <f>IF(ISNA(VLOOKUP($A44,Accrued_Data!$A$2:$D$64,3,FALSE)),"0",VLOOKUP($A44,Accrued_Data!$A$2:$D$64,3,FALSE))</f>
        <v>2</v>
      </c>
      <c r="P44" s="266">
        <v>1549</v>
      </c>
      <c r="Q44" s="259"/>
    </row>
    <row r="45" spans="1:17" ht="12" customHeight="1">
      <c r="A45" t="s">
        <v>314</v>
      </c>
      <c r="B45" s="265">
        <f>IF(ISNA(VLOOKUP(A45,Entitlement_Data!A$3:C$64,2,FALSE)),"0",VLOOKUP(A45,Entitlement_Data!A$3:C$64,2,FALSE))</f>
        <v>8429</v>
      </c>
      <c r="C45" s="265">
        <f>IF(ISNA(VLOOKUP(A45,Entitlement_Data!A$3:D$64,3,FALSE)),"0",VLOOKUP(A45,Entitlement_Data!A$3:D$64,3,FALSE))</f>
        <v>5376</v>
      </c>
      <c r="D45" s="25">
        <f t="shared" si="0"/>
        <v>0.6377980780638273</v>
      </c>
      <c r="E45" s="304" t="e">
        <f>IF(ISNA(VLOOKUP(A45,#REF!,3,FALSE)),"0",VLOOKUP(A45,#REF!,3,FALSE))</f>
        <v>#REF!</v>
      </c>
      <c r="F45" s="304" t="e">
        <f>IF(ISNA(VLOOKUP(A45,#REF!,4,FALSE)),"0",VLOOKUP(A45,#REF!,4,FALSE))</f>
        <v>#REF!</v>
      </c>
      <c r="G45" s="25" t="e">
        <f t="shared" si="1"/>
        <v>#REF!</v>
      </c>
      <c r="H45" s="1">
        <f>IF(ISNA(VLOOKUP(A45,Program_Review_Data!A35:E99,2,FALSE)),"0",VLOOKUP(A45,Program_Review_Data!A35:E99,2,FALSE))</f>
        <v>1575</v>
      </c>
      <c r="I45" s="1">
        <f>IF(ISNA(VLOOKUP($A45,Program_Review_Data!A35:F99,3,FALSE)),"0",VLOOKUP($A45,Program_Review_Data!A35:F99,3,FALSE))</f>
        <v>923</v>
      </c>
      <c r="J45" s="25">
        <f t="shared" si="2"/>
        <v>0.586031746031746</v>
      </c>
      <c r="K45" s="242">
        <f>IF(ISNA(VLOOKUP($A45,Other_Data!A35:E99,2,FALSE)),"0",VLOOKUP($A45,Other_Data!A35:E99,2,FALSE))</f>
        <v>1403</v>
      </c>
      <c r="L45" s="1">
        <f>IF(ISNA(VLOOKUP($A45,Other_Data!A35:E99,3,FALSE)),"0",VLOOKUP($A45,Other_Data!A35:E99,3,FALSE))</f>
        <v>1070</v>
      </c>
      <c r="M45" s="25">
        <f t="shared" si="3"/>
        <v>0.7626514611546685</v>
      </c>
      <c r="N45" s="1">
        <f>IF(ISNA(VLOOKUP($A45,Burial_Data!$A$2:$C$65,2,FALSE)),"0",VLOOKUP($A45,Burial_Data!$A$2:$C$65,2,FALSE))</f>
        <v>6</v>
      </c>
      <c r="O45" s="304">
        <f>IF(ISNA(VLOOKUP($A45,Accrued_Data!$A$2:$D$64,3,FALSE)),"0",VLOOKUP($A45,Accrued_Data!$A$2:$D$64,3,FALSE))</f>
        <v>49</v>
      </c>
      <c r="P45" s="266">
        <v>5221</v>
      </c>
      <c r="Q45" s="259"/>
    </row>
    <row r="46" spans="1:17" ht="13.5">
      <c r="A46" s="276" t="s">
        <v>319</v>
      </c>
      <c r="B46" s="280">
        <f>IF(ISNA(VLOOKUP(A46,Entitlement_Data!A$3:C$64,2,FALSE)),"0",VLOOKUP(A46,Entitlement_Data!A$3:C$64,2,FALSE))+1</f>
        <v>10341</v>
      </c>
      <c r="C46" s="280">
        <f>IF(ISNA(VLOOKUP(A46,Entitlement_Data!A$3:D$64,3,FALSE)),"0",VLOOKUP(A46,Entitlement_Data!A$3:D$64,3,FALSE))+1</f>
        <v>3846</v>
      </c>
      <c r="D46" s="34">
        <f t="shared" si="0"/>
        <v>0.3719176095155207</v>
      </c>
      <c r="E46" s="280" t="e">
        <f>Award_Formulas!L3-Award_Formulas!O3</f>
        <v>#REF!</v>
      </c>
      <c r="F46" s="35" t="e">
        <f>Award_Formulas!L6-Award_Formulas!R3</f>
        <v>#REF!</v>
      </c>
      <c r="G46" s="34" t="e">
        <f t="shared" si="1"/>
        <v>#REF!</v>
      </c>
      <c r="H46" s="35">
        <f>IF(ISNA(VLOOKUP(A46,Program_Review_Data!A36:E100,2,FALSE)),"0",VLOOKUP(A46,Program_Review_Data!A36:E100,2,FALSE))</f>
        <v>2057</v>
      </c>
      <c r="I46" s="35">
        <f>IF(ISNA(VLOOKUP($A46,Program_Review_Data!A36:F100,3,FALSE)),"0",VLOOKUP($A46,Program_Review_Data!A36:F100,3,FALSE))</f>
        <v>358</v>
      </c>
      <c r="J46" s="34">
        <f t="shared" si="2"/>
        <v>0.17403986387943607</v>
      </c>
      <c r="K46" s="35">
        <f>IF(ISNA(VLOOKUP($A46,Other_Data!A36:E100,2,FALSE)),"0",VLOOKUP($A46,Other_Data!A36:E100,2,FALSE))</f>
        <v>561</v>
      </c>
      <c r="L46" s="35">
        <f>IF(ISNA(VLOOKUP($A46,Other_Data!A36:E100,3,FALSE)),"0",VLOOKUP($A46,Other_Data!A36:E100,3,FALSE))</f>
        <v>160</v>
      </c>
      <c r="M46" s="34">
        <f t="shared" si="3"/>
        <v>0.28520499108734404</v>
      </c>
      <c r="N46" s="35">
        <f>IF(ISNA(VLOOKUP($A46,Burial_Data!$A$2:$C$65,2,FALSE)),"0",VLOOKUP($A46,Burial_Data!$A$2:$C$65,2,FALSE))</f>
        <v>11602</v>
      </c>
      <c r="O46" s="171" t="s">
        <v>3</v>
      </c>
      <c r="P46" s="269">
        <v>3332</v>
      </c>
      <c r="Q46" s="340"/>
    </row>
    <row r="47" spans="1:17" ht="12.75">
      <c r="A47" t="s">
        <v>234</v>
      </c>
      <c r="B47" s="265">
        <f>IF(ISNA(VLOOKUP(A47,Entitlement_Data!A$3:C$64,2,FALSE)),"0",VLOOKUP(A47,Entitlement_Data!A$3:C$64,2,FALSE))+1</f>
        <v>17421</v>
      </c>
      <c r="C47" s="265">
        <f>IF(ISNA(VLOOKUP(A47,Entitlement_Data!A$3:D$64,3,FALSE)),"0",VLOOKUP(A47,Entitlement_Data!A$3:D$64,3,FALSE))+1</f>
        <v>10660</v>
      </c>
      <c r="D47" s="25">
        <f t="shared" si="0"/>
        <v>0.6119051719189484</v>
      </c>
      <c r="E47" s="304" t="e">
        <f>IF(ISNA(VLOOKUP(A47,#REF!,3,FALSE)),"0",VLOOKUP(A47,#REF!,3,FALSE))</f>
        <v>#REF!</v>
      </c>
      <c r="F47" s="304" t="e">
        <f>IF(ISNA(VLOOKUP(A47,#REF!,4,FALSE)),"0",VLOOKUP(A47,#REF!,4,FALSE))</f>
        <v>#REF!</v>
      </c>
      <c r="G47" s="25" t="e">
        <f t="shared" si="1"/>
        <v>#REF!</v>
      </c>
      <c r="H47" s="1">
        <f>IF(ISNA(VLOOKUP(A47,Program_Review_Data!A37:E101,2,FALSE)),"0",VLOOKUP(A47,Program_Review_Data!A37:E101,2,FALSE))</f>
        <v>1215</v>
      </c>
      <c r="I47" s="1">
        <f>IF(ISNA(VLOOKUP($A47,Program_Review_Data!A37:F101,3,FALSE)),"0",VLOOKUP($A47,Program_Review_Data!A37:F101,3,FALSE))</f>
        <v>401</v>
      </c>
      <c r="J47" s="25">
        <f t="shared" si="2"/>
        <v>0.3300411522633745</v>
      </c>
      <c r="K47" s="242">
        <f>IF(ISNA(VLOOKUP($A47,Other_Data!A37:E101,2,FALSE)),"0",VLOOKUP($A47,Other_Data!A37:E101,2,FALSE))</f>
        <v>1021</v>
      </c>
      <c r="L47" s="1">
        <f>IF(ISNA(VLOOKUP($A47,Other_Data!A37:E101,3,FALSE)),"0",VLOOKUP($A47,Other_Data!A37:E101,3,FALSE))</f>
        <v>408</v>
      </c>
      <c r="M47" s="25">
        <f t="shared" si="3"/>
        <v>0.39960822722820766</v>
      </c>
      <c r="N47" s="1">
        <f>IF(ISNA(VLOOKUP($A47,Burial_Data!$A$2:$C$65,2,FALSE)),"0",VLOOKUP($A47,Burial_Data!$A$2:$C$65,2,FALSE))</f>
        <v>2</v>
      </c>
      <c r="O47" s="304">
        <f>IF(ISNA(VLOOKUP($A47,Accrued_Data!$A$2:$D$64,3,FALSE)),"0",VLOOKUP($A47,Accrued_Data!$A$2:$D$64,3,FALSE))</f>
        <v>6</v>
      </c>
      <c r="P47" s="270">
        <v>3163</v>
      </c>
      <c r="Q47" s="340"/>
    </row>
    <row r="48" spans="1:17" ht="12.75">
      <c r="A48" t="s">
        <v>322</v>
      </c>
      <c r="B48" s="265">
        <f>IF(ISNA(VLOOKUP(A48,Entitlement_Data!A$3:C$64,2,FALSE)),"0",VLOOKUP(A48,Entitlement_Data!A$3:C$64,2,FALSE))</f>
        <v>14500</v>
      </c>
      <c r="C48" s="265">
        <f>IF(ISNA(VLOOKUP(A48,Entitlement_Data!A$3:D$64,3,FALSE)),"0",VLOOKUP(A48,Entitlement_Data!A$3:D$64,3,FALSE))</f>
        <v>10312</v>
      </c>
      <c r="D48" s="25">
        <f t="shared" si="0"/>
        <v>0.7111724137931035</v>
      </c>
      <c r="E48" s="304" t="e">
        <f>IF(ISNA(VLOOKUP(A48,#REF!,3,FALSE)),"0",VLOOKUP(A48,#REF!,3,FALSE))</f>
        <v>#REF!</v>
      </c>
      <c r="F48" s="304" t="e">
        <f>IF(ISNA(VLOOKUP(A48,#REF!,4,FALSE)),"0",VLOOKUP(A48,#REF!,4,FALSE))</f>
        <v>#REF!</v>
      </c>
      <c r="G48" s="25" t="e">
        <f t="shared" si="1"/>
        <v>#REF!</v>
      </c>
      <c r="H48" s="1">
        <f>IF(ISNA(VLOOKUP(A48,Program_Review_Data!A38:E102,2,FALSE)),"0",VLOOKUP(A48,Program_Review_Data!A38:E102,2,FALSE))</f>
        <v>421</v>
      </c>
      <c r="I48" s="1">
        <f>IF(ISNA(VLOOKUP($A48,Program_Review_Data!A38:F102,3,FALSE)),"0",VLOOKUP($A48,Program_Review_Data!A38:F102,3,FALSE))</f>
        <v>179</v>
      </c>
      <c r="J48" s="25">
        <f t="shared" si="2"/>
        <v>0.4251781472684085</v>
      </c>
      <c r="K48" s="242">
        <f>IF(ISNA(VLOOKUP($A48,Other_Data!A38:E102,2,FALSE)),"0",VLOOKUP($A48,Other_Data!A38:E102,2,FALSE))</f>
        <v>1871</v>
      </c>
      <c r="L48" s="1">
        <f>IF(ISNA(VLOOKUP($A48,Other_Data!A38:E102,3,FALSE)),"0",VLOOKUP($A48,Other_Data!A38:E102,3,FALSE))</f>
        <v>1410</v>
      </c>
      <c r="M48" s="25">
        <f t="shared" si="3"/>
        <v>0.7536076964190273</v>
      </c>
      <c r="N48" s="1">
        <f>IF(ISNA(VLOOKUP($A48,Burial_Data!$A$2:$C$65,2,FALSE)),"0",VLOOKUP($A48,Burial_Data!$A$2:$C$65,2,FALSE))</f>
        <v>15</v>
      </c>
      <c r="O48" s="304">
        <f>IF(ISNA(VLOOKUP($A48,Accrued_Data!$A$2:$D$64,3,FALSE)),"0",VLOOKUP($A48,Accrued_Data!$A$2:$D$64,3,FALSE))</f>
        <v>114</v>
      </c>
      <c r="P48" s="270">
        <v>4743</v>
      </c>
      <c r="Q48" s="340"/>
    </row>
    <row r="49" spans="1:17" ht="12.75">
      <c r="A49" t="s">
        <v>337</v>
      </c>
      <c r="B49" s="265">
        <f>IF(ISNA(VLOOKUP(A49,Entitlement_Data!A$3:C$64,2,FALSE)),"0",VLOOKUP(A49,Entitlement_Data!A$3:C$64,2,FALSE))</f>
        <v>975</v>
      </c>
      <c r="C49" s="265">
        <f>IF(ISNA(VLOOKUP(A49,Entitlement_Data!A$3:D$64,3,FALSE)),"0",VLOOKUP(A49,Entitlement_Data!A$3:D$64,3,FALSE))</f>
        <v>277</v>
      </c>
      <c r="D49" s="25">
        <f t="shared" si="0"/>
        <v>0.2841025641025641</v>
      </c>
      <c r="E49" s="304" t="e">
        <f>IF(ISNA(VLOOKUP(A49,#REF!,3,FALSE)),"0",VLOOKUP(A49,#REF!,3,FALSE))</f>
        <v>#REF!</v>
      </c>
      <c r="F49" s="304" t="e">
        <f>IF(ISNA(VLOOKUP(A49,#REF!,4,FALSE)),"0",VLOOKUP(A49,#REF!,4,FALSE))</f>
        <v>#REF!</v>
      </c>
      <c r="G49" s="25" t="e">
        <f t="shared" si="1"/>
        <v>#REF!</v>
      </c>
      <c r="H49" s="1">
        <f>IF(ISNA(VLOOKUP(A49,Program_Review_Data!A39:E103,2,FALSE)),"0",VLOOKUP(A49,Program_Review_Data!A39:E103,2,FALSE))</f>
        <v>395</v>
      </c>
      <c r="I49" s="1">
        <f>IF(ISNA(VLOOKUP($A49,Program_Review_Data!A39:F103,3,FALSE)),"0",VLOOKUP($A49,Program_Review_Data!A39:F103,3,FALSE))</f>
        <v>35</v>
      </c>
      <c r="J49" s="25">
        <f t="shared" si="2"/>
        <v>0.08860759493670886</v>
      </c>
      <c r="K49" s="242">
        <f>IF(ISNA(VLOOKUP($A49,Other_Data!A39:E103,2,FALSE)),"0",VLOOKUP($A49,Other_Data!A39:E103,2,FALSE))</f>
        <v>176</v>
      </c>
      <c r="L49" s="1">
        <f>IF(ISNA(VLOOKUP($A49,Other_Data!A39:E103,3,FALSE)),"0",VLOOKUP($A49,Other_Data!A39:E103,3,FALSE))</f>
        <v>85</v>
      </c>
      <c r="M49" s="25">
        <f t="shared" si="3"/>
        <v>0.48295454545454547</v>
      </c>
      <c r="N49" s="1">
        <f>IF(ISNA(VLOOKUP($A49,Burial_Data!$A$2:$C$65,2,FALSE)),"0",VLOOKUP($A49,Burial_Data!$A$2:$C$65,2,FALSE))</f>
        <v>0</v>
      </c>
      <c r="O49" s="304">
        <f>IF(ISNA(VLOOKUP($A49,Accrued_Data!$A$2:$D$64,3,FALSE)),"0",VLOOKUP($A49,Accrued_Data!$A$2:$D$64,3,FALSE))</f>
        <v>1</v>
      </c>
      <c r="P49" s="270">
        <v>229</v>
      </c>
      <c r="Q49" s="340"/>
    </row>
    <row r="50" spans="1:17" ht="12.75">
      <c r="A50" t="s">
        <v>338</v>
      </c>
      <c r="B50" s="265">
        <f>IF(ISNA(VLOOKUP(A50,Entitlement_Data!A$3:C$64,2,FALSE)),"0",VLOOKUP(A50,Entitlement_Data!A$3:C$64,2,FALSE))</f>
        <v>20176</v>
      </c>
      <c r="C50" s="265">
        <f>IF(ISNA(VLOOKUP(A50,Entitlement_Data!A$3:D$64,3,FALSE)),"0",VLOOKUP(A50,Entitlement_Data!A$3:D$64,3,FALSE))</f>
        <v>14053</v>
      </c>
      <c r="D50" s="25">
        <f t="shared" si="0"/>
        <v>0.696520618556701</v>
      </c>
      <c r="E50" s="304" t="e">
        <f>IF(ISNA(VLOOKUP(A50,#REF!,3,FALSE)),"0",VLOOKUP(A50,#REF!,3,FALSE))</f>
        <v>#REF!</v>
      </c>
      <c r="F50" s="304" t="e">
        <f>IF(ISNA(VLOOKUP(A50,#REF!,4,FALSE)),"0",VLOOKUP(A50,#REF!,4,FALSE))</f>
        <v>#REF!</v>
      </c>
      <c r="G50" s="25" t="e">
        <f t="shared" si="1"/>
        <v>#REF!</v>
      </c>
      <c r="H50" s="1">
        <f>IF(ISNA(VLOOKUP(A50,Program_Review_Data!A40:E104,2,FALSE)),"0",VLOOKUP(A50,Program_Review_Data!A40:E104,2,FALSE))</f>
        <v>1329</v>
      </c>
      <c r="I50" s="1">
        <f>IF(ISNA(VLOOKUP($A50,Program_Review_Data!A40:F104,3,FALSE)),"0",VLOOKUP($A50,Program_Review_Data!A40:F104,3,FALSE))</f>
        <v>692</v>
      </c>
      <c r="J50" s="25">
        <f t="shared" si="2"/>
        <v>0.5206922498118887</v>
      </c>
      <c r="K50" s="242">
        <f>IF(ISNA(VLOOKUP($A50,Other_Data!A40:E104,2,FALSE)),"0",VLOOKUP($A50,Other_Data!A40:E104,2,FALSE))</f>
        <v>1647</v>
      </c>
      <c r="L50" s="1">
        <f>IF(ISNA(VLOOKUP($A50,Other_Data!A40:E104,3,FALSE)),"0",VLOOKUP($A50,Other_Data!A40:E104,3,FALSE))</f>
        <v>1022</v>
      </c>
      <c r="M50" s="25">
        <f t="shared" si="3"/>
        <v>0.6205221615057681</v>
      </c>
      <c r="N50" s="1">
        <f>IF(ISNA(VLOOKUP($A50,Burial_Data!$A$2:$C$65,2,FALSE)),"0",VLOOKUP($A50,Burial_Data!$A$2:$C$65,2,FALSE))</f>
        <v>14</v>
      </c>
      <c r="O50" s="304">
        <f>IF(ISNA(VLOOKUP($A50,Accrued_Data!$A$2:$D$64,3,FALSE)),"0",VLOOKUP($A50,Accrued_Data!$A$2:$D$64,3,FALSE))</f>
        <v>124</v>
      </c>
      <c r="P50" s="270">
        <v>5468</v>
      </c>
      <c r="Q50" s="340"/>
    </row>
    <row r="51" spans="1:17" ht="13.5">
      <c r="A51" s="276" t="s">
        <v>339</v>
      </c>
      <c r="B51" s="280">
        <f>IF(ISNA(VLOOKUP(A51,Entitlement_Data!A$3:C$64,2,FALSE)),"0",VLOOKUP(A51,Entitlement_Data!A$3:C$64,2,FALSE))</f>
        <v>11981</v>
      </c>
      <c r="C51" s="280">
        <f>IF(ISNA(VLOOKUP(A51,Entitlement_Data!A$3:D$64,3,FALSE)),"0",VLOOKUP(A51,Entitlement_Data!A$3:D$64,3,FALSE))</f>
        <v>3539</v>
      </c>
      <c r="D51" s="34">
        <f t="shared" si="0"/>
        <v>0.29538435856773226</v>
      </c>
      <c r="E51" s="280" t="e">
        <f>Award_Formulas!L4-Award_Formulas!O4</f>
        <v>#REF!</v>
      </c>
      <c r="F51" s="35" t="e">
        <f>Award_Formulas!L7-Award_Formulas!R4</f>
        <v>#REF!</v>
      </c>
      <c r="G51" s="34" t="e">
        <f t="shared" si="1"/>
        <v>#REF!</v>
      </c>
      <c r="H51" s="35">
        <f>IF(ISNA(VLOOKUP(A51,Program_Review_Data!A41:E105,2,FALSE)),"0",VLOOKUP(A51,Program_Review_Data!A41:E105,2,FALSE))</f>
        <v>4895</v>
      </c>
      <c r="I51" s="35">
        <f>IF(ISNA(VLOOKUP($A51,Program_Review_Data!A41:F105,3,FALSE)),"0",VLOOKUP($A51,Program_Review_Data!A41:F105,3,FALSE))</f>
        <v>2075</v>
      </c>
      <c r="J51" s="34">
        <f t="shared" si="2"/>
        <v>0.42390194075587334</v>
      </c>
      <c r="K51" s="35">
        <f>IF(ISNA(VLOOKUP($A51,Other_Data!A41:E105,2,FALSE)),"0",VLOOKUP($A51,Other_Data!A41:E105,2,FALSE))</f>
        <v>547</v>
      </c>
      <c r="L51" s="35">
        <f>IF(ISNA(VLOOKUP($A51,Other_Data!A41:E105,3,FALSE)),"0",VLOOKUP($A51,Other_Data!A41:E105,3,FALSE))</f>
        <v>276</v>
      </c>
      <c r="M51" s="34">
        <f t="shared" si="3"/>
        <v>0.5045703839122486</v>
      </c>
      <c r="N51" s="35">
        <f>IF(ISNA(VLOOKUP($A51,Burial_Data!$A$2:$C$65,2,FALSE)),"0",VLOOKUP($A51,Burial_Data!$A$2:$C$65,2,FALSE))</f>
        <v>15298</v>
      </c>
      <c r="O51" s="171" t="s">
        <v>3</v>
      </c>
      <c r="P51" s="269">
        <v>1376</v>
      </c>
      <c r="Q51" s="340"/>
    </row>
    <row r="52" spans="1:17" ht="12.75">
      <c r="A52" t="s">
        <v>342</v>
      </c>
      <c r="B52" s="265">
        <f>IF(ISNA(VLOOKUP(A52,Entitlement_Data!A$3:C$64,2,FALSE)),"0",VLOOKUP(A52,Entitlement_Data!A$3:C$64,2,FALSE))</f>
        <v>47603</v>
      </c>
      <c r="C52" s="265">
        <f>IF(ISNA(VLOOKUP(A52,Entitlement_Data!A$3:D$64,3,FALSE)),"0",VLOOKUP(A52,Entitlement_Data!A$3:D$64,3,FALSE))</f>
        <v>36416</v>
      </c>
      <c r="D52" s="25">
        <f t="shared" si="0"/>
        <v>0.7649938029115813</v>
      </c>
      <c r="E52" s="304" t="e">
        <f>IF(ISNA(VLOOKUP(A52,#REF!,3,FALSE)),"0",VLOOKUP(A52,#REF!,3,FALSE))</f>
        <v>#REF!</v>
      </c>
      <c r="F52" s="304" t="e">
        <f>IF(ISNA(VLOOKUP(A52,#REF!,4,FALSE)),"0",VLOOKUP(A52,#REF!,4,FALSE))</f>
        <v>#REF!</v>
      </c>
      <c r="G52" s="25" t="e">
        <f t="shared" si="1"/>
        <v>#REF!</v>
      </c>
      <c r="H52" s="1">
        <f>IF(ISNA(VLOOKUP(A52,Program_Review_Data!A42:E106,2,FALSE)),"0",VLOOKUP(A52,Program_Review_Data!A42:E106,2,FALSE))</f>
        <v>1481</v>
      </c>
      <c r="I52" s="1">
        <f>IF(ISNA(VLOOKUP($A52,Program_Review_Data!A42:F106,3,FALSE)),"0",VLOOKUP($A52,Program_Review_Data!A42:F106,3,FALSE))</f>
        <v>599</v>
      </c>
      <c r="J52" s="25">
        <f t="shared" si="2"/>
        <v>0.40445644834571237</v>
      </c>
      <c r="K52" s="242">
        <f>IF(ISNA(VLOOKUP($A52,Other_Data!A42:E106,2,FALSE)),"0",VLOOKUP($A52,Other_Data!A42:E106,2,FALSE))</f>
        <v>3334</v>
      </c>
      <c r="L52" s="1">
        <f>IF(ISNA(VLOOKUP($A52,Other_Data!A42:E106,3,FALSE)),"0",VLOOKUP($A52,Other_Data!A42:E106,3,FALSE))</f>
        <v>2237</v>
      </c>
      <c r="M52" s="25">
        <f t="shared" si="3"/>
        <v>0.6709658068386323</v>
      </c>
      <c r="N52" s="1">
        <f>IF(ISNA(VLOOKUP($A52,Burial_Data!$A$2:$C$65,2,FALSE)),"0",VLOOKUP($A52,Burial_Data!$A$2:$C$65,2,FALSE))</f>
        <v>6</v>
      </c>
      <c r="O52" s="304">
        <f>IF(ISNA(VLOOKUP($A52,Accrued_Data!$A$2:$D$64,3,FALSE)),"0",VLOOKUP($A52,Accrued_Data!$A$2:$D$64,3,FALSE))</f>
        <v>11</v>
      </c>
      <c r="P52" s="270">
        <v>12711</v>
      </c>
      <c r="Q52" s="340"/>
    </row>
    <row r="53" spans="1:17" ht="12.75">
      <c r="A53" s="279" t="s">
        <v>346</v>
      </c>
      <c r="B53" s="285">
        <f>IF(ISNA(VLOOKUP(A53,Entitlement_Data!A$3:C$64,2,FALSE)),"0",VLOOKUP(A53,Entitlement_Data!A$3:C$64,2,FALSE))</f>
        <v>5042</v>
      </c>
      <c r="C53" s="285">
        <f>IF(ISNA(VLOOKUP(A53,Entitlement_Data!A$3:D$64,3,FALSE)),"0",VLOOKUP(A53,Entitlement_Data!A$3:D$64,3,FALSE))</f>
        <v>2886</v>
      </c>
      <c r="D53" s="32">
        <f t="shared" si="0"/>
        <v>0.5723919079730265</v>
      </c>
      <c r="E53" s="305" t="e">
        <f>IF(ISNA(VLOOKUP(A53,#REF!,3,FALSE)),"0",VLOOKUP(A53,#REF!,3,FALSE))</f>
        <v>#REF!</v>
      </c>
      <c r="F53" s="305" t="e">
        <f>IF(ISNA(VLOOKUP(A53,#REF!,4,FALSE)),"0",VLOOKUP(A53,#REF!,4,FALSE))</f>
        <v>#REF!</v>
      </c>
      <c r="G53" s="32" t="e">
        <f t="shared" si="1"/>
        <v>#REF!</v>
      </c>
      <c r="H53" s="33">
        <f>IF(ISNA(VLOOKUP(A53,Program_Review_Data!A43:E107,2,FALSE)),"0",VLOOKUP(A53,Program_Review_Data!A43:E107,2,FALSE))</f>
        <v>128</v>
      </c>
      <c r="I53" s="33">
        <f>IF(ISNA(VLOOKUP($A53,Program_Review_Data!A43:F107,3,FALSE)),"0",VLOOKUP($A53,Program_Review_Data!A43:F107,3,FALSE))</f>
        <v>34</v>
      </c>
      <c r="J53" s="32">
        <f t="shared" si="2"/>
        <v>0.265625</v>
      </c>
      <c r="K53" s="244">
        <f>IF(ISNA(VLOOKUP($A53,Other_Data!A43:E107,2,FALSE)),"0",VLOOKUP($A53,Other_Data!A43:E107,2,FALSE))</f>
        <v>596</v>
      </c>
      <c r="L53" s="33">
        <f>IF(ISNA(VLOOKUP($A53,Other_Data!A43:E107,3,FALSE)),"0",VLOOKUP($A53,Other_Data!A43:E107,3,FALSE))</f>
        <v>419</v>
      </c>
      <c r="M53" s="32">
        <f t="shared" si="3"/>
        <v>0.7030201342281879</v>
      </c>
      <c r="N53" s="33">
        <f>IF(ISNA(VLOOKUP($A53,Burial_Data!$A$2:$C$65,2,FALSE)),"0",VLOOKUP($A53,Burial_Data!$A$2:$C$65,2,FALSE))</f>
        <v>0</v>
      </c>
      <c r="O53" s="305" t="str">
        <f>IF(ISNA(VLOOKUP($A53,Accrued_Data!$A$2:$D$64,3,FALSE)),"0",VLOOKUP($A53,Accrued_Data!$A$2:$D$64,3,FALSE))</f>
        <v>0</v>
      </c>
      <c r="P53" s="268">
        <v>920</v>
      </c>
      <c r="Q53" s="259"/>
    </row>
    <row r="54" spans="1:17" ht="12.75">
      <c r="A54" t="s">
        <v>292</v>
      </c>
      <c r="B54" s="265">
        <f>IF(ISNA(VLOOKUP(A54,Entitlement_Data!A$3:C$64,2,FALSE)),"0",VLOOKUP(A54,Entitlement_Data!A$3:C$64,2,FALSE))</f>
        <v>5029</v>
      </c>
      <c r="C54" s="265">
        <f>IF(ISNA(VLOOKUP(A54,Entitlement_Data!A$3:D$64,3,FALSE)),"0",VLOOKUP(A54,Entitlement_Data!A$3:D$64,3,FALSE))</f>
        <v>2788</v>
      </c>
      <c r="D54" s="25">
        <f t="shared" si="0"/>
        <v>0.5543845694969178</v>
      </c>
      <c r="E54" s="304" t="e">
        <f>IF(ISNA(VLOOKUP(A54,#REF!,3,FALSE)),"0",VLOOKUP(A54,#REF!,3,FALSE))</f>
        <v>#REF!</v>
      </c>
      <c r="F54" s="304" t="e">
        <f>IF(ISNA(VLOOKUP(A54,#REF!,4,FALSE)),"0",VLOOKUP(A54,#REF!,4,FALSE))</f>
        <v>#REF!</v>
      </c>
      <c r="G54" s="25" t="e">
        <f t="shared" si="1"/>
        <v>#REF!</v>
      </c>
      <c r="H54" s="1">
        <f>IF(ISNA(VLOOKUP(A54,Program_Review_Data!A44:E108,2,FALSE)),"0",VLOOKUP(A54,Program_Review_Data!A44:E108,2,FALSE))</f>
        <v>418</v>
      </c>
      <c r="I54" s="1">
        <f>IF(ISNA(VLOOKUP($A54,Program_Review_Data!A44:F108,3,FALSE)),"0",VLOOKUP($A54,Program_Review_Data!A44:F108,3,FALSE))</f>
        <v>124</v>
      </c>
      <c r="J54" s="25">
        <f t="shared" si="2"/>
        <v>0.2966507177033493</v>
      </c>
      <c r="K54" s="242">
        <f>IF(ISNA(VLOOKUP($A54,Other_Data!A44:E108,2,FALSE)),"0",VLOOKUP($A54,Other_Data!A44:E108,2,FALSE))</f>
        <v>602</v>
      </c>
      <c r="L54" s="1">
        <f>IF(ISNA(VLOOKUP($A54,Other_Data!A44:E108,3,FALSE)),"0",VLOOKUP($A54,Other_Data!A44:E108,3,FALSE))</f>
        <v>416</v>
      </c>
      <c r="M54" s="25">
        <f t="shared" si="3"/>
        <v>0.6910299003322259</v>
      </c>
      <c r="N54" s="1">
        <f>IF(ISNA(VLOOKUP($A54,Burial_Data!$A$2:$C$65,2,FALSE)),"0",VLOOKUP($A54,Burial_Data!$A$2:$C$65,2,FALSE))</f>
        <v>2</v>
      </c>
      <c r="O54" s="304">
        <f>IF(ISNA(VLOOKUP($A54,Accrued_Data!$A$2:$D$64,3,FALSE)),"0",VLOOKUP($A54,Accrued_Data!$A$2:$D$64,3,FALSE))</f>
        <v>2</v>
      </c>
      <c r="P54" s="266">
        <v>1799</v>
      </c>
      <c r="Q54" s="259"/>
    </row>
    <row r="55" spans="1:17" ht="12.75">
      <c r="A55" t="s">
        <v>294</v>
      </c>
      <c r="B55" s="265">
        <f>IF(ISNA(VLOOKUP(A55,Entitlement_Data!A$3:C$64,2,FALSE)),"0",VLOOKUP(A55,Entitlement_Data!A$3:C$64,2,FALSE))</f>
        <v>2728</v>
      </c>
      <c r="C55" s="265">
        <f>IF(ISNA(VLOOKUP(A55,Entitlement_Data!A$3:D$64,3,FALSE)),"0",VLOOKUP(A55,Entitlement_Data!A$3:D$64,3,FALSE))</f>
        <v>1824</v>
      </c>
      <c r="D55" s="25">
        <f t="shared" si="0"/>
        <v>0.6686217008797654</v>
      </c>
      <c r="E55" s="304" t="e">
        <f>IF(ISNA(VLOOKUP(A55,#REF!,3,FALSE)),"0",VLOOKUP(A55,#REF!,3,FALSE))</f>
        <v>#REF!</v>
      </c>
      <c r="F55" s="304" t="e">
        <f>IF(ISNA(VLOOKUP(A55,#REF!,4,FALSE)),"0",VLOOKUP(A55,#REF!,4,FALSE))</f>
        <v>#REF!</v>
      </c>
      <c r="G55" s="25" t="e">
        <f t="shared" si="1"/>
        <v>#REF!</v>
      </c>
      <c r="H55" s="1">
        <f>IF(ISNA(VLOOKUP(A55,Program_Review_Data!A45:E109,2,FALSE)),"0",VLOOKUP(A55,Program_Review_Data!A45:E109,2,FALSE))</f>
        <v>1085</v>
      </c>
      <c r="I55" s="1">
        <f>IF(ISNA(VLOOKUP($A55,Program_Review_Data!A45:F109,3,FALSE)),"0",VLOOKUP($A55,Program_Review_Data!A45:F109,3,FALSE))</f>
        <v>853</v>
      </c>
      <c r="J55" s="25">
        <f t="shared" si="2"/>
        <v>0.7861751152073733</v>
      </c>
      <c r="K55" s="242">
        <f>IF(ISNA(VLOOKUP($A55,Other_Data!A45:E109,2,FALSE)),"0",VLOOKUP($A55,Other_Data!A45:E109,2,FALSE))</f>
        <v>310</v>
      </c>
      <c r="L55" s="1">
        <f>IF(ISNA(VLOOKUP($A55,Other_Data!A45:E109,3,FALSE)),"0",VLOOKUP($A55,Other_Data!A45:E109,3,FALSE))</f>
        <v>223</v>
      </c>
      <c r="M55" s="25">
        <f t="shared" si="3"/>
        <v>0.7193548387096774</v>
      </c>
      <c r="N55" s="1">
        <f>IF(ISNA(VLOOKUP($A55,Burial_Data!$A$2:$C$65,2,FALSE)),"0",VLOOKUP($A55,Burial_Data!$A$2:$C$65,2,FALSE))</f>
        <v>0</v>
      </c>
      <c r="O55" s="304" t="str">
        <f>IF(ISNA(VLOOKUP($A55,Accrued_Data!$A$2:$D$64,3,FALSE)),"0",VLOOKUP($A55,Accrued_Data!$A$2:$D$64,3,FALSE))</f>
        <v>0</v>
      </c>
      <c r="P55" s="266">
        <v>142</v>
      </c>
      <c r="Q55" s="259"/>
    </row>
    <row r="56" spans="1:17" ht="12.75">
      <c r="A56" t="s">
        <v>296</v>
      </c>
      <c r="B56" s="265">
        <f>IF(ISNA(VLOOKUP(A56,Entitlement_Data!A$3:C$64,2,FALSE)),"0",VLOOKUP(A56,Entitlement_Data!A$3:C$64,2,FALSE))</f>
        <v>2140</v>
      </c>
      <c r="C56" s="265">
        <f>IF(ISNA(VLOOKUP(A56,Entitlement_Data!A$3:D$64,3,FALSE)),"0",VLOOKUP(A56,Entitlement_Data!A$3:D$64,3,FALSE))</f>
        <v>951</v>
      </c>
      <c r="D56" s="25">
        <f t="shared" si="0"/>
        <v>0.444392523364486</v>
      </c>
      <c r="E56" s="304" t="e">
        <f>IF(ISNA(VLOOKUP(A56,#REF!,3,FALSE)),"0",VLOOKUP(A56,#REF!,3,FALSE))</f>
        <v>#REF!</v>
      </c>
      <c r="F56" s="304" t="e">
        <f>IF(ISNA(VLOOKUP(A56,#REF!,4,FALSE)),"0",VLOOKUP(A56,#REF!,4,FALSE))</f>
        <v>#REF!</v>
      </c>
      <c r="G56" s="25" t="e">
        <f t="shared" si="1"/>
        <v>#REF!</v>
      </c>
      <c r="H56" s="1">
        <f>IF(ISNA(VLOOKUP(A56,Program_Review_Data!A46:E110,2,FALSE)),"0",VLOOKUP(A56,Program_Review_Data!A46:E110,2,FALSE))</f>
        <v>276</v>
      </c>
      <c r="I56" s="1">
        <f>IF(ISNA(VLOOKUP($A56,Program_Review_Data!A46:F110,3,FALSE)),"0",VLOOKUP($A56,Program_Review_Data!A46:F110,3,FALSE))</f>
        <v>65</v>
      </c>
      <c r="J56" s="25">
        <f t="shared" si="2"/>
        <v>0.23550724637681159</v>
      </c>
      <c r="K56" s="242">
        <f>IF(ISNA(VLOOKUP($A56,Other_Data!A46:E110,2,FALSE)),"0",VLOOKUP($A56,Other_Data!A46:E110,2,FALSE))</f>
        <v>559</v>
      </c>
      <c r="L56" s="1">
        <f>IF(ISNA(VLOOKUP($A56,Other_Data!A46:E110,3,FALSE)),"0",VLOOKUP($A56,Other_Data!A46:E110,3,FALSE))</f>
        <v>239</v>
      </c>
      <c r="M56" s="25">
        <f t="shared" si="3"/>
        <v>0.4275491949910555</v>
      </c>
      <c r="N56" s="1">
        <f>IF(ISNA(VLOOKUP($A56,Burial_Data!$A$2:$C$65,2,FALSE)),"0",VLOOKUP($A56,Burial_Data!$A$2:$C$65,2,FALSE))</f>
        <v>0</v>
      </c>
      <c r="O56" s="304">
        <f>IF(ISNA(VLOOKUP($A56,Accrued_Data!$A$2:$D$64,3,FALSE)),"0",VLOOKUP($A56,Accrued_Data!$A$2:$D$64,3,FALSE))</f>
        <v>1</v>
      </c>
      <c r="P56" s="266">
        <v>994</v>
      </c>
      <c r="Q56" s="259"/>
    </row>
    <row r="57" spans="1:17" ht="13.5">
      <c r="A57" s="278" t="s">
        <v>302</v>
      </c>
      <c r="B57" s="265" t="e">
        <f>#REF!</f>
        <v>#REF!</v>
      </c>
      <c r="C57" s="265" t="e">
        <f>#REF!</f>
        <v>#REF!</v>
      </c>
      <c r="D57" s="243" t="e">
        <f>C57/B57</f>
        <v>#REF!</v>
      </c>
      <c r="E57" s="304" t="e">
        <f>Award_Formulas!D2</f>
        <v>#REF!</v>
      </c>
      <c r="F57" s="304" t="e">
        <f>Award_Formulas!D3</f>
        <v>#REF!</v>
      </c>
      <c r="G57" s="243" t="e">
        <f>F57/E57</f>
        <v>#REF!</v>
      </c>
      <c r="H57" s="1">
        <f>IF(ISNA(VLOOKUP(A57,Program_Review_Data!A47:E111,2,FALSE)),"0",VLOOKUP(A57,Program_Review_Data!A47:E111,2,FALSE))</f>
        <v>1329</v>
      </c>
      <c r="I57" s="1">
        <f>IF(ISNA(VLOOKUP($A57,Program_Review_Data!A47:F111,3,FALSE)),"0",VLOOKUP($A57,Program_Review_Data!A47:F111,3,FALSE))</f>
        <v>590</v>
      </c>
      <c r="J57" s="243">
        <f>I57/H57</f>
        <v>0.4439428141459744</v>
      </c>
      <c r="K57" s="242">
        <f>IF(ISNA(VLOOKUP($A57,Other_Data!A47:E111,2,FALSE)),"0",VLOOKUP($A57,Other_Data!A47:E111,2,FALSE))</f>
        <v>1753</v>
      </c>
      <c r="L57" s="1">
        <f>IF(ISNA(VLOOKUP($A57,Other_Data!A47:E111,3,FALSE)),"0",VLOOKUP($A57,Other_Data!A47:E111,3,FALSE))</f>
        <v>971</v>
      </c>
      <c r="M57" s="243">
        <f>L57/K57</f>
        <v>0.553907586993725</v>
      </c>
      <c r="N57" s="1">
        <f>IF(ISNA(VLOOKUP($A57,Burial_Data!$A$2:$C$65,2,FALSE)),"0",VLOOKUP($A57,Burial_Data!$A$2:$C$65,2,FALSE))</f>
        <v>9</v>
      </c>
      <c r="O57" s="304">
        <f>IF(ISNA(VLOOKUP($A57,Accrued_Data!$A$2:$D$64,3,FALSE)),"0",VLOOKUP($A57,Accrued_Data!$A$2:$D$64,3,FALSE))</f>
        <v>4</v>
      </c>
      <c r="P57" s="266">
        <v>290</v>
      </c>
      <c r="Q57" s="259"/>
    </row>
    <row r="58" spans="1:17" ht="13.5">
      <c r="A58" s="278" t="s">
        <v>298</v>
      </c>
      <c r="B58" s="265">
        <f>IF(ISNA(VLOOKUP(A58,Entitlement_Data!A$3:C$64,2,FALSE)),"0",VLOOKUP(A58,Entitlement_Data!A$3:C$64,2,FALSE))</f>
        <v>1233</v>
      </c>
      <c r="C58" s="265">
        <f>IF(ISNA(VLOOKUP(A58,Entitlement_Data!A$3:D$64,3,FALSE)),"0",VLOOKUP(A58,Entitlement_Data!A$3:D$64,3,FALSE))</f>
        <v>415</v>
      </c>
      <c r="D58" s="243">
        <f>C58/B58</f>
        <v>0.33657745336577455</v>
      </c>
      <c r="E58" s="304" t="e">
        <f>IF(ISNA(VLOOKUP(A58,#REF!,3,FALSE)),"0",VLOOKUP(A58,#REF!,3,FALSE))</f>
        <v>#REF!</v>
      </c>
      <c r="F58" s="304" t="e">
        <f>IF(ISNA(VLOOKUP(A58,#REF!,4,FALSE)),"0",VLOOKUP(A58,#REF!,4,FALSE))</f>
        <v>#REF!</v>
      </c>
      <c r="G58" s="243" t="e">
        <f>F58/E58</f>
        <v>#REF!</v>
      </c>
      <c r="H58" s="1">
        <f>IF(ISNA(VLOOKUP(A58,Program_Review_Data!A48:E112,2,FALSE)),"0",VLOOKUP(A58,Program_Review_Data!A48:E112,2,FALSE))</f>
        <v>98</v>
      </c>
      <c r="I58" s="1">
        <f>IF(ISNA(VLOOKUP($A58,Program_Review_Data!A48:F112,3,FALSE)),"0",VLOOKUP($A58,Program_Review_Data!A48:F112,3,FALSE))</f>
        <v>24</v>
      </c>
      <c r="J58" s="243">
        <f>I58/H58</f>
        <v>0.24489795918367346</v>
      </c>
      <c r="K58" s="242">
        <f>IF(ISNA(VLOOKUP($A58,Other_Data!A48:E112,2,FALSE)),"0",VLOOKUP($A58,Other_Data!A48:E112,2,FALSE))</f>
        <v>167</v>
      </c>
      <c r="L58" s="1">
        <f>IF(ISNA(VLOOKUP($A58,Other_Data!A48:E112,3,FALSE)),"0",VLOOKUP($A58,Other_Data!A48:E112,3,FALSE))</f>
        <v>84</v>
      </c>
      <c r="M58" s="243">
        <f>L58/K58</f>
        <v>0.5029940119760479</v>
      </c>
      <c r="N58" s="1">
        <f>IF(ISNA(VLOOKUP($A58,Burial_Data!$A$2:$C$65,2,FALSE)),"0",VLOOKUP($A58,Burial_Data!$A$2:$C$65,2,FALSE))</f>
        <v>2</v>
      </c>
      <c r="O58" s="304">
        <f>IF(ISNA(VLOOKUP($A58,Accrued_Data!$A$2:$D$64,3,FALSE)),"0",VLOOKUP($A58,Accrued_Data!$A$2:$D$64,3,FALSE))</f>
        <v>3</v>
      </c>
      <c r="P58" s="266">
        <v>3818</v>
      </c>
      <c r="Q58" s="259"/>
    </row>
    <row r="59" spans="1:17" ht="12.75">
      <c r="A59" t="s">
        <v>306</v>
      </c>
      <c r="B59" s="265">
        <f>IF(ISNA(VLOOKUP(A59,Entitlement_Data!A$3:C$64,2,FALSE)),"0",VLOOKUP(A59,Entitlement_Data!A$3:C$64,2,FALSE))</f>
        <v>2188</v>
      </c>
      <c r="C59" s="265">
        <f>IF(ISNA(VLOOKUP(A59,Entitlement_Data!A$3:D$64,3,FALSE)),"0",VLOOKUP(A59,Entitlement_Data!A$3:D$64,3,FALSE))</f>
        <v>1095</v>
      </c>
      <c r="D59" s="243">
        <f aca="true" t="shared" si="4" ref="D59:D69">C59/B59</f>
        <v>0.5004570383912249</v>
      </c>
      <c r="E59" s="304" t="e">
        <f>IF(ISNA(VLOOKUP(A59,#REF!,3,FALSE)),"0",VLOOKUP(A59,#REF!,3,FALSE))</f>
        <v>#REF!</v>
      </c>
      <c r="F59" s="304" t="e">
        <f>IF(ISNA(VLOOKUP(A59,#REF!,4,FALSE)),"0",VLOOKUP(A59,#REF!,4,FALSE))</f>
        <v>#REF!</v>
      </c>
      <c r="G59" s="243" t="e">
        <f aca="true" t="shared" si="5" ref="G59:G69">F59/E59</f>
        <v>#REF!</v>
      </c>
      <c r="H59" s="1">
        <f>IF(ISNA(VLOOKUP(A59,Program_Review_Data!A49:E113,2,FALSE)),"0",VLOOKUP(A59,Program_Review_Data!A49:E113,2,FALSE))</f>
        <v>222</v>
      </c>
      <c r="I59" s="1">
        <f>IF(ISNA(VLOOKUP($A59,Program_Review_Data!A49:F113,3,FALSE)),"0",VLOOKUP($A59,Program_Review_Data!A49:F113,3,FALSE))</f>
        <v>102</v>
      </c>
      <c r="J59" s="243">
        <f aca="true" t="shared" si="6" ref="J59:J69">I59/H59</f>
        <v>0.4594594594594595</v>
      </c>
      <c r="K59" s="242">
        <f>IF(ISNA(VLOOKUP($A59,Other_Data!A49:E113,2,FALSE)),"0",VLOOKUP($A59,Other_Data!A49:E113,2,FALSE))</f>
        <v>369</v>
      </c>
      <c r="L59" s="1">
        <f>IF(ISNA(VLOOKUP($A59,Other_Data!A49:E113,3,FALSE)),"0",VLOOKUP($A59,Other_Data!A49:E113,3,FALSE))</f>
        <v>226</v>
      </c>
      <c r="M59" s="243">
        <f aca="true" t="shared" si="7" ref="M59:M69">L59/K59</f>
        <v>0.6124661246612466</v>
      </c>
      <c r="N59" s="1">
        <f>IF(ISNA(VLOOKUP($A59,Burial_Data!$A$2:$C$65,2,FALSE)),"0",VLOOKUP($A59,Burial_Data!$A$2:$C$65,2,FALSE))</f>
        <v>0</v>
      </c>
      <c r="O59" s="304">
        <f>IF(ISNA(VLOOKUP($A59,Accrued_Data!$A$2:$D$64,3,FALSE)),"0",VLOOKUP($A59,Accrued_Data!$A$2:$D$64,3,FALSE))</f>
        <v>1</v>
      </c>
      <c r="P59" s="271">
        <v>279</v>
      </c>
      <c r="Q59" s="259"/>
    </row>
    <row r="60" spans="1:17" ht="12.75">
      <c r="A60" t="s">
        <v>308</v>
      </c>
      <c r="B60" s="265">
        <f>IF(ISNA(VLOOKUP(A60,Entitlement_Data!A$3:C$64,2,FALSE)),"0",VLOOKUP(A60,Entitlement_Data!A$3:C$64,2,FALSE))</f>
        <v>5985</v>
      </c>
      <c r="C60" s="265">
        <f>IF(ISNA(VLOOKUP(A60,Entitlement_Data!A$3:D$64,3,FALSE)),"0",VLOOKUP(A60,Entitlement_Data!A$3:D$64,3,FALSE))</f>
        <v>4500</v>
      </c>
      <c r="D60" s="243">
        <f t="shared" si="4"/>
        <v>0.7518796992481203</v>
      </c>
      <c r="E60" s="304" t="e">
        <f>IF(ISNA(VLOOKUP(A60,#REF!,3,FALSE)),"0",VLOOKUP(A60,#REF!,3,FALSE))</f>
        <v>#REF!</v>
      </c>
      <c r="F60" s="304" t="e">
        <f>IF(ISNA(VLOOKUP(A60,#REF!,4,FALSE)),"0",VLOOKUP(A60,#REF!,4,FALSE))</f>
        <v>#REF!</v>
      </c>
      <c r="G60" s="243" t="e">
        <f t="shared" si="5"/>
        <v>#REF!</v>
      </c>
      <c r="H60" s="1">
        <f>IF(ISNA(VLOOKUP(A60,Program_Review_Data!A50:E114,2,FALSE)),"0",VLOOKUP(A60,Program_Review_Data!A50:E114,2,FALSE))</f>
        <v>240</v>
      </c>
      <c r="I60" s="1">
        <f>IF(ISNA(VLOOKUP($A60,Program_Review_Data!A50:F114,3,FALSE)),"0",VLOOKUP($A60,Program_Review_Data!A50:F114,3,FALSE))</f>
        <v>116</v>
      </c>
      <c r="J60" s="243">
        <f t="shared" si="6"/>
        <v>0.48333333333333334</v>
      </c>
      <c r="K60" s="242">
        <f>IF(ISNA(VLOOKUP($A60,Other_Data!A50:E114,2,FALSE)),"0",VLOOKUP($A60,Other_Data!A50:E114,2,FALSE))</f>
        <v>846</v>
      </c>
      <c r="L60" s="1">
        <f>IF(ISNA(VLOOKUP($A60,Other_Data!A50:E114,3,FALSE)),"0",VLOOKUP($A60,Other_Data!A50:E114,3,FALSE))</f>
        <v>729</v>
      </c>
      <c r="M60" s="243">
        <f t="shared" si="7"/>
        <v>0.8617021276595744</v>
      </c>
      <c r="N60" s="1">
        <f>IF(ISNA(VLOOKUP($A60,Burial_Data!$A$2:$C$65,2,FALSE)),"0",VLOOKUP($A60,Burial_Data!$A$2:$C$65,2,FALSE))</f>
        <v>4</v>
      </c>
      <c r="O60" s="304" t="str">
        <f>IF(ISNA(VLOOKUP($A60,Accrued_Data!$A$2:$D$64,3,FALSE)),"0",VLOOKUP($A60,Accrued_Data!$A$2:$D$64,3,FALSE))</f>
        <v>0</v>
      </c>
      <c r="P60" s="271">
        <v>794</v>
      </c>
      <c r="Q60" s="259"/>
    </row>
    <row r="61" spans="1:17" ht="12.75">
      <c r="A61" t="s">
        <v>315</v>
      </c>
      <c r="B61" s="265">
        <f>IF(ISNA(VLOOKUP(A61,Entitlement_Data!A$3:C$64,2,FALSE)),"0",VLOOKUP(A61,Entitlement_Data!A$3:C$64,2,FALSE))</f>
        <v>22389</v>
      </c>
      <c r="C61" s="265">
        <f>IF(ISNA(VLOOKUP(A61,Entitlement_Data!A$3:D$64,3,FALSE)),"0",VLOOKUP(A61,Entitlement_Data!A$3:D$64,3,FALSE))</f>
        <v>18791</v>
      </c>
      <c r="D61" s="243">
        <f t="shared" si="4"/>
        <v>0.8392960828978516</v>
      </c>
      <c r="E61" s="304" t="e">
        <f>IF(ISNA(VLOOKUP(A61,#REF!,3,FALSE)),"0",VLOOKUP(A61,#REF!,3,FALSE))</f>
        <v>#REF!</v>
      </c>
      <c r="F61" s="304" t="e">
        <f>IF(ISNA(VLOOKUP(A61,#REF!,4,FALSE)),"0",VLOOKUP(A61,#REF!,4,FALSE))</f>
        <v>#REF!</v>
      </c>
      <c r="G61" s="243" t="e">
        <f t="shared" si="5"/>
        <v>#REF!</v>
      </c>
      <c r="H61" s="1">
        <f>IF(ISNA(VLOOKUP(A61,Program_Review_Data!A51:E115,2,FALSE)),"0",VLOOKUP(A61,Program_Review_Data!A51:E115,2,FALSE))</f>
        <v>2107</v>
      </c>
      <c r="I61" s="1">
        <f>IF(ISNA(VLOOKUP($A61,Program_Review_Data!A51:F115,3,FALSE)),"0",VLOOKUP($A61,Program_Review_Data!A51:F115,3,FALSE))</f>
        <v>1432</v>
      </c>
      <c r="J61" s="243">
        <f t="shared" si="6"/>
        <v>0.6796392975794969</v>
      </c>
      <c r="K61" s="242">
        <f>IF(ISNA(VLOOKUP($A61,Other_Data!A51:E115,2,FALSE)),"0",VLOOKUP($A61,Other_Data!A51:E115,2,FALSE))</f>
        <v>1332</v>
      </c>
      <c r="L61" s="1">
        <f>IF(ISNA(VLOOKUP($A61,Other_Data!A51:E115,3,FALSE)),"0",VLOOKUP($A61,Other_Data!A51:E115,3,FALSE))</f>
        <v>1091</v>
      </c>
      <c r="M61" s="243">
        <f t="shared" si="7"/>
        <v>0.8190690690690691</v>
      </c>
      <c r="N61" s="1">
        <f>IF(ISNA(VLOOKUP($A61,Burial_Data!$A$2:$C$65,2,FALSE)),"0",VLOOKUP($A61,Burial_Data!$A$2:$C$65,2,FALSE))</f>
        <v>5</v>
      </c>
      <c r="O61" s="304">
        <f>IF(ISNA(VLOOKUP($A61,Accrued_Data!$A$2:$D$64,3,FALSE)),"0",VLOOKUP($A61,Accrued_Data!$A$2:$D$64,3,FALSE))</f>
        <v>5</v>
      </c>
      <c r="P61" s="271">
        <v>5927</v>
      </c>
      <c r="Q61" s="259"/>
    </row>
    <row r="62" spans="1:17" ht="12.75">
      <c r="A62" t="s">
        <v>318</v>
      </c>
      <c r="B62" s="265">
        <f>IF(ISNA(VLOOKUP(A62,Entitlement_Data!A$3:C$64,2,FALSE)),"0",VLOOKUP(A62,Entitlement_Data!A$3:C$64,2,FALSE))</f>
        <v>2240</v>
      </c>
      <c r="C62" s="265">
        <f>IF(ISNA(VLOOKUP(A62,Entitlement_Data!A$3:D$64,3,FALSE)),"0",VLOOKUP(A62,Entitlement_Data!A$3:D$64,3,FALSE))</f>
        <v>1260</v>
      </c>
      <c r="D62" s="243">
        <f t="shared" si="4"/>
        <v>0.5625</v>
      </c>
      <c r="E62" s="304" t="e">
        <f>IF(ISNA(VLOOKUP(A62,#REF!,3,FALSE)),"0",VLOOKUP(A62,#REF!,3,FALSE))</f>
        <v>#REF!</v>
      </c>
      <c r="F62" s="304" t="e">
        <f>IF(ISNA(VLOOKUP(A62,#REF!,4,FALSE)),"0",VLOOKUP(A62,#REF!,4,FALSE))</f>
        <v>#REF!</v>
      </c>
      <c r="G62" s="243" t="e">
        <f t="shared" si="5"/>
        <v>#REF!</v>
      </c>
      <c r="H62" s="1">
        <f>IF(ISNA(VLOOKUP(A62,Program_Review_Data!A52:E116,2,FALSE)),"0",VLOOKUP(A62,Program_Review_Data!A52:E116,2,FALSE))</f>
        <v>225</v>
      </c>
      <c r="I62" s="1">
        <f>IF(ISNA(VLOOKUP($A62,Program_Review_Data!A52:F116,3,FALSE)),"0",VLOOKUP($A62,Program_Review_Data!A52:F116,3,FALSE))</f>
        <v>114</v>
      </c>
      <c r="J62" s="243">
        <f t="shared" si="6"/>
        <v>0.5066666666666667</v>
      </c>
      <c r="K62" s="242">
        <f>IF(ISNA(VLOOKUP($A62,Other_Data!A52:E116,2,FALSE)),"0",VLOOKUP($A62,Other_Data!A52:E116,2,FALSE))</f>
        <v>749</v>
      </c>
      <c r="L62" s="1">
        <f>IF(ISNA(VLOOKUP($A62,Other_Data!A52:E116,3,FALSE)),"0",VLOOKUP($A62,Other_Data!A52:E116,3,FALSE))</f>
        <v>548</v>
      </c>
      <c r="M62" s="243">
        <f t="shared" si="7"/>
        <v>0.7316421895861148</v>
      </c>
      <c r="N62" s="1">
        <f>IF(ISNA(VLOOKUP($A62,Burial_Data!$A$2:$C$65,2,FALSE)),"0",VLOOKUP($A62,Burial_Data!$A$2:$C$65,2,FALSE))</f>
        <v>360</v>
      </c>
      <c r="O62" s="304">
        <f>IF(ISNA(VLOOKUP($A62,Accrued_Data!$A$2:$D$64,3,FALSE)),"0",VLOOKUP($A62,Accrued_Data!$A$2:$D$64,3,FALSE))</f>
        <v>101</v>
      </c>
      <c r="P62" s="271">
        <v>1841</v>
      </c>
      <c r="Q62" s="259"/>
    </row>
    <row r="63" spans="1:17" ht="12.75">
      <c r="A63" t="s">
        <v>325</v>
      </c>
      <c r="B63" s="265">
        <f>IF(ISNA(VLOOKUP(A63,Entitlement_Data!A$3:C$64,2,FALSE)),"0",VLOOKUP(A63,Entitlement_Data!A$3:C$64,2,FALSE))</f>
        <v>29968</v>
      </c>
      <c r="C63" s="265">
        <f>IF(ISNA(VLOOKUP(A63,Entitlement_Data!A$3:D$64,3,FALSE)),"0",VLOOKUP(A63,Entitlement_Data!A$3:D$64,3,FALSE))</f>
        <v>25404</v>
      </c>
      <c r="D63" s="243">
        <f t="shared" si="4"/>
        <v>0.8477042178323545</v>
      </c>
      <c r="E63" s="304" t="e">
        <f>IF(ISNA(VLOOKUP(A63,#REF!,3,FALSE)),"0",VLOOKUP(A63,#REF!,3,FALSE))</f>
        <v>#REF!</v>
      </c>
      <c r="F63" s="304" t="e">
        <f>IF(ISNA(VLOOKUP(A63,#REF!,4,FALSE)),"0",VLOOKUP(A63,#REF!,4,FALSE))</f>
        <v>#REF!</v>
      </c>
      <c r="G63" s="243" t="e">
        <f t="shared" si="5"/>
        <v>#REF!</v>
      </c>
      <c r="H63" s="1">
        <f>IF(ISNA(VLOOKUP(A63,Program_Review_Data!A53:E117,2,FALSE)),"0",VLOOKUP(A63,Program_Review_Data!A53:E117,2,FALSE))</f>
        <v>1663</v>
      </c>
      <c r="I63" s="1">
        <f>IF(ISNA(VLOOKUP($A63,Program_Review_Data!A53:F117,3,FALSE)),"0",VLOOKUP($A63,Program_Review_Data!A53:F117,3,FALSE))</f>
        <v>763</v>
      </c>
      <c r="J63" s="243">
        <f t="shared" si="6"/>
        <v>0.4588093806374023</v>
      </c>
      <c r="K63" s="242">
        <f>IF(ISNA(VLOOKUP($A63,Other_Data!A53:E117,2,FALSE)),"0",VLOOKUP($A63,Other_Data!A53:E117,2,FALSE))</f>
        <v>5544</v>
      </c>
      <c r="L63" s="1">
        <f>IF(ISNA(VLOOKUP($A63,Other_Data!A53:E117,3,FALSE)),"0",VLOOKUP($A63,Other_Data!A53:E117,3,FALSE))</f>
        <v>3935</v>
      </c>
      <c r="M63" s="243">
        <f t="shared" si="7"/>
        <v>0.7097763347763347</v>
      </c>
      <c r="N63" s="1">
        <f>IF(ISNA(VLOOKUP($A63,Burial_Data!$A$2:$C$65,2,FALSE)),"0",VLOOKUP($A63,Burial_Data!$A$2:$C$65,2,FALSE))</f>
        <v>7</v>
      </c>
      <c r="O63" s="304">
        <f>IF(ISNA(VLOOKUP($A63,Accrued_Data!$A$2:$D$64,3,FALSE)),"0",VLOOKUP($A63,Accrued_Data!$A$2:$D$64,3,FALSE))</f>
        <v>5</v>
      </c>
      <c r="P63" s="271">
        <v>7409</v>
      </c>
      <c r="Q63" s="259"/>
    </row>
    <row r="64" spans="1:17" ht="12.75">
      <c r="A64" t="s">
        <v>327</v>
      </c>
      <c r="B64" s="265">
        <f>IF(ISNA(VLOOKUP(A64,Entitlement_Data!A$3:C$64,2,FALSE)),"0",VLOOKUP(A64,Entitlement_Data!A$3:C$64,2,FALSE))</f>
        <v>22911</v>
      </c>
      <c r="C64" s="265">
        <f>IF(ISNA(VLOOKUP(A64,Entitlement_Data!A$3:D$64,3,FALSE)),"0",VLOOKUP(A64,Entitlement_Data!A$3:D$64,3,FALSE))</f>
        <v>17610</v>
      </c>
      <c r="D64" s="243">
        <f t="shared" si="4"/>
        <v>0.7686264239884771</v>
      </c>
      <c r="E64" s="304" t="e">
        <f>IF(ISNA(VLOOKUP(A64,#REF!,3,FALSE)),"0",VLOOKUP(A64,#REF!,3,FALSE))</f>
        <v>#REF!</v>
      </c>
      <c r="F64" s="304" t="e">
        <f>IF(ISNA(VLOOKUP(A64,#REF!,4,FALSE)),"0",VLOOKUP(A64,#REF!,4,FALSE))</f>
        <v>#REF!</v>
      </c>
      <c r="G64" s="243" t="e">
        <f t="shared" si="5"/>
        <v>#REF!</v>
      </c>
      <c r="H64" s="1">
        <f>IF(ISNA(VLOOKUP(A64,Program_Review_Data!A54:E118,2,FALSE)),"0",VLOOKUP(A64,Program_Review_Data!A54:E118,2,FALSE))</f>
        <v>1130</v>
      </c>
      <c r="I64" s="1">
        <f>IF(ISNA(VLOOKUP($A64,Program_Review_Data!A54:F118,3,FALSE)),"0",VLOOKUP($A64,Program_Review_Data!A54:F118,3,FALSE))</f>
        <v>556</v>
      </c>
      <c r="J64" s="243">
        <f t="shared" si="6"/>
        <v>0.4920353982300885</v>
      </c>
      <c r="K64" s="242">
        <f>IF(ISNA(VLOOKUP($A64,Other_Data!A54:E118,2,FALSE)),"0",VLOOKUP($A64,Other_Data!A54:E118,2,FALSE))</f>
        <v>2220</v>
      </c>
      <c r="L64" s="1">
        <f>IF(ISNA(VLOOKUP($A64,Other_Data!A54:E118,3,FALSE)),"0",VLOOKUP($A64,Other_Data!A54:E118,3,FALSE))</f>
        <v>1105</v>
      </c>
      <c r="M64" s="243">
        <f t="shared" si="7"/>
        <v>0.49774774774774777</v>
      </c>
      <c r="N64" s="1">
        <f>IF(ISNA(VLOOKUP($A64,Burial_Data!$A$2:$C$65,2,FALSE)),"0",VLOOKUP($A64,Burial_Data!$A$2:$C$65,2,FALSE))</f>
        <v>1</v>
      </c>
      <c r="O64" s="304">
        <f>IF(ISNA(VLOOKUP($A64,Accrued_Data!$A$2:$D$64,3,FALSE)),"0",VLOOKUP($A64,Accrued_Data!$A$2:$D$64,3,FALSE))</f>
        <v>3</v>
      </c>
      <c r="P64" s="271">
        <v>5054</v>
      </c>
      <c r="Q64" s="259"/>
    </row>
    <row r="65" spans="1:17" ht="12.75">
      <c r="A65" t="s">
        <v>329</v>
      </c>
      <c r="B65" s="265">
        <f>IF(ISNA(VLOOKUP(A65,Entitlement_Data!A$3:C$64,2,FALSE)),"0",VLOOKUP(A65,Entitlement_Data!A$3:C$64,2,FALSE))</f>
        <v>12073</v>
      </c>
      <c r="C65" s="265">
        <f>IF(ISNA(VLOOKUP(A65,Entitlement_Data!A$3:D$64,3,FALSE)),"0",VLOOKUP(A65,Entitlement_Data!A$3:D$64,3,FALSE))</f>
        <v>7666</v>
      </c>
      <c r="D65" s="243">
        <f t="shared" si="4"/>
        <v>0.6349705955437753</v>
      </c>
      <c r="E65" s="304" t="e">
        <f>IF(ISNA(VLOOKUP(A65,#REF!,3,FALSE)),"0",VLOOKUP(A65,#REF!,3,FALSE))</f>
        <v>#REF!</v>
      </c>
      <c r="F65" s="304" t="e">
        <f>IF(ISNA(VLOOKUP(A65,#REF!,4,FALSE)),"0",VLOOKUP(A65,#REF!,4,FALSE))</f>
        <v>#REF!</v>
      </c>
      <c r="G65" s="243" t="e">
        <f t="shared" si="5"/>
        <v>#REF!</v>
      </c>
      <c r="H65" s="1">
        <f>IF(ISNA(VLOOKUP(A65,Program_Review_Data!A55:E119,2,FALSE)),"0",VLOOKUP(A65,Program_Review_Data!A55:E119,2,FALSE))</f>
        <v>1961</v>
      </c>
      <c r="I65" s="1">
        <f>IF(ISNA(VLOOKUP($A65,Program_Review_Data!A55:F119,3,FALSE)),"0",VLOOKUP($A65,Program_Review_Data!A55:F119,3,FALSE))</f>
        <v>1058</v>
      </c>
      <c r="J65" s="243">
        <f t="shared" si="6"/>
        <v>0.5395206527281999</v>
      </c>
      <c r="K65" s="242">
        <f>IF(ISNA(VLOOKUP($A65,Other_Data!A55:E119,2,FALSE)),"0",VLOOKUP($A65,Other_Data!A55:E119,2,FALSE))</f>
        <v>627</v>
      </c>
      <c r="L65" s="1">
        <f>IF(ISNA(VLOOKUP($A65,Other_Data!A55:E119,3,FALSE)),"0",VLOOKUP($A65,Other_Data!A55:E119,3,FALSE))</f>
        <v>437</v>
      </c>
      <c r="M65" s="243">
        <f t="shared" si="7"/>
        <v>0.696969696969697</v>
      </c>
      <c r="N65" s="1">
        <f>IF(ISNA(VLOOKUP($A65,Burial_Data!$A$2:$C$65,2,FALSE)),"0",VLOOKUP($A65,Burial_Data!$A$2:$C$65,2,FALSE))</f>
        <v>4</v>
      </c>
      <c r="O65" s="304">
        <f>IF(ISNA(VLOOKUP($A65,Accrued_Data!$A$2:$D$64,3,FALSE)),"0",VLOOKUP($A65,Accrued_Data!$A$2:$D$64,3,FALSE))</f>
        <v>23</v>
      </c>
      <c r="P65" s="271">
        <v>5272</v>
      </c>
      <c r="Q65" s="259"/>
    </row>
    <row r="66" spans="1:17" ht="12.75">
      <c r="A66" t="s">
        <v>331</v>
      </c>
      <c r="B66" s="265">
        <f>IF(ISNA(VLOOKUP(A66,Entitlement_Data!A$3:C$64,2,FALSE)),"0",VLOOKUP(A66,Entitlement_Data!A$3:C$64,2,FALSE))</f>
        <v>9816</v>
      </c>
      <c r="C66" s="265">
        <f>IF(ISNA(VLOOKUP(A66,Entitlement_Data!A$3:D$64,3,FALSE)),"0",VLOOKUP(A66,Entitlement_Data!A$3:D$64,3,FALSE))</f>
        <v>7916</v>
      </c>
      <c r="D66" s="243">
        <f t="shared" si="4"/>
        <v>0.8064384678076609</v>
      </c>
      <c r="E66" s="304" t="e">
        <f>IF(ISNA(VLOOKUP(A66,#REF!,3,FALSE)),"0",VLOOKUP(A66,#REF!,3,FALSE))</f>
        <v>#REF!</v>
      </c>
      <c r="F66" s="304" t="e">
        <f>IF(ISNA(VLOOKUP(A66,#REF!,4,FALSE)),"0",VLOOKUP(A66,#REF!,4,FALSE))</f>
        <v>#REF!</v>
      </c>
      <c r="G66" s="243" t="e">
        <f t="shared" si="5"/>
        <v>#REF!</v>
      </c>
      <c r="H66" s="1">
        <f>IF(ISNA(VLOOKUP(A66,Program_Review_Data!A56:E120,2,FALSE)),"0",VLOOKUP(A66,Program_Review_Data!A56:E120,2,FALSE))</f>
        <v>426</v>
      </c>
      <c r="I66" s="1">
        <f>IF(ISNA(VLOOKUP($A66,Program_Review_Data!A56:F120,3,FALSE)),"0",VLOOKUP($A66,Program_Review_Data!A56:F120,3,FALSE))</f>
        <v>102</v>
      </c>
      <c r="J66" s="243">
        <f t="shared" si="6"/>
        <v>0.23943661971830985</v>
      </c>
      <c r="K66" s="242">
        <f>IF(ISNA(VLOOKUP($A66,Other_Data!A56:E120,2,FALSE)),"0",VLOOKUP($A66,Other_Data!A56:E120,2,FALSE))</f>
        <v>697</v>
      </c>
      <c r="L66" s="1">
        <f>IF(ISNA(VLOOKUP($A66,Other_Data!A56:E120,3,FALSE)),"0",VLOOKUP($A66,Other_Data!A56:E120,3,FALSE))</f>
        <v>538</v>
      </c>
      <c r="M66" s="243">
        <f t="shared" si="7"/>
        <v>0.7718794835007173</v>
      </c>
      <c r="N66" s="1">
        <f>IF(ISNA(VLOOKUP($A66,Burial_Data!$A$2:$C$65,2,FALSE)),"0",VLOOKUP($A66,Burial_Data!$A$2:$C$65,2,FALSE))</f>
        <v>1</v>
      </c>
      <c r="O66" s="304">
        <f>IF(ISNA(VLOOKUP($A66,Accrued_Data!$A$2:$D$64,3,FALSE)),"0",VLOOKUP($A66,Accrued_Data!$A$2:$D$64,3,FALSE))</f>
        <v>3</v>
      </c>
      <c r="P66" s="271">
        <v>898</v>
      </c>
      <c r="Q66" s="259"/>
    </row>
    <row r="67" spans="1:17" ht="12.75">
      <c r="A67" t="s">
        <v>333</v>
      </c>
      <c r="B67" s="265">
        <f>IF(ISNA(VLOOKUP(A67,Entitlement_Data!A$3:C$64,2,FALSE)),"0",VLOOKUP(A67,Entitlement_Data!A$3:C$64,2,FALSE))</f>
        <v>18351</v>
      </c>
      <c r="C67" s="265">
        <f>IF(ISNA(VLOOKUP(A67,Entitlement_Data!A$3:D$64,3,FALSE)),"0",VLOOKUP(A67,Entitlement_Data!A$3:D$64,3,FALSE))</f>
        <v>14356</v>
      </c>
      <c r="D67" s="243">
        <f t="shared" si="4"/>
        <v>0.7823006920603782</v>
      </c>
      <c r="E67" s="304" t="e">
        <f>IF(ISNA(VLOOKUP(A67,#REF!,3,FALSE)),"0",VLOOKUP(A67,#REF!,3,FALSE))</f>
        <v>#REF!</v>
      </c>
      <c r="F67" s="304" t="e">
        <f>IF(ISNA(VLOOKUP(A67,#REF!,4,FALSE)),"0",VLOOKUP(A67,#REF!,4,FALSE))</f>
        <v>#REF!</v>
      </c>
      <c r="G67" s="243" t="e">
        <f t="shared" si="5"/>
        <v>#REF!</v>
      </c>
      <c r="H67" s="1">
        <f>IF(ISNA(VLOOKUP(A67,Program_Review_Data!A57:E121,2,FALSE)),"0",VLOOKUP(A67,Program_Review_Data!A57:E121,2,FALSE))</f>
        <v>786</v>
      </c>
      <c r="I67" s="1">
        <f>IF(ISNA(VLOOKUP($A67,Program_Review_Data!A57:F121,3,FALSE)),"0",VLOOKUP($A67,Program_Review_Data!A57:F121,3,FALSE))</f>
        <v>559</v>
      </c>
      <c r="J67" s="243">
        <f t="shared" si="6"/>
        <v>0.7111959287531806</v>
      </c>
      <c r="K67" s="242">
        <f>IF(ISNA(VLOOKUP($A67,Other_Data!A57:E121,2,FALSE)),"0",VLOOKUP($A67,Other_Data!A57:E121,2,FALSE))</f>
        <v>2457</v>
      </c>
      <c r="L67" s="1">
        <f>IF(ISNA(VLOOKUP($A67,Other_Data!A57:E121,3,FALSE)),"0",VLOOKUP($A67,Other_Data!A57:E121,3,FALSE))</f>
        <v>2044</v>
      </c>
      <c r="M67" s="243">
        <f t="shared" si="7"/>
        <v>0.8319088319088319</v>
      </c>
      <c r="N67" s="1">
        <f>IF(ISNA(VLOOKUP($A67,Burial_Data!$A$2:$C$65,2,FALSE)),"0",VLOOKUP($A67,Burial_Data!$A$2:$C$65,2,FALSE))</f>
        <v>0</v>
      </c>
      <c r="O67" s="304">
        <f>IF(ISNA(VLOOKUP($A67,Accrued_Data!$A$2:$D$64,3,FALSE)),"0",VLOOKUP($A67,Accrued_Data!$A$2:$D$64,3,FALSE))</f>
        <v>2</v>
      </c>
      <c r="P67" s="271">
        <v>1619</v>
      </c>
      <c r="Q67" s="259"/>
    </row>
    <row r="68" spans="1:17" ht="12.75">
      <c r="A68" t="s">
        <v>334</v>
      </c>
      <c r="B68" s="265">
        <f>IF(ISNA(VLOOKUP(A68,Entitlement_Data!A$3:C$64,2,FALSE)),"0",VLOOKUP(A68,Entitlement_Data!A$3:C$64,2,FALSE))</f>
        <v>29851</v>
      </c>
      <c r="C68" s="265">
        <f>IF(ISNA(VLOOKUP(A68,Entitlement_Data!A$3:D$64,3,FALSE)),"0",VLOOKUP(A68,Entitlement_Data!A$3:D$64,3,FALSE))</f>
        <v>19638</v>
      </c>
      <c r="D68" s="243">
        <f t="shared" si="4"/>
        <v>0.6578674081270309</v>
      </c>
      <c r="E68" s="304" t="e">
        <f>IF(ISNA(VLOOKUP(A68,#REF!,3,FALSE)),"0",VLOOKUP(A68,#REF!,3,FALSE))</f>
        <v>#REF!</v>
      </c>
      <c r="F68" s="304" t="e">
        <f>IF(ISNA(VLOOKUP(A68,#REF!,4,FALSE)),"0",VLOOKUP(A68,#REF!,4,FALSE))</f>
        <v>#REF!</v>
      </c>
      <c r="G68" s="243" t="e">
        <f t="shared" si="5"/>
        <v>#REF!</v>
      </c>
      <c r="H68" s="1">
        <f>IF(ISNA(VLOOKUP(A68,Program_Review_Data!A58:E122,2,FALSE)),"0",VLOOKUP(A68,Program_Review_Data!A58:E122,2,FALSE))</f>
        <v>2262</v>
      </c>
      <c r="I68" s="1">
        <f>IF(ISNA(VLOOKUP($A68,Program_Review_Data!A58:F122,3,FALSE)),"0",VLOOKUP($A68,Program_Review_Data!A58:F122,3,FALSE))</f>
        <v>1551</v>
      </c>
      <c r="J68" s="243">
        <f t="shared" si="6"/>
        <v>0.6856763925729443</v>
      </c>
      <c r="K68" s="242">
        <f>IF(ISNA(VLOOKUP($A68,Other_Data!A58:E122,2,FALSE)),"0",VLOOKUP($A68,Other_Data!A58:E122,2,FALSE))</f>
        <v>3022</v>
      </c>
      <c r="L68" s="1">
        <f>IF(ISNA(VLOOKUP($A68,Other_Data!A58:E122,3,FALSE)),"0",VLOOKUP($A68,Other_Data!A58:E122,3,FALSE))</f>
        <v>1757</v>
      </c>
      <c r="M68" s="243">
        <f t="shared" si="7"/>
        <v>0.5814030443414957</v>
      </c>
      <c r="N68" s="1">
        <f>IF(ISNA(VLOOKUP($A68,Burial_Data!$A$2:$C$65,2,FALSE)),"0",VLOOKUP($A68,Burial_Data!$A$2:$C$65,2,FALSE))</f>
        <v>0</v>
      </c>
      <c r="O68" s="304">
        <f>IF(ISNA(VLOOKUP($A68,Accrued_Data!$A$2:$D$64,3,FALSE)),"0",VLOOKUP($A68,Accrued_Data!$A$2:$D$64,3,FALSE))</f>
        <v>2</v>
      </c>
      <c r="P68" s="271">
        <v>3971</v>
      </c>
      <c r="Q68" s="259"/>
    </row>
    <row r="69" spans="1:17" ht="12.75">
      <c r="A69" s="279" t="s">
        <v>336</v>
      </c>
      <c r="B69" s="265">
        <f>IF(ISNA(VLOOKUP(A69,Entitlement_Data!A$3:C$64,2,FALSE)),"0",VLOOKUP(A69,Entitlement_Data!A$3:C$64,2,FALSE))</f>
        <v>25668</v>
      </c>
      <c r="C69" s="265">
        <f>IF(ISNA(VLOOKUP(A69,Entitlement_Data!A$3:D$64,3,FALSE)),"0",VLOOKUP(A69,Entitlement_Data!A$3:D$64,3,FALSE))</f>
        <v>19529</v>
      </c>
      <c r="D69" s="245">
        <f t="shared" si="4"/>
        <v>0.7608306062022752</v>
      </c>
      <c r="E69" s="305" t="e">
        <f>IF(ISNA(VLOOKUP(A69,#REF!,3,FALSE)),"0",VLOOKUP(A69,#REF!,3,FALSE))</f>
        <v>#REF!</v>
      </c>
      <c r="F69" s="305" t="e">
        <f>IF(ISNA(VLOOKUP(A69,#REF!,4,FALSE)),"0",VLOOKUP(A69,#REF!,4,FALSE))</f>
        <v>#REF!</v>
      </c>
      <c r="G69" s="245" t="e">
        <f t="shared" si="5"/>
        <v>#REF!</v>
      </c>
      <c r="H69" s="1">
        <f>IF(ISNA(VLOOKUP(A69,Program_Review_Data!A59:E123,2,FALSE)),"0",VLOOKUP(A69,Program_Review_Data!A59:E123,2,FALSE))</f>
        <v>3493</v>
      </c>
      <c r="I69" s="1">
        <f>IF(ISNA(VLOOKUP($A69,Program_Review_Data!A59:F123,3,FALSE)),"0",VLOOKUP($A69,Program_Review_Data!A59:F123,3,FALSE))</f>
        <v>2292</v>
      </c>
      <c r="J69" s="245">
        <f t="shared" si="6"/>
        <v>0.6561694818207844</v>
      </c>
      <c r="K69" s="242">
        <f>IF(ISNA(VLOOKUP($A69,Other_Data!A59:E123,2,FALSE)),"0",VLOOKUP($A69,Other_Data!A59:E123,2,FALSE))</f>
        <v>2480</v>
      </c>
      <c r="L69" s="1">
        <f>IF(ISNA(VLOOKUP($A69,Other_Data!A59:E123,3,FALSE)),"0",VLOOKUP($A69,Other_Data!A59:E123,3,FALSE))</f>
        <v>1648</v>
      </c>
      <c r="M69" s="245">
        <f t="shared" si="7"/>
        <v>0.6645161290322581</v>
      </c>
      <c r="N69" s="33">
        <f>IF(ISNA(VLOOKUP($A69,Burial_Data!$A$2:$C$65,2,FALSE)),"0",VLOOKUP($A69,Burial_Data!$A$2:$C$65,2,FALSE))</f>
        <v>49</v>
      </c>
      <c r="O69" s="305">
        <f>IF(ISNA(VLOOKUP($A69,Accrued_Data!$A$2:$D$64,3,FALSE)),"0",VLOOKUP($A69,Accrued_Data!$A$2:$D$64,3,FALSE))</f>
        <v>41</v>
      </c>
      <c r="P69" s="271">
        <v>5423</v>
      </c>
      <c r="Q69" s="259"/>
    </row>
    <row r="70" spans="1:17" ht="13.5">
      <c r="A70" s="277" t="s">
        <v>163</v>
      </c>
      <c r="B70" s="281" t="e">
        <f>#REF!</f>
        <v>#REF!</v>
      </c>
      <c r="C70" s="281" t="e">
        <f>#REF!</f>
        <v>#REF!</v>
      </c>
      <c r="D70" s="286" t="e">
        <f>IF(B70=0,"-",C70/B70)</f>
        <v>#REF!</v>
      </c>
      <c r="E70" s="33" t="e">
        <f>Award_Formulas!B2</f>
        <v>#REF!</v>
      </c>
      <c r="F70" s="33" t="e">
        <f>Award_Formulas!G2</f>
        <v>#REF!</v>
      </c>
      <c r="G70" s="32" t="e">
        <f t="shared" si="1"/>
        <v>#REF!</v>
      </c>
      <c r="H70" s="281">
        <f>Program_Review_Formulas!B2</f>
        <v>0</v>
      </c>
      <c r="I70" s="281">
        <f>Program_Review_Formulas!C2</f>
        <v>0</v>
      </c>
      <c r="J70" s="264" t="str">
        <f>IF(I70=0,"-",I70/H70)</f>
        <v>-</v>
      </c>
      <c r="K70" s="281">
        <f>Other_Data_Formulas!B2</f>
        <v>121</v>
      </c>
      <c r="L70" s="281">
        <f>Other_Data_Formulas!C2</f>
        <v>90</v>
      </c>
      <c r="M70" s="32">
        <f t="shared" si="3"/>
        <v>0.743801652892562</v>
      </c>
      <c r="N70" s="33">
        <f>Burial_Formulas!B2</f>
        <v>1</v>
      </c>
      <c r="O70" s="33">
        <f>Accrued_Formulas!B2</f>
        <v>5</v>
      </c>
      <c r="P70" s="272">
        <v>12827</v>
      </c>
      <c r="Q70" s="259"/>
    </row>
    <row r="71" spans="1:17" ht="12.75">
      <c r="A71" s="274"/>
      <c r="Q71" s="336"/>
    </row>
    <row r="72" spans="2:17" s="16" customFormat="1" ht="24.75" customHeight="1">
      <c r="B72" s="406" t="s">
        <v>134</v>
      </c>
      <c r="C72" s="406"/>
      <c r="D72" s="406"/>
      <c r="E72" s="406"/>
      <c r="F72" s="406"/>
      <c r="G72" s="406"/>
      <c r="H72" s="406"/>
      <c r="I72" s="406"/>
      <c r="J72" s="406"/>
      <c r="K72" s="406"/>
      <c r="L72" s="406"/>
      <c r="M72" s="406"/>
      <c r="N72" s="406"/>
      <c r="O72" s="406"/>
      <c r="P72" s="406"/>
      <c r="Q72" s="336"/>
    </row>
    <row r="73" spans="1:17" s="17" customFormat="1" ht="15">
      <c r="A73" s="4"/>
      <c r="B73" s="401" t="s">
        <v>70</v>
      </c>
      <c r="C73" s="402"/>
      <c r="D73" s="403"/>
      <c r="E73" s="401" t="s">
        <v>71</v>
      </c>
      <c r="F73" s="402"/>
      <c r="G73" s="403"/>
      <c r="H73" s="401" t="s">
        <v>72</v>
      </c>
      <c r="I73" s="402"/>
      <c r="J73" s="403"/>
      <c r="K73" s="401" t="s">
        <v>73</v>
      </c>
      <c r="L73" s="402"/>
      <c r="M73" s="403"/>
      <c r="N73" s="13" t="s">
        <v>74</v>
      </c>
      <c r="O73" s="11" t="s">
        <v>75</v>
      </c>
      <c r="P73" s="13" t="s">
        <v>76</v>
      </c>
      <c r="Q73" s="337"/>
    </row>
    <row r="74" spans="1:17" s="21" customFormat="1" ht="60" customHeight="1">
      <c r="A74" s="6"/>
      <c r="B74" s="18" t="s">
        <v>77</v>
      </c>
      <c r="C74" s="19" t="s">
        <v>19</v>
      </c>
      <c r="D74" s="20" t="s">
        <v>78</v>
      </c>
      <c r="E74" s="18" t="s">
        <v>79</v>
      </c>
      <c r="F74" s="19" t="s">
        <v>19</v>
      </c>
      <c r="G74" s="20" t="s">
        <v>20</v>
      </c>
      <c r="H74" s="18" t="s">
        <v>80</v>
      </c>
      <c r="I74" s="19" t="s">
        <v>19</v>
      </c>
      <c r="J74" s="20" t="s">
        <v>20</v>
      </c>
      <c r="K74" s="18" t="s">
        <v>79</v>
      </c>
      <c r="L74" s="19" t="s">
        <v>282</v>
      </c>
      <c r="M74" s="20" t="s">
        <v>20</v>
      </c>
      <c r="N74" s="18" t="s">
        <v>77</v>
      </c>
      <c r="O74" s="19" t="s">
        <v>77</v>
      </c>
      <c r="P74" s="20" t="s">
        <v>80</v>
      </c>
      <c r="Q74" s="338"/>
    </row>
    <row r="75" spans="2:17" s="22" customFormat="1" ht="33" customHeight="1">
      <c r="B75" s="413" t="s">
        <v>135</v>
      </c>
      <c r="C75" s="414"/>
      <c r="D75" s="415"/>
      <c r="E75" s="413" t="s">
        <v>287</v>
      </c>
      <c r="F75" s="414"/>
      <c r="G75" s="415"/>
      <c r="H75" s="416" t="s">
        <v>212</v>
      </c>
      <c r="I75" s="414"/>
      <c r="J75" s="415"/>
      <c r="K75" s="413" t="s">
        <v>274</v>
      </c>
      <c r="L75" s="414"/>
      <c r="M75" s="415"/>
      <c r="N75" s="23">
        <v>167</v>
      </c>
      <c r="O75" s="23" t="s">
        <v>16</v>
      </c>
      <c r="P75" s="24" t="s">
        <v>24</v>
      </c>
      <c r="Q75" s="339"/>
    </row>
    <row r="76" spans="1:17" ht="15">
      <c r="A76" s="14" t="s">
        <v>156</v>
      </c>
      <c r="B76" s="27">
        <f>SUM(Entitlement_Data!F3:F66)</f>
        <v>75033</v>
      </c>
      <c r="C76" s="27">
        <f>SUM(Entitlement_Data!G3:G66)</f>
        <v>40196</v>
      </c>
      <c r="D76" s="29">
        <f>C76/B76</f>
        <v>0.535710953846974</v>
      </c>
      <c r="E76" s="222" t="e">
        <f>SUM(#REF!)-Transformation!E35</f>
        <v>#REF!</v>
      </c>
      <c r="F76" s="222" t="e">
        <f>SUM(#REF!)-Transformation!F35</f>
        <v>#REF!</v>
      </c>
      <c r="G76" s="29" t="e">
        <f>F76/E76</f>
        <v>#REF!</v>
      </c>
      <c r="H76" s="27">
        <f>SUM(Program_Review_Data!D3:D65)</f>
        <v>73633</v>
      </c>
      <c r="I76" s="27">
        <f>SUM(Program_Review_Data!E3:E65)</f>
        <v>27691</v>
      </c>
      <c r="J76" s="29">
        <f>I76/H76</f>
        <v>0.3760677956894327</v>
      </c>
      <c r="K76" s="27">
        <f>SUM(Other_Data!D3:D66)</f>
        <v>12707</v>
      </c>
      <c r="L76" s="27">
        <f>SUM(Other_Data!E3:E66)</f>
        <v>7366</v>
      </c>
      <c r="M76" s="29">
        <f>L76/K76</f>
        <v>0.5796804910679153</v>
      </c>
      <c r="N76" s="311">
        <f>Transformation!E97-N11</f>
        <v>18688</v>
      </c>
      <c r="O76" s="31">
        <f>SUM(O77:O79)</f>
        <v>11763</v>
      </c>
      <c r="P76" s="222">
        <f>SUM(P77:P79)</f>
        <v>2277</v>
      </c>
      <c r="Q76" s="259"/>
    </row>
    <row r="77" spans="1:17" ht="12.75">
      <c r="A77" t="s">
        <v>326</v>
      </c>
      <c r="B77" s="28">
        <f>IF(ISNA(VLOOKUP(A77,Entitlement_Data!A$3:G$64,6,FALSE)),"0",VLOOKUP(A77,Entitlement_Data!A$3:G$64,6,FALSE))</f>
        <v>33848</v>
      </c>
      <c r="C77" s="28">
        <f>IF(ISNA(VLOOKUP(A77,Entitlement_Data!A$3:G$64,7,FALSE)),"0",VLOOKUP(A77,Entitlement_Data!A$3:G$64,7,FALSE))</f>
        <v>22276</v>
      </c>
      <c r="D77" s="29">
        <f>C77/B77</f>
        <v>0.6581186480737414</v>
      </c>
      <c r="E77" s="304" t="e">
        <f>IF(ISNA(VLOOKUP(A77,#REF!,5,FALSE)),"0",VLOOKUP(A77,#REF!,5,FALSE))</f>
        <v>#REF!</v>
      </c>
      <c r="F77" s="304" t="e">
        <f>IF(ISNA(VLOOKUP(A77,#REF!,6,FALSE)),"0",VLOOKUP(A77,#REF!,6,FALSE))</f>
        <v>#REF!</v>
      </c>
      <c r="G77" s="29" t="e">
        <f>F77/E77</f>
        <v>#REF!</v>
      </c>
      <c r="H77" s="27">
        <f>IF(ISNA(VLOOKUP(A77,Program_Review_Data!$A$2:$E$68,4,FALSE)),"0",VLOOKUP(A77,Program_Review_Data!$A$2:$E$68,4,FALSE))</f>
        <v>28749</v>
      </c>
      <c r="I77" s="27">
        <f>IF(ISNA(VLOOKUP(A77,Program_Review_Data!$A$2:$E$68,5,FALSE)),"0",VLOOKUP(A77,Program_Review_Data!$A$2:$E$68,5,FALSE))</f>
        <v>12032</v>
      </c>
      <c r="J77" s="29">
        <f>I77/H77</f>
        <v>0.4185189050053915</v>
      </c>
      <c r="K77" s="27">
        <f>IF(ISNA(VLOOKUP($A77,Other_Data!$A$2:$E$66,4,FALSE)),"0",VLOOKUP($A77,Other_Data!$A$2:$E$66,4,FALSE))</f>
        <v>6536</v>
      </c>
      <c r="L77" s="27">
        <f>IF(ISNA(VLOOKUP($A77,Other_Data!$A$2:$E$66,5,FALSE)),"0",VLOOKUP($A77,Other_Data!$A$2:$E$66,5,FALSE))</f>
        <v>3325</v>
      </c>
      <c r="M77" s="29">
        <f>L77/K77</f>
        <v>0.5087209302325582</v>
      </c>
      <c r="N77" s="33">
        <f>IF(ISNA(VLOOKUP($A77,Burial_Data!$A$2:$C$65,3,FALSE)),"0",VLOOKUP($A77,Burial_Data!$A$2:$C$65,3,FALSE))</f>
        <v>8822</v>
      </c>
      <c r="O77" s="304">
        <f>IF(ISNA(VLOOKUP($A77,Accrued_Data!$A$2:$D$64,3,FALSE)),"0",VLOOKUP($A77,Accrued_Data!$A$2:$D$64,3,FALSE))</f>
        <v>5251</v>
      </c>
      <c r="P77" s="222">
        <v>785</v>
      </c>
      <c r="Q77" s="259"/>
    </row>
    <row r="78" spans="1:17" ht="12.75">
      <c r="A78" t="s">
        <v>319</v>
      </c>
      <c r="B78" s="28">
        <f>IF(ISNA(VLOOKUP(A78,Entitlement_Data!A$3:G$64,6,FALSE)),"0",VLOOKUP(A78,Entitlement_Data!A$3:G$64,6,FALSE))</f>
        <v>16311</v>
      </c>
      <c r="C78" s="28">
        <f>IF(ISNA(VLOOKUP(A78,Entitlement_Data!A$3:G$64,7,FALSE)),"0",VLOOKUP(A78,Entitlement_Data!A$3:G$64,7,FALSE))</f>
        <v>4733</v>
      </c>
      <c r="D78" s="29">
        <f>C78/B78</f>
        <v>0.2901722763779045</v>
      </c>
      <c r="E78" s="304" t="e">
        <f>IF(ISNA(VLOOKUP(A78,#REF!,5,FALSE)),"0",VLOOKUP(A78,#REF!,5,FALSE))</f>
        <v>#REF!</v>
      </c>
      <c r="F78" s="304" t="e">
        <f>IF(ISNA(VLOOKUP(A78,#REF!,6,FALSE)),"0",VLOOKUP(A78,#REF!,6,FALSE))</f>
        <v>#REF!</v>
      </c>
      <c r="G78" s="29" t="e">
        <f>F78/E78</f>
        <v>#REF!</v>
      </c>
      <c r="H78" s="27">
        <f>IF(ISNA(VLOOKUP(A78,Program_Review_Data!$A$2:$E$68,4,FALSE)),"0",VLOOKUP(A78,Program_Review_Data!$A$2:$E$68,4,FALSE))</f>
        <v>20464</v>
      </c>
      <c r="I78" s="27">
        <f>IF(ISNA(VLOOKUP(A78,Program_Review_Data!$A$2:$E$68,5,FALSE)),"0",VLOOKUP(A78,Program_Review_Data!$A$2:$E$68,5,FALSE))</f>
        <v>5544</v>
      </c>
      <c r="J78" s="29">
        <f>I78/H78</f>
        <v>0.2709147771696638</v>
      </c>
      <c r="K78" s="27">
        <f>IF(ISNA(VLOOKUP(A78,Other_Data!$A$2:$E$66,4,FALSE)),"0",VLOOKUP(A78,Other_Data!$A$2:$E$66,4,FALSE))</f>
        <v>587</v>
      </c>
      <c r="L78" s="27">
        <f>IF(ISNA(VLOOKUP($A78,Other_Data!$A$2:$E$66,5,FALSE)),"0",VLOOKUP($A78,Other_Data!$A$2:$E$66,5,FALSE))</f>
        <v>303</v>
      </c>
      <c r="M78" s="29">
        <f>L78/K78</f>
        <v>0.5161839863713799</v>
      </c>
      <c r="N78" s="33">
        <f>IF(ISNA(VLOOKUP($A78,Burial_Data!$A$2:$C$65,3,FALSE)),"0",VLOOKUP($A78,Burial_Data!$A$2:$C$65,3,FALSE))</f>
        <v>2358</v>
      </c>
      <c r="O78" s="304">
        <f>IF(ISNA(VLOOKUP($A78,Accrued_Data!$A$2:$D$64,3,FALSE)),"0",VLOOKUP($A78,Accrued_Data!$A$2:$D$64,3,FALSE))</f>
        <v>1545</v>
      </c>
      <c r="P78" s="222">
        <v>665</v>
      </c>
      <c r="Q78" s="259"/>
    </row>
    <row r="79" spans="1:17" ht="12.75">
      <c r="A79" t="s">
        <v>339</v>
      </c>
      <c r="B79" s="28">
        <f>IF(ISNA(VLOOKUP(A79,Entitlement_Data!A$3:G$64,6,FALSE)),"0",VLOOKUP(A79,Entitlement_Data!A$3:G$64,6,FALSE))</f>
        <v>24473</v>
      </c>
      <c r="C79" s="28">
        <f>IF(ISNA(VLOOKUP(A79,Entitlement_Data!A$3:G$64,7,FALSE)),"0",VLOOKUP(A79,Entitlement_Data!A$3:G$64,7,FALSE))</f>
        <v>12996</v>
      </c>
      <c r="D79" s="29">
        <f>C79/B79</f>
        <v>0.5310342009561557</v>
      </c>
      <c r="E79" s="304" t="e">
        <f>IF(ISNA(VLOOKUP(A79,#REF!,5,FALSE)),"0",VLOOKUP(A79,#REF!,5,FALSE))</f>
        <v>#REF!</v>
      </c>
      <c r="F79" s="304" t="e">
        <f>IF(ISNA(VLOOKUP(A79,#REF!,6,FALSE)),"0",VLOOKUP(A79,#REF!,6,FALSE))</f>
        <v>#REF!</v>
      </c>
      <c r="G79" s="29" t="e">
        <f>F79/E79</f>
        <v>#REF!</v>
      </c>
      <c r="H79" s="27">
        <f>IF(ISNA(VLOOKUP(A79,Program_Review_Data!$A$2:$E$68,4,FALSE)),"0",VLOOKUP(A79,Program_Review_Data!$A$2:$E$68,4,FALSE))</f>
        <v>24197</v>
      </c>
      <c r="I79" s="27">
        <f>IF(ISNA(VLOOKUP(A79,Program_Review_Data!$A$2:$E$68,5,FALSE)),"0",VLOOKUP(A79,Program_Review_Data!$A$2:$E$68,5,FALSE))</f>
        <v>9947</v>
      </c>
      <c r="J79" s="29">
        <f>I79/H79</f>
        <v>0.41108401868000166</v>
      </c>
      <c r="K79" s="27">
        <f>IF(ISNA(VLOOKUP(A79,Other_Data!$A$2:$E$66,4,FALSE)),"0",VLOOKUP(A79,Other_Data!$A$2:$E$66,4,FALSE))</f>
        <v>5184</v>
      </c>
      <c r="L79" s="27">
        <f>IF(ISNA(VLOOKUP($A79,Other_Data!$A$2:$E$66,5,FALSE)),"0",VLOOKUP($A79,Other_Data!$A$2:$E$66,5,FALSE))</f>
        <v>3432</v>
      </c>
      <c r="M79" s="29">
        <f>L79/K79</f>
        <v>0.6620370370370371</v>
      </c>
      <c r="N79" s="33">
        <f>IF(ISNA(VLOOKUP($A79,Burial_Data!$A$2:$C$65,3,FALSE)),"0",VLOOKUP($A79,Burial_Data!$A$2:$C$65,3,FALSE))</f>
        <v>7428</v>
      </c>
      <c r="O79" s="304">
        <f>IF(ISNA(VLOOKUP($A79,Accrued_Data!$A$2:$D$64,3,FALSE)),"0",VLOOKUP($A79,Accrued_Data!$A$2:$D$64,3,FALSE))</f>
        <v>4967</v>
      </c>
      <c r="P79" s="222">
        <v>827</v>
      </c>
      <c r="Q79" s="259"/>
    </row>
    <row r="80" spans="1:17" ht="13.5">
      <c r="A80" s="26" t="s">
        <v>357</v>
      </c>
      <c r="B80" s="28">
        <f>B76-B77-B78-B79</f>
        <v>401</v>
      </c>
      <c r="C80" s="28">
        <f>C76-C77-C78-C79</f>
        <v>191</v>
      </c>
      <c r="D80" s="29">
        <f>C80/B80</f>
        <v>0.4763092269326683</v>
      </c>
      <c r="E80" s="28" t="e">
        <f>E76-E77-E78-E79</f>
        <v>#REF!</v>
      </c>
      <c r="F80" s="28" t="e">
        <f>F76-F77-F78-F79</f>
        <v>#REF!</v>
      </c>
      <c r="G80" s="29" t="e">
        <f>F80/E80</f>
        <v>#REF!</v>
      </c>
      <c r="H80" s="28">
        <f>H76-H77-H78-H79</f>
        <v>223</v>
      </c>
      <c r="I80" s="28">
        <f>I76-I77-I78-I79</f>
        <v>168</v>
      </c>
      <c r="J80" s="29">
        <f>I80/H80</f>
        <v>0.7533632286995515</v>
      </c>
      <c r="K80" s="28">
        <f>K76-K77-K78-K79</f>
        <v>400</v>
      </c>
      <c r="L80" s="28">
        <f>L76-L77-L78-L79</f>
        <v>306</v>
      </c>
      <c r="M80" s="29">
        <f>L80/K80</f>
        <v>0.765</v>
      </c>
      <c r="N80" s="48">
        <f>N76-SUM(N77:N79)</f>
        <v>80</v>
      </c>
      <c r="O80" s="172" t="s">
        <v>226</v>
      </c>
      <c r="P80" s="172" t="s">
        <v>226</v>
      </c>
      <c r="Q80" s="341"/>
    </row>
    <row r="81" spans="5:14" ht="12.75">
      <c r="E81" s="1"/>
      <c r="K81" s="1"/>
      <c r="N81" s="30"/>
    </row>
    <row r="83" spans="2:9" ht="26.25">
      <c r="B83" s="392" t="s">
        <v>239</v>
      </c>
      <c r="C83" s="392"/>
      <c r="D83" s="392"/>
      <c r="E83" s="392"/>
      <c r="F83" s="392"/>
      <c r="G83" s="392"/>
      <c r="H83" s="392"/>
      <c r="I83" s="392"/>
    </row>
    <row r="84" spans="2:9" ht="15">
      <c r="B84" s="401" t="s">
        <v>230</v>
      </c>
      <c r="C84" s="402"/>
      <c r="D84" s="402"/>
      <c r="E84" s="402"/>
      <c r="F84" s="401" t="s">
        <v>237</v>
      </c>
      <c r="G84" s="402"/>
      <c r="H84" s="402"/>
      <c r="I84" s="403"/>
    </row>
    <row r="85" spans="2:17" ht="54">
      <c r="B85" s="213" t="s">
        <v>235</v>
      </c>
      <c r="C85" s="213" t="s">
        <v>236</v>
      </c>
      <c r="D85" s="213" t="s">
        <v>238</v>
      </c>
      <c r="E85" s="213" t="s">
        <v>241</v>
      </c>
      <c r="F85" s="20" t="s">
        <v>235</v>
      </c>
      <c r="G85" s="213" t="s">
        <v>236</v>
      </c>
      <c r="H85" s="213" t="s">
        <v>238</v>
      </c>
      <c r="I85" s="213" t="s">
        <v>241</v>
      </c>
      <c r="K85" s="235" t="s">
        <v>248</v>
      </c>
      <c r="L85" s="233"/>
      <c r="M85" s="233"/>
      <c r="N85" s="233"/>
      <c r="O85" s="233"/>
      <c r="P85" s="234"/>
      <c r="Q85" s="234"/>
    </row>
    <row r="86" spans="1:17" ht="15.75" thickBot="1">
      <c r="A86" s="228" t="s">
        <v>240</v>
      </c>
      <c r="B86" s="230">
        <f>SUM(B87:B90)</f>
        <v>5463</v>
      </c>
      <c r="C86" s="230">
        <f>SUM(C87:C90)</f>
        <v>20338</v>
      </c>
      <c r="D86" s="230">
        <f>B86-C86</f>
        <v>-14875</v>
      </c>
      <c r="E86" s="231">
        <f>D86/C86</f>
        <v>-0.7313895171599961</v>
      </c>
      <c r="F86" s="230">
        <f>SUM(F87:F90)</f>
        <v>146955</v>
      </c>
      <c r="G86" s="230">
        <f>SUM(G87:G90)</f>
        <v>124138</v>
      </c>
      <c r="H86" s="230">
        <f>F86-G86</f>
        <v>22817</v>
      </c>
      <c r="I86" s="231">
        <f>H86/G86</f>
        <v>0.18380350899805056</v>
      </c>
      <c r="K86" s="233" t="s">
        <v>249</v>
      </c>
      <c r="L86" s="233"/>
      <c r="M86" s="233"/>
      <c r="N86" s="233"/>
      <c r="O86" s="233"/>
      <c r="P86" s="234"/>
      <c r="Q86" s="234"/>
    </row>
    <row r="87" spans="1:17" ht="15">
      <c r="A87" s="211" t="s">
        <v>231</v>
      </c>
      <c r="B87" s="328">
        <v>1568</v>
      </c>
      <c r="C87" s="319">
        <v>6110</v>
      </c>
      <c r="D87" s="320">
        <f>B87-C87</f>
        <v>-4542</v>
      </c>
      <c r="E87" s="321">
        <f>D87/C87</f>
        <v>-0.7433715220949263</v>
      </c>
      <c r="F87" s="331">
        <v>23591</v>
      </c>
      <c r="G87" s="326">
        <v>21542</v>
      </c>
      <c r="H87" s="320">
        <f>F87-G87</f>
        <v>2049</v>
      </c>
      <c r="I87" s="321">
        <f>H87/G87</f>
        <v>0.09511651657227742</v>
      </c>
      <c r="K87" s="233" t="s">
        <v>250</v>
      </c>
      <c r="L87" s="233"/>
      <c r="M87" s="233"/>
      <c r="N87" s="233"/>
      <c r="O87" s="233"/>
      <c r="P87" s="234"/>
      <c r="Q87" s="234"/>
    </row>
    <row r="88" spans="1:17" ht="14.25">
      <c r="A88" s="257" t="s">
        <v>232</v>
      </c>
      <c r="B88" s="329">
        <v>1055</v>
      </c>
      <c r="C88" s="258">
        <v>4375</v>
      </c>
      <c r="D88" s="232">
        <f>B88-C88</f>
        <v>-3320</v>
      </c>
      <c r="E88" s="322">
        <f>D88/C88</f>
        <v>-0.7588571428571429</v>
      </c>
      <c r="F88" s="332">
        <v>34593</v>
      </c>
      <c r="G88" s="236">
        <v>34228</v>
      </c>
      <c r="H88" s="232">
        <f>F88-G88</f>
        <v>365</v>
      </c>
      <c r="I88" s="322">
        <f>H88/G88</f>
        <v>0.010663784036461376</v>
      </c>
      <c r="K88" s="233" t="s">
        <v>251</v>
      </c>
      <c r="L88" s="233"/>
      <c r="M88" s="233"/>
      <c r="N88" s="233"/>
      <c r="O88" s="233"/>
      <c r="P88" s="234"/>
      <c r="Q88" s="234"/>
    </row>
    <row r="89" spans="1:17" ht="15">
      <c r="A89" s="211" t="s">
        <v>233</v>
      </c>
      <c r="B89" s="329">
        <v>693</v>
      </c>
      <c r="C89" s="258">
        <v>5796</v>
      </c>
      <c r="D89" s="232">
        <f>B89-C89</f>
        <v>-5103</v>
      </c>
      <c r="E89" s="322">
        <f>D89/C89</f>
        <v>-0.8804347826086957</v>
      </c>
      <c r="F89" s="332">
        <v>50945</v>
      </c>
      <c r="G89" s="236">
        <v>43145</v>
      </c>
      <c r="H89" s="232">
        <f>F89-G89</f>
        <v>7800</v>
      </c>
      <c r="I89" s="322">
        <f>H89/G89</f>
        <v>0.18078572256344883</v>
      </c>
      <c r="K89" s="233" t="s">
        <v>257</v>
      </c>
      <c r="L89" s="233"/>
      <c r="M89" s="233"/>
      <c r="N89" s="233"/>
      <c r="O89" s="233"/>
      <c r="P89" s="234"/>
      <c r="Q89" s="234"/>
    </row>
    <row r="90" spans="1:15" ht="15.75" thickBot="1">
      <c r="A90" s="212" t="s">
        <v>234</v>
      </c>
      <c r="B90" s="330">
        <v>2147</v>
      </c>
      <c r="C90" s="323">
        <v>4057</v>
      </c>
      <c r="D90" s="324">
        <f>B90-C90</f>
        <v>-1910</v>
      </c>
      <c r="E90" s="325">
        <f>D90/C90</f>
        <v>-0.4707912250431353</v>
      </c>
      <c r="F90" s="333">
        <v>37826</v>
      </c>
      <c r="G90" s="327">
        <v>25223</v>
      </c>
      <c r="H90" s="324">
        <f>F90-G90</f>
        <v>12603</v>
      </c>
      <c r="I90" s="325">
        <f>H90/G90</f>
        <v>0.4996630059865995</v>
      </c>
      <c r="K90" s="233" t="s">
        <v>258</v>
      </c>
      <c r="L90" s="229"/>
      <c r="M90" s="229"/>
      <c r="N90" s="229"/>
      <c r="O90" s="229"/>
    </row>
    <row r="91" s="229" customFormat="1" ht="12.75">
      <c r="K91" s="233"/>
    </row>
    <row r="92" spans="6:7" s="229" customFormat="1" ht="14.25">
      <c r="F92" s="229" t="s">
        <v>286</v>
      </c>
      <c r="G92" s="253"/>
    </row>
    <row r="93" spans="5:7" s="229" customFormat="1" ht="14.25">
      <c r="E93" s="273" t="s">
        <v>289</v>
      </c>
      <c r="G93" s="253"/>
    </row>
    <row r="94" spans="1:7" s="229" customFormat="1" ht="12.75" customHeight="1">
      <c r="A94" s="412" t="s">
        <v>254</v>
      </c>
      <c r="B94" s="238"/>
      <c r="G94" s="253"/>
    </row>
    <row r="95" spans="1:7" s="229" customFormat="1" ht="14.25">
      <c r="A95" s="412"/>
      <c r="B95" s="238"/>
      <c r="G95" s="253"/>
    </row>
    <row r="96" spans="1:2" s="229" customFormat="1" ht="12.75">
      <c r="A96" s="412"/>
      <c r="B96" s="238" t="s">
        <v>281</v>
      </c>
    </row>
    <row r="97" spans="1:2" s="229" customFormat="1" ht="12.75">
      <c r="A97" s="229" t="s">
        <v>255</v>
      </c>
      <c r="B97" s="239" t="e">
        <f>SUM(#REF!,#REF!,#REF!,#REF!)</f>
        <v>#REF!</v>
      </c>
    </row>
    <row r="98" spans="1:2" s="229" customFormat="1" ht="12.75">
      <c r="A98" s="229" t="s">
        <v>256</v>
      </c>
      <c r="B98" s="239" t="e">
        <f>SUM(#REF!,#REF!,#REF!)</f>
        <v>#REF!</v>
      </c>
    </row>
    <row r="99" spans="1:2" s="229" customFormat="1" ht="12.75">
      <c r="A99" s="229" t="s">
        <v>259</v>
      </c>
      <c r="B99" s="240" t="e">
        <f>B98/B97</f>
        <v>#REF!</v>
      </c>
    </row>
    <row r="100" s="229" customFormat="1" ht="12.75"/>
    <row r="101" spans="3:5" s="307" customFormat="1" ht="15.75">
      <c r="C101" s="342"/>
      <c r="D101" s="343"/>
      <c r="E101" s="343"/>
    </row>
    <row r="102" spans="3:5" s="307" customFormat="1" ht="15.75">
      <c r="C102" s="342"/>
      <c r="D102" s="343"/>
      <c r="E102" s="343"/>
    </row>
    <row r="103" spans="3:5" s="307" customFormat="1" ht="15.75">
      <c r="C103" s="344"/>
      <c r="D103" s="343"/>
      <c r="E103" s="343"/>
    </row>
    <row r="104" spans="3:5" s="307" customFormat="1" ht="15.75">
      <c r="C104" s="342"/>
      <c r="D104" s="343"/>
      <c r="E104" s="343"/>
    </row>
    <row r="105" spans="3:5" s="307" customFormat="1" ht="15.75">
      <c r="C105" s="342"/>
      <c r="D105" s="343"/>
      <c r="E105" s="343"/>
    </row>
    <row r="106" s="307"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07" customWidth="1"/>
    <col min="4" max="4" width="18.57421875" style="0" customWidth="1"/>
    <col min="5" max="5" width="23.421875" style="0" customWidth="1"/>
    <col min="6" max="6" width="16.140625" style="0" customWidth="1"/>
    <col min="7" max="7" width="21.00390625" style="283" customWidth="1"/>
  </cols>
  <sheetData>
    <row r="1" spans="1:7" ht="12.75">
      <c r="A1" s="417" t="s">
        <v>402</v>
      </c>
      <c r="B1" s="417"/>
      <c r="C1" s="417"/>
      <c r="D1" s="417"/>
      <c r="E1" s="417"/>
      <c r="F1" s="417"/>
      <c r="G1" s="417"/>
    </row>
    <row r="2" spans="1:7" ht="12.75">
      <c r="A2" s="256" t="s">
        <v>290</v>
      </c>
      <c r="B2" s="256" t="s">
        <v>291</v>
      </c>
      <c r="C2" s="306" t="s">
        <v>356</v>
      </c>
      <c r="D2" s="256" t="s">
        <v>403</v>
      </c>
      <c r="E2" s="256" t="s">
        <v>404</v>
      </c>
      <c r="F2" s="256" t="s">
        <v>405</v>
      </c>
      <c r="G2" s="282" t="s">
        <v>406</v>
      </c>
    </row>
    <row r="3" ht="12.75">
      <c r="A3" t="s">
        <v>26</v>
      </c>
    </row>
    <row r="4" spans="1:7" ht="12.75">
      <c r="A4" t="s">
        <v>295</v>
      </c>
      <c r="B4">
        <v>19922</v>
      </c>
      <c r="C4" s="307">
        <v>16687</v>
      </c>
      <c r="F4">
        <v>11</v>
      </c>
      <c r="G4" s="283">
        <v>11</v>
      </c>
    </row>
    <row r="5" spans="1:7" ht="12.75">
      <c r="A5" t="s">
        <v>297</v>
      </c>
      <c r="B5">
        <v>11493</v>
      </c>
      <c r="C5" s="307">
        <v>8935</v>
      </c>
      <c r="F5">
        <v>1</v>
      </c>
      <c r="G5" s="283">
        <v>1</v>
      </c>
    </row>
    <row r="6" spans="1:7" ht="12.75">
      <c r="A6" t="s">
        <v>231</v>
      </c>
      <c r="B6">
        <v>8189</v>
      </c>
      <c r="C6" s="307">
        <v>5091</v>
      </c>
      <c r="F6">
        <v>2</v>
      </c>
      <c r="G6" s="283">
        <v>2</v>
      </c>
    </row>
    <row r="7" spans="1:7" ht="12.75">
      <c r="A7" t="s">
        <v>300</v>
      </c>
      <c r="B7">
        <v>24104</v>
      </c>
      <c r="C7" s="307">
        <v>17516</v>
      </c>
      <c r="F7">
        <v>10</v>
      </c>
      <c r="G7" s="283">
        <v>5</v>
      </c>
    </row>
    <row r="8" spans="1:7" ht="12.75">
      <c r="A8" t="s">
        <v>304</v>
      </c>
      <c r="B8">
        <v>17164</v>
      </c>
      <c r="C8" s="307">
        <v>10359</v>
      </c>
      <c r="F8">
        <v>8</v>
      </c>
      <c r="G8" s="283">
        <v>1</v>
      </c>
    </row>
    <row r="9" spans="1:3" ht="12.75">
      <c r="A9" t="s">
        <v>307</v>
      </c>
      <c r="B9">
        <v>3008</v>
      </c>
      <c r="C9" s="307">
        <v>1420</v>
      </c>
    </row>
    <row r="10" spans="1:7" ht="12.75">
      <c r="A10" t="s">
        <v>311</v>
      </c>
      <c r="B10">
        <v>18741</v>
      </c>
      <c r="C10" s="307">
        <v>14722</v>
      </c>
      <c r="F10">
        <v>7</v>
      </c>
      <c r="G10" s="283">
        <v>5</v>
      </c>
    </row>
    <row r="11" spans="1:6" ht="12.75">
      <c r="A11" t="s">
        <v>317</v>
      </c>
      <c r="B11">
        <v>2166</v>
      </c>
      <c r="C11" s="307">
        <v>1433</v>
      </c>
      <c r="F11">
        <v>1</v>
      </c>
    </row>
    <row r="12" spans="1:7" ht="12.75">
      <c r="A12" t="s">
        <v>323</v>
      </c>
      <c r="B12">
        <v>12779</v>
      </c>
      <c r="C12" s="307">
        <v>10133</v>
      </c>
      <c r="F12">
        <v>4</v>
      </c>
      <c r="G12" s="283">
        <v>3</v>
      </c>
    </row>
    <row r="13" spans="1:7" ht="12.75">
      <c r="A13" t="s">
        <v>324</v>
      </c>
      <c r="B13">
        <v>4193</v>
      </c>
      <c r="C13" s="307">
        <v>2399</v>
      </c>
      <c r="F13">
        <v>4</v>
      </c>
      <c r="G13" s="283">
        <v>4</v>
      </c>
    </row>
    <row r="14" spans="1:7" ht="12.75">
      <c r="A14" t="s">
        <v>326</v>
      </c>
      <c r="B14">
        <v>23591</v>
      </c>
      <c r="C14" s="307">
        <v>15393</v>
      </c>
      <c r="F14">
        <v>33848</v>
      </c>
      <c r="G14" s="283">
        <v>22276</v>
      </c>
    </row>
    <row r="15" spans="1:7" ht="12.75">
      <c r="A15" t="s">
        <v>328</v>
      </c>
      <c r="B15">
        <v>11529</v>
      </c>
      <c r="C15" s="307">
        <v>8586</v>
      </c>
      <c r="F15">
        <v>6</v>
      </c>
      <c r="G15" s="283">
        <v>6</v>
      </c>
    </row>
    <row r="16" spans="1:3" ht="12.75">
      <c r="A16" t="s">
        <v>330</v>
      </c>
      <c r="B16">
        <v>4303</v>
      </c>
      <c r="C16" s="307">
        <v>1718</v>
      </c>
    </row>
    <row r="17" spans="1:3" ht="12.75">
      <c r="A17" t="s">
        <v>341</v>
      </c>
      <c r="B17">
        <v>2949</v>
      </c>
      <c r="C17" s="307">
        <v>959</v>
      </c>
    </row>
    <row r="18" spans="1:7" ht="12.75">
      <c r="A18" t="s">
        <v>345</v>
      </c>
      <c r="B18">
        <v>970</v>
      </c>
      <c r="C18" s="307">
        <v>598</v>
      </c>
      <c r="F18">
        <v>1</v>
      </c>
      <c r="G18" s="283">
        <v>1</v>
      </c>
    </row>
    <row r="19" spans="1:7" ht="12.75">
      <c r="A19" t="s">
        <v>347</v>
      </c>
      <c r="B19">
        <v>1174</v>
      </c>
      <c r="C19" s="307">
        <v>578</v>
      </c>
      <c r="F19">
        <v>1</v>
      </c>
      <c r="G19" s="283">
        <v>1</v>
      </c>
    </row>
    <row r="20" spans="1:3" ht="12.75">
      <c r="A20" t="s">
        <v>232</v>
      </c>
      <c r="B20">
        <v>32245</v>
      </c>
      <c r="C20" s="307">
        <v>20830</v>
      </c>
    </row>
    <row r="21" spans="1:7" ht="12.75">
      <c r="A21" t="s">
        <v>301</v>
      </c>
      <c r="B21">
        <v>24168</v>
      </c>
      <c r="C21" s="307">
        <v>16057</v>
      </c>
      <c r="F21">
        <v>5</v>
      </c>
      <c r="G21" s="283">
        <v>5</v>
      </c>
    </row>
    <row r="22" spans="1:7" ht="12.75">
      <c r="A22" t="s">
        <v>310</v>
      </c>
      <c r="B22">
        <v>10112</v>
      </c>
      <c r="C22" s="307">
        <v>6244</v>
      </c>
      <c r="F22">
        <v>6</v>
      </c>
      <c r="G22" s="283">
        <v>5</v>
      </c>
    </row>
    <row r="23" spans="1:7" ht="12.75">
      <c r="A23" t="s">
        <v>312</v>
      </c>
      <c r="B23">
        <v>10362</v>
      </c>
      <c r="C23" s="307">
        <v>7021</v>
      </c>
      <c r="F23">
        <v>7</v>
      </c>
      <c r="G23" s="283">
        <v>3</v>
      </c>
    </row>
    <row r="24" spans="1:7" ht="12.75">
      <c r="A24" t="s">
        <v>316</v>
      </c>
      <c r="B24">
        <v>11346</v>
      </c>
      <c r="C24" s="307">
        <v>7307</v>
      </c>
      <c r="F24">
        <v>3</v>
      </c>
      <c r="G24" s="283">
        <v>3</v>
      </c>
    </row>
    <row r="25" spans="1:7" ht="12.75">
      <c r="A25" t="s">
        <v>320</v>
      </c>
      <c r="B25">
        <v>15034</v>
      </c>
      <c r="C25" s="307">
        <v>10038</v>
      </c>
      <c r="F25">
        <v>12</v>
      </c>
      <c r="G25" s="283">
        <v>8</v>
      </c>
    </row>
    <row r="26" spans="1:7" ht="12.75">
      <c r="A26" t="s">
        <v>321</v>
      </c>
      <c r="B26">
        <v>12906</v>
      </c>
      <c r="C26" s="307">
        <v>5488</v>
      </c>
      <c r="F26">
        <v>1</v>
      </c>
      <c r="G26" s="283">
        <v>1</v>
      </c>
    </row>
    <row r="27" spans="1:7" ht="12.75">
      <c r="A27" t="s">
        <v>332</v>
      </c>
      <c r="B27">
        <v>29485</v>
      </c>
      <c r="C27" s="307">
        <v>22284</v>
      </c>
      <c r="F27">
        <v>6</v>
      </c>
      <c r="G27" s="283">
        <v>1</v>
      </c>
    </row>
    <row r="28" spans="1:7" ht="12.75">
      <c r="A28" t="s">
        <v>335</v>
      </c>
      <c r="B28">
        <v>5067</v>
      </c>
      <c r="C28" s="307">
        <v>3047</v>
      </c>
      <c r="F28">
        <v>5</v>
      </c>
      <c r="G28" s="283">
        <v>4</v>
      </c>
    </row>
    <row r="29" spans="1:7" ht="12.75">
      <c r="A29" t="s">
        <v>340</v>
      </c>
      <c r="B29">
        <v>47782</v>
      </c>
      <c r="C29" s="307">
        <v>31434</v>
      </c>
      <c r="F29">
        <v>45</v>
      </c>
      <c r="G29" s="283">
        <v>18</v>
      </c>
    </row>
    <row r="30" spans="1:3" ht="12.75">
      <c r="A30" t="s">
        <v>343</v>
      </c>
      <c r="B30">
        <v>175</v>
      </c>
      <c r="C30" s="307">
        <v>130</v>
      </c>
    </row>
    <row r="31" spans="1:7" ht="12.75">
      <c r="A31" t="s">
        <v>348</v>
      </c>
      <c r="B31">
        <v>46273</v>
      </c>
      <c r="C31" s="307">
        <v>30250</v>
      </c>
      <c r="F31">
        <v>7</v>
      </c>
      <c r="G31" s="283">
        <v>5</v>
      </c>
    </row>
    <row r="32" spans="1:7" ht="12.75">
      <c r="A32" t="s">
        <v>299</v>
      </c>
      <c r="B32">
        <v>20973</v>
      </c>
      <c r="C32" s="307">
        <v>16856</v>
      </c>
      <c r="F32">
        <v>7</v>
      </c>
      <c r="G32" s="283">
        <v>7</v>
      </c>
    </row>
    <row r="33" spans="1:3" ht="12.75">
      <c r="A33" t="s">
        <v>303</v>
      </c>
      <c r="B33">
        <v>6833</v>
      </c>
      <c r="C33" s="307">
        <v>4768</v>
      </c>
    </row>
    <row r="34" spans="1:3" ht="12.75">
      <c r="A34" t="s">
        <v>305</v>
      </c>
      <c r="B34">
        <v>1104</v>
      </c>
      <c r="C34" s="307">
        <v>297</v>
      </c>
    </row>
    <row r="35" spans="1:7" ht="12.75">
      <c r="A35" t="s">
        <v>309</v>
      </c>
      <c r="B35">
        <v>37594</v>
      </c>
      <c r="C35" s="307">
        <v>27471</v>
      </c>
      <c r="F35">
        <v>9</v>
      </c>
      <c r="G35" s="283">
        <v>8</v>
      </c>
    </row>
    <row r="36" spans="1:6" ht="12.75">
      <c r="A36" t="s">
        <v>313</v>
      </c>
      <c r="B36">
        <v>3896</v>
      </c>
      <c r="C36" s="307">
        <v>1578</v>
      </c>
      <c r="F36">
        <v>1</v>
      </c>
    </row>
    <row r="37" spans="1:7" ht="12.75">
      <c r="A37" t="s">
        <v>314</v>
      </c>
      <c r="B37">
        <v>8429</v>
      </c>
      <c r="C37" s="307">
        <v>5376</v>
      </c>
      <c r="F37">
        <v>3</v>
      </c>
      <c r="G37" s="283">
        <v>2</v>
      </c>
    </row>
    <row r="38" spans="1:7" ht="12.75">
      <c r="A38" t="s">
        <v>319</v>
      </c>
      <c r="B38">
        <v>10340</v>
      </c>
      <c r="C38" s="307">
        <v>3845</v>
      </c>
      <c r="F38">
        <v>16311</v>
      </c>
      <c r="G38" s="283">
        <v>4733</v>
      </c>
    </row>
    <row r="39" spans="1:3" ht="12.75">
      <c r="A39" t="s">
        <v>234</v>
      </c>
      <c r="B39">
        <v>17420</v>
      </c>
      <c r="C39" s="307">
        <v>10659</v>
      </c>
    </row>
    <row r="40" spans="1:7" ht="12.75">
      <c r="A40" t="s">
        <v>322</v>
      </c>
      <c r="B40">
        <v>14500</v>
      </c>
      <c r="C40" s="307">
        <v>10312</v>
      </c>
      <c r="F40">
        <v>5</v>
      </c>
      <c r="G40" s="283">
        <v>2</v>
      </c>
    </row>
    <row r="41" spans="1:3" ht="12.75">
      <c r="A41" t="s">
        <v>337</v>
      </c>
      <c r="B41">
        <v>975</v>
      </c>
      <c r="C41" s="307">
        <v>277</v>
      </c>
    </row>
    <row r="42" spans="1:7" ht="12.75">
      <c r="A42" t="s">
        <v>338</v>
      </c>
      <c r="B42">
        <v>20176</v>
      </c>
      <c r="C42" s="307">
        <v>14053</v>
      </c>
      <c r="F42">
        <v>11</v>
      </c>
      <c r="G42" s="283">
        <v>10</v>
      </c>
    </row>
    <row r="43" spans="1:7" ht="12.75">
      <c r="A43" t="s">
        <v>339</v>
      </c>
      <c r="B43">
        <v>11981</v>
      </c>
      <c r="C43" s="307">
        <v>3539</v>
      </c>
      <c r="F43">
        <v>24473</v>
      </c>
      <c r="G43" s="283">
        <v>12996</v>
      </c>
    </row>
    <row r="44" spans="1:7" ht="12.75">
      <c r="A44" t="s">
        <v>342</v>
      </c>
      <c r="B44">
        <v>47603</v>
      </c>
      <c r="C44" s="307">
        <v>36416</v>
      </c>
      <c r="F44">
        <v>9</v>
      </c>
      <c r="G44" s="283">
        <v>7</v>
      </c>
    </row>
    <row r="45" spans="1:3" ht="12.75">
      <c r="A45" t="s">
        <v>346</v>
      </c>
      <c r="B45">
        <v>5042</v>
      </c>
      <c r="C45" s="307">
        <v>2886</v>
      </c>
    </row>
    <row r="46" spans="1:6" ht="12.75">
      <c r="A46" t="s">
        <v>292</v>
      </c>
      <c r="B46">
        <v>5029</v>
      </c>
      <c r="C46" s="307">
        <v>2788</v>
      </c>
      <c r="F46">
        <v>1</v>
      </c>
    </row>
    <row r="47" spans="1:3" ht="12.75">
      <c r="A47" t="s">
        <v>294</v>
      </c>
      <c r="B47">
        <v>2728</v>
      </c>
      <c r="C47" s="307">
        <v>1824</v>
      </c>
    </row>
    <row r="48" spans="1:6" ht="12.75">
      <c r="A48" t="s">
        <v>296</v>
      </c>
      <c r="B48">
        <v>2140</v>
      </c>
      <c r="C48" s="307">
        <v>951</v>
      </c>
      <c r="F48">
        <v>1</v>
      </c>
    </row>
    <row r="49" spans="1:7" ht="12.75">
      <c r="A49" t="s">
        <v>302</v>
      </c>
      <c r="B49">
        <v>12840</v>
      </c>
      <c r="C49" s="307">
        <v>7973</v>
      </c>
      <c r="D49">
        <v>505</v>
      </c>
      <c r="E49">
        <v>328</v>
      </c>
      <c r="F49">
        <v>3</v>
      </c>
      <c r="G49" s="283">
        <v>3</v>
      </c>
    </row>
    <row r="50" spans="1:7" ht="12.75">
      <c r="A50" t="s">
        <v>298</v>
      </c>
      <c r="B50">
        <v>1233</v>
      </c>
      <c r="C50" s="307">
        <v>415</v>
      </c>
      <c r="F50">
        <v>2</v>
      </c>
      <c r="G50" s="283">
        <v>2</v>
      </c>
    </row>
    <row r="51" spans="1:3" ht="12.75">
      <c r="A51" t="s">
        <v>306</v>
      </c>
      <c r="B51">
        <v>2188</v>
      </c>
      <c r="C51" s="307">
        <v>1095</v>
      </c>
    </row>
    <row r="52" spans="1:3" ht="12.75">
      <c r="A52" t="s">
        <v>308</v>
      </c>
      <c r="B52">
        <v>5985</v>
      </c>
      <c r="C52" s="307">
        <v>4500</v>
      </c>
    </row>
    <row r="53" spans="1:7" ht="12.75">
      <c r="A53" t="s">
        <v>315</v>
      </c>
      <c r="B53">
        <v>22389</v>
      </c>
      <c r="C53" s="307">
        <v>18791</v>
      </c>
      <c r="F53">
        <v>5</v>
      </c>
      <c r="G53" s="283">
        <v>3</v>
      </c>
    </row>
    <row r="54" spans="1:7" ht="12.75">
      <c r="A54" t="s">
        <v>318</v>
      </c>
      <c r="B54">
        <v>2240</v>
      </c>
      <c r="C54" s="307">
        <v>1260</v>
      </c>
      <c r="F54">
        <v>173</v>
      </c>
      <c r="G54" s="283">
        <v>41</v>
      </c>
    </row>
    <row r="55" spans="1:7" ht="12.75">
      <c r="A55" t="s">
        <v>325</v>
      </c>
      <c r="B55">
        <v>29968</v>
      </c>
      <c r="C55" s="307">
        <v>25404</v>
      </c>
      <c r="F55">
        <v>4</v>
      </c>
      <c r="G55" s="283">
        <v>3</v>
      </c>
    </row>
    <row r="56" spans="1:7" ht="12.75">
      <c r="A56" t="s">
        <v>327</v>
      </c>
      <c r="B56">
        <v>22911</v>
      </c>
      <c r="C56" s="307">
        <v>17610</v>
      </c>
      <c r="F56">
        <v>2</v>
      </c>
      <c r="G56" s="283">
        <v>2</v>
      </c>
    </row>
    <row r="57" spans="1:7" ht="12.75">
      <c r="A57" t="s">
        <v>329</v>
      </c>
      <c r="B57">
        <v>12073</v>
      </c>
      <c r="C57" s="307">
        <v>7666</v>
      </c>
      <c r="F57">
        <v>1</v>
      </c>
      <c r="G57" s="283">
        <v>1</v>
      </c>
    </row>
    <row r="58" spans="1:7" ht="12.75">
      <c r="A58" t="s">
        <v>331</v>
      </c>
      <c r="B58">
        <v>9816</v>
      </c>
      <c r="C58" s="307">
        <v>7916</v>
      </c>
      <c r="F58">
        <v>3</v>
      </c>
      <c r="G58" s="283">
        <v>1</v>
      </c>
    </row>
    <row r="59" spans="1:7" ht="12.75">
      <c r="A59" t="s">
        <v>333</v>
      </c>
      <c r="B59">
        <v>18351</v>
      </c>
      <c r="C59" s="307">
        <v>14356</v>
      </c>
      <c r="F59">
        <v>1</v>
      </c>
      <c r="G59" s="283">
        <v>1</v>
      </c>
    </row>
    <row r="60" spans="1:3" ht="12.75">
      <c r="A60" t="s">
        <v>334</v>
      </c>
      <c r="B60">
        <v>29851</v>
      </c>
      <c r="C60" s="307">
        <v>19638</v>
      </c>
    </row>
    <row r="61" spans="1:7" ht="12.75">
      <c r="A61" t="s">
        <v>336</v>
      </c>
      <c r="B61">
        <v>25668</v>
      </c>
      <c r="C61" s="307">
        <v>19529</v>
      </c>
      <c r="F61">
        <v>7</v>
      </c>
      <c r="G61" s="283">
        <v>5</v>
      </c>
    </row>
    <row r="62" ht="12.75">
      <c r="A62" t="s">
        <v>344</v>
      </c>
    </row>
    <row r="63" ht="12.75">
      <c r="A63" t="s">
        <v>401</v>
      </c>
    </row>
    <row r="64" ht="12.75">
      <c r="A64" t="s">
        <v>293</v>
      </c>
    </row>
  </sheetData>
  <sheetProtection/>
  <mergeCells count="1">
    <mergeCell ref="A1:G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283" customWidth="1"/>
    <col min="3" max="3" width="25.57421875" style="0" bestFit="1" customWidth="1"/>
    <col min="5" max="5" width="14.28125" style="283" bestFit="1" customWidth="1"/>
    <col min="6" max="6" width="22.28125" style="0" customWidth="1"/>
    <col min="7" max="7" width="16.7109375" style="283" customWidth="1"/>
    <col min="8" max="8" width="13.8515625" style="0" customWidth="1"/>
    <col min="10" max="10" width="17.140625" style="0" customWidth="1"/>
    <col min="11" max="11" width="11.8515625" style="0" customWidth="1"/>
    <col min="12" max="12" width="8.8515625" style="283" customWidth="1"/>
    <col min="13" max="13" width="7.57421875" style="0" customWidth="1"/>
    <col min="14" max="14" width="18.57421875" style="0" customWidth="1"/>
    <col min="15" max="15" width="24.57421875" style="283" customWidth="1"/>
    <col min="16" max="16" width="7.57421875" style="307" customWidth="1"/>
    <col min="17" max="17" width="18.57421875" style="0" customWidth="1"/>
    <col min="18" max="18" width="24.57421875" style="0" customWidth="1"/>
  </cols>
  <sheetData>
    <row r="1" spans="1:18" ht="12.75">
      <c r="A1" s="287" t="s">
        <v>358</v>
      </c>
      <c r="B1" s="287"/>
      <c r="C1" s="417" t="s">
        <v>412</v>
      </c>
      <c r="D1" s="417"/>
      <c r="E1" s="417"/>
      <c r="F1" s="417" t="s">
        <v>359</v>
      </c>
      <c r="G1" s="417"/>
      <c r="H1" s="417" t="s">
        <v>425</v>
      </c>
      <c r="I1" s="417"/>
      <c r="J1" s="417" t="s">
        <v>436</v>
      </c>
      <c r="K1" s="417"/>
      <c r="L1" s="417"/>
      <c r="M1" s="256" t="s">
        <v>409</v>
      </c>
      <c r="N1" s="256" t="s">
        <v>437</v>
      </c>
      <c r="O1" s="282" t="s">
        <v>413</v>
      </c>
      <c r="P1" s="284" t="s">
        <v>409</v>
      </c>
      <c r="Q1" s="256" t="s">
        <v>437</v>
      </c>
      <c r="R1" s="256" t="s">
        <v>413</v>
      </c>
    </row>
    <row r="2" spans="1:18" ht="12.75">
      <c r="A2" t="s">
        <v>73</v>
      </c>
      <c r="B2" s="283" t="e">
        <f>SUM(B3:B4)</f>
        <v>#REF!</v>
      </c>
      <c r="C2" t="s">
        <v>407</v>
      </c>
      <c r="D2" t="e">
        <f>SUM(D4:D5)</f>
        <v>#REF!</v>
      </c>
      <c r="F2" t="s">
        <v>73</v>
      </c>
      <c r="G2" s="283" t="e">
        <f>SUM(G3:G4)</f>
        <v>#REF!</v>
      </c>
      <c r="H2" t="s">
        <v>73</v>
      </c>
      <c r="J2" t="s">
        <v>80</v>
      </c>
      <c r="K2" t="s">
        <v>326</v>
      </c>
      <c r="L2" s="283" t="e">
        <f>IF(ISNA(VLOOKUP(K2,#REF!,3,FALSE)),"0",(VLOOKUP(K2,#REF!,3,FALSE)))</f>
        <v>#REF!</v>
      </c>
      <c r="M2">
        <v>310</v>
      </c>
      <c r="N2">
        <v>135</v>
      </c>
      <c r="O2" s="283">
        <v>622</v>
      </c>
      <c r="P2" s="257">
        <v>310</v>
      </c>
      <c r="Q2">
        <v>135</v>
      </c>
      <c r="R2">
        <v>306</v>
      </c>
    </row>
    <row r="3" spans="1:18" ht="12.75">
      <c r="A3" t="s">
        <v>344</v>
      </c>
      <c r="B3" s="283" t="e">
        <f>VLOOKUP(A3,#REF!,3,FALSE)</f>
        <v>#REF!</v>
      </c>
      <c r="C3" t="s">
        <v>408</v>
      </c>
      <c r="D3" t="e">
        <f>SUM(D6:D7)</f>
        <v>#REF!</v>
      </c>
      <c r="F3" t="s">
        <v>344</v>
      </c>
      <c r="G3" s="289" t="e">
        <f>IF(ISNA(VLOOKUP(F3,#REF!,4,FALSE)),"0",(VLOOKUP(F3,#REF!,4,FALSE)))</f>
        <v>#REF!</v>
      </c>
      <c r="H3" t="s">
        <v>344</v>
      </c>
      <c r="I3" s="289" t="e">
        <f>IF(ISNA(VLOOKUP(H3,#REF!,5,FALSE)),"0",(VLOOKUP(H3,#REF!,5,FALSE)))</f>
        <v>#REF!</v>
      </c>
      <c r="J3" s="310"/>
      <c r="K3" t="s">
        <v>319</v>
      </c>
      <c r="L3" s="283" t="e">
        <f>IF(ISNA(VLOOKUP(K3,#REF!,3,FALSE)),"0",(VLOOKUP(K3,#REF!,3,FALSE)))</f>
        <v>#REF!</v>
      </c>
      <c r="M3">
        <v>330</v>
      </c>
      <c r="N3">
        <v>135</v>
      </c>
      <c r="O3" s="283">
        <v>441</v>
      </c>
      <c r="P3" s="257">
        <v>330</v>
      </c>
      <c r="Q3">
        <v>135</v>
      </c>
      <c r="R3">
        <v>11</v>
      </c>
    </row>
    <row r="4" spans="1:18" ht="12.75">
      <c r="A4" t="s">
        <v>293</v>
      </c>
      <c r="B4" s="283" t="e">
        <f>VLOOKUP(A4,#REF!,3,FALSE)</f>
        <v>#REF!</v>
      </c>
      <c r="C4" t="s">
        <v>302</v>
      </c>
      <c r="D4" t="e">
        <f>VLOOKUP(C4,#REF!,3,FALSE)</f>
        <v>#REF!</v>
      </c>
      <c r="E4" s="283" t="s">
        <v>355</v>
      </c>
      <c r="F4" t="s">
        <v>293</v>
      </c>
      <c r="G4" s="289" t="e">
        <f>IF(ISNA(VLOOKUP(F4,#REF!,4,FALSE)),"0",(VLOOKUP(F4,#REF!,4,FALSE)))</f>
        <v>#REF!</v>
      </c>
      <c r="H4" t="s">
        <v>293</v>
      </c>
      <c r="I4" s="289" t="e">
        <f>IF(ISNA(VLOOKUP(H4,#REF!,5,FALSE)),"0",(VLOOKUP(H4,#REF!,5,FALSE)))</f>
        <v>#REF!</v>
      </c>
      <c r="J4" s="310"/>
      <c r="K4" t="s">
        <v>339</v>
      </c>
      <c r="L4" s="283" t="e">
        <f>IF(ISNA(VLOOKUP(K4,#REF!,3,FALSE)),"0",(VLOOKUP(K4,#REF!,3,FALSE)))</f>
        <v>#REF!</v>
      </c>
      <c r="M4">
        <v>335</v>
      </c>
      <c r="N4">
        <v>135</v>
      </c>
      <c r="O4" s="283">
        <v>658</v>
      </c>
      <c r="P4" s="257">
        <v>335</v>
      </c>
      <c r="Q4">
        <v>135</v>
      </c>
      <c r="R4">
        <v>293</v>
      </c>
    </row>
    <row r="5" spans="3:12" ht="12.75">
      <c r="C5" t="s">
        <v>302</v>
      </c>
      <c r="D5" t="e">
        <f>VLOOKUP(C4,#REF!,7,FALSE)</f>
        <v>#REF!</v>
      </c>
      <c r="E5" s="283" t="s">
        <v>353</v>
      </c>
      <c r="J5" t="s">
        <v>438</v>
      </c>
      <c r="K5" t="s">
        <v>326</v>
      </c>
      <c r="L5" s="283" t="e">
        <f>IF(ISNA(VLOOKUP(K5,#REF!,4,FALSE)),"0",(VLOOKUP(K5,#REF!,4,FALSE)))</f>
        <v>#REF!</v>
      </c>
    </row>
    <row r="6" spans="3:12" ht="12.75">
      <c r="C6" t="s">
        <v>302</v>
      </c>
      <c r="D6" t="e">
        <f>VLOOKUP(C6,#REF!,4,FALSE)</f>
        <v>#REF!</v>
      </c>
      <c r="E6" s="283" t="s">
        <v>411</v>
      </c>
      <c r="K6" t="s">
        <v>319</v>
      </c>
      <c r="L6" s="283" t="e">
        <f>IF(ISNA(VLOOKUP(K6,#REF!,4,FALSE)),"0",(VLOOKUP(K6,#REF!,4,FALSE)))</f>
        <v>#REF!</v>
      </c>
    </row>
    <row r="7" spans="3:12" ht="12.75">
      <c r="C7" t="s">
        <v>302</v>
      </c>
      <c r="D7" t="e">
        <f>VLOOKUP(C6,#REF!,8,FALSE)</f>
        <v>#REF!</v>
      </c>
      <c r="E7" s="283" t="s">
        <v>410</v>
      </c>
      <c r="K7" t="s">
        <v>339</v>
      </c>
      <c r="L7" s="283" t="e">
        <f>IF(ISNA(VLOOKUP(K7,#REF!,3,FALSE)),"0",(VLOOKUP(K7,#REF!,4,FALSE)))</f>
        <v>#REF!</v>
      </c>
    </row>
  </sheetData>
  <sheetProtection/>
  <mergeCells count="4">
    <mergeCell ref="J1:L1"/>
    <mergeCell ref="C1:E1"/>
    <mergeCell ref="F1:G1"/>
    <mergeCell ref="H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18" t="s">
        <v>360</v>
      </c>
      <c r="B1" s="418"/>
      <c r="C1" s="418" t="s">
        <v>414</v>
      </c>
      <c r="D1" s="418"/>
    </row>
    <row r="2" spans="1:4" ht="12.75">
      <c r="A2" s="256" t="s">
        <v>350</v>
      </c>
      <c r="B2" s="256" t="s">
        <v>413</v>
      </c>
      <c r="C2" s="256" t="s">
        <v>350</v>
      </c>
      <c r="D2" s="256" t="s">
        <v>413</v>
      </c>
    </row>
    <row r="3" spans="2:4" ht="12.75">
      <c r="B3">
        <v>24</v>
      </c>
      <c r="D3">
        <v>14</v>
      </c>
    </row>
    <row r="4" spans="1:4" ht="12.75">
      <c r="A4" t="s">
        <v>361</v>
      </c>
      <c r="B4">
        <v>10562</v>
      </c>
      <c r="C4" t="s">
        <v>361</v>
      </c>
      <c r="D4">
        <v>6415</v>
      </c>
    </row>
    <row r="5" spans="1:4" ht="12.75">
      <c r="A5" t="s">
        <v>417</v>
      </c>
      <c r="B5">
        <v>72200</v>
      </c>
      <c r="C5" t="s">
        <v>417</v>
      </c>
      <c r="D5">
        <v>26799</v>
      </c>
    </row>
    <row r="6" spans="1:4" ht="12.75">
      <c r="A6" t="s">
        <v>362</v>
      </c>
      <c r="B6">
        <v>20065</v>
      </c>
      <c r="C6" t="s">
        <v>362</v>
      </c>
      <c r="D6">
        <v>11802</v>
      </c>
    </row>
    <row r="7" spans="1:4" ht="12.75">
      <c r="A7" t="s">
        <v>363</v>
      </c>
      <c r="B7">
        <v>4831</v>
      </c>
      <c r="C7" t="s">
        <v>363</v>
      </c>
      <c r="D7">
        <v>4808</v>
      </c>
    </row>
    <row r="8" spans="1:4" ht="12.75">
      <c r="A8" t="s">
        <v>364</v>
      </c>
      <c r="B8">
        <v>8186</v>
      </c>
      <c r="C8" t="s">
        <v>364</v>
      </c>
      <c r="D8">
        <v>5265</v>
      </c>
    </row>
    <row r="9" spans="1:4" ht="12.75">
      <c r="A9" t="s">
        <v>365</v>
      </c>
      <c r="B9">
        <v>544</v>
      </c>
      <c r="C9" t="s">
        <v>365</v>
      </c>
      <c r="D9">
        <v>405</v>
      </c>
    </row>
    <row r="10" spans="1:4" ht="12.75">
      <c r="A10" t="s">
        <v>351</v>
      </c>
      <c r="B10">
        <v>369</v>
      </c>
      <c r="C10" t="s">
        <v>351</v>
      </c>
      <c r="D10">
        <v>232</v>
      </c>
    </row>
    <row r="11" spans="1:4" ht="12.75">
      <c r="A11" t="s">
        <v>352</v>
      </c>
      <c r="B11">
        <v>141</v>
      </c>
      <c r="C11" t="s">
        <v>352</v>
      </c>
      <c r="D11">
        <v>101</v>
      </c>
    </row>
    <row r="12" spans="1:4" ht="12.75">
      <c r="A12" t="s">
        <v>354</v>
      </c>
      <c r="B12">
        <v>7</v>
      </c>
      <c r="C12" t="s">
        <v>354</v>
      </c>
      <c r="D12">
        <v>7</v>
      </c>
    </row>
    <row r="13" spans="1:4" ht="12.75">
      <c r="A13" t="s">
        <v>366</v>
      </c>
      <c r="B13">
        <v>1929</v>
      </c>
      <c r="C13" t="s">
        <v>366</v>
      </c>
      <c r="D13">
        <v>95</v>
      </c>
    </row>
    <row r="14" spans="1:4" ht="12.75">
      <c r="A14" t="s">
        <v>367</v>
      </c>
      <c r="B14">
        <v>21136</v>
      </c>
      <c r="C14" t="s">
        <v>367</v>
      </c>
      <c r="D14">
        <v>8134</v>
      </c>
    </row>
    <row r="15" spans="1:4" ht="12.75">
      <c r="A15" t="s">
        <v>368</v>
      </c>
      <c r="B15">
        <v>285</v>
      </c>
      <c r="C15" t="s">
        <v>368</v>
      </c>
      <c r="D15">
        <v>78</v>
      </c>
    </row>
    <row r="16" spans="1:4" ht="12.75">
      <c r="A16" t="s">
        <v>15</v>
      </c>
      <c r="B16">
        <v>12938</v>
      </c>
      <c r="C16" t="s">
        <v>15</v>
      </c>
      <c r="D16">
        <v>9847</v>
      </c>
    </row>
    <row r="17" spans="1:4" ht="12.75">
      <c r="A17" t="s">
        <v>132</v>
      </c>
      <c r="B17">
        <v>62952</v>
      </c>
      <c r="C17" t="s">
        <v>132</v>
      </c>
      <c r="D17">
        <v>34164</v>
      </c>
    </row>
    <row r="18" spans="1:4" ht="12.75">
      <c r="A18" t="s">
        <v>370</v>
      </c>
      <c r="B18">
        <v>9770</v>
      </c>
      <c r="C18" t="s">
        <v>370</v>
      </c>
      <c r="D18">
        <v>6200</v>
      </c>
    </row>
    <row r="19" spans="1:4" ht="12.75">
      <c r="A19" t="s">
        <v>371</v>
      </c>
      <c r="B19">
        <v>2534</v>
      </c>
      <c r="C19" t="s">
        <v>371</v>
      </c>
      <c r="D19">
        <v>442</v>
      </c>
    </row>
    <row r="20" spans="1:4" ht="12.75">
      <c r="A20" t="s">
        <v>372</v>
      </c>
      <c r="B20">
        <v>951</v>
      </c>
      <c r="C20" t="s">
        <v>372</v>
      </c>
      <c r="D20">
        <v>581</v>
      </c>
    </row>
    <row r="21" spans="1:4" ht="12.75">
      <c r="A21" t="s">
        <v>373</v>
      </c>
      <c r="B21">
        <v>24846</v>
      </c>
      <c r="C21" t="s">
        <v>373</v>
      </c>
      <c r="D21">
        <v>16257</v>
      </c>
    </row>
    <row r="22" spans="1:4" ht="12.75">
      <c r="A22" t="s">
        <v>374</v>
      </c>
      <c r="B22">
        <v>112</v>
      </c>
      <c r="C22" t="s">
        <v>374</v>
      </c>
      <c r="D22">
        <v>101</v>
      </c>
    </row>
    <row r="23" spans="1:4" ht="12.75">
      <c r="A23" t="s">
        <v>112</v>
      </c>
      <c r="B23">
        <v>168456</v>
      </c>
      <c r="C23" t="s">
        <v>112</v>
      </c>
      <c r="D23">
        <v>112130</v>
      </c>
    </row>
    <row r="24" spans="1:4" ht="12.75">
      <c r="A24" t="s">
        <v>375</v>
      </c>
      <c r="B24">
        <v>42201</v>
      </c>
      <c r="C24" t="s">
        <v>375</v>
      </c>
      <c r="D24">
        <v>19201</v>
      </c>
    </row>
    <row r="25" spans="1:4" ht="12.75">
      <c r="A25" t="s">
        <v>376</v>
      </c>
      <c r="B25">
        <v>1289</v>
      </c>
      <c r="C25" t="s">
        <v>376</v>
      </c>
      <c r="D25">
        <v>1253</v>
      </c>
    </row>
    <row r="26" spans="1:4" ht="12.75">
      <c r="A26" t="s">
        <v>377</v>
      </c>
      <c r="B26">
        <v>26240</v>
      </c>
      <c r="C26" t="s">
        <v>377</v>
      </c>
      <c r="D26">
        <v>13722</v>
      </c>
    </row>
    <row r="27" spans="1:4" ht="12.75">
      <c r="A27" t="s">
        <v>378</v>
      </c>
      <c r="B27">
        <v>15451</v>
      </c>
      <c r="C27" t="s">
        <v>378</v>
      </c>
      <c r="D27">
        <v>6515</v>
      </c>
    </row>
    <row r="28" spans="1:4" ht="12.75">
      <c r="A28" t="s">
        <v>379</v>
      </c>
      <c r="B28">
        <v>1928</v>
      </c>
      <c r="C28" t="s">
        <v>379</v>
      </c>
      <c r="D28">
        <v>766</v>
      </c>
    </row>
    <row r="29" spans="1:4" ht="12.75">
      <c r="A29" t="s">
        <v>380</v>
      </c>
      <c r="B29">
        <v>482955</v>
      </c>
      <c r="C29" t="s">
        <v>380</v>
      </c>
      <c r="D29">
        <v>330737</v>
      </c>
    </row>
    <row r="30" spans="1:4" ht="12.75">
      <c r="A30" t="s">
        <v>381</v>
      </c>
      <c r="B30">
        <v>41226</v>
      </c>
      <c r="C30" t="s">
        <v>381</v>
      </c>
      <c r="D30">
        <v>30071</v>
      </c>
    </row>
    <row r="31" spans="1:4" ht="12.75">
      <c r="A31" t="s">
        <v>382</v>
      </c>
      <c r="B31">
        <v>7667</v>
      </c>
      <c r="C31" t="s">
        <v>382</v>
      </c>
      <c r="D31">
        <v>2326</v>
      </c>
    </row>
    <row r="32" spans="1:4" ht="12.75">
      <c r="A32" t="s">
        <v>383</v>
      </c>
      <c r="B32">
        <v>15990</v>
      </c>
      <c r="C32" t="s">
        <v>383</v>
      </c>
      <c r="D32">
        <v>5945</v>
      </c>
    </row>
    <row r="33" spans="1:4" ht="12.75">
      <c r="A33" t="s">
        <v>384</v>
      </c>
      <c r="B33">
        <v>2101</v>
      </c>
      <c r="C33" t="s">
        <v>384</v>
      </c>
      <c r="D33">
        <v>724</v>
      </c>
    </row>
    <row r="34" spans="1:4" ht="12.75">
      <c r="A34" t="s">
        <v>385</v>
      </c>
      <c r="B34">
        <v>242742</v>
      </c>
      <c r="C34" t="s">
        <v>385</v>
      </c>
      <c r="D34">
        <v>171507</v>
      </c>
    </row>
    <row r="35" spans="1:4" ht="12.75">
      <c r="A35" t="s">
        <v>386</v>
      </c>
      <c r="B35">
        <v>74616</v>
      </c>
      <c r="C35" t="s">
        <v>386</v>
      </c>
      <c r="D35">
        <v>50932</v>
      </c>
    </row>
    <row r="36" spans="1:4" ht="12.75">
      <c r="A36" t="s">
        <v>387</v>
      </c>
      <c r="B36">
        <v>13642</v>
      </c>
      <c r="C36" t="s">
        <v>387</v>
      </c>
      <c r="D36">
        <v>6079</v>
      </c>
    </row>
    <row r="37" spans="1:4" ht="12.75">
      <c r="A37" t="s">
        <v>388</v>
      </c>
      <c r="B37">
        <v>48413</v>
      </c>
      <c r="C37" t="s">
        <v>388</v>
      </c>
      <c r="D37">
        <v>30536</v>
      </c>
    </row>
    <row r="38" spans="1:4" ht="12.75">
      <c r="A38" t="s">
        <v>389</v>
      </c>
      <c r="B38">
        <v>10630</v>
      </c>
      <c r="C38" t="s">
        <v>389</v>
      </c>
      <c r="D38">
        <v>3715</v>
      </c>
    </row>
    <row r="39" spans="1:4" ht="12.75">
      <c r="A39" t="s">
        <v>415</v>
      </c>
      <c r="B39">
        <v>2568</v>
      </c>
      <c r="C39" t="s">
        <v>415</v>
      </c>
      <c r="D39">
        <v>1992</v>
      </c>
    </row>
    <row r="40" spans="1:4" ht="12.75">
      <c r="A40" t="s">
        <v>390</v>
      </c>
      <c r="B40">
        <v>73013</v>
      </c>
      <c r="C40" t="s">
        <v>390</v>
      </c>
      <c r="D40">
        <v>53977</v>
      </c>
    </row>
    <row r="41" spans="1:4" ht="12.75">
      <c r="A41" t="s">
        <v>391</v>
      </c>
      <c r="B41">
        <v>1321</v>
      </c>
      <c r="C41" t="s">
        <v>391</v>
      </c>
      <c r="D41">
        <v>791</v>
      </c>
    </row>
    <row r="42" spans="1:4" ht="12.75">
      <c r="A42" t="s">
        <v>392</v>
      </c>
      <c r="B42">
        <v>2190</v>
      </c>
      <c r="C42" t="s">
        <v>392</v>
      </c>
      <c r="D42">
        <v>1679</v>
      </c>
    </row>
    <row r="43" spans="1:4" ht="12.75">
      <c r="A43" t="s">
        <v>393</v>
      </c>
      <c r="B43">
        <v>133</v>
      </c>
      <c r="C43" t="s">
        <v>393</v>
      </c>
      <c r="D43">
        <v>130</v>
      </c>
    </row>
    <row r="44" spans="1:4" ht="12.75">
      <c r="A44" t="s">
        <v>394</v>
      </c>
      <c r="B44">
        <v>27</v>
      </c>
      <c r="C44" t="s">
        <v>394</v>
      </c>
      <c r="D44">
        <v>25</v>
      </c>
    </row>
    <row r="45" spans="1:4" ht="12.75">
      <c r="A45" t="s">
        <v>395</v>
      </c>
      <c r="B45">
        <v>29518</v>
      </c>
      <c r="C45" t="s">
        <v>395</v>
      </c>
      <c r="D45">
        <v>24727</v>
      </c>
    </row>
    <row r="46" spans="1:4" ht="12.75">
      <c r="A46" t="s">
        <v>396</v>
      </c>
      <c r="B46">
        <v>20449</v>
      </c>
      <c r="C46" t="s">
        <v>396</v>
      </c>
      <c r="D46">
        <v>163</v>
      </c>
    </row>
    <row r="47" spans="1:4" ht="12.75">
      <c r="A47" t="s">
        <v>397</v>
      </c>
      <c r="B47">
        <v>987</v>
      </c>
      <c r="C47" t="s">
        <v>397</v>
      </c>
      <c r="D47">
        <v>905</v>
      </c>
    </row>
    <row r="48" spans="1:4" ht="12.75">
      <c r="A48" t="s">
        <v>398</v>
      </c>
      <c r="B48">
        <v>35722</v>
      </c>
      <c r="C48" t="s">
        <v>398</v>
      </c>
      <c r="D48">
        <v>26591</v>
      </c>
    </row>
    <row r="49" spans="1:4" ht="12.75">
      <c r="A49" t="s">
        <v>399</v>
      </c>
      <c r="B49">
        <v>33</v>
      </c>
      <c r="C49" t="s">
        <v>399</v>
      </c>
      <c r="D49">
        <v>19</v>
      </c>
    </row>
    <row r="50" spans="1:4" ht="12.75">
      <c r="A50" t="s">
        <v>400</v>
      </c>
      <c r="B50">
        <v>1790</v>
      </c>
      <c r="C50" t="s">
        <v>400</v>
      </c>
      <c r="D50">
        <v>1436</v>
      </c>
    </row>
    <row r="54" spans="1:3" ht="12.75">
      <c r="A54" s="256" t="s">
        <v>418</v>
      </c>
      <c r="C54" s="256" t="s">
        <v>419</v>
      </c>
    </row>
    <row r="55" spans="1:4" ht="12.75">
      <c r="A55">
        <v>1721</v>
      </c>
      <c r="B55">
        <f>VLOOKUP(Transformation!C35,Query_from_MS_Access_Database_5,2,FALSE)-A55</f>
        <v>207</v>
      </c>
      <c r="C55">
        <v>610</v>
      </c>
      <c r="D55">
        <f>VLOOKUP(Transformation!C35,Query_from_MS_Access_Database_6,2,FALSE)-C55</f>
        <v>156</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17" t="s">
        <v>420</v>
      </c>
      <c r="B1" s="417"/>
      <c r="C1" s="417"/>
      <c r="D1" s="417"/>
      <c r="E1" s="417"/>
      <c r="F1" s="288"/>
      <c r="G1" s="288"/>
      <c r="H1" s="288"/>
      <c r="I1" s="288"/>
      <c r="J1" s="288"/>
      <c r="K1" s="288"/>
    </row>
    <row r="2" spans="1:5" ht="12.75">
      <c r="A2" s="256" t="s">
        <v>290</v>
      </c>
      <c r="B2" s="256" t="s">
        <v>421</v>
      </c>
      <c r="C2" s="256" t="s">
        <v>356</v>
      </c>
      <c r="D2" s="256" t="s">
        <v>422</v>
      </c>
      <c r="E2" s="256" t="s">
        <v>406</v>
      </c>
    </row>
    <row r="3" ht="12.75">
      <c r="A3" t="s">
        <v>26</v>
      </c>
    </row>
    <row r="4" spans="1:5" ht="12.75">
      <c r="A4" t="s">
        <v>295</v>
      </c>
      <c r="B4">
        <v>913</v>
      </c>
      <c r="C4">
        <v>449</v>
      </c>
      <c r="D4">
        <v>3</v>
      </c>
      <c r="E4">
        <v>3</v>
      </c>
    </row>
    <row r="5" spans="1:5" ht="12.75">
      <c r="A5" t="s">
        <v>297</v>
      </c>
      <c r="B5">
        <v>1458</v>
      </c>
      <c r="C5">
        <v>653</v>
      </c>
      <c r="D5">
        <v>4</v>
      </c>
      <c r="E5">
        <v>4</v>
      </c>
    </row>
    <row r="6" spans="1:3" ht="12.75">
      <c r="A6" t="s">
        <v>231</v>
      </c>
      <c r="B6">
        <v>384</v>
      </c>
      <c r="C6">
        <v>122</v>
      </c>
    </row>
    <row r="7" spans="1:4" ht="12.75">
      <c r="A7" t="s">
        <v>300</v>
      </c>
      <c r="B7">
        <v>2188</v>
      </c>
      <c r="C7">
        <v>1148</v>
      </c>
      <c r="D7">
        <v>3</v>
      </c>
    </row>
    <row r="8" spans="1:5" ht="12.75">
      <c r="A8" t="s">
        <v>304</v>
      </c>
      <c r="B8">
        <v>2017</v>
      </c>
      <c r="C8">
        <v>312</v>
      </c>
      <c r="D8">
        <v>6</v>
      </c>
      <c r="E8">
        <v>2</v>
      </c>
    </row>
    <row r="9" spans="1:5" ht="12.75">
      <c r="A9" t="s">
        <v>307</v>
      </c>
      <c r="B9">
        <v>176</v>
      </c>
      <c r="C9">
        <v>6</v>
      </c>
      <c r="D9">
        <v>2</v>
      </c>
      <c r="E9">
        <v>2</v>
      </c>
    </row>
    <row r="10" spans="1:5" ht="12.75">
      <c r="A10" t="s">
        <v>311</v>
      </c>
      <c r="B10">
        <v>677</v>
      </c>
      <c r="C10">
        <v>370</v>
      </c>
      <c r="D10">
        <v>2</v>
      </c>
      <c r="E10">
        <v>2</v>
      </c>
    </row>
    <row r="11" spans="1:5" ht="12.75">
      <c r="A11" t="s">
        <v>317</v>
      </c>
      <c r="B11">
        <v>226</v>
      </c>
      <c r="C11">
        <v>70</v>
      </c>
      <c r="D11">
        <v>1</v>
      </c>
      <c r="E11">
        <v>1</v>
      </c>
    </row>
    <row r="12" spans="1:5" ht="12.75">
      <c r="A12" t="s">
        <v>323</v>
      </c>
      <c r="B12">
        <v>873</v>
      </c>
      <c r="C12">
        <v>269</v>
      </c>
      <c r="D12">
        <v>2</v>
      </c>
      <c r="E12">
        <v>1</v>
      </c>
    </row>
    <row r="13" spans="1:4" ht="12.75">
      <c r="A13" t="s">
        <v>324</v>
      </c>
      <c r="B13">
        <v>954</v>
      </c>
      <c r="C13">
        <v>42</v>
      </c>
      <c r="D13">
        <v>1</v>
      </c>
    </row>
    <row r="14" spans="1:5" ht="12.75">
      <c r="A14" t="s">
        <v>326</v>
      </c>
      <c r="B14">
        <v>6195</v>
      </c>
      <c r="C14">
        <v>2992</v>
      </c>
      <c r="D14">
        <v>28749</v>
      </c>
      <c r="E14">
        <v>12032</v>
      </c>
    </row>
    <row r="15" spans="1:5" ht="12.75">
      <c r="A15" t="s">
        <v>328</v>
      </c>
      <c r="B15">
        <v>805</v>
      </c>
      <c r="C15">
        <v>434</v>
      </c>
      <c r="D15">
        <v>38</v>
      </c>
      <c r="E15">
        <v>37</v>
      </c>
    </row>
    <row r="16" spans="1:3" ht="12.75">
      <c r="A16" t="s">
        <v>330</v>
      </c>
      <c r="B16">
        <v>282</v>
      </c>
      <c r="C16">
        <v>201</v>
      </c>
    </row>
    <row r="17" spans="1:4" ht="12.75">
      <c r="A17" t="s">
        <v>341</v>
      </c>
      <c r="B17">
        <v>839</v>
      </c>
      <c r="C17">
        <v>412</v>
      </c>
      <c r="D17">
        <v>1</v>
      </c>
    </row>
    <row r="18" spans="1:3" ht="12.75">
      <c r="A18" t="s">
        <v>345</v>
      </c>
      <c r="B18">
        <v>92</v>
      </c>
      <c r="C18">
        <v>29</v>
      </c>
    </row>
    <row r="19" spans="1:3" ht="12.75">
      <c r="A19" t="s">
        <v>347</v>
      </c>
      <c r="B19">
        <v>63</v>
      </c>
      <c r="C19">
        <v>4</v>
      </c>
    </row>
    <row r="20" spans="1:5" ht="12.75">
      <c r="A20" t="s">
        <v>232</v>
      </c>
      <c r="B20">
        <v>2098</v>
      </c>
      <c r="C20">
        <v>394</v>
      </c>
      <c r="D20">
        <v>4</v>
      </c>
      <c r="E20">
        <v>3</v>
      </c>
    </row>
    <row r="21" spans="1:5" ht="12.75">
      <c r="A21" t="s">
        <v>301</v>
      </c>
      <c r="B21">
        <v>857</v>
      </c>
      <c r="C21">
        <v>294</v>
      </c>
      <c r="D21">
        <v>6</v>
      </c>
      <c r="E21">
        <v>4</v>
      </c>
    </row>
    <row r="22" spans="1:5" ht="12.75">
      <c r="A22" t="s">
        <v>310</v>
      </c>
      <c r="B22">
        <v>271</v>
      </c>
      <c r="C22">
        <v>121</v>
      </c>
      <c r="D22">
        <v>3</v>
      </c>
      <c r="E22">
        <v>2</v>
      </c>
    </row>
    <row r="23" spans="1:5" ht="12.75">
      <c r="A23" t="s">
        <v>312</v>
      </c>
      <c r="B23">
        <v>1554</v>
      </c>
      <c r="C23">
        <v>1049</v>
      </c>
      <c r="D23">
        <v>8</v>
      </c>
      <c r="E23">
        <v>6</v>
      </c>
    </row>
    <row r="24" spans="1:5" ht="12.75">
      <c r="A24" t="s">
        <v>316</v>
      </c>
      <c r="B24">
        <v>1539</v>
      </c>
      <c r="C24">
        <v>1054</v>
      </c>
      <c r="D24">
        <v>1</v>
      </c>
      <c r="E24">
        <v>1</v>
      </c>
    </row>
    <row r="25" spans="1:5" ht="12.75">
      <c r="A25" t="s">
        <v>320</v>
      </c>
      <c r="B25">
        <v>3478</v>
      </c>
      <c r="C25">
        <v>1876</v>
      </c>
      <c r="D25">
        <v>4</v>
      </c>
      <c r="E25">
        <v>3</v>
      </c>
    </row>
    <row r="26" spans="1:5" ht="12.75">
      <c r="A26" t="s">
        <v>321</v>
      </c>
      <c r="B26">
        <v>1080</v>
      </c>
      <c r="C26">
        <v>358</v>
      </c>
      <c r="D26">
        <v>3</v>
      </c>
      <c r="E26">
        <v>2</v>
      </c>
    </row>
    <row r="27" spans="1:5" ht="12.75">
      <c r="A27" t="s">
        <v>332</v>
      </c>
      <c r="B27">
        <v>1215</v>
      </c>
      <c r="C27">
        <v>383</v>
      </c>
      <c r="D27">
        <v>3</v>
      </c>
      <c r="E27">
        <v>3</v>
      </c>
    </row>
    <row r="28" spans="1:5" ht="12.75">
      <c r="A28" t="s">
        <v>335</v>
      </c>
      <c r="B28">
        <v>543</v>
      </c>
      <c r="C28">
        <v>161</v>
      </c>
      <c r="D28">
        <v>3</v>
      </c>
      <c r="E28">
        <v>3</v>
      </c>
    </row>
    <row r="29" spans="1:5" ht="12.75">
      <c r="A29" t="s">
        <v>340</v>
      </c>
      <c r="B29">
        <v>2591</v>
      </c>
      <c r="C29">
        <v>548</v>
      </c>
      <c r="D29">
        <v>12</v>
      </c>
      <c r="E29">
        <v>9</v>
      </c>
    </row>
    <row r="30" spans="1:3" ht="12.75">
      <c r="A30" t="s">
        <v>343</v>
      </c>
      <c r="B30">
        <v>139</v>
      </c>
      <c r="C30">
        <v>38</v>
      </c>
    </row>
    <row r="31" spans="1:5" ht="12.75">
      <c r="A31" t="s">
        <v>348</v>
      </c>
      <c r="B31">
        <v>6140</v>
      </c>
      <c r="C31">
        <v>5123</v>
      </c>
      <c r="D31">
        <v>15</v>
      </c>
      <c r="E31">
        <v>5</v>
      </c>
    </row>
    <row r="32" spans="1:5" ht="12.75">
      <c r="A32" t="s">
        <v>299</v>
      </c>
      <c r="B32">
        <v>1123</v>
      </c>
      <c r="C32">
        <v>661</v>
      </c>
      <c r="D32">
        <v>1</v>
      </c>
      <c r="E32">
        <v>1</v>
      </c>
    </row>
    <row r="33" spans="1:3" ht="12.75">
      <c r="A33" t="s">
        <v>303</v>
      </c>
      <c r="B33">
        <v>287</v>
      </c>
      <c r="C33">
        <v>105</v>
      </c>
    </row>
    <row r="34" spans="1:3" ht="12.75">
      <c r="A34" t="s">
        <v>305</v>
      </c>
      <c r="B34">
        <v>65</v>
      </c>
      <c r="C34">
        <v>16</v>
      </c>
    </row>
    <row r="35" spans="1:5" ht="12.75">
      <c r="A35" t="s">
        <v>309</v>
      </c>
      <c r="B35">
        <v>2004</v>
      </c>
      <c r="C35">
        <v>961</v>
      </c>
      <c r="D35">
        <v>1</v>
      </c>
      <c r="E35">
        <v>1</v>
      </c>
    </row>
    <row r="36" spans="1:3" ht="12.75">
      <c r="A36" t="s">
        <v>313</v>
      </c>
      <c r="B36">
        <v>412</v>
      </c>
      <c r="C36">
        <v>88</v>
      </c>
    </row>
    <row r="37" spans="1:5" ht="12.75">
      <c r="A37" t="s">
        <v>314</v>
      </c>
      <c r="B37">
        <v>1575</v>
      </c>
      <c r="C37">
        <v>923</v>
      </c>
      <c r="D37">
        <v>2</v>
      </c>
      <c r="E37">
        <v>2</v>
      </c>
    </row>
    <row r="38" spans="1:5" ht="12.75">
      <c r="A38" t="s">
        <v>319</v>
      </c>
      <c r="B38">
        <v>2057</v>
      </c>
      <c r="C38">
        <v>358</v>
      </c>
      <c r="D38">
        <v>20464</v>
      </c>
      <c r="E38">
        <v>5544</v>
      </c>
    </row>
    <row r="39" spans="1:5" ht="12.75">
      <c r="A39" t="s">
        <v>234</v>
      </c>
      <c r="B39">
        <v>1215</v>
      </c>
      <c r="C39">
        <v>401</v>
      </c>
      <c r="D39">
        <v>2</v>
      </c>
      <c r="E39">
        <v>2</v>
      </c>
    </row>
    <row r="40" spans="1:5" ht="12.75">
      <c r="A40" t="s">
        <v>322</v>
      </c>
      <c r="B40">
        <v>421</v>
      </c>
      <c r="C40">
        <v>179</v>
      </c>
      <c r="D40">
        <v>6</v>
      </c>
      <c r="E40">
        <v>5</v>
      </c>
    </row>
    <row r="41" spans="1:3" ht="12.75">
      <c r="A41" t="s">
        <v>337</v>
      </c>
      <c r="B41">
        <v>395</v>
      </c>
      <c r="C41">
        <v>35</v>
      </c>
    </row>
    <row r="42" spans="1:5" ht="12.75">
      <c r="A42" t="s">
        <v>338</v>
      </c>
      <c r="B42">
        <v>1329</v>
      </c>
      <c r="C42">
        <v>692</v>
      </c>
      <c r="D42">
        <v>4</v>
      </c>
      <c r="E42">
        <v>3</v>
      </c>
    </row>
    <row r="43" spans="1:5" ht="12.75">
      <c r="A43" t="s">
        <v>339</v>
      </c>
      <c r="B43">
        <v>4895</v>
      </c>
      <c r="C43">
        <v>2075</v>
      </c>
      <c r="D43">
        <v>24197</v>
      </c>
      <c r="E43">
        <v>9947</v>
      </c>
    </row>
    <row r="44" spans="1:5" ht="12.75">
      <c r="A44" t="s">
        <v>342</v>
      </c>
      <c r="B44">
        <v>1481</v>
      </c>
      <c r="C44">
        <v>599</v>
      </c>
      <c r="D44">
        <v>7</v>
      </c>
      <c r="E44">
        <v>6</v>
      </c>
    </row>
    <row r="45" spans="1:5" ht="12.75">
      <c r="A45" t="s">
        <v>346</v>
      </c>
      <c r="B45">
        <v>128</v>
      </c>
      <c r="C45">
        <v>34</v>
      </c>
      <c r="D45">
        <v>1</v>
      </c>
      <c r="E45">
        <v>1</v>
      </c>
    </row>
    <row r="46" spans="1:5" ht="12.75">
      <c r="A46" t="s">
        <v>292</v>
      </c>
      <c r="B46">
        <v>418</v>
      </c>
      <c r="C46">
        <v>124</v>
      </c>
      <c r="D46">
        <v>2</v>
      </c>
      <c r="E46">
        <v>2</v>
      </c>
    </row>
    <row r="47" spans="1:3" ht="12.75">
      <c r="A47" t="s">
        <v>294</v>
      </c>
      <c r="B47">
        <v>1085</v>
      </c>
      <c r="C47">
        <v>853</v>
      </c>
    </row>
    <row r="48" spans="1:3" ht="12.75">
      <c r="A48" t="s">
        <v>296</v>
      </c>
      <c r="B48">
        <v>276</v>
      </c>
      <c r="C48">
        <v>65</v>
      </c>
    </row>
    <row r="49" spans="1:5" ht="12.75">
      <c r="A49" t="s">
        <v>302</v>
      </c>
      <c r="B49">
        <v>1329</v>
      </c>
      <c r="C49">
        <v>590</v>
      </c>
      <c r="D49">
        <v>1</v>
      </c>
      <c r="E49">
        <v>1</v>
      </c>
    </row>
    <row r="50" spans="1:3" ht="12.75">
      <c r="A50" t="s">
        <v>298</v>
      </c>
      <c r="B50">
        <v>98</v>
      </c>
      <c r="C50">
        <v>24</v>
      </c>
    </row>
    <row r="51" spans="1:3" ht="12.75">
      <c r="A51" t="s">
        <v>306</v>
      </c>
      <c r="B51">
        <v>222</v>
      </c>
      <c r="C51">
        <v>102</v>
      </c>
    </row>
    <row r="52" spans="1:5" ht="12.75">
      <c r="A52" t="s">
        <v>308</v>
      </c>
      <c r="B52">
        <v>240</v>
      </c>
      <c r="C52">
        <v>116</v>
      </c>
      <c r="D52">
        <v>1</v>
      </c>
      <c r="E52">
        <v>1</v>
      </c>
    </row>
    <row r="53" spans="1:4" ht="12.75">
      <c r="A53" t="s">
        <v>315</v>
      </c>
      <c r="B53">
        <v>2107</v>
      </c>
      <c r="C53">
        <v>1432</v>
      </c>
      <c r="D53">
        <v>1</v>
      </c>
    </row>
    <row r="54" spans="1:5" ht="12.75">
      <c r="A54" t="s">
        <v>318</v>
      </c>
      <c r="B54">
        <v>225</v>
      </c>
      <c r="C54">
        <v>114</v>
      </c>
      <c r="D54">
        <v>59</v>
      </c>
      <c r="E54">
        <v>40</v>
      </c>
    </row>
    <row r="55" spans="1:5" ht="12.75">
      <c r="A55" t="s">
        <v>325</v>
      </c>
      <c r="B55">
        <v>1663</v>
      </c>
      <c r="C55">
        <v>763</v>
      </c>
      <c r="D55">
        <v>4</v>
      </c>
      <c r="E55">
        <v>4</v>
      </c>
    </row>
    <row r="56" spans="1:5" ht="12.75">
      <c r="A56" t="s">
        <v>327</v>
      </c>
      <c r="B56">
        <v>1130</v>
      </c>
      <c r="C56">
        <v>556</v>
      </c>
      <c r="D56">
        <v>1</v>
      </c>
      <c r="E56">
        <v>1</v>
      </c>
    </row>
    <row r="57" spans="1:5" ht="12.75">
      <c r="A57" t="s">
        <v>329</v>
      </c>
      <c r="B57">
        <v>1961</v>
      </c>
      <c r="C57">
        <v>1058</v>
      </c>
      <c r="D57">
        <v>2</v>
      </c>
      <c r="E57">
        <v>2</v>
      </c>
    </row>
    <row r="58" spans="1:5" ht="12.75">
      <c r="A58" t="s">
        <v>331</v>
      </c>
      <c r="B58">
        <v>426</v>
      </c>
      <c r="C58">
        <v>102</v>
      </c>
      <c r="D58">
        <v>1</v>
      </c>
      <c r="E58">
        <v>1</v>
      </c>
    </row>
    <row r="59" spans="1:3" ht="12.75">
      <c r="A59" t="s">
        <v>333</v>
      </c>
      <c r="B59">
        <v>786</v>
      </c>
      <c r="C59">
        <v>559</v>
      </c>
    </row>
    <row r="60" spans="1:5" ht="12.75">
      <c r="A60" t="s">
        <v>334</v>
      </c>
      <c r="B60">
        <v>2262</v>
      </c>
      <c r="C60">
        <v>1551</v>
      </c>
      <c r="D60">
        <v>1</v>
      </c>
      <c r="E60">
        <v>1</v>
      </c>
    </row>
    <row r="61" spans="1:5" ht="12.75">
      <c r="A61" t="s">
        <v>336</v>
      </c>
      <c r="B61">
        <v>3493</v>
      </c>
      <c r="C61">
        <v>2292</v>
      </c>
      <c r="D61">
        <v>1</v>
      </c>
      <c r="E61">
        <v>1</v>
      </c>
    </row>
    <row r="62" ht="12.75">
      <c r="A62" t="s">
        <v>344</v>
      </c>
    </row>
    <row r="63" ht="12.75">
      <c r="A63" t="s">
        <v>401</v>
      </c>
    </row>
    <row r="64" ht="12.75">
      <c r="A64" t="s">
        <v>293</v>
      </c>
    </row>
  </sheetData>
  <sheetProtection/>
  <mergeCells count="1">
    <mergeCell ref="A1:E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17" t="s">
        <v>427</v>
      </c>
      <c r="B1" s="417"/>
      <c r="C1" s="287" t="s">
        <v>428</v>
      </c>
      <c r="D1" s="287"/>
    </row>
    <row r="2" spans="1:3" ht="12.75">
      <c r="A2" t="s">
        <v>73</v>
      </c>
      <c r="B2" s="283">
        <f>SUM(B3:B4)</f>
        <v>0</v>
      </c>
      <c r="C2" s="283">
        <f>SUM(C3:C4)</f>
        <v>0</v>
      </c>
    </row>
    <row r="3" spans="1:3" ht="12.75">
      <c r="A3" t="s">
        <v>344</v>
      </c>
      <c r="B3" s="289">
        <f>IF(ISNA(VLOOKUP(A3,Program_Review_Data!A2:E67,2,FALSE)),"0",(VLOOKUP(A3,Program_Review_Data!A2:E67,2,FALSE)))</f>
        <v>0</v>
      </c>
      <c r="C3" s="289">
        <f>IF(ISNA(VLOOKUP(A3,Program_Review_Data!A2:E65,3,FALSE)),"0",(VLOOKUP(A3,Program_Review_Data!A2:E65,3,FALSE)))</f>
        <v>0</v>
      </c>
    </row>
    <row r="4" spans="1:3" ht="12.75">
      <c r="A4" t="s">
        <v>293</v>
      </c>
      <c r="B4" s="289">
        <f>IF(ISNA(VLOOKUP(A4,Program_Review_Data!A3:E68,2,FALSE)),"0",(VLOOKUP(A4,Program_Review_Data!A3:E68,2,FALSE)))</f>
        <v>0</v>
      </c>
      <c r="C4" s="28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17" t="s">
        <v>426</v>
      </c>
      <c r="B1" s="417"/>
      <c r="C1" s="417"/>
      <c r="D1" s="417"/>
      <c r="E1" s="417"/>
    </row>
    <row r="2" spans="1:5" ht="12.75">
      <c r="A2" s="256" t="s">
        <v>290</v>
      </c>
      <c r="B2" s="256" t="s">
        <v>421</v>
      </c>
      <c r="C2" s="256" t="s">
        <v>356</v>
      </c>
      <c r="D2" s="256" t="s">
        <v>422</v>
      </c>
      <c r="E2" s="256" t="s">
        <v>406</v>
      </c>
    </row>
    <row r="3" ht="12.75">
      <c r="A3" t="s">
        <v>26</v>
      </c>
    </row>
    <row r="4" spans="1:5" ht="12.75">
      <c r="A4" t="s">
        <v>295</v>
      </c>
      <c r="B4">
        <v>2320</v>
      </c>
      <c r="C4">
        <v>1658</v>
      </c>
      <c r="D4">
        <v>3</v>
      </c>
      <c r="E4">
        <v>3</v>
      </c>
    </row>
    <row r="5" spans="1:5" ht="12.75">
      <c r="A5" t="s">
        <v>297</v>
      </c>
      <c r="B5">
        <v>789</v>
      </c>
      <c r="C5">
        <v>619</v>
      </c>
      <c r="D5">
        <v>7</v>
      </c>
      <c r="E5">
        <v>7</v>
      </c>
    </row>
    <row r="6" spans="1:5" ht="12.75">
      <c r="A6" t="s">
        <v>231</v>
      </c>
      <c r="B6">
        <v>652</v>
      </c>
      <c r="C6">
        <v>402</v>
      </c>
      <c r="D6">
        <v>9</v>
      </c>
      <c r="E6">
        <v>9</v>
      </c>
    </row>
    <row r="7" spans="1:5" ht="12.75">
      <c r="A7" t="s">
        <v>300</v>
      </c>
      <c r="B7">
        <v>2276</v>
      </c>
      <c r="C7">
        <v>1415</v>
      </c>
      <c r="D7">
        <v>13</v>
      </c>
      <c r="E7">
        <v>13</v>
      </c>
    </row>
    <row r="8" spans="1:5" ht="12.75">
      <c r="A8" t="s">
        <v>304</v>
      </c>
      <c r="B8">
        <v>2501</v>
      </c>
      <c r="C8">
        <v>1773</v>
      </c>
      <c r="D8">
        <v>4</v>
      </c>
      <c r="E8">
        <v>3</v>
      </c>
    </row>
    <row r="9" spans="1:3" ht="12.75">
      <c r="A9" t="s">
        <v>307</v>
      </c>
      <c r="B9">
        <v>138</v>
      </c>
      <c r="C9">
        <v>85</v>
      </c>
    </row>
    <row r="10" spans="1:5" ht="12.75">
      <c r="A10" t="s">
        <v>311</v>
      </c>
      <c r="B10">
        <v>1841</v>
      </c>
      <c r="C10">
        <v>1448</v>
      </c>
      <c r="D10">
        <v>9</v>
      </c>
      <c r="E10">
        <v>8</v>
      </c>
    </row>
    <row r="11" spans="1:5" ht="12.75">
      <c r="A11" t="s">
        <v>317</v>
      </c>
      <c r="B11">
        <v>172</v>
      </c>
      <c r="C11">
        <v>111</v>
      </c>
      <c r="D11">
        <v>1</v>
      </c>
      <c r="E11">
        <v>1</v>
      </c>
    </row>
    <row r="12" spans="1:5" ht="12.75">
      <c r="A12" t="s">
        <v>323</v>
      </c>
      <c r="B12">
        <v>733</v>
      </c>
      <c r="C12">
        <v>592</v>
      </c>
      <c r="D12">
        <v>13</v>
      </c>
      <c r="E12">
        <v>13</v>
      </c>
    </row>
    <row r="13" spans="1:5" ht="12.75">
      <c r="A13" t="s">
        <v>324</v>
      </c>
      <c r="B13">
        <v>553</v>
      </c>
      <c r="C13">
        <v>280</v>
      </c>
      <c r="D13">
        <v>5</v>
      </c>
      <c r="E13">
        <v>5</v>
      </c>
    </row>
    <row r="14" spans="1:5" ht="12.75">
      <c r="A14" t="s">
        <v>326</v>
      </c>
      <c r="B14">
        <v>3660</v>
      </c>
      <c r="C14">
        <v>2693</v>
      </c>
      <c r="D14">
        <v>6536</v>
      </c>
      <c r="E14">
        <v>3325</v>
      </c>
    </row>
    <row r="15" spans="1:5" ht="12.75">
      <c r="A15" t="s">
        <v>328</v>
      </c>
      <c r="B15">
        <v>1023</v>
      </c>
      <c r="C15">
        <v>695</v>
      </c>
      <c r="D15">
        <v>12</v>
      </c>
      <c r="E15">
        <v>12</v>
      </c>
    </row>
    <row r="16" spans="1:3" ht="12.75">
      <c r="A16" t="s">
        <v>330</v>
      </c>
      <c r="B16">
        <v>210</v>
      </c>
      <c r="C16">
        <v>148</v>
      </c>
    </row>
    <row r="17" spans="1:5" ht="12.75">
      <c r="A17" t="s">
        <v>341</v>
      </c>
      <c r="B17">
        <v>166</v>
      </c>
      <c r="C17">
        <v>107</v>
      </c>
      <c r="D17">
        <v>2</v>
      </c>
      <c r="E17">
        <v>2</v>
      </c>
    </row>
    <row r="18" spans="1:3" ht="12.75">
      <c r="A18" t="s">
        <v>345</v>
      </c>
      <c r="B18">
        <v>147</v>
      </c>
      <c r="C18">
        <v>102</v>
      </c>
    </row>
    <row r="19" spans="1:5" ht="12.75">
      <c r="A19" t="s">
        <v>347</v>
      </c>
      <c r="B19">
        <v>233</v>
      </c>
      <c r="C19">
        <v>152</v>
      </c>
      <c r="D19">
        <v>1</v>
      </c>
      <c r="E19">
        <v>1</v>
      </c>
    </row>
    <row r="20" spans="1:5" ht="12.75">
      <c r="A20" t="s">
        <v>232</v>
      </c>
      <c r="B20">
        <v>6522</v>
      </c>
      <c r="C20">
        <v>3292</v>
      </c>
      <c r="D20">
        <v>27</v>
      </c>
      <c r="E20">
        <v>8</v>
      </c>
    </row>
    <row r="21" spans="1:5" ht="12.75">
      <c r="A21" t="s">
        <v>301</v>
      </c>
      <c r="B21">
        <v>959</v>
      </c>
      <c r="C21">
        <v>734</v>
      </c>
      <c r="D21">
        <v>46</v>
      </c>
      <c r="E21">
        <v>33</v>
      </c>
    </row>
    <row r="22" spans="1:5" ht="12.75">
      <c r="A22" t="s">
        <v>310</v>
      </c>
      <c r="B22">
        <v>934</v>
      </c>
      <c r="C22">
        <v>342</v>
      </c>
      <c r="D22">
        <v>3</v>
      </c>
      <c r="E22">
        <v>2</v>
      </c>
    </row>
    <row r="23" spans="1:5" ht="12.75">
      <c r="A23" t="s">
        <v>312</v>
      </c>
      <c r="B23">
        <v>907</v>
      </c>
      <c r="C23">
        <v>644</v>
      </c>
      <c r="D23">
        <v>28</v>
      </c>
      <c r="E23">
        <v>11</v>
      </c>
    </row>
    <row r="24" spans="1:5" ht="12.75">
      <c r="A24" t="s">
        <v>316</v>
      </c>
      <c r="B24">
        <v>1394</v>
      </c>
      <c r="C24">
        <v>958</v>
      </c>
      <c r="D24">
        <v>7</v>
      </c>
      <c r="E24">
        <v>6</v>
      </c>
    </row>
    <row r="25" spans="1:5" ht="12.75">
      <c r="A25" t="s">
        <v>320</v>
      </c>
      <c r="B25">
        <v>1205</v>
      </c>
      <c r="C25">
        <v>876</v>
      </c>
      <c r="D25">
        <v>7</v>
      </c>
      <c r="E25">
        <v>6</v>
      </c>
    </row>
    <row r="26" spans="1:5" ht="12.75">
      <c r="A26" t="s">
        <v>321</v>
      </c>
      <c r="B26">
        <v>1490</v>
      </c>
      <c r="C26">
        <v>643</v>
      </c>
      <c r="D26">
        <v>6</v>
      </c>
      <c r="E26">
        <v>6</v>
      </c>
    </row>
    <row r="27" spans="1:5" ht="12.75">
      <c r="A27" t="s">
        <v>332</v>
      </c>
      <c r="B27">
        <v>2481</v>
      </c>
      <c r="C27">
        <v>1848</v>
      </c>
      <c r="D27">
        <v>1</v>
      </c>
      <c r="E27">
        <v>1</v>
      </c>
    </row>
    <row r="28" spans="1:5" ht="12.75">
      <c r="A28" t="s">
        <v>335</v>
      </c>
      <c r="B28">
        <v>1117</v>
      </c>
      <c r="C28">
        <v>913</v>
      </c>
      <c r="D28">
        <v>2</v>
      </c>
      <c r="E28">
        <v>2</v>
      </c>
    </row>
    <row r="29" spans="1:5" ht="12.75">
      <c r="A29" t="s">
        <v>340</v>
      </c>
      <c r="B29">
        <v>2576</v>
      </c>
      <c r="C29">
        <v>1547</v>
      </c>
      <c r="D29">
        <v>6</v>
      </c>
      <c r="E29">
        <v>5</v>
      </c>
    </row>
    <row r="30" spans="1:3" ht="12.75">
      <c r="A30" t="s">
        <v>343</v>
      </c>
      <c r="B30">
        <v>948</v>
      </c>
      <c r="C30">
        <v>944</v>
      </c>
    </row>
    <row r="31" spans="1:5" ht="12.75">
      <c r="A31" t="s">
        <v>348</v>
      </c>
      <c r="B31">
        <v>3238</v>
      </c>
      <c r="C31">
        <v>1463</v>
      </c>
      <c r="D31">
        <v>87</v>
      </c>
      <c r="E31">
        <v>67</v>
      </c>
    </row>
    <row r="32" spans="1:5" ht="12.75">
      <c r="A32" t="s">
        <v>299</v>
      </c>
      <c r="B32">
        <v>2862</v>
      </c>
      <c r="C32">
        <v>2403</v>
      </c>
      <c r="D32">
        <v>4</v>
      </c>
      <c r="E32">
        <v>4</v>
      </c>
    </row>
    <row r="33" spans="1:3" ht="12.75">
      <c r="A33" t="s">
        <v>303</v>
      </c>
      <c r="B33">
        <v>225</v>
      </c>
      <c r="C33">
        <v>167</v>
      </c>
    </row>
    <row r="34" spans="1:3" ht="12.75">
      <c r="A34" t="s">
        <v>305</v>
      </c>
      <c r="B34">
        <v>55</v>
      </c>
      <c r="C34">
        <v>33</v>
      </c>
    </row>
    <row r="35" spans="1:5" ht="12.75">
      <c r="A35" t="s">
        <v>309</v>
      </c>
      <c r="B35">
        <v>6424</v>
      </c>
      <c r="C35">
        <v>4947</v>
      </c>
      <c r="D35">
        <v>24</v>
      </c>
      <c r="E35">
        <v>19</v>
      </c>
    </row>
    <row r="36" spans="1:5" ht="12.75">
      <c r="A36" t="s">
        <v>313</v>
      </c>
      <c r="B36">
        <v>517</v>
      </c>
      <c r="C36">
        <v>206</v>
      </c>
      <c r="D36">
        <v>2</v>
      </c>
      <c r="E36">
        <v>1</v>
      </c>
    </row>
    <row r="37" spans="1:5" ht="12.75">
      <c r="A37" t="s">
        <v>314</v>
      </c>
      <c r="B37">
        <v>1403</v>
      </c>
      <c r="C37">
        <v>1070</v>
      </c>
      <c r="D37">
        <v>2</v>
      </c>
      <c r="E37">
        <v>2</v>
      </c>
    </row>
    <row r="38" spans="1:5" ht="12.75">
      <c r="A38" t="s">
        <v>319</v>
      </c>
      <c r="B38">
        <v>561</v>
      </c>
      <c r="C38">
        <v>160</v>
      </c>
      <c r="D38">
        <v>587</v>
      </c>
      <c r="E38">
        <v>303</v>
      </c>
    </row>
    <row r="39" spans="1:5" ht="12.75">
      <c r="A39" t="s">
        <v>234</v>
      </c>
      <c r="B39">
        <v>1021</v>
      </c>
      <c r="C39">
        <v>408</v>
      </c>
      <c r="D39">
        <v>3</v>
      </c>
      <c r="E39">
        <v>3</v>
      </c>
    </row>
    <row r="40" spans="1:5" ht="12.75">
      <c r="A40" t="s">
        <v>322</v>
      </c>
      <c r="B40">
        <v>1871</v>
      </c>
      <c r="C40">
        <v>1410</v>
      </c>
      <c r="D40">
        <v>4</v>
      </c>
      <c r="E40">
        <v>4</v>
      </c>
    </row>
    <row r="41" spans="1:3" ht="12.75">
      <c r="A41" t="s">
        <v>337</v>
      </c>
      <c r="B41">
        <v>176</v>
      </c>
      <c r="C41">
        <v>85</v>
      </c>
    </row>
    <row r="42" spans="1:5" ht="12.75">
      <c r="A42" t="s">
        <v>338</v>
      </c>
      <c r="B42">
        <v>1647</v>
      </c>
      <c r="C42">
        <v>1022</v>
      </c>
      <c r="D42">
        <v>7</v>
      </c>
      <c r="E42">
        <v>6</v>
      </c>
    </row>
    <row r="43" spans="1:5" ht="12.75">
      <c r="A43" t="s">
        <v>339</v>
      </c>
      <c r="B43">
        <v>547</v>
      </c>
      <c r="C43">
        <v>276</v>
      </c>
      <c r="D43">
        <v>5184</v>
      </c>
      <c r="E43">
        <v>3432</v>
      </c>
    </row>
    <row r="44" spans="1:5" ht="12.75">
      <c r="A44" t="s">
        <v>342</v>
      </c>
      <c r="B44">
        <v>3334</v>
      </c>
      <c r="C44">
        <v>2237</v>
      </c>
      <c r="D44">
        <v>4</v>
      </c>
      <c r="E44">
        <v>2</v>
      </c>
    </row>
    <row r="45" spans="1:5" ht="12.75">
      <c r="A45" t="s">
        <v>346</v>
      </c>
      <c r="B45">
        <v>596</v>
      </c>
      <c r="C45">
        <v>419</v>
      </c>
      <c r="D45">
        <v>1</v>
      </c>
      <c r="E45">
        <v>1</v>
      </c>
    </row>
    <row r="46" spans="1:5" ht="12.75">
      <c r="A46" t="s">
        <v>292</v>
      </c>
      <c r="B46">
        <v>602</v>
      </c>
      <c r="C46">
        <v>416</v>
      </c>
      <c r="D46">
        <v>2</v>
      </c>
      <c r="E46">
        <v>2</v>
      </c>
    </row>
    <row r="47" spans="1:3" ht="12.75">
      <c r="A47" t="s">
        <v>294</v>
      </c>
      <c r="B47">
        <v>310</v>
      </c>
      <c r="C47">
        <v>223</v>
      </c>
    </row>
    <row r="48" spans="1:3" ht="12.75">
      <c r="A48" t="s">
        <v>296</v>
      </c>
      <c r="B48">
        <v>559</v>
      </c>
      <c r="C48">
        <v>239</v>
      </c>
    </row>
    <row r="49" spans="1:5" ht="12.75">
      <c r="A49" t="s">
        <v>302</v>
      </c>
      <c r="B49">
        <v>1753</v>
      </c>
      <c r="C49">
        <v>971</v>
      </c>
      <c r="D49">
        <v>3</v>
      </c>
      <c r="E49">
        <v>3</v>
      </c>
    </row>
    <row r="50" spans="1:3" ht="12.75">
      <c r="A50" t="s">
        <v>298</v>
      </c>
      <c r="B50">
        <v>167</v>
      </c>
      <c r="C50">
        <v>84</v>
      </c>
    </row>
    <row r="51" spans="1:3" ht="12.75">
      <c r="A51" t="s">
        <v>306</v>
      </c>
      <c r="B51">
        <v>369</v>
      </c>
      <c r="C51">
        <v>226</v>
      </c>
    </row>
    <row r="52" spans="1:3" ht="12.75">
      <c r="A52" t="s">
        <v>308</v>
      </c>
      <c r="B52">
        <v>846</v>
      </c>
      <c r="C52">
        <v>729</v>
      </c>
    </row>
    <row r="53" spans="1:5" ht="12.75">
      <c r="A53" t="s">
        <v>315</v>
      </c>
      <c r="B53">
        <v>1332</v>
      </c>
      <c r="C53">
        <v>1091</v>
      </c>
      <c r="D53">
        <v>3</v>
      </c>
      <c r="E53">
        <v>3</v>
      </c>
    </row>
    <row r="54" spans="1:3" ht="12.75">
      <c r="A54" t="s">
        <v>318</v>
      </c>
      <c r="B54">
        <v>749</v>
      </c>
      <c r="C54">
        <v>548</v>
      </c>
    </row>
    <row r="55" spans="1:5" ht="12.75">
      <c r="A55" t="s">
        <v>325</v>
      </c>
      <c r="B55">
        <v>5544</v>
      </c>
      <c r="C55">
        <v>3935</v>
      </c>
      <c r="D55">
        <v>1</v>
      </c>
      <c r="E55">
        <v>1</v>
      </c>
    </row>
    <row r="56" spans="1:3" ht="12.75">
      <c r="A56" t="s">
        <v>327</v>
      </c>
      <c r="B56">
        <v>2220</v>
      </c>
      <c r="C56">
        <v>1105</v>
      </c>
    </row>
    <row r="57" spans="1:5" ht="12.75">
      <c r="A57" t="s">
        <v>329</v>
      </c>
      <c r="B57">
        <v>627</v>
      </c>
      <c r="C57">
        <v>437</v>
      </c>
      <c r="D57">
        <v>2</v>
      </c>
      <c r="E57">
        <v>2</v>
      </c>
    </row>
    <row r="58" spans="1:5" ht="12.75">
      <c r="A58" t="s">
        <v>331</v>
      </c>
      <c r="B58">
        <v>697</v>
      </c>
      <c r="C58">
        <v>538</v>
      </c>
      <c r="D58">
        <v>1</v>
      </c>
      <c r="E58">
        <v>1</v>
      </c>
    </row>
    <row r="59" spans="1:5" ht="12.75">
      <c r="A59" t="s">
        <v>333</v>
      </c>
      <c r="B59">
        <v>2457</v>
      </c>
      <c r="C59">
        <v>2044</v>
      </c>
      <c r="D59">
        <v>2</v>
      </c>
      <c r="E59">
        <v>2</v>
      </c>
    </row>
    <row r="60" spans="1:5" ht="12.75">
      <c r="A60" t="s">
        <v>334</v>
      </c>
      <c r="B60">
        <v>3022</v>
      </c>
      <c r="C60">
        <v>1757</v>
      </c>
      <c r="D60">
        <v>34</v>
      </c>
      <c r="E60">
        <v>25</v>
      </c>
    </row>
    <row r="61" spans="1:5" ht="12.75">
      <c r="A61" t="s">
        <v>336</v>
      </c>
      <c r="B61">
        <v>2480</v>
      </c>
      <c r="C61">
        <v>1648</v>
      </c>
      <c r="D61">
        <v>2</v>
      </c>
      <c r="E61">
        <v>1</v>
      </c>
    </row>
    <row r="62" spans="1:3" ht="12.75">
      <c r="A62" t="s">
        <v>344</v>
      </c>
      <c r="B62">
        <v>87</v>
      </c>
      <c r="C62">
        <v>82</v>
      </c>
    </row>
    <row r="63" ht="12.75">
      <c r="A63" t="s">
        <v>401</v>
      </c>
    </row>
    <row r="64" spans="1:3" ht="12.75">
      <c r="A64" t="s">
        <v>293</v>
      </c>
      <c r="B64">
        <v>34</v>
      </c>
      <c r="C64">
        <v>8</v>
      </c>
    </row>
  </sheetData>
  <sheetProtection/>
  <mergeCells count="1">
    <mergeCell ref="A1:E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December 17, 2012-Monday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2012-12-17T18:45:35Z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20121217</vt:lpwstr>
  </property>
  <property fmtid="{D5CDD505-2E9C-101B-9397-08002B2CF9AE}" pid="6" name="Type">
    <vt:lpwstr>Report</vt:lpwstr>
  </property>
</Properties>
</file>