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5" yWindow="-15" windowWidth="15390" windowHeight="9600" tabRatio="858"/>
  </bookViews>
  <sheets>
    <sheet name="Finding Data" sheetId="47" r:id="rId1"/>
    <sheet name="Transformation" sheetId="7" r:id="rId2"/>
    <sheet name="Rating Bundle Measures - SOO" sheetId="36" r:id="rId3"/>
    <sheet name="Rating Bundle Measures - SOJ" sheetId="46" r:id="rId4"/>
    <sheet name="Traditional Aggregate" sheetId="35" r:id="rId5"/>
    <sheet name="EDW_FEEDER" sheetId="31" state="hidden" r:id="rId6"/>
    <sheet name="Accuracy" sheetId="33" state="hidden" r:id="rId7"/>
  </sheets>
  <definedNames>
    <definedName name="Default__MMWR_TIME_DATE" localSheetId="5" hidden="1">EDW_FEEDER!$AX$2:$AZ$3</definedName>
    <definedName name="MMWL_APPEALS" localSheetId="5" hidden="1">EDW_FEEDER!#REF!</definedName>
    <definedName name="MMWL_APPEALS_NEW_1" localSheetId="5" hidden="1">EDW_FEEDER!#REF!</definedName>
    <definedName name="_xlnm.Print_Area" localSheetId="0">'Finding Data'!$A$1:$P$40</definedName>
    <definedName name="_xlnm.Print_Area" localSheetId="3">'Rating Bundle Measures - SOJ'!$B$1:$M$49</definedName>
    <definedName name="_xlnm.Print_Area" localSheetId="2">'Rating Bundle Measures - SOO'!$B$1:$M$50</definedName>
    <definedName name="_xlnm.Print_Area" localSheetId="4">'Traditional Aggregate'!$B$5:$T$131</definedName>
    <definedName name="_xlnm.Print_Area" localSheetId="1">Transformation!$B$3:$F$36</definedName>
    <definedName name="TableName">"Dummy"</definedName>
  </definedNames>
  <calcPr calcId="145621"/>
</workbook>
</file>

<file path=xl/calcChain.xml><?xml version="1.0" encoding="utf-8"?>
<calcChain xmlns="http://schemas.openxmlformats.org/spreadsheetml/2006/main">
  <c r="B17" i="36" l="1"/>
  <c r="K11" i="36" l="1"/>
  <c r="M11" i="36"/>
  <c r="M17" i="36"/>
  <c r="J11" i="36"/>
  <c r="M35" i="36"/>
  <c r="M33" i="36"/>
  <c r="M32" i="36"/>
  <c r="L35" i="36"/>
  <c r="L33" i="36"/>
  <c r="L32" i="36"/>
  <c r="K33" i="36"/>
  <c r="K34" i="36"/>
  <c r="K32" i="36"/>
  <c r="L34" i="36"/>
  <c r="I36" i="46"/>
  <c r="H36" i="46"/>
  <c r="G36" i="46"/>
  <c r="F36" i="46"/>
  <c r="E36" i="46"/>
  <c r="D36" i="46"/>
  <c r="C36" i="46"/>
  <c r="I41" i="46"/>
  <c r="H41" i="46"/>
  <c r="G41" i="46"/>
  <c r="F41" i="46"/>
  <c r="E41" i="46"/>
  <c r="D41" i="46"/>
  <c r="C41" i="46"/>
  <c r="I46" i="46"/>
  <c r="H46" i="46"/>
  <c r="G46" i="46"/>
  <c r="F46" i="46"/>
  <c r="E46" i="46"/>
  <c r="D46" i="46"/>
  <c r="C46" i="46"/>
  <c r="I46" i="36"/>
  <c r="H46" i="36"/>
  <c r="G46" i="36"/>
  <c r="F46" i="36"/>
  <c r="E46" i="36"/>
  <c r="D46" i="36"/>
  <c r="C46" i="36"/>
  <c r="I41" i="36"/>
  <c r="H41" i="36"/>
  <c r="G41" i="36"/>
  <c r="F41" i="36"/>
  <c r="E41" i="36"/>
  <c r="D41" i="36"/>
  <c r="C41" i="36"/>
  <c r="M36" i="36"/>
  <c r="L36" i="36"/>
  <c r="K36" i="36"/>
  <c r="I36" i="36"/>
  <c r="H36" i="36"/>
  <c r="G36" i="36"/>
  <c r="F36" i="36"/>
  <c r="E36" i="36"/>
  <c r="D36" i="36"/>
  <c r="C36" i="36"/>
  <c r="I11" i="46"/>
  <c r="H11" i="46"/>
  <c r="G11" i="46"/>
  <c r="F11" i="46"/>
  <c r="E11" i="46"/>
  <c r="E45" i="46"/>
  <c r="E44" i="46"/>
  <c r="E43" i="46"/>
  <c r="E40" i="46"/>
  <c r="E39" i="46"/>
  <c r="E38" i="46"/>
  <c r="E35" i="46"/>
  <c r="E34" i="46"/>
  <c r="E33" i="46"/>
  <c r="E32" i="46"/>
  <c r="E14" i="46"/>
  <c r="E13" i="46"/>
  <c r="J2" i="46"/>
  <c r="J2" i="36"/>
  <c r="I14" i="46"/>
  <c r="I45" i="46"/>
  <c r="I44" i="46"/>
  <c r="I43" i="46"/>
  <c r="I40" i="46"/>
  <c r="I39" i="46"/>
  <c r="I38" i="46"/>
  <c r="I35" i="46"/>
  <c r="I34" i="46"/>
  <c r="I33" i="46"/>
  <c r="I32" i="46"/>
  <c r="I13" i="46"/>
  <c r="H45" i="46"/>
  <c r="H44" i="46"/>
  <c r="H43" i="46"/>
  <c r="H40" i="46"/>
  <c r="H39" i="46"/>
  <c r="H38" i="46"/>
  <c r="H35" i="46"/>
  <c r="H34" i="46"/>
  <c r="H33" i="46"/>
  <c r="H32" i="46"/>
  <c r="H14" i="46"/>
  <c r="H13" i="46"/>
  <c r="G45" i="46"/>
  <c r="G44" i="46"/>
  <c r="G43" i="46"/>
  <c r="G40" i="46"/>
  <c r="G39" i="46"/>
  <c r="G38" i="46"/>
  <c r="G35" i="46"/>
  <c r="G34" i="46"/>
  <c r="G33" i="46"/>
  <c r="G32" i="46"/>
  <c r="G14" i="46"/>
  <c r="G13" i="46"/>
  <c r="F45" i="46"/>
  <c r="F44" i="46"/>
  <c r="F43" i="46"/>
  <c r="F40" i="46"/>
  <c r="F39" i="46"/>
  <c r="F38" i="46"/>
  <c r="F35" i="46"/>
  <c r="F34" i="46"/>
  <c r="F33" i="46"/>
  <c r="F32" i="46"/>
  <c r="F14" i="46"/>
  <c r="F13" i="46"/>
  <c r="D11" i="46"/>
  <c r="D45" i="46"/>
  <c r="D44" i="46"/>
  <c r="D43" i="46"/>
  <c r="D40" i="46"/>
  <c r="D39" i="46"/>
  <c r="D38" i="46"/>
  <c r="D35" i="46"/>
  <c r="D34" i="46"/>
  <c r="D33" i="46"/>
  <c r="D32" i="46"/>
  <c r="D14" i="46"/>
  <c r="D13" i="46"/>
  <c r="C11" i="46"/>
  <c r="C45" i="46"/>
  <c r="C44" i="46"/>
  <c r="C43" i="46"/>
  <c r="C40" i="46"/>
  <c r="C39" i="46"/>
  <c r="C38" i="46"/>
  <c r="C35" i="46"/>
  <c r="C34" i="46"/>
  <c r="C33" i="46"/>
  <c r="C32" i="46"/>
  <c r="C14" i="46"/>
  <c r="C13" i="46"/>
  <c r="I43" i="36"/>
  <c r="H43" i="36"/>
  <c r="G43" i="36"/>
  <c r="F43" i="36"/>
  <c r="E43" i="36"/>
  <c r="D43" i="36"/>
  <c r="C43" i="36"/>
  <c r="I38" i="36"/>
  <c r="H38" i="36"/>
  <c r="G38" i="36"/>
  <c r="F38" i="36"/>
  <c r="E38" i="36"/>
  <c r="D38" i="36"/>
  <c r="C38" i="36"/>
  <c r="I32" i="36"/>
  <c r="H32" i="36"/>
  <c r="G32" i="36"/>
  <c r="F32" i="36"/>
  <c r="E32" i="36"/>
  <c r="D32" i="36"/>
  <c r="C32" i="36"/>
  <c r="I13" i="36"/>
  <c r="H13" i="36"/>
  <c r="G13" i="36"/>
  <c r="F13" i="36"/>
  <c r="E13" i="36"/>
  <c r="D13" i="36"/>
  <c r="C13" i="36"/>
  <c r="M32" i="46"/>
  <c r="L32" i="46"/>
  <c r="K32" i="46"/>
  <c r="B30" i="46"/>
  <c r="G30" i="46" s="1"/>
  <c r="B29" i="46"/>
  <c r="E29" i="46" s="1"/>
  <c r="B28" i="46"/>
  <c r="H28" i="46" s="1"/>
  <c r="B27" i="46"/>
  <c r="E27" i="46" s="1"/>
  <c r="B26" i="46"/>
  <c r="D26" i="46" s="1"/>
  <c r="B25" i="46"/>
  <c r="E25" i="46" s="1"/>
  <c r="B24" i="46"/>
  <c r="H24" i="46" s="1"/>
  <c r="B23" i="46"/>
  <c r="E23" i="46" s="1"/>
  <c r="B22" i="46"/>
  <c r="F22" i="46" s="1"/>
  <c r="B21" i="46"/>
  <c r="E21" i="46" s="1"/>
  <c r="B20" i="46"/>
  <c r="E20" i="46" s="1"/>
  <c r="B19" i="46"/>
  <c r="E19" i="46" s="1"/>
  <c r="B18" i="46"/>
  <c r="D18" i="46" s="1"/>
  <c r="B17" i="46"/>
  <c r="E17" i="46" s="1"/>
  <c r="B16" i="46"/>
  <c r="D16" i="46" s="1"/>
  <c r="B15" i="46"/>
  <c r="E15" i="46" s="1"/>
  <c r="I45" i="36"/>
  <c r="I44" i="36"/>
  <c r="I40" i="36"/>
  <c r="I39" i="36"/>
  <c r="I34" i="36"/>
  <c r="I35" i="36"/>
  <c r="I33" i="36"/>
  <c r="I14" i="36"/>
  <c r="I11" i="36"/>
  <c r="H45" i="36"/>
  <c r="H44" i="36"/>
  <c r="H40" i="36"/>
  <c r="H39" i="36"/>
  <c r="H35" i="36"/>
  <c r="H34" i="36"/>
  <c r="H33" i="36"/>
  <c r="H14" i="36"/>
  <c r="H11" i="36"/>
  <c r="G45" i="36"/>
  <c r="G44" i="36"/>
  <c r="G40" i="36"/>
  <c r="G39" i="36"/>
  <c r="G35" i="36"/>
  <c r="G34" i="36"/>
  <c r="G33" i="36"/>
  <c r="G14" i="36"/>
  <c r="G11" i="36"/>
  <c r="F14" i="36"/>
  <c r="F11" i="36"/>
  <c r="F35" i="36"/>
  <c r="F34" i="36"/>
  <c r="F33" i="36"/>
  <c r="F45" i="36"/>
  <c r="F44" i="36"/>
  <c r="F40" i="36"/>
  <c r="F39" i="36"/>
  <c r="D45" i="36"/>
  <c r="D44" i="36"/>
  <c r="D40" i="36"/>
  <c r="D39" i="36"/>
  <c r="E45" i="36"/>
  <c r="E44" i="36"/>
  <c r="E40" i="36"/>
  <c r="E39" i="36"/>
  <c r="E35" i="36"/>
  <c r="E34" i="36"/>
  <c r="E33" i="36"/>
  <c r="E14" i="36"/>
  <c r="E11" i="36"/>
  <c r="D14" i="36"/>
  <c r="D35" i="36"/>
  <c r="D34" i="36"/>
  <c r="D33" i="36"/>
  <c r="D11" i="36"/>
  <c r="C45" i="36"/>
  <c r="C44" i="36"/>
  <c r="C40" i="36"/>
  <c r="C39" i="36"/>
  <c r="C35" i="36"/>
  <c r="C34" i="36"/>
  <c r="C33" i="36"/>
  <c r="C11" i="36"/>
  <c r="C14" i="36"/>
  <c r="B30" i="36"/>
  <c r="M30" i="36" s="1"/>
  <c r="B29" i="36"/>
  <c r="J29" i="36" s="1"/>
  <c r="B28" i="36"/>
  <c r="B27" i="36"/>
  <c r="J27" i="36" s="1"/>
  <c r="B26" i="36"/>
  <c r="M26" i="36" s="1"/>
  <c r="B25" i="36"/>
  <c r="J25" i="36" s="1"/>
  <c r="B24" i="36"/>
  <c r="M24" i="36" s="1"/>
  <c r="B23" i="36"/>
  <c r="M23" i="36" s="1"/>
  <c r="B22" i="36"/>
  <c r="J22" i="36" s="1"/>
  <c r="B21" i="36"/>
  <c r="G21" i="36" s="1"/>
  <c r="B20" i="36"/>
  <c r="J20" i="36" s="1"/>
  <c r="B19" i="36"/>
  <c r="F19" i="36" s="1"/>
  <c r="B18" i="36"/>
  <c r="J18" i="36" s="1"/>
  <c r="B16" i="36"/>
  <c r="J16" i="36" s="1"/>
  <c r="B15" i="36"/>
  <c r="F15" i="36" s="1"/>
  <c r="M34" i="36"/>
  <c r="K35" i="36"/>
  <c r="L11" i="36"/>
  <c r="L25" i="36"/>
  <c r="L22" i="36"/>
  <c r="K20" i="36"/>
  <c r="J28" i="36"/>
  <c r="C30" i="36"/>
  <c r="H20" i="46"/>
  <c r="D23" i="46"/>
  <c r="H26" i="46"/>
  <c r="G26" i="46"/>
  <c r="I17" i="46"/>
  <c r="F17" i="46"/>
  <c r="D22" i="46"/>
  <c r="C25" i="46"/>
  <c r="C30" i="46"/>
  <c r="I30" i="46"/>
  <c r="I18" i="46"/>
  <c r="F24" i="46"/>
  <c r="C28" i="46"/>
  <c r="E30" i="46"/>
  <c r="H28" i="36"/>
  <c r="E17" i="36"/>
  <c r="E26" i="46"/>
  <c r="E22" i="46"/>
  <c r="E18" i="46"/>
  <c r="F30" i="46"/>
  <c r="G18" i="46"/>
  <c r="H18" i="46"/>
  <c r="F18" i="46"/>
  <c r="C26" i="46"/>
  <c r="I22" i="46"/>
  <c r="H30" i="46"/>
  <c r="C18" i="46"/>
  <c r="D30" i="46"/>
  <c r="C22" i="46"/>
  <c r="G22" i="46"/>
  <c r="H22" i="46"/>
  <c r="I17" i="36"/>
  <c r="H17" i="36"/>
  <c r="I26" i="46"/>
  <c r="F26" i="46"/>
  <c r="I27" i="46"/>
  <c r="C15" i="46"/>
  <c r="C28" i="36"/>
  <c r="D24" i="46"/>
  <c r="F29" i="46"/>
  <c r="H29" i="46"/>
  <c r="I22" i="36"/>
  <c r="I28" i="36"/>
  <c r="I24" i="36"/>
  <c r="F24" i="36"/>
  <c r="E28" i="36"/>
  <c r="G28" i="36"/>
  <c r="D28" i="36"/>
  <c r="F20" i="36"/>
  <c r="C20" i="36"/>
  <c r="I20" i="36"/>
  <c r="D20" i="36"/>
  <c r="I20" i="46"/>
  <c r="E26" i="36"/>
  <c r="C26" i="36"/>
  <c r="I19" i="46"/>
  <c r="I23" i="46"/>
  <c r="D19" i="46"/>
  <c r="C19" i="46"/>
  <c r="H21" i="46"/>
  <c r="C18" i="36"/>
  <c r="I18" i="36"/>
  <c r="I26" i="36"/>
  <c r="G19" i="46"/>
  <c r="D21" i="46"/>
  <c r="D15" i="46"/>
  <c r="E20" i="36"/>
  <c r="H20" i="36"/>
  <c r="M20" i="36"/>
  <c r="G20" i="36"/>
  <c r="G22" i="36"/>
  <c r="F28" i="36"/>
  <c r="E24" i="36"/>
  <c r="H22" i="36"/>
  <c r="C24" i="36"/>
  <c r="H24" i="36"/>
  <c r="F23" i="46"/>
  <c r="H23" i="46"/>
  <c r="H26" i="36"/>
  <c r="F27" i="46"/>
  <c r="H27" i="46"/>
  <c r="D27" i="46"/>
  <c r="G15" i="46"/>
  <c r="C21" i="46"/>
  <c r="F21" i="46"/>
  <c r="G17" i="46"/>
  <c r="G25" i="46"/>
  <c r="H25" i="46"/>
  <c r="I25" i="46"/>
  <c r="D17" i="46"/>
  <c r="D25" i="46"/>
  <c r="F15" i="46"/>
  <c r="G18" i="36"/>
  <c r="F30" i="36"/>
  <c r="D18" i="36"/>
  <c r="F18" i="36"/>
  <c r="I30" i="36"/>
  <c r="F16" i="36"/>
  <c r="D16" i="36"/>
  <c r="H18" i="36"/>
  <c r="E18" i="36"/>
  <c r="L17" i="36"/>
  <c r="D17" i="36"/>
  <c r="G17" i="36"/>
  <c r="F17" i="36"/>
  <c r="M28" i="36"/>
  <c r="D24" i="36"/>
  <c r="D15" i="36"/>
  <c r="L15" i="36"/>
  <c r="G15" i="36"/>
  <c r="E15" i="36"/>
  <c r="J14" i="36"/>
  <c r="F26" i="36" l="1"/>
  <c r="G26" i="36"/>
  <c r="E22" i="36"/>
  <c r="L30" i="36"/>
  <c r="H16" i="36"/>
  <c r="D25" i="36"/>
  <c r="H29" i="36"/>
  <c r="F25" i="36"/>
  <c r="C16" i="36"/>
  <c r="D29" i="36"/>
  <c r="E16" i="36"/>
  <c r="I16" i="36"/>
  <c r="C27" i="36"/>
  <c r="C19" i="36"/>
  <c r="G16" i="46"/>
  <c r="D23" i="36"/>
  <c r="C16" i="46"/>
  <c r="E24" i="46"/>
  <c r="E28" i="46"/>
  <c r="I16" i="46"/>
  <c r="J23" i="36"/>
  <c r="G20" i="46"/>
  <c r="G29" i="36"/>
  <c r="G16" i="36"/>
  <c r="F28" i="46"/>
  <c r="G28" i="46"/>
  <c r="G24" i="46"/>
  <c r="C20" i="46"/>
  <c r="I28" i="46"/>
  <c r="K25" i="36"/>
  <c r="L27" i="36"/>
  <c r="H27" i="36"/>
  <c r="E27" i="36"/>
  <c r="D20" i="46"/>
  <c r="I24" i="46"/>
  <c r="F16" i="46"/>
  <c r="E16" i="46"/>
  <c r="D28" i="46"/>
  <c r="F20" i="46"/>
  <c r="C24" i="46"/>
  <c r="M25" i="36"/>
  <c r="M21" i="36"/>
  <c r="M14" i="36"/>
  <c r="K14" i="36"/>
  <c r="K28" i="36"/>
  <c r="K19" i="36"/>
  <c r="F29" i="36"/>
  <c r="G23" i="36"/>
  <c r="I23" i="36"/>
  <c r="C29" i="36"/>
  <c r="M29" i="36"/>
  <c r="E29" i="36"/>
  <c r="E21" i="36"/>
  <c r="E19" i="36"/>
  <c r="F27" i="36"/>
  <c r="J24" i="36"/>
  <c r="K29" i="36"/>
  <c r="L18" i="36"/>
  <c r="L28" i="36"/>
  <c r="L29" i="36"/>
  <c r="I29" i="36"/>
  <c r="M27" i="36"/>
  <c r="G27" i="36"/>
  <c r="F23" i="36"/>
  <c r="I15" i="36"/>
  <c r="J15" i="36"/>
  <c r="H15" i="36"/>
  <c r="E23" i="36"/>
  <c r="K21" i="36"/>
  <c r="C23" i="36"/>
  <c r="C21" i="36"/>
  <c r="I27" i="36"/>
  <c r="D21" i="36"/>
  <c r="L19" i="36"/>
  <c r="I19" i="36"/>
  <c r="I25" i="36"/>
  <c r="H25" i="36"/>
  <c r="G25" i="36"/>
  <c r="D30" i="36"/>
  <c r="G30" i="36"/>
  <c r="H30" i="36"/>
  <c r="I15" i="46"/>
  <c r="I21" i="46"/>
  <c r="C17" i="46"/>
  <c r="E30" i="36"/>
  <c r="F25" i="46"/>
  <c r="H15" i="46"/>
  <c r="G27" i="46"/>
  <c r="H17" i="46"/>
  <c r="H19" i="46"/>
  <c r="C25" i="36"/>
  <c r="C29" i="46"/>
  <c r="I29" i="46"/>
  <c r="G29" i="46"/>
  <c r="D19" i="36"/>
  <c r="G19" i="36"/>
  <c r="G23" i="46"/>
  <c r="C23" i="46"/>
  <c r="C27" i="46"/>
  <c r="H21" i="36"/>
  <c r="F21" i="36"/>
  <c r="G21" i="46"/>
  <c r="D29" i="46"/>
  <c r="K27" i="36"/>
  <c r="K23" i="36"/>
  <c r="M15" i="36"/>
  <c r="C15" i="36"/>
  <c r="H16" i="46"/>
  <c r="F19" i="46"/>
  <c r="L21" i="36"/>
  <c r="C17" i="36"/>
  <c r="E25" i="36"/>
  <c r="D22" i="36"/>
  <c r="F22" i="36"/>
  <c r="K30" i="36"/>
  <c r="K18" i="36"/>
  <c r="L23" i="36"/>
  <c r="H23" i="36"/>
  <c r="D27" i="36"/>
  <c r="H19" i="36"/>
  <c r="G24" i="36"/>
  <c r="D26" i="36"/>
  <c r="J30" i="36"/>
  <c r="M19" i="36"/>
  <c r="M18" i="36"/>
  <c r="K17" i="36"/>
  <c r="J17" i="36"/>
  <c r="M16" i="36"/>
  <c r="J19" i="36"/>
  <c r="J21" i="36"/>
  <c r="J26" i="36"/>
  <c r="L16" i="36"/>
  <c r="K26" i="36"/>
  <c r="K24" i="36"/>
  <c r="K22" i="36"/>
  <c r="L24" i="36"/>
  <c r="L26" i="36"/>
  <c r="M22" i="36"/>
  <c r="K15" i="36"/>
  <c r="I21" i="36"/>
  <c r="C22" i="36"/>
  <c r="L20" i="36"/>
  <c r="K16" i="36"/>
  <c r="L14" i="36" l="1"/>
</calcChain>
</file>

<file path=xl/comments1.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2.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3.xml><?xml version="1.0" encoding="utf-8"?>
<comments xmlns="http://schemas.openxmlformats.org/spreadsheetml/2006/main">
  <authors>
    <author>McFadden, Patrick, VBAVACO</author>
  </authors>
  <commentList>
    <comment ref="C50"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50"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50"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50"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50"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50"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50"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85"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85"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85"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85"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85"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85"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85"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122"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122" authorId="0">
      <text>
        <r>
          <rPr>
            <b/>
            <sz val="12"/>
            <color indexed="81"/>
            <rFont val="Tahoma"/>
            <family val="2"/>
          </rPr>
          <t>Pension Entitlement Bundle End Products:</t>
        </r>
        <r>
          <rPr>
            <sz val="12"/>
            <color indexed="81"/>
            <rFont val="Tahoma"/>
            <family val="2"/>
          </rPr>
          <t xml:space="preserve">  
EP 180, EP 120, EP 190</t>
        </r>
      </text>
    </comment>
    <comment ref="H122"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122" authorId="0">
      <text>
        <r>
          <rPr>
            <b/>
            <sz val="12"/>
            <color indexed="81"/>
            <rFont val="Tahoma"/>
            <family val="2"/>
          </rPr>
          <t xml:space="preserve">Pension Program Review Bundle End Products:  </t>
        </r>
        <r>
          <rPr>
            <sz val="12"/>
            <color indexed="81"/>
            <rFont val="Tahoma"/>
            <family val="2"/>
          </rPr>
          <t xml:space="preserve">
EP 154, EP 696, EP 697</t>
        </r>
      </text>
    </comment>
    <comment ref="N122" authorId="0">
      <text>
        <r>
          <rPr>
            <b/>
            <sz val="12"/>
            <color indexed="81"/>
            <rFont val="Tahoma"/>
            <family val="2"/>
          </rPr>
          <t xml:space="preserve">Pension Other Bundle End Products: </t>
        </r>
        <r>
          <rPr>
            <sz val="12"/>
            <color indexed="81"/>
            <rFont val="Tahoma"/>
            <family val="2"/>
          </rPr>
          <t xml:space="preserve">
EP 407, EP 507, EP 937</t>
        </r>
      </text>
    </comment>
    <comment ref="Q122"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122"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List>
</comments>
</file>

<file path=xl/comments4.xml><?xml version="1.0" encoding="utf-8"?>
<comments xmlns="http://schemas.openxmlformats.org/spreadsheetml/2006/main">
  <authors>
    <author>Mikuliak, Alex, VBAVACO</author>
  </authors>
  <commentList>
    <comment ref="D82" authorId="0">
      <text>
        <r>
          <rPr>
            <b/>
            <sz val="8"/>
            <color indexed="81"/>
            <rFont val="Tahoma"/>
            <family val="2"/>
          </rPr>
          <t>ALWAYS TYPE IN A 1 TO MAKE LOOKUP WORK</t>
        </r>
      </text>
    </comment>
    <comment ref="R82" authorId="0">
      <text>
        <r>
          <rPr>
            <b/>
            <sz val="8"/>
            <color indexed="81"/>
            <rFont val="Tahoma"/>
            <family val="2"/>
          </rPr>
          <t>ALWAYS TYPE IN A 1 TO MAKE LOOKUP WORK</t>
        </r>
      </text>
    </comment>
    <comment ref="X82" authorId="0">
      <text>
        <r>
          <rPr>
            <b/>
            <sz val="8"/>
            <color indexed="81"/>
            <rFont val="Tahoma"/>
            <family val="2"/>
          </rPr>
          <t>ALWAYS TYPE IN A 1 TO MAKE LOOKUP WORK</t>
        </r>
      </text>
    </comment>
  </commentList>
</comments>
</file>

<file path=xl/connections.xml><?xml version="1.0" encoding="utf-8"?>
<connections xmlns="http://schemas.openxmlformats.org/spreadsheetml/2006/main">
  <connection id="1" name="(Default) MMWR_TIME_DATE" type="1" refreshedVersion="4" savePassword="1" deleted="1" background="1" saveData="1">
    <dbPr connection="" command=""/>
  </connection>
</connections>
</file>

<file path=xl/sharedStrings.xml><?xml version="1.0" encoding="utf-8"?>
<sst xmlns="http://schemas.openxmlformats.org/spreadsheetml/2006/main" count="1618" uniqueCount="471">
  <si>
    <t>Initial entitlement for service-connected disability (&lt;=7)</t>
  </si>
  <si>
    <t>Supplemental Entitlement</t>
  </si>
  <si>
    <t>EP</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</si>
  <si>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</si>
  <si>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</si>
  <si>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</si>
  <si>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</si>
  <si>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</si>
  <si>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</si>
  <si>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</si>
  <si>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</si>
  <si>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</si>
  <si>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</si>
  <si>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</si>
  <si>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 xml:space="preserve"> Pending</t>
  </si>
  <si>
    <t>Pending</t>
  </si>
  <si>
    <t>Award Adjustments</t>
  </si>
  <si>
    <t>Future examination for disabilities</t>
  </si>
  <si>
    <t>Program Reviews</t>
  </si>
  <si>
    <t>EASTERN AREA</t>
  </si>
  <si>
    <t>SOUTHERN AREA</t>
  </si>
  <si>
    <t>CENTRAL AREA</t>
  </si>
  <si>
    <t>WESTERN AREA</t>
  </si>
  <si>
    <t>Initial entitlement for service-connected disability (=&gt;8)</t>
  </si>
  <si>
    <t>Initial claims from surviving spouses, children or parents</t>
  </si>
  <si>
    <t>Increased evaluation and/or additional claimed conditions</t>
  </si>
  <si>
    <t>Increased entitlement due to hospitalization or surgery</t>
  </si>
  <si>
    <t>Other (in transit)</t>
  </si>
  <si>
    <t>095</t>
  </si>
  <si>
    <t>010</t>
  </si>
  <si>
    <t>020</t>
  </si>
  <si>
    <t>N/A</t>
  </si>
  <si>
    <t>Education</t>
  </si>
  <si>
    <t>Buffalo</t>
  </si>
  <si>
    <t>Atlanta</t>
  </si>
  <si>
    <t>St Louis</t>
  </si>
  <si>
    <t>Muskogee</t>
  </si>
  <si>
    <t>Current Work Items Pending</t>
  </si>
  <si>
    <t>Work Items Pending Last Week</t>
  </si>
  <si>
    <t>Weekly Change</t>
  </si>
  <si>
    <t>Percent Change</t>
  </si>
  <si>
    <t>Chapter 33 is the new Post-9/11GI Bill.  "All" represents all Education Benefit Programs Including  Chapter 33 claims.</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</si>
  <si>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</si>
  <si>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</si>
  <si>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</si>
  <si>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</si>
  <si>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</si>
  <si>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</si>
  <si>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</si>
  <si>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</si>
  <si>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</si>
  <si>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</si>
  <si>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</si>
  <si>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</si>
  <si>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</si>
  <si>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</si>
  <si>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</si>
  <si>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Ft. Harrison</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</si>
  <si>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</si>
  <si>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</si>
  <si>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</si>
  <si>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</si>
  <si>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</si>
  <si>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</si>
  <si>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</si>
  <si>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</si>
  <si>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</si>
  <si>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</si>
  <si>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</si>
  <si>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</si>
  <si>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</si>
  <si>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</si>
  <si>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</si>
  <si>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</si>
  <si>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</si>
  <si>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</si>
  <si>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</si>
  <si>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</si>
  <si>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</si>
  <si>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</si>
  <si>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</si>
  <si>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</si>
  <si>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</si>
  <si>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</si>
  <si>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</si>
  <si>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</si>
  <si>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</si>
  <si>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</si>
  <si>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</si>
  <si>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</si>
  <si>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</si>
  <si>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</si>
  <si>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</si>
  <si>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</si>
  <si>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</si>
  <si>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</si>
  <si>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</si>
  <si>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</si>
  <si>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</si>
  <si>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</si>
  <si>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</si>
  <si>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</si>
  <si>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COUNTS</t>
  </si>
  <si>
    <t>COUNTS125</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</si>
  <si>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</si>
  <si>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</si>
  <si>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</si>
  <si>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</si>
  <si>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</si>
  <si>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</si>
  <si>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</si>
  <si>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</si>
  <si>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</si>
  <si>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</si>
  <si>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</si>
  <si>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</si>
  <si>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</si>
  <si>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</si>
  <si>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</si>
  <si>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</si>
  <si>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</si>
  <si>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</si>
  <si>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</si>
  <si>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</si>
  <si>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</si>
  <si>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</si>
  <si>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</si>
  <si>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</si>
  <si>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</si>
  <si>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</si>
  <si>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</si>
  <si>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</si>
  <si>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</si>
  <si>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</si>
  <si>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</si>
  <si>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</si>
  <si>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</si>
  <si>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</si>
  <si>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</si>
  <si>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</si>
  <si>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</si>
  <si>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</si>
  <si>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</si>
  <si>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</si>
  <si>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</si>
  <si>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</si>
  <si>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STN</t>
  </si>
  <si>
    <t>690G</t>
  </si>
  <si>
    <t>135p</t>
  </si>
  <si>
    <t>Eastern Area</t>
  </si>
  <si>
    <t>Southern Area</t>
  </si>
  <si>
    <t>Central Area</t>
  </si>
  <si>
    <t>Western Area</t>
  </si>
  <si>
    <t>ADP</t>
  </si>
  <si>
    <t>Avg. Days Pending</t>
  </si>
  <si>
    <t>White River Junction</t>
  </si>
  <si>
    <t>IN ERROR</t>
  </si>
  <si>
    <t>REV'D</t>
  </si>
  <si>
    <t>ACCURACY</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</si>
  <si>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</si>
  <si>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</si>
  <si>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</si>
  <si>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</si>
  <si>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</si>
  <si>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</si>
  <si>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</si>
  <si>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</si>
  <si>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</si>
  <si>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</si>
  <si>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</si>
  <si>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</si>
  <si>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</si>
  <si>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</si>
  <si>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</si>
  <si>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</si>
  <si>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</si>
  <si>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</si>
  <si>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</si>
  <si>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</si>
  <si>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</si>
  <si>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</si>
  <si>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</si>
  <si>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</si>
  <si>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</si>
  <si>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</si>
  <si>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</si>
  <si>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</si>
  <si>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</si>
  <si>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</si>
  <si>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</si>
  <si>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</si>
  <si>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</si>
  <si>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</si>
  <si>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</si>
  <si>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</si>
  <si>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</si>
  <si>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</si>
  <si>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</si>
  <si>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</si>
  <si>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</si>
  <si>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</si>
  <si>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</si>
  <si>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</si>
  <si>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</si>
  <si>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White River Jct</t>
  </si>
  <si>
    <t>Fort Harrison</t>
  </si>
  <si>
    <t>436</t>
  </si>
  <si>
    <t>437</t>
  </si>
  <si>
    <t>438</t>
  </si>
  <si>
    <t>452</t>
  </si>
  <si>
    <t>459</t>
  </si>
  <si>
    <t xml:space="preserve">Wilmington </t>
  </si>
  <si>
    <t>460</t>
  </si>
  <si>
    <t>463</t>
  </si>
  <si>
    <t>NATION</t>
  </si>
  <si>
    <t>-</t>
  </si>
  <si>
    <t>Completed Claims - Month to Date</t>
  </si>
  <si>
    <t>AUTHORIZATION</t>
  </si>
  <si>
    <t>12 Month Authorization Accuracy - Claim Level</t>
  </si>
  <si>
    <t>12 Month Entitlement Accuracy - Claim Level</t>
  </si>
  <si>
    <t>3 Month Entitlement Accuracy - Issue Based</t>
  </si>
  <si>
    <t>3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</si>
  <si>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</si>
  <si>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</si>
  <si>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</si>
  <si>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</si>
  <si>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</si>
  <si>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</si>
  <si>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</si>
  <si>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</si>
  <si>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</si>
  <si>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</si>
  <si>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</si>
  <si>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</si>
  <si>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</si>
  <si>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</si>
  <si>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VBA uses the following 8 End Product Claim Codes + Agent Orange Claims to Define the 125 Day and 98% Accuracy Targets.</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</si>
  <si>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</si>
  <si>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</si>
  <si>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</si>
  <si>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</si>
  <si>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</si>
  <si>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(Non-PMC)</t>
  </si>
  <si>
    <t>Milwaukee PMC</t>
  </si>
  <si>
    <t>Philadelphia (Non-PMC)</t>
  </si>
  <si>
    <t>Philadelphia PMC</t>
  </si>
  <si>
    <t>Salt Lake City (Non-BDD)</t>
  </si>
  <si>
    <t>Salt Lake City BDD</t>
  </si>
  <si>
    <t>San Diego (Non-QS)</t>
  </si>
  <si>
    <t>San Diego QS</t>
  </si>
  <si>
    <t>St. Paul (Non-PMC)</t>
  </si>
  <si>
    <t>St. Paul PMC</t>
  </si>
  <si>
    <t>USAB</t>
  </si>
  <si>
    <t>USAP</t>
  </si>
  <si>
    <t>USAQ</t>
  </si>
  <si>
    <t>USAV</t>
  </si>
  <si>
    <t>White River J.</t>
  </si>
  <si>
    <t>Winston-Salem (Non-BDD &amp; QS)</t>
  </si>
  <si>
    <t>Winston-Salem BDD</t>
  </si>
  <si>
    <t>Winston-Salem QS</t>
  </si>
  <si>
    <r>
      <rPr>
        <sz val="10"/>
        <rFont val="Arial"/>
        <family val="2"/>
      </rPr>
      <t>Winston-Salem</t>
    </r>
    <r>
      <rPr>
        <sz val="10"/>
        <color indexed="9"/>
        <rFont val="Arial"/>
        <family val="2"/>
      </rPr>
      <t xml:space="preserve"> (Non-BDD &amp; QS)</t>
    </r>
  </si>
  <si>
    <r>
      <t>Philadelphia</t>
    </r>
    <r>
      <rPr>
        <sz val="10"/>
        <color indexed="9"/>
        <rFont val="Arial"/>
        <family val="2"/>
      </rPr>
      <t xml:space="preserve"> (Non-PMC)</t>
    </r>
  </si>
  <si>
    <r>
      <t>San Diego</t>
    </r>
    <r>
      <rPr>
        <sz val="10"/>
        <color indexed="9"/>
        <rFont val="Arial"/>
        <family val="2"/>
      </rPr>
      <t xml:space="preserve"> (Non-QS)</t>
    </r>
  </si>
  <si>
    <r>
      <t>Salt Lake City</t>
    </r>
    <r>
      <rPr>
        <sz val="10"/>
        <color indexed="9"/>
        <rFont val="Arial"/>
        <family val="2"/>
      </rPr>
      <t xml:space="preserve"> (Non-BDD)</t>
    </r>
  </si>
  <si>
    <t>Regional Office Reference Table</t>
  </si>
  <si>
    <r>
      <t>Milwaukee</t>
    </r>
    <r>
      <rPr>
        <sz val="10"/>
        <color indexed="9"/>
        <rFont val="Arial"/>
        <family val="2"/>
      </rPr>
      <t xml:space="preserve"> (Non-PMC)</t>
    </r>
  </si>
  <si>
    <r>
      <t>St. Paul</t>
    </r>
    <r>
      <rPr>
        <sz val="10"/>
        <color indexed="9"/>
        <rFont val="Arial"/>
        <family val="2"/>
      </rPr>
      <t xml:space="preserve"> (Non-PMC)</t>
    </r>
  </si>
  <si>
    <t>USA PMCs</t>
  </si>
  <si>
    <t>ENTIT</t>
  </si>
  <si>
    <t>ENTIT125</t>
  </si>
  <si>
    <t>AWD</t>
  </si>
  <si>
    <t>AWD125</t>
  </si>
  <si>
    <t>PROGRVW</t>
  </si>
  <si>
    <t>PROGRVW125</t>
  </si>
  <si>
    <t>OTH</t>
  </si>
  <si>
    <t>OTH125</t>
  </si>
  <si>
    <t>BUR</t>
  </si>
  <si>
    <t>ACC</t>
  </si>
  <si>
    <t>USAC</t>
  </si>
  <si>
    <t>Pension Other</t>
  </si>
  <si>
    <t>Traditional Aggregate Feeder</t>
  </si>
  <si>
    <t>Rating Bundle Aggregeate</t>
  </si>
  <si>
    <r>
      <t>USA</t>
    </r>
    <r>
      <rPr>
        <b/>
        <sz val="10"/>
        <color indexed="9"/>
        <rFont val="Arial"/>
        <family val="2"/>
      </rPr>
      <t>C</t>
    </r>
  </si>
  <si>
    <r>
      <t>Philadelphia</t>
    </r>
    <r>
      <rPr>
        <sz val="10"/>
        <color indexed="9"/>
        <rFont val="Arial"/>
        <family val="2"/>
      </rPr>
      <t xml:space="preserve"> PMC</t>
    </r>
  </si>
  <si>
    <r>
      <t xml:space="preserve">Milwaukee </t>
    </r>
    <r>
      <rPr>
        <sz val="10"/>
        <color indexed="9"/>
        <rFont val="Arial"/>
        <family val="2"/>
      </rPr>
      <t>PMC</t>
    </r>
  </si>
  <si>
    <r>
      <t>St. Paul</t>
    </r>
    <r>
      <rPr>
        <sz val="10"/>
        <color indexed="9"/>
        <rFont val="Arial"/>
        <family val="2"/>
      </rPr>
      <t xml:space="preserve"> PMC</t>
    </r>
  </si>
  <si>
    <r>
      <t>USA</t>
    </r>
    <r>
      <rPr>
        <b/>
        <sz val="10"/>
        <color indexed="9"/>
        <rFont val="Arial"/>
        <family val="2"/>
      </rPr>
      <t>P</t>
    </r>
  </si>
  <si>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</si>
  <si>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</si>
  <si>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</si>
  <si>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</si>
  <si>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</si>
  <si>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</si>
  <si>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</si>
  <si>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</si>
  <si>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</si>
  <si>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</si>
  <si>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Pension Claims Processing</t>
  </si>
  <si>
    <t>Quick Start Claims Processing</t>
  </si>
  <si>
    <t>Benefits Delivery at Discharge Processing</t>
  </si>
  <si>
    <t>Total Chapter 33 Claims</t>
  </si>
  <si>
    <t>Total Education Claims - All Education Programs</t>
  </si>
  <si>
    <t>Loan Guaranty</t>
  </si>
  <si>
    <t>Vocational Rehabilitation and Employment</t>
  </si>
  <si>
    <t>Insurance</t>
  </si>
  <si>
    <r>
      <rPr>
        <b/>
        <sz val="18"/>
        <rFont val="Arial"/>
        <family val="2"/>
      </rPr>
      <t xml:space="preserve">Compensation and Pension Rating Bundle Totals
</t>
    </r>
    <r>
      <rPr>
        <b/>
        <sz val="13"/>
        <rFont val="Arial"/>
        <family val="2"/>
      </rPr>
      <t xml:space="preserve">(Represents the 8 End Product Claim Codes + Agent Orange Claims VA Uses to Define the 125 Day and 98% Accuracy Targets) </t>
    </r>
  </si>
  <si>
    <t>Pension Entitlement</t>
  </si>
  <si>
    <t>Pension Award Adjustments</t>
  </si>
  <si>
    <t>Compensation Other</t>
  </si>
  <si>
    <t>Compensation Entitlement</t>
  </si>
  <si>
    <t>Pending Notice of Disagreements</t>
  </si>
  <si>
    <t>Pending Statement of Cases</t>
  </si>
  <si>
    <t>Pending Form 9s</t>
  </si>
  <si>
    <t>Pending Remands Returned to the Regional Office</t>
  </si>
  <si>
    <t>Pending Remands sent to the Appeals Management Center</t>
  </si>
  <si>
    <t>Total</t>
  </si>
  <si>
    <t>Appeals, Burials, Accrued</t>
  </si>
  <si>
    <t>Total Appeals Pending</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</si>
  <si>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</si>
  <si>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</si>
  <si>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</si>
  <si>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</si>
  <si>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</si>
  <si>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</si>
  <si>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</si>
  <si>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</si>
  <si>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</si>
  <si>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</si>
  <si>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</si>
  <si>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</si>
  <si>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</si>
  <si>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</si>
  <si>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</si>
  <si>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</si>
  <si>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</si>
  <si>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</si>
  <si>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</si>
  <si>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</si>
  <si>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</si>
  <si>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</si>
  <si>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</si>
  <si>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</si>
  <si>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</si>
  <si>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</si>
  <si>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</si>
  <si>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</si>
  <si>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</si>
  <si>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</si>
  <si>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</si>
  <si>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</si>
  <si>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</si>
  <si>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</si>
  <si>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</si>
  <si>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REGIONAL OFFICE COMPENSATION INVENTORY</t>
  </si>
  <si>
    <t>REGIONAL OFFICE PENSION INVENTORY</t>
  </si>
  <si>
    <t>Measurement</t>
  </si>
  <si>
    <t>To view Rating Bundle data at Regional Office level, click a jurisdiction filter below.  
Hover over a title to learn the difference between each jurisdiction.</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</si>
  <si>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</si>
  <si>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</si>
  <si>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</si>
  <si>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</si>
  <si>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</si>
  <si>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</si>
  <si>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</si>
  <si>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</si>
  <si>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</si>
  <si>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</si>
  <si>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</si>
  <si>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</si>
  <si>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</si>
  <si>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INVROJ</t>
  </si>
  <si>
    <t>ADPROJ</t>
  </si>
  <si>
    <t>PER125ROJ</t>
  </si>
  <si>
    <t>INVSOJ</t>
  </si>
  <si>
    <t>ADPSOJ</t>
  </si>
  <si>
    <t>PER125SOJ</t>
  </si>
  <si>
    <t>MTDSOJ</t>
  </si>
  <si>
    <t>FYTDSOJ</t>
  </si>
  <si>
    <t>ADCMTDSOJ</t>
  </si>
  <si>
    <t>ADCFYTDSOJ</t>
  </si>
  <si>
    <t>MTDROJ</t>
  </si>
  <si>
    <t>FYTDROJ</t>
  </si>
  <si>
    <t>ADCMTDROJ</t>
  </si>
  <si>
    <t>ADCFYTDROJ</t>
  </si>
  <si>
    <t>Station of Origination</t>
  </si>
  <si>
    <t>Compensation Claims Processing</t>
  </si>
  <si>
    <t>USA Compensation Total</t>
  </si>
  <si>
    <t>USA Pension Total</t>
  </si>
  <si>
    <t>USA Quick Start Total</t>
  </si>
  <si>
    <t>USA Benefits Deliery at Discharge Total</t>
  </si>
  <si>
    <t>Compensation and Pension Claims Processing</t>
  </si>
  <si>
    <t>Station of Origination
Compensation and Pension Rating Bundle Metrics</t>
  </si>
  <si>
    <t>Station of Jurisdiction</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</si>
  <si>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</si>
  <si>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</si>
  <si>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</si>
  <si>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</si>
  <si>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</si>
  <si>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USA Benefits Delivery at Discharge Total</t>
  </si>
  <si>
    <t>Reporting Period:</t>
  </si>
  <si>
    <t>STATION_DISPLAY</t>
  </si>
  <si>
    <t>NOD_PENDING</t>
  </si>
  <si>
    <t>AVG_DAYS_NOD</t>
  </si>
  <si>
    <t>SOC_PENDING</t>
  </si>
  <si>
    <t>F9_PENDING</t>
  </si>
  <si>
    <t>AVG_DAYS_F9</t>
  </si>
  <si>
    <t>REM_AT_RO</t>
  </si>
  <si>
    <t>REM_AVG_DAYS_PENDING_AT_RO</t>
  </si>
  <si>
    <t>REM_AT_AMC</t>
  </si>
  <si>
    <t>AVG_DAYS_PENDING_AT_AMC</t>
  </si>
  <si>
    <t>TB_RDY</t>
  </si>
  <si>
    <t>TOTAL_PENDING</t>
  </si>
  <si>
    <t>371</t>
  </si>
  <si>
    <t>403</t>
  </si>
  <si>
    <t>881</t>
  </si>
  <si>
    <t>Are</t>
  </si>
  <si>
    <t>372</t>
  </si>
  <si>
    <t>361</t>
  </si>
  <si>
    <t>882</t>
  </si>
  <si>
    <t>883</t>
  </si>
  <si>
    <t>363</t>
  </si>
  <si>
    <t>442</t>
  </si>
  <si>
    <t>Claims Ready for Travel Board</t>
  </si>
  <si>
    <t>Appeals Data</t>
  </si>
  <si>
    <t>Previous Transformation Tab</t>
  </si>
  <si>
    <t>Current Traditional Aggregate Tab</t>
  </si>
  <si>
    <t>Monday Morning Workload Report Introduction</t>
  </si>
  <si>
    <t>Notes about the data:
1)  The Station of Origination (SOO) primarily represents pending claims based on geographic boundaries; typically defined by a claimant's state of residence. Only when a claim is permanently transferred from one station to another, will the SOO change.
2) The Pension, Quick Start and Benefits Delivery at Discharge totals are not included in the Compensation totals.</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</si>
  <si>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</si>
  <si>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</si>
  <si>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WashRO/AMC/CO</t>
  </si>
  <si>
    <t>NBRINV</t>
  </si>
  <si>
    <t>Other Quick Start</t>
  </si>
  <si>
    <t>Other Pension</t>
  </si>
  <si>
    <t>Other Benefits Delivery at Discharge</t>
  </si>
  <si>
    <t>OTHER</t>
  </si>
  <si>
    <t>3 Month Rating Accuracy.xls</t>
  </si>
  <si>
    <t>BENEFIT ENTITLEMENT ACCURACY.xls</t>
  </si>
  <si>
    <t>RATING ISSUE-BASED</t>
  </si>
  <si>
    <t>RATING CLAIM-BASED</t>
  </si>
  <si>
    <t>3 Month PMC Accuracy.xls</t>
  </si>
  <si>
    <t>PMC ACCURACY.xls</t>
  </si>
  <si>
    <t>ENTITLEMENT</t>
  </si>
  <si>
    <t>PMC Maintenance (Authorization) Claims Accuracy</t>
  </si>
  <si>
    <t>BENEFIT ENTITLEMENT</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</si>
  <si>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</si>
  <si>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</si>
  <si>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</si>
  <si>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</si>
  <si>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t>
  </si>
  <si>
    <t>B</t>
  </si>
  <si>
    <t>C</t>
  </si>
  <si>
    <t>D</t>
  </si>
  <si>
    <t>E</t>
  </si>
  <si>
    <t>COLUMNS:</t>
  </si>
  <si>
    <t>Compensation Accuracy - DATA INPUT SECTION</t>
  </si>
  <si>
    <t>Accuracy lookup section - DO NOT ALTER</t>
  </si>
  <si>
    <t>Pension Accuracy - DATA INPUT SECTION</t>
  </si>
  <si>
    <t>Feeder Workbook:</t>
  </si>
  <si>
    <t>Feeder Name:</t>
  </si>
  <si>
    <t>MMWR Name:</t>
  </si>
  <si>
    <r>
      <rPr>
        <sz val="10"/>
        <rFont val="Wingdings"/>
        <charset val="2"/>
      </rPr>
      <t>â</t>
    </r>
    <r>
      <rPr>
        <sz val="10"/>
        <rFont val="Arial"/>
        <family val="2"/>
      </rPr>
      <t>REPLACE FROM FEEDER WORKBOOK</t>
    </r>
    <r>
      <rPr>
        <sz val="10"/>
        <rFont val="Wingdings"/>
        <charset val="2"/>
      </rPr>
      <t>â</t>
    </r>
  </si>
  <si>
    <t>PMC Entitlement 
(Rating) Claims Accuracy</t>
  </si>
  <si>
    <t>v_month</t>
  </si>
  <si>
    <t>v_Fdtsid</t>
  </si>
  <si>
    <t>fy_dt_2</t>
  </si>
  <si>
    <t>687</t>
  </si>
  <si>
    <t>409</t>
  </si>
  <si>
    <t>155</t>
  </si>
  <si>
    <t>As of January 24, 2015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</si>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</sst>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0"/>
    <numFmt numFmtId="170" formatCode="#########0.00%"/>
  </numFmts>
  <fonts count="75" x14ac:knownFonts="1">
    <font>
      <sz val="10"/>
      <name val="Arial"/>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u/>
      <sz val="11"/>
      <color indexed="12"/>
      <name val="Arial"/>
      <family val="2"/>
    </font>
    <font>
      <b/>
      <sz val="10"/>
      <color indexed="10"/>
      <name val="Arial"/>
      <family val="2"/>
    </font>
    <font>
      <sz val="10"/>
      <color indexed="10"/>
      <name val="Arial"/>
      <family val="2"/>
    </font>
    <font>
      <sz val="10"/>
      <name val="Arial"/>
      <family val="2"/>
    </font>
    <font>
      <sz val="10"/>
      <name val="Arial"/>
      <family val="2"/>
    </font>
    <font>
      <b/>
      <sz val="10"/>
      <name val="MS Sans Serif"/>
      <family val="2"/>
    </font>
    <font>
      <sz val="10"/>
      <name val="MS Sans Serif"/>
      <family val="2"/>
    </font>
    <font>
      <sz val="10"/>
      <color indexed="8"/>
      <name val="MS Sans Serif"/>
      <family val="2"/>
    </font>
    <font>
      <b/>
      <sz val="10"/>
      <color indexed="8"/>
      <name val="MS Sans Serif"/>
      <family val="2"/>
    </font>
    <font>
      <b/>
      <sz val="13"/>
      <name val="Arial"/>
      <family val="2"/>
    </font>
    <font>
      <b/>
      <sz val="18"/>
      <name val="Arial"/>
      <family val="2"/>
    </font>
    <font>
      <sz val="10"/>
      <color indexed="9"/>
      <name val="Arial"/>
      <family val="2"/>
    </font>
    <font>
      <b/>
      <u/>
      <sz val="10"/>
      <name val="Arial"/>
      <family val="2"/>
    </font>
    <font>
      <b/>
      <sz val="10"/>
      <color indexed="9"/>
      <name val="Arial"/>
      <family val="2"/>
    </font>
    <font>
      <sz val="10"/>
      <name val="Arial"/>
      <family val="2"/>
    </font>
    <font>
      <b/>
      <u/>
      <sz val="14"/>
      <name val="Arial"/>
      <family val="2"/>
    </font>
    <font>
      <vertAlign val="superscript"/>
      <sz val="18"/>
      <name val="Arial Narrow"/>
      <family val="2"/>
    </font>
    <font>
      <sz val="18"/>
      <name val="Arial"/>
      <family val="2"/>
    </font>
    <font>
      <sz val="16"/>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b/>
      <sz val="8"/>
      <color indexed="81"/>
      <name val="Tahoma"/>
      <family val="2"/>
    </font>
    <font>
      <sz val="14"/>
      <color indexed="10"/>
      <name val="Arial"/>
      <family val="2"/>
    </font>
    <font>
      <b/>
      <sz val="14"/>
      <color indexed="10"/>
      <name val="Symbol"/>
      <family val="1"/>
      <charset val="2"/>
    </font>
    <font>
      <u/>
      <sz val="12"/>
      <color indexed="12"/>
      <name val="Arial"/>
      <family val="2"/>
    </font>
    <font>
      <sz val="10"/>
      <name val="Wingdings"/>
      <charset val="2"/>
    </font>
    <font>
      <sz val="2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sz val="10"/>
      <color rgb="FFFF0000"/>
      <name val="Arial"/>
      <family val="2"/>
    </font>
    <font>
      <sz val="12"/>
      <color rgb="FFFF0000"/>
      <name val="Arial"/>
      <family val="2"/>
    </font>
    <font>
      <b/>
      <sz val="28"/>
      <color rgb="FFFF0000"/>
      <name val="Symbol"/>
      <family val="1"/>
      <charset val="2"/>
    </font>
    <font>
      <b/>
      <sz val="16"/>
      <color rgb="FFFF0000"/>
      <name val="Arial"/>
      <family val="2"/>
    </font>
    <font>
      <sz val="10"/>
      <name val="Arial"/>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darkDown"/>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theme="3" tint="0.79998168889431442"/>
        <bgColor indexed="64"/>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patternFill patternType="solid">
        <fgColor rgb="FF92D050"/>
        <bgColor indexed="64"/>
      </patternFill>
    </fill>
    <fill>
      <patternFill patternType="solid">
        <fgColor rgb="FFFFC000"/>
        <bgColor indexed="64"/>
      </patternFill>
    </fill>
    <fill>
      <patternFill patternType="darkUp">
        <fgColor theme="1"/>
      </patternFill>
    </fill>
    <fill>
      <patternFill patternType="solid">
        <fgColor theme="0" tint="-0.14999847407452621"/>
        <bgColor indexed="64"/>
      </patternFill>
    </fill>
    <fill>
      <patternFill patternType="solid">
        <fgColor indexed="65"/>
        <bgColor theme="1"/>
      </patternFill>
    </fill>
    <fill>
      <gradientFill degree="90">
        <stop position="0">
          <color theme="0"/>
        </stop>
        <stop position="1">
          <color theme="3" tint="0.80001220740379042"/>
        </stop>
      </gradientFill>
    </fill>
    <fill>
      <gradientFill degree="90">
        <stop position="0">
          <color theme="0"/>
        </stop>
        <stop position="1">
          <color theme="3" tint="0.40000610370189521"/>
        </stop>
      </gradientFill>
    </fill>
    <fill>
      <patternFill patternType="solid">
        <fgColor rgb="FFFFFF00"/>
        <bgColor indexed="64"/>
      </patternFill>
    </fill>
    <fill>
      <patternFill patternType="solid">
        <fgColor theme="4" tint="0.79998168889431442"/>
        <bgColor indexed="64"/>
      </patternFill>
    </fill>
    <fill>
      <patternFill patternType="darkDown">
        <bgColor rgb="FFFFC000"/>
      </patternFill>
    </fill>
    <fill>
      <patternFill patternType="darkDown">
        <bgColor rgb="FFFFFF00"/>
      </patternFill>
    </fill>
    <fill>
      <patternFill patternType="solid">
        <fgColor theme="9" tint="0.79998168889431442"/>
        <bgColor indexed="64"/>
      </patternFill>
    </fill>
  </fills>
  <borders count="146">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double">
        <color indexed="64"/>
      </right>
      <top/>
      <bottom style="medium">
        <color indexed="64"/>
      </bottom>
      <diagonal/>
    </border>
    <border>
      <left/>
      <right style="thin">
        <color indexed="64"/>
      </right>
      <top style="thin">
        <color indexed="64"/>
      </top>
      <bottom/>
      <diagonal/>
    </border>
    <border>
      <left/>
      <right style="double">
        <color indexed="64"/>
      </right>
      <top/>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diagonal/>
    </border>
    <border>
      <left style="medium">
        <color indexed="64"/>
      </left>
      <right style="thick">
        <color indexed="64"/>
      </right>
      <top style="medium">
        <color indexed="64"/>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medium">
        <color indexed="64"/>
      </bottom>
      <diagonal/>
    </border>
    <border>
      <left style="medium">
        <color indexed="64"/>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n">
        <color indexed="64"/>
      </left>
      <right/>
      <top style="thick">
        <color indexed="64"/>
      </top>
      <bottom style="thin">
        <color indexed="64"/>
      </bottom>
      <diagonal/>
    </border>
    <border>
      <left/>
      <right/>
      <top style="thin">
        <color indexed="64"/>
      </top>
      <bottom style="medium">
        <color indexed="64"/>
      </bottom>
      <diagonal/>
    </border>
    <border>
      <left/>
      <right style="medium">
        <color indexed="64"/>
      </right>
      <top/>
      <bottom style="thick">
        <color indexed="64"/>
      </bottom>
      <diagonal/>
    </border>
    <border>
      <left style="medium">
        <color indexed="64"/>
      </left>
      <right/>
      <top style="thin">
        <color indexed="64"/>
      </top>
      <bottom/>
      <diagonal/>
    </border>
    <border>
      <left style="medium">
        <color indexed="64"/>
      </left>
      <right/>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DashDot">
        <color rgb="FFFF0000"/>
      </left>
      <right/>
      <top style="mediumDashDot">
        <color rgb="FFFF0000"/>
      </top>
      <bottom/>
      <diagonal/>
    </border>
    <border>
      <left style="mediumDashDot">
        <color rgb="FFFF0000"/>
      </left>
      <right/>
      <top/>
      <bottom/>
      <diagonal/>
    </border>
    <border>
      <left/>
      <right style="mediumDashDot">
        <color rgb="FFFF0000"/>
      </right>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right/>
      <top style="mediumDashDot">
        <color rgb="FFFF0000"/>
      </top>
      <bottom/>
      <diagonal/>
    </border>
    <border>
      <left/>
      <right/>
      <top style="thin">
        <color indexed="64"/>
      </top>
      <bottom style="double">
        <color rgb="FF00B050"/>
      </bottom>
      <diagonal/>
    </border>
    <border>
      <left style="double">
        <color rgb="FF00B0F0"/>
      </left>
      <right/>
      <top style="double">
        <color rgb="FF00B0F0"/>
      </top>
      <bottom/>
      <diagonal/>
    </border>
    <border>
      <left/>
      <right/>
      <top style="double">
        <color rgb="FF00B0F0"/>
      </top>
      <bottom/>
      <diagonal/>
    </border>
    <border>
      <left/>
      <right style="double">
        <color rgb="FF00B0F0"/>
      </right>
      <top style="double">
        <color rgb="FF00B0F0"/>
      </top>
      <bottom/>
      <diagonal/>
    </border>
    <border>
      <left style="double">
        <color rgb="FF00B0F0"/>
      </left>
      <right/>
      <top/>
      <bottom style="medium">
        <color indexed="64"/>
      </bottom>
      <diagonal/>
    </border>
    <border>
      <left/>
      <right style="double">
        <color rgb="FF00B0F0"/>
      </right>
      <top/>
      <bottom style="medium">
        <color indexed="64"/>
      </bottom>
      <diagonal/>
    </border>
    <border>
      <left style="double">
        <color rgb="FF00B0F0"/>
      </left>
      <right/>
      <top/>
      <bottom/>
      <diagonal/>
    </border>
    <border>
      <left/>
      <right style="double">
        <color rgb="FF00B0F0"/>
      </right>
      <top/>
      <bottom/>
      <diagonal/>
    </border>
    <border>
      <left style="double">
        <color rgb="FF00B0F0"/>
      </left>
      <right/>
      <top style="thick">
        <color indexed="64"/>
      </top>
      <bottom/>
      <diagonal/>
    </border>
    <border>
      <left style="thin">
        <color indexed="64"/>
      </left>
      <right style="double">
        <color rgb="FF00B0F0"/>
      </right>
      <top style="thick">
        <color indexed="64"/>
      </top>
      <bottom style="thin">
        <color indexed="64"/>
      </bottom>
      <diagonal/>
    </border>
    <border>
      <left style="double">
        <color rgb="FF00B0F0"/>
      </left>
      <right style="medium">
        <color indexed="64"/>
      </right>
      <top style="thin">
        <color indexed="64"/>
      </top>
      <bottom/>
      <diagonal/>
    </border>
    <border>
      <left style="medium">
        <color indexed="64"/>
      </left>
      <right style="double">
        <color rgb="FF00B0F0"/>
      </right>
      <top style="thin">
        <color indexed="64"/>
      </top>
      <bottom/>
      <diagonal/>
    </border>
    <border>
      <left style="double">
        <color rgb="FF00B0F0"/>
      </left>
      <right style="medium">
        <color indexed="64"/>
      </right>
      <top style="medium">
        <color indexed="64"/>
      </top>
      <bottom/>
      <diagonal/>
    </border>
    <border>
      <left style="medium">
        <color indexed="64"/>
      </left>
      <right style="double">
        <color rgb="FF00B0F0"/>
      </right>
      <top style="medium">
        <color indexed="64"/>
      </top>
      <bottom/>
      <diagonal/>
    </border>
    <border>
      <left style="double">
        <color rgb="FF00B0F0"/>
      </left>
      <right style="medium">
        <color indexed="64"/>
      </right>
      <top/>
      <bottom/>
      <diagonal/>
    </border>
    <border>
      <left style="medium">
        <color indexed="64"/>
      </left>
      <right style="double">
        <color rgb="FF00B0F0"/>
      </right>
      <top/>
      <bottom/>
      <diagonal/>
    </border>
    <border>
      <left style="double">
        <color rgb="FF00B0F0"/>
      </left>
      <right style="medium">
        <color indexed="64"/>
      </right>
      <top/>
      <bottom style="medium">
        <color indexed="64"/>
      </bottom>
      <diagonal/>
    </border>
    <border>
      <left style="medium">
        <color indexed="64"/>
      </left>
      <right style="double">
        <color rgb="FF00B0F0"/>
      </right>
      <top/>
      <bottom style="medium">
        <color indexed="64"/>
      </bottom>
      <diagonal/>
    </border>
    <border>
      <left style="double">
        <color rgb="FF00B0F0"/>
      </left>
      <right style="medium">
        <color indexed="64"/>
      </right>
      <top/>
      <bottom style="thick">
        <color indexed="64"/>
      </bottom>
      <diagonal/>
    </border>
    <border>
      <left style="medium">
        <color indexed="64"/>
      </left>
      <right style="double">
        <color rgb="FF00B0F0"/>
      </right>
      <top/>
      <bottom style="thick">
        <color indexed="64"/>
      </bottom>
      <diagonal/>
    </border>
    <border>
      <left style="double">
        <color rgb="FF00B050"/>
      </left>
      <right/>
      <top style="double">
        <color rgb="FF00B050"/>
      </top>
      <bottom/>
      <diagonal/>
    </border>
    <border>
      <left/>
      <right/>
      <top style="double">
        <color rgb="FF00B050"/>
      </top>
      <bottom/>
      <diagonal/>
    </border>
    <border>
      <left style="thin">
        <color indexed="22"/>
      </left>
      <right style="thin">
        <color indexed="22"/>
      </right>
      <top style="double">
        <color rgb="FF00B050"/>
      </top>
      <bottom/>
      <diagonal/>
    </border>
    <border>
      <left style="thin">
        <color indexed="22"/>
      </left>
      <right style="double">
        <color rgb="FF00B050"/>
      </right>
      <top style="double">
        <color rgb="FF00B050"/>
      </top>
      <bottom/>
      <diagonal/>
    </border>
    <border>
      <left style="double">
        <color rgb="FF00B050"/>
      </left>
      <right/>
      <top/>
      <bottom/>
      <diagonal/>
    </border>
    <border>
      <left style="thin">
        <color indexed="22"/>
      </left>
      <right style="double">
        <color rgb="FF00B050"/>
      </right>
      <top style="thin">
        <color indexed="22"/>
      </top>
      <bottom style="thin">
        <color indexed="22"/>
      </bottom>
      <diagonal/>
    </border>
    <border>
      <left style="double">
        <color rgb="FF00B050"/>
      </left>
      <right/>
      <top/>
      <bottom style="double">
        <color rgb="FF00B050"/>
      </bottom>
      <diagonal/>
    </border>
    <border>
      <left/>
      <right/>
      <top/>
      <bottom style="double">
        <color rgb="FF00B050"/>
      </bottom>
      <diagonal/>
    </border>
    <border>
      <left style="thin">
        <color indexed="22"/>
      </left>
      <right style="thin">
        <color indexed="22"/>
      </right>
      <top style="thin">
        <color indexed="22"/>
      </top>
      <bottom style="double">
        <color rgb="FF00B050"/>
      </bottom>
      <diagonal/>
    </border>
    <border>
      <left style="thin">
        <color indexed="22"/>
      </left>
      <right style="double">
        <color rgb="FF00B050"/>
      </right>
      <top style="thin">
        <color indexed="22"/>
      </top>
      <bottom style="double">
        <color rgb="FF00B050"/>
      </bottom>
      <diagonal/>
    </border>
    <border>
      <left/>
      <right style="double">
        <color rgb="FF00B050"/>
      </right>
      <top style="double">
        <color rgb="FF00B050"/>
      </top>
      <bottom/>
      <diagonal/>
    </border>
    <border>
      <left/>
      <right style="double">
        <color rgb="FF00B050"/>
      </right>
      <top/>
      <bottom/>
      <diagonal/>
    </border>
    <border>
      <left/>
      <right style="double">
        <color rgb="FF00B050"/>
      </right>
      <top/>
      <bottom style="double">
        <color rgb="FF00B050"/>
      </bottom>
      <diagonal/>
    </border>
    <border>
      <left/>
      <right style="double">
        <color indexed="64"/>
      </right>
      <top style="double">
        <color rgb="FF00B0F0"/>
      </top>
      <bottom/>
      <diagonal/>
    </border>
  </borders>
  <cellStyleXfs count="69">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84" applyNumberFormat="0" applyAlignment="0" applyProtection="0"/>
    <xf numFmtId="0" fontId="55" fillId="32" borderId="85"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0" fontId="5" fillId="0" borderId="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30" fillId="0" borderId="0" applyFont="0" applyFill="0" applyBorder="0" applyAlignment="0" applyProtection="0"/>
    <xf numFmtId="43" fontId="35" fillId="0" borderId="0" applyFont="0" applyFill="0" applyBorder="0" applyAlignment="0" applyProtection="0"/>
    <xf numFmtId="43" fontId="51"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0" fontId="56" fillId="0" borderId="0" applyNumberFormat="0" applyFill="0" applyBorder="0" applyAlignment="0" applyProtection="0"/>
    <xf numFmtId="0" fontId="57" fillId="33" borderId="0" applyNumberFormat="0" applyBorder="0" applyAlignment="0" applyProtection="0"/>
    <xf numFmtId="0" fontId="58" fillId="0" borderId="86" applyNumberFormat="0" applyFill="0" applyAlignment="0" applyProtection="0"/>
    <xf numFmtId="0" fontId="59" fillId="0" borderId="87" applyNumberFormat="0" applyFill="0" applyAlignment="0" applyProtection="0"/>
    <xf numFmtId="0" fontId="60" fillId="0" borderId="88" applyNumberFormat="0" applyFill="0" applyAlignment="0" applyProtection="0"/>
    <xf numFmtId="0" fontId="60" fillId="0" borderId="0" applyNumberFormat="0" applyFill="0" applyBorder="0" applyAlignment="0" applyProtection="0"/>
    <xf numFmtId="0" fontId="13" fillId="0" borderId="0" applyNumberFormat="0" applyFill="0" applyBorder="0" applyAlignment="0" applyProtection="0">
      <alignment vertical="top"/>
      <protection locked="0"/>
    </xf>
    <xf numFmtId="0" fontId="61" fillId="34" borderId="84" applyNumberFormat="0" applyAlignment="0" applyProtection="0"/>
    <xf numFmtId="0" fontId="62" fillId="0" borderId="89" applyNumberFormat="0" applyFill="0" applyAlignment="0" applyProtection="0"/>
    <xf numFmtId="0" fontId="63" fillId="35" borderId="0" applyNumberFormat="0" applyBorder="0" applyAlignment="0" applyProtection="0"/>
    <xf numFmtId="0" fontId="5" fillId="0" borderId="0"/>
    <xf numFmtId="0" fontId="51" fillId="0" borderId="0"/>
    <xf numFmtId="0" fontId="51" fillId="0" borderId="0"/>
    <xf numFmtId="0" fontId="51" fillId="36" borderId="90" applyNumberFormat="0" applyFont="0" applyAlignment="0" applyProtection="0"/>
    <xf numFmtId="0" fontId="64" fillId="31" borderId="91" applyNumberFormat="0" applyAlignment="0" applyProtection="0"/>
    <xf numFmtId="9" fontId="1"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0" fontId="65" fillId="0" borderId="0" applyNumberFormat="0" applyFill="0" applyBorder="0" applyAlignment="0" applyProtection="0"/>
    <xf numFmtId="0" fontId="66" fillId="0" borderId="92" applyNumberFormat="0" applyFill="0" applyAlignment="0" applyProtection="0"/>
    <xf numFmtId="0" fontId="67" fillId="0" borderId="0" applyNumberFormat="0" applyFill="0" applyBorder="0" applyAlignment="0" applyProtection="0"/>
  </cellStyleXfs>
  <cellXfs count="632">
    <xf numFmtId="0" fontId="0" fillId="0" borderId="0" xfId="0"/>
    <xf numFmtId="0" fontId="8" fillId="2" borderId="0" xfId="0" applyFont="1" applyFill="1" applyBorder="1" applyAlignment="1">
      <alignment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4" fontId="5" fillId="0" borderId="0" xfId="0" applyNumberFormat="1" applyFont="1" applyFill="1" applyBorder="1"/>
    <xf numFmtId="0" fontId="5" fillId="0" borderId="0" xfId="0" applyFont="1" applyBorder="1"/>
    <xf numFmtId="0" fontId="5" fillId="0" borderId="0" xfId="0" applyFont="1" applyBorder="1" applyAlignment="1">
      <alignment horizontal="center"/>
    </xf>
    <xf numFmtId="4" fontId="5" fillId="0" borderId="0" xfId="0" applyNumberFormat="1"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wrapText="1"/>
    </xf>
    <xf numFmtId="4" fontId="3" fillId="0" borderId="3" xfId="0" applyNumberFormat="1" applyFont="1" applyFill="1" applyBorder="1" applyAlignment="1">
      <alignment vertical="center" wrapText="1"/>
    </xf>
    <xf numFmtId="4" fontId="2" fillId="0" borderId="0" xfId="0" applyNumberFormat="1" applyFont="1" applyFill="1" applyBorder="1" applyAlignment="1">
      <alignment vertical="center" wrapText="1"/>
    </xf>
    <xf numFmtId="0" fontId="5" fillId="0" borderId="0" xfId="0" applyFont="1" applyFill="1" applyBorder="1"/>
    <xf numFmtId="0" fontId="5" fillId="0" borderId="2" xfId="0" applyFont="1" applyFill="1" applyBorder="1" applyAlignment="1">
      <alignment horizontal="center" vertical="center" wrapText="1"/>
    </xf>
    <xf numFmtId="4" fontId="5" fillId="0" borderId="4" xfId="0" applyNumberFormat="1" applyFont="1" applyFill="1" applyBorder="1"/>
    <xf numFmtId="0" fontId="5" fillId="0" borderId="5" xfId="0" applyFont="1" applyBorder="1"/>
    <xf numFmtId="0" fontId="5" fillId="0" borderId="0" xfId="0" applyFont="1"/>
    <xf numFmtId="4" fontId="5" fillId="0" borderId="6" xfId="0" applyNumberFormat="1" applyFont="1" applyFill="1" applyBorder="1"/>
    <xf numFmtId="166" fontId="5" fillId="0" borderId="0" xfId="0" applyNumberFormat="1" applyFont="1"/>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2" borderId="7"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5" fillId="0" borderId="6" xfId="0" applyNumberFormat="1" applyFont="1" applyFill="1" applyBorder="1" applyAlignment="1">
      <alignment vertical="center" wrapText="1"/>
    </xf>
    <xf numFmtId="4" fontId="5" fillId="0" borderId="8" xfId="0" applyNumberFormat="1" applyFont="1" applyFill="1" applyBorder="1"/>
    <xf numFmtId="0" fontId="5" fillId="0" borderId="3" xfId="0" applyFont="1" applyFill="1" applyBorder="1" applyAlignment="1">
      <alignment horizontal="center" vertical="center" wrapText="1"/>
    </xf>
    <xf numFmtId="0" fontId="5" fillId="0" borderId="4" xfId="0" applyFont="1" applyBorder="1"/>
    <xf numFmtId="0" fontId="16" fillId="0" borderId="0" xfId="49" applyFont="1" applyAlignment="1" applyProtection="1">
      <alignment horizontal="left"/>
    </xf>
    <xf numFmtId="0" fontId="14" fillId="0" borderId="0" xfId="0" applyFont="1" applyFill="1" applyBorder="1" applyAlignment="1">
      <alignment horizontal="center" vertical="center" wrapText="1"/>
    </xf>
    <xf numFmtId="0" fontId="15" fillId="0" borderId="0" xfId="0" applyFont="1" applyFill="1" applyBorder="1" applyAlignment="1">
      <alignment horizontal="right" vertical="center" wrapText="1"/>
    </xf>
    <xf numFmtId="0" fontId="0" fillId="0" borderId="0" xfId="0" applyBorder="1"/>
    <xf numFmtId="0" fontId="0" fillId="0" borderId="0" xfId="0" applyFill="1" applyBorder="1"/>
    <xf numFmtId="0" fontId="0" fillId="0" borderId="0" xfId="0" applyAlignment="1">
      <alignment horizontal="center"/>
    </xf>
    <xf numFmtId="0" fontId="0" fillId="0" borderId="9" xfId="0" applyBorder="1"/>
    <xf numFmtId="0" fontId="0" fillId="0" borderId="10" xfId="0" applyBorder="1"/>
    <xf numFmtId="0" fontId="4" fillId="0" borderId="0" xfId="0" applyFont="1" applyFill="1" applyBorder="1" applyAlignment="1">
      <alignment horizontal="center" vertical="center"/>
    </xf>
    <xf numFmtId="3" fontId="14" fillId="0" borderId="0" xfId="0" applyNumberFormat="1" applyFont="1" applyFill="1" applyBorder="1" applyAlignment="1">
      <alignment horizontal="center" vertical="center" wrapText="1"/>
    </xf>
    <xf numFmtId="167" fontId="14" fillId="0" borderId="0" xfId="60" applyNumberFormat="1" applyFont="1" applyFill="1" applyBorder="1" applyAlignment="1">
      <alignment horizontal="center" vertical="center" wrapText="1"/>
    </xf>
    <xf numFmtId="166" fontId="5" fillId="0" borderId="0" xfId="28" applyNumberFormat="1" applyFont="1" applyBorder="1" applyAlignment="1">
      <alignment horizontal="center"/>
    </xf>
    <xf numFmtId="167" fontId="5" fillId="0" borderId="0" xfId="58" applyNumberFormat="1" applyFont="1" applyBorder="1" applyAlignment="1">
      <alignment horizontal="center"/>
    </xf>
    <xf numFmtId="0" fontId="10" fillId="0" borderId="0" xfId="0" applyFont="1" applyBorder="1" applyAlignment="1">
      <alignment horizontal="center" wrapText="1"/>
    </xf>
    <xf numFmtId="0" fontId="22" fillId="0" borderId="0" xfId="31" applyNumberFormat="1" applyFont="1" applyFill="1" applyBorder="1" applyAlignment="1" applyProtection="1">
      <alignment horizontal="center"/>
    </xf>
    <xf numFmtId="4" fontId="5" fillId="0" borderId="0" xfId="53" applyNumberFormat="1" applyFont="1" applyFill="1" applyBorder="1" applyAlignment="1">
      <alignment horizontal="center" vertical="center" wrapText="1"/>
    </xf>
    <xf numFmtId="4" fontId="6" fillId="0" borderId="0" xfId="0" applyNumberFormat="1" applyFont="1" applyFill="1" applyBorder="1"/>
    <xf numFmtId="0" fontId="14" fillId="0" borderId="0" xfId="0" applyFont="1" applyAlignment="1">
      <alignment wrapText="1"/>
    </xf>
    <xf numFmtId="4" fontId="6" fillId="0" borderId="0" xfId="0" applyNumberFormat="1" applyFont="1" applyFill="1" applyBorder="1" applyAlignment="1">
      <alignment horizontal="center" vertical="center" wrapText="1"/>
    </xf>
    <xf numFmtId="0" fontId="15" fillId="0" borderId="0" xfId="0" applyFont="1" applyFill="1" applyBorder="1" applyAlignment="1">
      <alignment wrapText="1"/>
    </xf>
    <xf numFmtId="0" fontId="14" fillId="0" borderId="0" xfId="0" applyFont="1" applyFill="1" applyBorder="1" applyAlignment="1">
      <alignment wrapText="1"/>
    </xf>
    <xf numFmtId="4" fontId="5" fillId="0" borderId="3" xfId="0" applyNumberFormat="1" applyFont="1" applyFill="1" applyBorder="1" applyAlignment="1">
      <alignment horizontal="center" vertical="center" wrapText="1"/>
    </xf>
    <xf numFmtId="0" fontId="5" fillId="0" borderId="0" xfId="0" applyFont="1" applyFill="1"/>
    <xf numFmtId="0" fontId="16" fillId="0" borderId="0" xfId="49" applyFont="1" applyFill="1" applyAlignment="1" applyProtection="1">
      <alignment horizontal="left"/>
    </xf>
    <xf numFmtId="167" fontId="3" fillId="0" borderId="0" xfId="58" applyNumberFormat="1" applyFont="1" applyFill="1" applyBorder="1" applyAlignment="1">
      <alignment horizontal="right" vertical="center" wrapText="1"/>
    </xf>
    <xf numFmtId="0" fontId="6" fillId="0" borderId="0" xfId="0" applyFont="1" applyFill="1" applyBorder="1" applyAlignment="1">
      <alignment horizontal="center"/>
    </xf>
    <xf numFmtId="4" fontId="6" fillId="0" borderId="0" xfId="0" applyNumberFormat="1" applyFont="1" applyFill="1" applyBorder="1" applyAlignment="1">
      <alignment horizontal="center" wrapText="1"/>
    </xf>
    <xf numFmtId="0" fontId="5" fillId="0" borderId="0" xfId="0" applyFont="1" applyAlignment="1"/>
    <xf numFmtId="0" fontId="14" fillId="0" borderId="11" xfId="0" applyFont="1" applyBorder="1" applyAlignment="1">
      <alignment horizontal="center" vertical="center" wrapText="1"/>
    </xf>
    <xf numFmtId="0" fontId="5" fillId="0" borderId="1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4" fontId="3" fillId="0" borderId="0" xfId="0" applyNumberFormat="1" applyFont="1" applyFill="1" applyBorder="1" applyAlignment="1">
      <alignment vertical="center" wrapText="1"/>
    </xf>
    <xf numFmtId="0" fontId="68" fillId="0" borderId="0" xfId="0" applyFont="1" applyBorder="1"/>
    <xf numFmtId="0" fontId="0" fillId="0" borderId="16" xfId="0" applyBorder="1"/>
    <xf numFmtId="0" fontId="0" fillId="0" borderId="17" xfId="0" applyBorder="1"/>
    <xf numFmtId="14" fontId="5" fillId="0" borderId="0" xfId="0" applyNumberFormat="1" applyFont="1" applyBorder="1" applyAlignment="1">
      <alignment horizontal="center"/>
    </xf>
    <xf numFmtId="0" fontId="69" fillId="0" borderId="93" xfId="0" applyFont="1" applyBorder="1"/>
    <xf numFmtId="0" fontId="70" fillId="0" borderId="93" xfId="0" applyFont="1" applyBorder="1"/>
    <xf numFmtId="0" fontId="21" fillId="0" borderId="0" xfId="28" applyNumberFormat="1" applyFont="1" applyFill="1" applyBorder="1" applyAlignment="1" applyProtection="1"/>
    <xf numFmtId="0" fontId="5" fillId="0" borderId="17" xfId="0" applyFont="1" applyBorder="1"/>
    <xf numFmtId="0" fontId="69" fillId="37" borderId="94" xfId="0" applyFont="1" applyFill="1" applyBorder="1"/>
    <xf numFmtId="0" fontId="6" fillId="38" borderId="18" xfId="0" applyFont="1" applyFill="1" applyBorder="1" applyAlignment="1">
      <alignment horizontal="center"/>
    </xf>
    <xf numFmtId="164" fontId="3" fillId="0" borderId="8" xfId="58" applyNumberFormat="1" applyFont="1" applyFill="1" applyBorder="1" applyAlignment="1">
      <alignment horizontal="right" vertical="center" wrapText="1"/>
    </xf>
    <xf numFmtId="166" fontId="3" fillId="0" borderId="8" xfId="28" applyNumberFormat="1" applyFont="1" applyFill="1" applyBorder="1" applyAlignment="1">
      <alignment horizontal="right" vertical="center" wrapText="1"/>
    </xf>
    <xf numFmtId="166" fontId="2" fillId="0" borderId="4" xfId="28" applyNumberFormat="1" applyFont="1" applyFill="1" applyBorder="1" applyAlignment="1">
      <alignment horizontal="right" vertical="center" wrapText="1"/>
    </xf>
    <xf numFmtId="166" fontId="6" fillId="0" borderId="4" xfId="0" applyNumberFormat="1" applyFont="1" applyBorder="1" applyAlignment="1">
      <alignment horizontal="center"/>
    </xf>
    <xf numFmtId="167" fontId="6" fillId="0" borderId="19" xfId="58" applyNumberFormat="1" applyFont="1" applyFill="1" applyBorder="1" applyAlignment="1">
      <alignment horizontal="right"/>
    </xf>
    <xf numFmtId="166" fontId="3" fillId="0" borderId="3" xfId="28" applyNumberFormat="1" applyFont="1" applyFill="1" applyBorder="1" applyAlignment="1">
      <alignment horizontal="right" vertical="center" wrapText="1"/>
    </xf>
    <xf numFmtId="166" fontId="2" fillId="0" borderId="3" xfId="28" applyNumberFormat="1" applyFont="1" applyFill="1" applyBorder="1" applyAlignment="1">
      <alignment horizontal="right" vertical="center" wrapText="1"/>
    </xf>
    <xf numFmtId="3" fontId="6" fillId="0" borderId="0" xfId="0" applyNumberFormat="1" applyFont="1" applyFill="1" applyBorder="1"/>
    <xf numFmtId="165" fontId="6" fillId="0" borderId="0" xfId="0" applyNumberFormat="1" applyFont="1" applyFill="1" applyBorder="1"/>
    <xf numFmtId="164" fontId="2" fillId="0" borderId="0" xfId="58" applyNumberFormat="1" applyFont="1" applyFill="1" applyBorder="1" applyAlignment="1">
      <alignment horizontal="right" vertical="center" wrapText="1"/>
    </xf>
    <xf numFmtId="166" fontId="2" fillId="0" borderId="0" xfId="28" applyNumberFormat="1" applyFont="1" applyFill="1" applyBorder="1" applyAlignment="1">
      <alignment horizontal="right" vertical="center" wrapText="1"/>
    </xf>
    <xf numFmtId="167" fontId="5" fillId="0" borderId="0" xfId="58" applyNumberFormat="1" applyFont="1" applyFill="1" applyBorder="1" applyAlignment="1">
      <alignment horizontal="right"/>
    </xf>
    <xf numFmtId="4" fontId="3" fillId="0" borderId="8" xfId="0" applyNumberFormat="1" applyFont="1" applyFill="1" applyBorder="1" applyAlignment="1">
      <alignment vertical="center" wrapText="1"/>
    </xf>
    <xf numFmtId="0" fontId="0" fillId="0" borderId="4" xfId="0" applyBorder="1"/>
    <xf numFmtId="0" fontId="69" fillId="0" borderId="95" xfId="0" applyFont="1" applyFill="1" applyBorder="1"/>
    <xf numFmtId="0" fontId="0" fillId="0" borderId="6" xfId="0" applyBorder="1"/>
    <xf numFmtId="0" fontId="0" fillId="0" borderId="4" xfId="0" applyFont="1" applyFill="1" applyBorder="1"/>
    <xf numFmtId="0" fontId="5" fillId="0" borderId="96" xfId="0" applyFont="1" applyBorder="1"/>
    <xf numFmtId="0" fontId="69" fillId="0" borderId="97" xfId="0" applyFont="1" applyBorder="1"/>
    <xf numFmtId="4" fontId="5" fillId="0" borderId="10" xfId="0" applyNumberFormat="1" applyFont="1" applyFill="1" applyBorder="1"/>
    <xf numFmtId="3" fontId="14" fillId="3" borderId="3" xfId="0" applyNumberFormat="1" applyFont="1" applyFill="1" applyBorder="1" applyAlignment="1">
      <alignment horizontal="center" vertical="center" wrapText="1"/>
    </xf>
    <xf numFmtId="4" fontId="5" fillId="39" borderId="3" xfId="53" applyNumberFormat="1" applyFont="1" applyFill="1" applyBorder="1" applyAlignment="1">
      <alignment horizontal="center" vertical="center" wrapText="1"/>
    </xf>
    <xf numFmtId="0" fontId="5" fillId="40" borderId="20" xfId="0" applyFont="1" applyFill="1" applyBorder="1" applyAlignment="1">
      <alignment horizontal="center" vertical="center" wrapText="1"/>
    </xf>
    <xf numFmtId="0" fontId="11" fillId="0" borderId="0" xfId="0" applyFont="1" applyFill="1" applyBorder="1" applyAlignment="1">
      <alignment horizontal="left" wrapText="1"/>
    </xf>
    <xf numFmtId="0" fontId="71" fillId="0" borderId="0" xfId="0" applyFont="1" applyFill="1" applyBorder="1" applyAlignment="1">
      <alignment horizontal="left" wrapText="1"/>
    </xf>
    <xf numFmtId="4" fontId="5" fillId="4" borderId="3" xfId="53"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6" fillId="3" borderId="14" xfId="0" applyFont="1" applyFill="1" applyBorder="1" applyAlignment="1">
      <alignment horizontal="left" vertical="center" wrapText="1"/>
    </xf>
    <xf numFmtId="166" fontId="5" fillId="0" borderId="0" xfId="0" applyNumberFormat="1" applyFont="1" applyFill="1" applyBorder="1"/>
    <xf numFmtId="167" fontId="5" fillId="0" borderId="0" xfId="58" applyNumberFormat="1" applyFont="1" applyFill="1" applyBorder="1"/>
    <xf numFmtId="10" fontId="14" fillId="3" borderId="3" xfId="0" applyNumberFormat="1" applyFont="1" applyFill="1" applyBorder="1" applyAlignment="1">
      <alignment horizontal="center" vertical="center" wrapText="1"/>
    </xf>
    <xf numFmtId="4" fontId="6" fillId="41" borderId="22" xfId="0" applyNumberFormat="1" applyFont="1" applyFill="1" applyBorder="1"/>
    <xf numFmtId="4" fontId="2" fillId="41" borderId="19" xfId="0" applyNumberFormat="1" applyFont="1" applyFill="1" applyBorder="1" applyAlignment="1" applyProtection="1">
      <alignment vertical="center" wrapText="1"/>
      <protection locked="0" hidden="1"/>
    </xf>
    <xf numFmtId="4" fontId="5" fillId="41" borderId="19" xfId="0" applyNumberFormat="1" applyFont="1" applyFill="1" applyBorder="1" applyAlignment="1" applyProtection="1">
      <alignment vertical="center" wrapText="1"/>
      <protection locked="0" hidden="1"/>
    </xf>
    <xf numFmtId="4" fontId="2" fillId="41" borderId="23" xfId="0" applyNumberFormat="1" applyFont="1" applyFill="1" applyBorder="1" applyAlignment="1" applyProtection="1">
      <alignment vertical="center" wrapText="1"/>
      <protection locked="0" hidden="1"/>
    </xf>
    <xf numFmtId="4" fontId="5" fillId="41" borderId="6" xfId="0" applyNumberFormat="1" applyFont="1" applyFill="1" applyBorder="1"/>
    <xf numFmtId="4" fontId="5" fillId="41" borderId="4" xfId="0" applyNumberFormat="1" applyFont="1" applyFill="1" applyBorder="1" applyAlignment="1" applyProtection="1">
      <protection locked="0" hidden="1"/>
    </xf>
    <xf numFmtId="4" fontId="5" fillId="41" borderId="6" xfId="0" applyNumberFormat="1" applyFont="1" applyFill="1" applyBorder="1" applyAlignment="1" applyProtection="1">
      <protection locked="0" hidden="1"/>
    </xf>
    <xf numFmtId="4" fontId="5" fillId="41" borderId="9" xfId="0" applyNumberFormat="1" applyFont="1" applyFill="1" applyBorder="1"/>
    <xf numFmtId="166" fontId="5" fillId="41" borderId="3" xfId="0" applyNumberFormat="1" applyFont="1" applyFill="1" applyBorder="1"/>
    <xf numFmtId="167" fontId="5" fillId="41" borderId="24" xfId="58" applyNumberFormat="1" applyFont="1" applyFill="1" applyBorder="1"/>
    <xf numFmtId="0" fontId="5" fillId="41" borderId="25" xfId="0" applyFont="1" applyFill="1" applyBorder="1"/>
    <xf numFmtId="4" fontId="5" fillId="41" borderId="26" xfId="0" applyNumberFormat="1" applyFont="1" applyFill="1" applyBorder="1"/>
    <xf numFmtId="49" fontId="11" fillId="41" borderId="9" xfId="0" applyNumberFormat="1" applyFont="1" applyFill="1" applyBorder="1" applyAlignment="1">
      <alignment horizontal="left" vertical="center" wrapText="1"/>
    </xf>
    <xf numFmtId="49" fontId="14" fillId="41" borderId="5" xfId="0" applyNumberFormat="1" applyFont="1" applyFill="1" applyBorder="1" applyAlignment="1">
      <alignment horizontal="center" vertical="center" wrapText="1"/>
    </xf>
    <xf numFmtId="3" fontId="15" fillId="41" borderId="5" xfId="30" applyNumberFormat="1" applyFont="1" applyFill="1" applyBorder="1" applyAlignment="1">
      <alignment horizontal="center" vertical="center" wrapText="1"/>
    </xf>
    <xf numFmtId="167" fontId="15" fillId="41" borderId="10" xfId="60" applyNumberFormat="1" applyFont="1" applyFill="1" applyBorder="1" applyAlignment="1">
      <alignment horizontal="center" vertical="center" wrapText="1"/>
    </xf>
    <xf numFmtId="0" fontId="11" fillId="41" borderId="9" xfId="0" applyFont="1" applyFill="1" applyBorder="1" applyAlignment="1">
      <alignment horizontal="left" vertical="center" wrapText="1"/>
    </xf>
    <xf numFmtId="0" fontId="14" fillId="41" borderId="5" xfId="0" quotePrefix="1" applyFont="1" applyFill="1" applyBorder="1" applyAlignment="1">
      <alignment horizontal="center" vertical="center" wrapText="1"/>
    </xf>
    <xf numFmtId="3" fontId="15" fillId="41" borderId="4" xfId="30" applyNumberFormat="1" applyFont="1" applyFill="1" applyBorder="1" applyAlignment="1">
      <alignment horizontal="center" vertical="center" wrapText="1"/>
    </xf>
    <xf numFmtId="0" fontId="14" fillId="41" borderId="0" xfId="0" quotePrefix="1" applyFont="1" applyFill="1" applyBorder="1" applyAlignment="1">
      <alignment horizontal="center" vertical="center" wrapText="1"/>
    </xf>
    <xf numFmtId="167" fontId="15" fillId="41" borderId="27" xfId="60" applyNumberFormat="1" applyFont="1" applyFill="1" applyBorder="1" applyAlignment="1">
      <alignment horizontal="center" vertical="center" wrapText="1"/>
    </xf>
    <xf numFmtId="0" fontId="14" fillId="41"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166" fontId="6" fillId="0" borderId="0" xfId="0" applyNumberFormat="1" applyFont="1" applyFill="1" applyBorder="1"/>
    <xf numFmtId="166" fontId="6" fillId="0" borderId="0" xfId="0" applyNumberFormat="1" applyFont="1" applyBorder="1"/>
    <xf numFmtId="167" fontId="6" fillId="0" borderId="0" xfId="58" applyNumberFormat="1" applyFont="1" applyBorder="1"/>
    <xf numFmtId="166" fontId="5" fillId="0" borderId="0" xfId="0" applyNumberFormat="1" applyFont="1" applyBorder="1"/>
    <xf numFmtId="167" fontId="5" fillId="0" borderId="0" xfId="58" applyNumberFormat="1" applyFont="1" applyBorder="1"/>
    <xf numFmtId="49" fontId="32" fillId="0" borderId="0"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66" fontId="5" fillId="41" borderId="8" xfId="0" applyNumberFormat="1" applyFont="1" applyFill="1" applyBorder="1"/>
    <xf numFmtId="167" fontId="5" fillId="41" borderId="28" xfId="58" applyNumberFormat="1" applyFont="1" applyFill="1" applyBorder="1"/>
    <xf numFmtId="0" fontId="6" fillId="3" borderId="29" xfId="0" applyFont="1" applyFill="1" applyBorder="1" applyAlignment="1">
      <alignment horizontal="left" vertical="center" wrapText="1"/>
    </xf>
    <xf numFmtId="3" fontId="14" fillId="3" borderId="6" xfId="0" applyNumberFormat="1" applyFont="1" applyFill="1" applyBorder="1" applyAlignment="1">
      <alignment horizontal="center" vertical="center" wrapText="1"/>
    </xf>
    <xf numFmtId="10" fontId="14" fillId="3" borderId="6" xfId="0" applyNumberFormat="1" applyFont="1" applyFill="1" applyBorder="1" applyAlignment="1">
      <alignment horizontal="center" vertical="center" wrapText="1"/>
    </xf>
    <xf numFmtId="0" fontId="12" fillId="2"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3" fillId="0" borderId="0" xfId="49" applyFill="1" applyBorder="1" applyAlignment="1" applyProtection="1">
      <alignment horizontal="center" vertical="center" wrapText="1"/>
    </xf>
    <xf numFmtId="0" fontId="11" fillId="40" borderId="9" xfId="0" applyFont="1" applyFill="1" applyBorder="1" applyAlignment="1">
      <alignment vertical="center"/>
    </xf>
    <xf numFmtId="0" fontId="4" fillId="40" borderId="0" xfId="0" applyFont="1" applyFill="1" applyBorder="1" applyAlignment="1">
      <alignment vertical="center"/>
    </xf>
    <xf numFmtId="0" fontId="12"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wrapText="1"/>
    </xf>
    <xf numFmtId="3" fontId="15" fillId="0" borderId="0" xfId="28" applyNumberFormat="1" applyFont="1" applyFill="1" applyBorder="1" applyAlignment="1">
      <alignment horizontal="center" vertical="center" wrapText="1"/>
    </xf>
    <xf numFmtId="167" fontId="15" fillId="0" borderId="0" xfId="58"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5" fillId="41" borderId="5" xfId="28" applyNumberFormat="1" applyFont="1" applyFill="1" applyBorder="1" applyAlignment="1">
      <alignment horizontal="center" vertical="center" wrapText="1"/>
    </xf>
    <xf numFmtId="167" fontId="15" fillId="41" borderId="10" xfId="58" applyNumberFormat="1" applyFont="1" applyFill="1" applyBorder="1" applyAlignment="1">
      <alignment horizontal="center" vertical="center" wrapText="1"/>
    </xf>
    <xf numFmtId="3" fontId="15" fillId="41" borderId="33" xfId="28" applyNumberFormat="1" applyFont="1" applyFill="1" applyBorder="1" applyAlignment="1">
      <alignment horizontal="center" vertical="center" wrapText="1"/>
    </xf>
    <xf numFmtId="167" fontId="15" fillId="41" borderId="34" xfId="58" applyNumberFormat="1" applyFont="1" applyFill="1" applyBorder="1" applyAlignment="1">
      <alignment horizontal="center" vertical="center" wrapText="1"/>
    </xf>
    <xf numFmtId="3" fontId="11" fillId="41" borderId="5" xfId="28" applyNumberFormat="1" applyFont="1" applyFill="1" applyBorder="1" applyAlignment="1">
      <alignment horizontal="center" vertical="center" wrapText="1"/>
    </xf>
    <xf numFmtId="3" fontId="15" fillId="41" borderId="4" xfId="28" applyNumberFormat="1" applyFont="1" applyFill="1" applyBorder="1" applyAlignment="1">
      <alignment horizontal="center" vertical="center" wrapText="1"/>
    </xf>
    <xf numFmtId="3" fontId="15" fillId="41" borderId="35" xfId="28" applyNumberFormat="1" applyFont="1" applyFill="1" applyBorder="1" applyAlignment="1">
      <alignment horizontal="center" vertical="center" wrapText="1"/>
    </xf>
    <xf numFmtId="0" fontId="10" fillId="0" borderId="17" xfId="0" applyFont="1" applyBorder="1" applyAlignment="1">
      <alignment horizontal="center" wrapText="1"/>
    </xf>
    <xf numFmtId="0" fontId="5" fillId="40" borderId="36" xfId="0" applyFont="1" applyFill="1" applyBorder="1" applyAlignment="1">
      <alignment horizontal="center" vertical="center" wrapText="1"/>
    </xf>
    <xf numFmtId="3" fontId="11" fillId="41" borderId="4" xfId="28" applyNumberFormat="1" applyFont="1" applyFill="1" applyBorder="1" applyAlignment="1">
      <alignment horizontal="center" vertical="center" wrapText="1"/>
    </xf>
    <xf numFmtId="0" fontId="12" fillId="42" borderId="0" xfId="0" applyFont="1" applyFill="1" applyBorder="1" applyAlignment="1">
      <alignment horizontal="center" vertical="center" wrapText="1"/>
    </xf>
    <xf numFmtId="3" fontId="12" fillId="42" borderId="0" xfId="0" applyNumberFormat="1" applyFont="1" applyFill="1" applyBorder="1" applyAlignment="1">
      <alignment horizontal="center" vertical="center" wrapText="1"/>
    </xf>
    <xf numFmtId="167" fontId="12" fillId="42" borderId="0" xfId="58" applyNumberFormat="1" applyFont="1" applyFill="1" applyBorder="1" applyAlignment="1">
      <alignment horizontal="center" vertical="center" wrapText="1"/>
    </xf>
    <xf numFmtId="0" fontId="11" fillId="42" borderId="0" xfId="0" applyFont="1" applyFill="1" applyBorder="1" applyAlignment="1">
      <alignment horizontal="left" vertical="center" wrapText="1"/>
    </xf>
    <xf numFmtId="0" fontId="14" fillId="42" borderId="0" xfId="0" quotePrefix="1" applyFont="1" applyFill="1" applyBorder="1" applyAlignment="1">
      <alignment horizontal="center" vertical="center" wrapText="1"/>
    </xf>
    <xf numFmtId="3" fontId="15" fillId="42" borderId="0" xfId="28" applyNumberFormat="1" applyFont="1" applyFill="1" applyBorder="1" applyAlignment="1">
      <alignment horizontal="center" vertical="center" wrapText="1"/>
    </xf>
    <xf numFmtId="167" fontId="15" fillId="42" borderId="0" xfId="58" applyNumberFormat="1" applyFont="1" applyFill="1" applyBorder="1" applyAlignment="1">
      <alignment horizontal="center" vertical="center" wrapText="1"/>
    </xf>
    <xf numFmtId="0" fontId="14" fillId="42" borderId="0" xfId="0" applyFont="1" applyFill="1" applyBorder="1" applyAlignment="1">
      <alignment horizontal="center" vertical="center" wrapText="1"/>
    </xf>
    <xf numFmtId="0" fontId="10" fillId="0" borderId="0" xfId="0" applyFont="1" applyFill="1" applyBorder="1" applyAlignment="1">
      <alignment horizontal="center" wrapText="1"/>
    </xf>
    <xf numFmtId="167" fontId="12" fillId="0" borderId="0" xfId="58" applyNumberFormat="1" applyFont="1" applyFill="1" applyBorder="1" applyAlignment="1">
      <alignment horizontal="center" vertical="center" wrapText="1"/>
    </xf>
    <xf numFmtId="167" fontId="15" fillId="41" borderId="37" xfId="58" applyNumberFormat="1" applyFont="1" applyFill="1" applyBorder="1" applyAlignment="1">
      <alignment horizontal="center" vertical="center" wrapText="1"/>
    </xf>
    <xf numFmtId="167" fontId="15" fillId="41" borderId="27" xfId="58" applyNumberFormat="1" applyFont="1" applyFill="1" applyBorder="1" applyAlignment="1">
      <alignment horizontal="center" vertical="center" wrapText="1"/>
    </xf>
    <xf numFmtId="167" fontId="15" fillId="41" borderId="38" xfId="58"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3" fontId="15" fillId="41" borderId="39" xfId="30" applyNumberFormat="1" applyFont="1" applyFill="1" applyBorder="1" applyAlignment="1">
      <alignment horizontal="center" vertical="center" wrapText="1"/>
    </xf>
    <xf numFmtId="3" fontId="15" fillId="41" borderId="40" xfId="30" applyNumberFormat="1" applyFont="1" applyFill="1" applyBorder="1" applyAlignment="1">
      <alignment horizontal="center" vertical="center" wrapText="1"/>
    </xf>
    <xf numFmtId="167" fontId="15" fillId="41" borderId="20" xfId="60" applyNumberFormat="1" applyFont="1" applyFill="1" applyBorder="1" applyAlignment="1">
      <alignment horizontal="center" vertical="center" wrapText="1"/>
    </xf>
    <xf numFmtId="0" fontId="10" fillId="0" borderId="0" xfId="0" applyFont="1" applyBorder="1" applyAlignment="1">
      <alignment wrapText="1"/>
    </xf>
    <xf numFmtId="0" fontId="5" fillId="0" borderId="10" xfId="0" applyFont="1" applyBorder="1" applyAlignment="1"/>
    <xf numFmtId="0" fontId="5" fillId="0" borderId="34" xfId="0" applyFont="1" applyBorder="1" applyAlignment="1"/>
    <xf numFmtId="0" fontId="13" fillId="0" borderId="18" xfId="49" applyFill="1" applyBorder="1" applyAlignment="1" applyProtection="1">
      <alignment horizontal="center" vertical="center" wrapText="1"/>
    </xf>
    <xf numFmtId="0" fontId="68" fillId="0" borderId="0" xfId="0" applyFont="1" applyFill="1" applyBorder="1"/>
    <xf numFmtId="164" fontId="3" fillId="0" borderId="8" xfId="65" applyNumberFormat="1" applyFont="1" applyFill="1" applyBorder="1" applyAlignment="1">
      <alignment horizontal="right" vertical="center" wrapText="1"/>
    </xf>
    <xf numFmtId="166" fontId="3" fillId="0" borderId="8" xfId="37" applyNumberFormat="1" applyFont="1" applyFill="1" applyBorder="1" applyAlignment="1">
      <alignment horizontal="right" vertical="center" wrapText="1"/>
    </xf>
    <xf numFmtId="167" fontId="6" fillId="0" borderId="19" xfId="65" applyNumberFormat="1" applyFont="1" applyFill="1" applyBorder="1" applyAlignment="1">
      <alignment horizontal="right"/>
    </xf>
    <xf numFmtId="167" fontId="6" fillId="0" borderId="41" xfId="65" applyNumberFormat="1" applyFont="1" applyFill="1" applyBorder="1" applyAlignment="1">
      <alignment horizontal="right"/>
    </xf>
    <xf numFmtId="167" fontId="5" fillId="0" borderId="41" xfId="65" applyNumberFormat="1" applyFont="1" applyFill="1" applyBorder="1" applyAlignment="1">
      <alignment horizontal="right"/>
    </xf>
    <xf numFmtId="164" fontId="2" fillId="0" borderId="4" xfId="65" applyNumberFormat="1" applyFont="1" applyFill="1" applyBorder="1" applyAlignment="1">
      <alignment horizontal="right" vertical="center" wrapText="1"/>
    </xf>
    <xf numFmtId="166" fontId="2" fillId="0" borderId="4" xfId="37" applyNumberFormat="1" applyFont="1" applyFill="1" applyBorder="1" applyAlignment="1">
      <alignment horizontal="right" vertical="center" wrapText="1"/>
    </xf>
    <xf numFmtId="167" fontId="5" fillId="0" borderId="19" xfId="65" applyNumberFormat="1" applyFont="1" applyFill="1" applyBorder="1" applyAlignment="1">
      <alignment horizontal="right"/>
    </xf>
    <xf numFmtId="164" fontId="2" fillId="0" borderId="42" xfId="65" applyNumberFormat="1" applyFont="1" applyFill="1" applyBorder="1" applyAlignment="1">
      <alignment horizontal="right" vertical="center" wrapText="1"/>
    </xf>
    <xf numFmtId="166" fontId="2" fillId="0" borderId="6" xfId="37" applyNumberFormat="1" applyFont="1" applyFill="1" applyBorder="1" applyAlignment="1">
      <alignment horizontal="right" vertical="center" wrapText="1"/>
    </xf>
    <xf numFmtId="167" fontId="5" fillId="0" borderId="23" xfId="65" applyNumberFormat="1" applyFont="1" applyFill="1" applyBorder="1" applyAlignment="1">
      <alignment horizontal="right"/>
    </xf>
    <xf numFmtId="164" fontId="3" fillId="0" borderId="4" xfId="65" applyNumberFormat="1" applyFont="1" applyFill="1" applyBorder="1" applyAlignment="1">
      <alignment horizontal="right" vertical="center" wrapText="1"/>
    </xf>
    <xf numFmtId="166" fontId="3" fillId="0" borderId="4" xfId="37" applyNumberFormat="1" applyFont="1" applyFill="1" applyBorder="1" applyAlignment="1">
      <alignment horizontal="right" vertical="center" wrapText="1"/>
    </xf>
    <xf numFmtId="164" fontId="2" fillId="0" borderId="6" xfId="65" applyNumberFormat="1" applyFont="1" applyFill="1" applyBorder="1" applyAlignment="1">
      <alignment horizontal="right" vertical="center" wrapText="1"/>
    </xf>
    <xf numFmtId="164" fontId="2" fillId="0" borderId="5" xfId="65" applyNumberFormat="1" applyFont="1" applyFill="1" applyBorder="1" applyAlignment="1">
      <alignment horizontal="right" vertical="center" wrapText="1"/>
    </xf>
    <xf numFmtId="164" fontId="3" fillId="0" borderId="3" xfId="65" applyNumberFormat="1" applyFont="1" applyFill="1" applyBorder="1" applyAlignment="1">
      <alignment horizontal="right" vertical="center" wrapText="1"/>
    </xf>
    <xf numFmtId="166" fontId="3" fillId="0" borderId="3" xfId="37" applyNumberFormat="1" applyFont="1" applyFill="1" applyBorder="1" applyAlignment="1">
      <alignment horizontal="right" vertical="center" wrapText="1"/>
    </xf>
    <xf numFmtId="167" fontId="6" fillId="0" borderId="22" xfId="65" applyNumberFormat="1" applyFont="1" applyFill="1" applyBorder="1" applyAlignment="1">
      <alignment horizontal="right"/>
    </xf>
    <xf numFmtId="164" fontId="2" fillId="0" borderId="3" xfId="65" applyNumberFormat="1" applyFont="1" applyFill="1" applyBorder="1" applyAlignment="1">
      <alignment horizontal="right" vertical="center" wrapText="1"/>
    </xf>
    <xf numFmtId="166" fontId="2" fillId="0" borderId="3" xfId="37" applyNumberFormat="1" applyFont="1" applyFill="1" applyBorder="1" applyAlignment="1">
      <alignment horizontal="right" vertical="center" wrapText="1"/>
    </xf>
    <xf numFmtId="167" fontId="5" fillId="0" borderId="22" xfId="65" applyNumberFormat="1" applyFont="1" applyFill="1" applyBorder="1" applyAlignment="1">
      <alignment horizontal="right"/>
    </xf>
    <xf numFmtId="166" fontId="5" fillId="41" borderId="4" xfId="0" applyNumberFormat="1" applyFont="1" applyFill="1" applyBorder="1"/>
    <xf numFmtId="166" fontId="5" fillId="41" borderId="6" xfId="0" applyNumberFormat="1" applyFont="1" applyFill="1" applyBorder="1"/>
    <xf numFmtId="167" fontId="5" fillId="41" borderId="27" xfId="58" applyNumberFormat="1" applyFont="1" applyFill="1" applyBorder="1"/>
    <xf numFmtId="167" fontId="5" fillId="41" borderId="43" xfId="58" applyNumberFormat="1" applyFont="1" applyFill="1" applyBorder="1"/>
    <xf numFmtId="3" fontId="11" fillId="41" borderId="37" xfId="0" applyNumberFormat="1" applyFont="1" applyFill="1" applyBorder="1" applyAlignment="1">
      <alignment horizontal="center" vertical="center" wrapText="1"/>
    </xf>
    <xf numFmtId="3" fontId="11" fillId="41" borderId="27" xfId="0" applyNumberFormat="1" applyFont="1" applyFill="1" applyBorder="1" applyAlignment="1">
      <alignment horizontal="center" vertical="center" wrapText="1"/>
    </xf>
    <xf numFmtId="0" fontId="6" fillId="43" borderId="3" xfId="0" applyFont="1" applyFill="1" applyBorder="1" applyAlignment="1">
      <alignment horizontal="center"/>
    </xf>
    <xf numFmtId="4" fontId="31" fillId="0" borderId="10" xfId="0" applyNumberFormat="1" applyFont="1" applyFill="1" applyBorder="1" applyAlignment="1">
      <alignment horizontal="center" vertical="center" wrapText="1"/>
    </xf>
    <xf numFmtId="4" fontId="6" fillId="41" borderId="4" xfId="0" applyNumberFormat="1" applyFont="1" applyFill="1" applyBorder="1" applyAlignment="1" applyProtection="1">
      <protection locked="0" hidden="1"/>
    </xf>
    <xf numFmtId="4" fontId="5" fillId="41" borderId="4" xfId="0" applyNumberFormat="1" applyFont="1" applyFill="1" applyBorder="1"/>
    <xf numFmtId="4" fontId="6" fillId="41" borderId="4" xfId="0" applyNumberFormat="1" applyFont="1" applyFill="1" applyBorder="1" applyAlignment="1">
      <alignment wrapText="1"/>
    </xf>
    <xf numFmtId="4" fontId="3" fillId="41" borderId="8" xfId="0" applyNumberFormat="1" applyFont="1" applyFill="1" applyBorder="1" applyAlignment="1" applyProtection="1">
      <alignment vertical="center" wrapText="1"/>
      <protection locked="0" hidden="1"/>
    </xf>
    <xf numFmtId="4" fontId="3" fillId="41" borderId="4" xfId="0" applyNumberFormat="1" applyFont="1" applyFill="1" applyBorder="1" applyAlignment="1" applyProtection="1">
      <alignment vertical="center" wrapText="1"/>
      <protection locked="0" hidden="1"/>
    </xf>
    <xf numFmtId="4" fontId="6" fillId="41" borderId="8" xfId="0" applyNumberFormat="1" applyFont="1" applyFill="1" applyBorder="1"/>
    <xf numFmtId="4" fontId="5" fillId="0" borderId="0" xfId="53" applyNumberFormat="1" applyFont="1" applyFill="1" applyBorder="1" applyAlignment="1">
      <alignment vertical="center" wrapText="1"/>
    </xf>
    <xf numFmtId="0" fontId="11" fillId="0" borderId="0" xfId="0" applyFont="1" applyBorder="1" applyAlignment="1">
      <alignment vertical="center" wrapText="1"/>
    </xf>
    <xf numFmtId="4" fontId="31" fillId="0" borderId="10" xfId="0" applyNumberFormat="1" applyFont="1" applyFill="1" applyBorder="1" applyAlignment="1">
      <alignment vertical="center" wrapText="1"/>
    </xf>
    <xf numFmtId="3" fontId="25" fillId="44" borderId="18" xfId="0" applyNumberFormat="1" applyFont="1" applyFill="1" applyBorder="1" applyAlignment="1">
      <alignment horizontal="center" vertical="center" wrapText="1"/>
    </xf>
    <xf numFmtId="3" fontId="25" fillId="44" borderId="18" xfId="28" applyNumberFormat="1" applyFont="1" applyFill="1" applyBorder="1" applyAlignment="1">
      <alignment horizontal="center" vertical="center" wrapText="1"/>
    </xf>
    <xf numFmtId="10" fontId="25" fillId="44" borderId="44" xfId="28" applyNumberFormat="1" applyFont="1" applyFill="1" applyBorder="1" applyAlignment="1">
      <alignment horizontal="center" vertical="center" wrapText="1"/>
    </xf>
    <xf numFmtId="3" fontId="25" fillId="44" borderId="18" xfId="30" applyNumberFormat="1" applyFont="1" applyFill="1" applyBorder="1" applyAlignment="1">
      <alignment horizontal="center" vertical="center" wrapText="1"/>
    </xf>
    <xf numFmtId="10" fontId="25" fillId="44" borderId="44" xfId="30" applyNumberFormat="1" applyFont="1" applyFill="1" applyBorder="1" applyAlignment="1">
      <alignment horizontal="center" vertical="center" wrapText="1"/>
    </xf>
    <xf numFmtId="10" fontId="25" fillId="44" borderId="44" xfId="0" applyNumberFormat="1" applyFont="1" applyFill="1" applyBorder="1" applyAlignment="1">
      <alignment horizontal="center" vertical="center" wrapText="1"/>
    </xf>
    <xf numFmtId="167" fontId="25" fillId="44" borderId="44" xfId="58" applyNumberFormat="1" applyFont="1" applyFill="1" applyBorder="1" applyAlignment="1">
      <alignment horizontal="center" vertical="center" wrapText="1"/>
    </xf>
    <xf numFmtId="3" fontId="25" fillId="44" borderId="45" xfId="28" applyNumberFormat="1" applyFont="1" applyFill="1" applyBorder="1" applyAlignment="1">
      <alignment horizontal="center" vertical="center" wrapText="1"/>
    </xf>
    <xf numFmtId="3" fontId="25" fillId="44" borderId="44" xfId="0" applyNumberFormat="1" applyFont="1" applyFill="1" applyBorder="1" applyAlignment="1">
      <alignment horizontal="center" vertical="center" wrapText="1"/>
    </xf>
    <xf numFmtId="3" fontId="25" fillId="44" borderId="44" xfId="28" applyNumberFormat="1" applyFont="1" applyFill="1" applyBorder="1" applyAlignment="1">
      <alignment horizontal="center" vertical="center" wrapText="1"/>
    </xf>
    <xf numFmtId="3" fontId="25" fillId="44" borderId="44" xfId="28" quotePrefix="1" applyNumberFormat="1" applyFont="1" applyFill="1" applyBorder="1" applyAlignment="1">
      <alignment horizontal="center" vertical="center" wrapText="1"/>
    </xf>
    <xf numFmtId="9" fontId="11" fillId="41" borderId="10" xfId="58" applyNumberFormat="1" applyFont="1" applyFill="1" applyBorder="1" applyAlignment="1">
      <alignment horizontal="center" vertical="center" wrapText="1"/>
    </xf>
    <xf numFmtId="0" fontId="0" fillId="0" borderId="0" xfId="0" applyAlignment="1">
      <alignment wrapText="1"/>
    </xf>
    <xf numFmtId="0" fontId="68" fillId="0" borderId="0" xfId="0" applyFont="1" applyBorder="1" applyAlignment="1">
      <alignment vertical="center" wrapText="1"/>
    </xf>
    <xf numFmtId="49" fontId="68" fillId="0" borderId="0" xfId="0" applyNumberFormat="1" applyFont="1" applyBorder="1"/>
    <xf numFmtId="49" fontId="68" fillId="0" borderId="0" xfId="0" applyNumberFormat="1" applyFont="1" applyFill="1" applyBorder="1"/>
    <xf numFmtId="49" fontId="68" fillId="0" borderId="5" xfId="0" applyNumberFormat="1" applyFont="1" applyBorder="1"/>
    <xf numFmtId="0" fontId="25" fillId="44" borderId="30" xfId="0" applyFont="1" applyFill="1" applyBorder="1" applyAlignment="1">
      <alignment horizontal="left" vertical="center" wrapText="1"/>
    </xf>
    <xf numFmtId="0" fontId="25" fillId="44" borderId="18" xfId="0" applyFont="1" applyFill="1" applyBorder="1" applyAlignment="1">
      <alignment horizontal="left" vertical="center" wrapText="1"/>
    </xf>
    <xf numFmtId="0" fontId="25" fillId="44" borderId="14" xfId="0" applyFont="1" applyFill="1" applyBorder="1" applyAlignment="1">
      <alignment horizontal="left" vertical="center" wrapText="1"/>
    </xf>
    <xf numFmtId="3" fontId="25" fillId="44" borderId="3" xfId="0" applyNumberFormat="1" applyFont="1" applyFill="1" applyBorder="1" applyAlignment="1">
      <alignment horizontal="center" vertical="center" wrapText="1"/>
    </xf>
    <xf numFmtId="10" fontId="25" fillId="44" borderId="24" xfId="0" applyNumberFormat="1" applyFont="1" applyFill="1" applyBorder="1" applyAlignment="1">
      <alignment horizontal="center" vertical="center" wrapText="1"/>
    </xf>
    <xf numFmtId="0" fontId="6" fillId="45" borderId="0" xfId="0" applyFont="1" applyFill="1" applyAlignment="1"/>
    <xf numFmtId="0" fontId="0" fillId="42" borderId="9" xfId="0" applyFill="1" applyBorder="1"/>
    <xf numFmtId="0" fontId="0" fillId="42" borderId="0" xfId="0" applyFill="1" applyBorder="1"/>
    <xf numFmtId="0" fontId="0" fillId="42" borderId="10" xfId="0" applyFill="1" applyBorder="1"/>
    <xf numFmtId="0" fontId="0" fillId="42" borderId="16" xfId="0" applyFill="1" applyBorder="1"/>
    <xf numFmtId="0" fontId="0" fillId="42" borderId="17" xfId="0" applyFill="1" applyBorder="1"/>
    <xf numFmtId="0" fontId="0" fillId="42" borderId="34" xfId="0" applyFill="1" applyBorder="1"/>
    <xf numFmtId="3" fontId="5" fillId="41" borderId="3" xfId="53" applyNumberFormat="1" applyFont="1" applyFill="1" applyBorder="1" applyAlignment="1" applyProtection="1">
      <alignment horizontal="center" vertical="center" wrapText="1"/>
      <protection hidden="1"/>
    </xf>
    <xf numFmtId="165" fontId="5" fillId="41" borderId="3" xfId="53" applyNumberFormat="1" applyFont="1" applyFill="1" applyBorder="1" applyAlignment="1" applyProtection="1">
      <alignment horizontal="center" vertical="center" wrapText="1"/>
      <protection hidden="1"/>
    </xf>
    <xf numFmtId="167" fontId="5" fillId="41" borderId="3" xfId="53" applyNumberFormat="1" applyFont="1" applyFill="1" applyBorder="1" applyAlignment="1" applyProtection="1">
      <alignment horizontal="center" vertical="center" wrapText="1"/>
      <protection hidden="1"/>
    </xf>
    <xf numFmtId="4" fontId="5" fillId="4" borderId="3" xfId="53" applyNumberFormat="1" applyFont="1" applyFill="1" applyBorder="1" applyAlignment="1" applyProtection="1">
      <alignment horizontal="center" vertical="center" wrapText="1"/>
      <protection hidden="1"/>
    </xf>
    <xf numFmtId="0" fontId="6" fillId="43" borderId="2" xfId="0" applyFont="1" applyFill="1" applyBorder="1" applyAlignment="1">
      <alignment horizontal="center"/>
    </xf>
    <xf numFmtId="0" fontId="28" fillId="0" borderId="0" xfId="0" applyFont="1" applyFill="1" applyBorder="1" applyAlignment="1">
      <alignment horizontal="center"/>
    </xf>
    <xf numFmtId="4" fontId="5" fillId="41" borderId="6" xfId="0" applyNumberFormat="1" applyFont="1" applyFill="1" applyBorder="1" applyAlignment="1">
      <alignment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2" fillId="0" borderId="10" xfId="0" applyFont="1" applyFill="1" applyBorder="1" applyAlignment="1">
      <alignment vertical="center" wrapText="1"/>
    </xf>
    <xf numFmtId="0" fontId="6" fillId="0" borderId="10" xfId="0" applyFont="1" applyBorder="1" applyAlignment="1">
      <alignment horizontal="center" vertical="center" wrapText="1"/>
    </xf>
    <xf numFmtId="4" fontId="3" fillId="0" borderId="6" xfId="0" applyNumberFormat="1" applyFont="1" applyFill="1" applyBorder="1" applyAlignment="1">
      <alignment vertical="center" wrapText="1"/>
    </xf>
    <xf numFmtId="166" fontId="3" fillId="0" borderId="4" xfId="28" applyNumberFormat="1" applyFont="1" applyFill="1" applyBorder="1" applyAlignment="1">
      <alignment horizontal="right" vertical="center" wrapText="1"/>
    </xf>
    <xf numFmtId="3" fontId="3" fillId="0" borderId="8" xfId="0" applyNumberFormat="1" applyFont="1" applyFill="1" applyBorder="1" applyAlignment="1">
      <alignment vertical="center" wrapText="1"/>
    </xf>
    <xf numFmtId="3" fontId="3" fillId="0" borderId="3" xfId="0" applyNumberFormat="1" applyFont="1" applyFill="1" applyBorder="1" applyAlignment="1">
      <alignment vertical="center" wrapText="1"/>
    </xf>
    <xf numFmtId="1" fontId="3" fillId="0" borderId="4" xfId="65" applyNumberFormat="1" applyFont="1" applyFill="1" applyBorder="1" applyAlignment="1">
      <alignment horizontal="right" vertical="center" wrapText="1"/>
    </xf>
    <xf numFmtId="3" fontId="11" fillId="0" borderId="0" xfId="0" applyNumberFormat="1" applyFont="1" applyFill="1" applyBorder="1" applyAlignment="1">
      <alignment vertical="center" wrapText="1"/>
    </xf>
    <xf numFmtId="166" fontId="3" fillId="46" borderId="46" xfId="28" applyNumberFormat="1" applyFont="1" applyFill="1" applyBorder="1" applyAlignment="1">
      <alignment horizontal="right" vertical="center" wrapText="1"/>
    </xf>
    <xf numFmtId="3" fontId="2" fillId="0" borderId="17" xfId="0" applyNumberFormat="1" applyFont="1" applyFill="1" applyBorder="1" applyAlignment="1">
      <alignment horizontal="center" vertical="center" wrapText="1"/>
    </xf>
    <xf numFmtId="0" fontId="6" fillId="0" borderId="47" xfId="0" applyFont="1" applyFill="1" applyBorder="1" applyAlignment="1">
      <alignment horizontal="center"/>
    </xf>
    <xf numFmtId="1" fontId="6" fillId="0" borderId="36" xfId="58" applyNumberFormat="1" applyFont="1" applyFill="1" applyBorder="1" applyAlignment="1">
      <alignment horizontal="right"/>
    </xf>
    <xf numFmtId="0" fontId="5" fillId="0" borderId="0" xfId="0" applyFont="1" applyFill="1" applyBorder="1" applyAlignment="1">
      <alignment horizontal="center"/>
    </xf>
    <xf numFmtId="1" fontId="5" fillId="0" borderId="48" xfId="58" applyNumberFormat="1" applyFont="1" applyFill="1" applyBorder="1" applyAlignment="1">
      <alignment horizontal="right"/>
    </xf>
    <xf numFmtId="0" fontId="5" fillId="0" borderId="17" xfId="0" applyFont="1" applyFill="1" applyBorder="1" applyAlignment="1">
      <alignment horizontal="center"/>
    </xf>
    <xf numFmtId="166" fontId="2" fillId="0" borderId="49" xfId="28" applyNumberFormat="1" applyFont="1" applyFill="1" applyBorder="1" applyAlignment="1">
      <alignment horizontal="right" vertical="center" wrapText="1"/>
    </xf>
    <xf numFmtId="0" fontId="5" fillId="0" borderId="9" xfId="0" applyFont="1" applyFill="1" applyBorder="1"/>
    <xf numFmtId="0" fontId="5" fillId="0" borderId="48" xfId="0" applyFont="1" applyFill="1" applyBorder="1"/>
    <xf numFmtId="0" fontId="5" fillId="0" borderId="49" xfId="0" applyFont="1" applyFill="1" applyBorder="1"/>
    <xf numFmtId="0" fontId="5" fillId="47" borderId="48" xfId="0" applyFont="1" applyFill="1" applyBorder="1"/>
    <xf numFmtId="10" fontId="5" fillId="41" borderId="3" xfId="53" applyNumberFormat="1" applyFont="1" applyFill="1" applyBorder="1" applyAlignment="1" applyProtection="1">
      <alignment horizontal="center" vertical="center" wrapText="1"/>
      <protection hidden="1"/>
    </xf>
    <xf numFmtId="10" fontId="11" fillId="0" borderId="0" xfId="58" applyNumberFormat="1" applyFont="1" applyFill="1" applyBorder="1" applyAlignment="1">
      <alignment vertical="center" wrapText="1"/>
    </xf>
    <xf numFmtId="3" fontId="10" fillId="0" borderId="0" xfId="0" applyNumberFormat="1" applyFont="1" applyBorder="1" applyAlignment="1">
      <alignment horizontal="center" wrapText="1"/>
    </xf>
    <xf numFmtId="0" fontId="72" fillId="0" borderId="0" xfId="0" applyFont="1" applyBorder="1" applyAlignment="1">
      <alignment horizontal="left" vertical="center"/>
    </xf>
    <xf numFmtId="3" fontId="15" fillId="41" borderId="33" xfId="30" applyNumberFormat="1" applyFont="1" applyFill="1" applyBorder="1" applyAlignment="1">
      <alignment horizontal="center" vertical="center" wrapText="1"/>
    </xf>
    <xf numFmtId="167" fontId="15" fillId="41" borderId="34" xfId="60" applyNumberFormat="1" applyFont="1" applyFill="1" applyBorder="1" applyAlignment="1">
      <alignment horizontal="center" vertical="center" wrapText="1"/>
    </xf>
    <xf numFmtId="0" fontId="6" fillId="38" borderId="16" xfId="0" applyFont="1" applyFill="1" applyBorder="1" applyAlignment="1">
      <alignment horizontal="left"/>
    </xf>
    <xf numFmtId="0" fontId="6" fillId="38" borderId="17" xfId="0" applyFont="1" applyFill="1" applyBorder="1" applyAlignment="1">
      <alignment horizontal="center"/>
    </xf>
    <xf numFmtId="0" fontId="5" fillId="48" borderId="3" xfId="0" applyFont="1" applyFill="1" applyBorder="1" applyAlignment="1">
      <alignment horizontal="center"/>
    </xf>
    <xf numFmtId="0" fontId="5" fillId="42" borderId="0" xfId="0" applyFont="1" applyFill="1"/>
    <xf numFmtId="0" fontId="0" fillId="42" borderId="0" xfId="0" applyFill="1"/>
    <xf numFmtId="167" fontId="5" fillId="41" borderId="28" xfId="60" applyNumberFormat="1" applyFont="1" applyFill="1" applyBorder="1"/>
    <xf numFmtId="167" fontId="5" fillId="41" borderId="27" xfId="60" applyNumberFormat="1" applyFont="1" applyFill="1" applyBorder="1"/>
    <xf numFmtId="167" fontId="5" fillId="41" borderId="43" xfId="60" applyNumberFormat="1" applyFont="1" applyFill="1" applyBorder="1"/>
    <xf numFmtId="167" fontId="3" fillId="46" borderId="50" xfId="58" applyNumberFormat="1" applyFont="1" applyFill="1" applyBorder="1" applyAlignment="1">
      <alignment horizontal="right" vertical="center" wrapText="1"/>
    </xf>
    <xf numFmtId="0" fontId="5" fillId="49" borderId="48" xfId="0" applyFont="1" applyFill="1" applyBorder="1"/>
    <xf numFmtId="0" fontId="0" fillId="0" borderId="0" xfId="0" applyFill="1"/>
    <xf numFmtId="0" fontId="0" fillId="0" borderId="0" xfId="0" applyBorder="1" applyAlignment="1">
      <alignment horizontal="center"/>
    </xf>
    <xf numFmtId="0" fontId="0" fillId="0" borderId="104" xfId="0" applyBorder="1"/>
    <xf numFmtId="0" fontId="0" fillId="0" borderId="105" xfId="0" applyBorder="1"/>
    <xf numFmtId="0" fontId="0" fillId="0" borderId="106" xfId="0" applyBorder="1"/>
    <xf numFmtId="10" fontId="22" fillId="0" borderId="106" xfId="0" applyNumberFormat="1" applyFont="1" applyFill="1" applyBorder="1" applyAlignment="1">
      <alignment horizontal="right" vertical="top"/>
    </xf>
    <xf numFmtId="0" fontId="0" fillId="0" borderId="106" xfId="0" applyFill="1" applyBorder="1"/>
    <xf numFmtId="10" fontId="22" fillId="0" borderId="106" xfId="31" applyNumberFormat="1" applyFont="1" applyFill="1" applyBorder="1"/>
    <xf numFmtId="10" fontId="23" fillId="0" borderId="106" xfId="0" applyNumberFormat="1" applyFont="1" applyFill="1" applyBorder="1" applyAlignment="1">
      <alignment horizontal="right" vertical="top"/>
    </xf>
    <xf numFmtId="10" fontId="24" fillId="0" borderId="106" xfId="0" applyNumberFormat="1" applyFont="1" applyFill="1" applyBorder="1" applyAlignment="1">
      <alignment horizontal="right" vertical="top"/>
    </xf>
    <xf numFmtId="0" fontId="0" fillId="0" borderId="105" xfId="0" applyFill="1" applyBorder="1"/>
    <xf numFmtId="0" fontId="13" fillId="0" borderId="0" xfId="49" applyFill="1" applyBorder="1" applyAlignment="1" applyProtection="1">
      <alignment horizontal="left"/>
    </xf>
    <xf numFmtId="0" fontId="4" fillId="0" borderId="107"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06" xfId="0" applyFont="1" applyFill="1" applyBorder="1" applyAlignment="1">
      <alignment horizontal="center" vertical="center"/>
    </xf>
    <xf numFmtId="0" fontId="6" fillId="0" borderId="108" xfId="0" applyFont="1" applyFill="1" applyBorder="1" applyAlignment="1"/>
    <xf numFmtId="0" fontId="0" fillId="0" borderId="109" xfId="0" applyBorder="1"/>
    <xf numFmtId="0" fontId="6" fillId="0" borderId="109" xfId="0" applyFont="1" applyFill="1" applyBorder="1" applyAlignment="1"/>
    <xf numFmtId="0" fontId="6" fillId="0" borderId="109" xfId="0" applyFont="1" applyFill="1" applyBorder="1"/>
    <xf numFmtId="0" fontId="6" fillId="0" borderId="110" xfId="0" applyFont="1" applyFill="1" applyBorder="1" applyAlignment="1">
      <alignment horizontal="center"/>
    </xf>
    <xf numFmtId="0" fontId="13" fillId="0" borderId="51" xfId="49" applyFill="1" applyBorder="1" applyAlignment="1" applyProtection="1">
      <alignment horizontal="left"/>
    </xf>
    <xf numFmtId="0" fontId="0" fillId="0" borderId="59" xfId="0" applyFill="1" applyBorder="1"/>
    <xf numFmtId="0" fontId="0" fillId="0" borderId="23" xfId="0" applyFill="1" applyBorder="1"/>
    <xf numFmtId="0" fontId="0" fillId="0" borderId="52" xfId="0" applyFill="1" applyBorder="1"/>
    <xf numFmtId="4" fontId="6" fillId="46" borderId="0" xfId="0" applyNumberFormat="1" applyFont="1" applyFill="1" applyBorder="1" applyAlignment="1">
      <alignment horizontal="center" vertical="center" wrapText="1"/>
    </xf>
    <xf numFmtId="4" fontId="6" fillId="46" borderId="62" xfId="0" applyNumberFormat="1" applyFont="1" applyFill="1" applyBorder="1" applyAlignment="1">
      <alignment horizontal="center" vertical="center" wrapText="1"/>
    </xf>
    <xf numFmtId="0" fontId="0" fillId="0" borderId="108" xfId="0" applyBorder="1"/>
    <xf numFmtId="0" fontId="0" fillId="0" borderId="110" xfId="0" applyBorder="1"/>
    <xf numFmtId="0" fontId="0" fillId="5" borderId="59" xfId="0" applyFill="1" applyBorder="1"/>
    <xf numFmtId="0" fontId="0" fillId="5" borderId="52" xfId="0" applyFill="1" applyBorder="1"/>
    <xf numFmtId="0" fontId="0" fillId="5" borderId="0" xfId="0" applyFill="1" applyBorder="1"/>
    <xf numFmtId="0" fontId="0" fillId="0" borderId="109" xfId="0" applyFill="1" applyBorder="1"/>
    <xf numFmtId="0" fontId="0" fillId="0" borderId="110" xfId="0" applyFill="1" applyBorder="1"/>
    <xf numFmtId="0" fontId="48" fillId="0" borderId="59" xfId="49" applyFont="1" applyFill="1" applyBorder="1" applyAlignment="1" applyProtection="1">
      <alignment horizontal="left" vertical="center"/>
    </xf>
    <xf numFmtId="0" fontId="13" fillId="0" borderId="52" xfId="49" applyFill="1" applyBorder="1" applyAlignment="1" applyProtection="1">
      <alignment horizontal="left"/>
    </xf>
    <xf numFmtId="4" fontId="3" fillId="0" borderId="63" xfId="0" applyNumberFormat="1" applyFont="1" applyFill="1" applyBorder="1" applyAlignment="1">
      <alignment vertical="center" wrapText="1"/>
    </xf>
    <xf numFmtId="10" fontId="6" fillId="0" borderId="64" xfId="58" applyNumberFormat="1" applyFont="1" applyFill="1" applyBorder="1" applyAlignment="1">
      <alignment horizontal="right"/>
    </xf>
    <xf numFmtId="0" fontId="6" fillId="0" borderId="65" xfId="0" applyFont="1" applyFill="1" applyBorder="1" applyAlignment="1">
      <alignment horizontal="center"/>
    </xf>
    <xf numFmtId="166" fontId="6" fillId="0" borderId="66" xfId="28" applyNumberFormat="1" applyFont="1" applyFill="1" applyBorder="1" applyAlignment="1">
      <alignment horizontal="center"/>
    </xf>
    <xf numFmtId="4" fontId="3" fillId="0" borderId="67" xfId="0" applyNumberFormat="1" applyFont="1" applyFill="1" applyBorder="1" applyAlignment="1">
      <alignment vertical="center" wrapText="1"/>
    </xf>
    <xf numFmtId="166" fontId="3" fillId="46" borderId="68" xfId="28" applyNumberFormat="1" applyFont="1" applyFill="1" applyBorder="1" applyAlignment="1">
      <alignment horizontal="right" vertical="center" wrapText="1"/>
    </xf>
    <xf numFmtId="4" fontId="3" fillId="0" borderId="69" xfId="0" applyNumberFormat="1" applyFont="1" applyFill="1" applyBorder="1" applyAlignment="1">
      <alignment vertical="center" wrapText="1"/>
    </xf>
    <xf numFmtId="1" fontId="6" fillId="0" borderId="70" xfId="58" applyNumberFormat="1" applyFont="1" applyFill="1" applyBorder="1" applyAlignment="1">
      <alignment horizontal="right"/>
    </xf>
    <xf numFmtId="4" fontId="2" fillId="0" borderId="71" xfId="0" applyNumberFormat="1" applyFont="1" applyFill="1" applyBorder="1" applyAlignment="1">
      <alignment vertical="center" wrapText="1"/>
    </xf>
    <xf numFmtId="1" fontId="5" fillId="0" borderId="72" xfId="58" applyNumberFormat="1" applyFont="1" applyFill="1" applyBorder="1" applyAlignment="1">
      <alignment horizontal="right"/>
    </xf>
    <xf numFmtId="4" fontId="2" fillId="0" borderId="71" xfId="0" applyNumberFormat="1" applyFont="1" applyFill="1" applyBorder="1" applyAlignment="1">
      <alignment horizontal="left" vertical="center" wrapText="1"/>
    </xf>
    <xf numFmtId="4" fontId="2" fillId="0" borderId="73" xfId="0" applyNumberFormat="1" applyFont="1" applyFill="1" applyBorder="1" applyAlignment="1">
      <alignment vertical="center" wrapText="1"/>
    </xf>
    <xf numFmtId="166" fontId="2" fillId="0" borderId="74" xfId="28" applyNumberFormat="1" applyFont="1" applyFill="1" applyBorder="1" applyAlignment="1">
      <alignment horizontal="right" vertical="center" wrapText="1"/>
    </xf>
    <xf numFmtId="169" fontId="23" fillId="0" borderId="72" xfId="0" applyNumberFormat="1" applyFont="1" applyFill="1" applyBorder="1" applyAlignment="1">
      <alignment horizontal="right" vertical="top"/>
    </xf>
    <xf numFmtId="0" fontId="5" fillId="0" borderId="71" xfId="0" applyFont="1" applyFill="1" applyBorder="1"/>
    <xf numFmtId="0" fontId="5" fillId="0" borderId="72" xfId="0" applyFont="1" applyFill="1" applyBorder="1"/>
    <xf numFmtId="0" fontId="5" fillId="0" borderId="74" xfId="0" applyFont="1" applyFill="1" applyBorder="1"/>
    <xf numFmtId="0" fontId="6" fillId="0" borderId="69" xfId="0" applyFont="1" applyBorder="1"/>
    <xf numFmtId="0" fontId="0" fillId="0" borderId="71" xfId="0" applyBorder="1"/>
    <xf numFmtId="0" fontId="5" fillId="49" borderId="72" xfId="0" applyFont="1" applyFill="1" applyBorder="1"/>
    <xf numFmtId="0" fontId="0" fillId="0" borderId="75" xfId="0" applyBorder="1"/>
    <xf numFmtId="169" fontId="23" fillId="0" borderId="76" xfId="0" applyNumberFormat="1" applyFont="1" applyFill="1" applyBorder="1" applyAlignment="1">
      <alignment horizontal="center" vertical="top"/>
    </xf>
    <xf numFmtId="0" fontId="5" fillId="47" borderId="77" xfId="0" applyFont="1" applyFill="1" applyBorder="1"/>
    <xf numFmtId="0" fontId="5" fillId="49" borderId="77" xfId="0" applyFont="1" applyFill="1" applyBorder="1"/>
    <xf numFmtId="0" fontId="5" fillId="49" borderId="78" xfId="0" applyFont="1" applyFill="1" applyBorder="1"/>
    <xf numFmtId="0" fontId="21" fillId="0" borderId="79" xfId="28" applyNumberFormat="1" applyFont="1" applyFill="1" applyBorder="1" applyAlignment="1" applyProtection="1"/>
    <xf numFmtId="0" fontId="6" fillId="56" borderId="80" xfId="0" applyFont="1" applyFill="1" applyBorder="1" applyAlignment="1">
      <alignment horizontal="center"/>
    </xf>
    <xf numFmtId="167" fontId="6" fillId="0" borderId="20" xfId="58" applyNumberFormat="1" applyFont="1" applyFill="1" applyBorder="1" applyAlignment="1">
      <alignment horizontal="right"/>
    </xf>
    <xf numFmtId="167" fontId="5" fillId="0" borderId="10" xfId="58" applyNumberFormat="1" applyFont="1" applyFill="1" applyBorder="1" applyAlignment="1">
      <alignment horizontal="right"/>
    </xf>
    <xf numFmtId="167" fontId="2" fillId="0" borderId="34" xfId="58" applyNumberFormat="1" applyFont="1" applyFill="1" applyBorder="1" applyAlignment="1">
      <alignment horizontal="right" vertical="center" wrapText="1"/>
    </xf>
    <xf numFmtId="10" fontId="6" fillId="0" borderId="20" xfId="58" applyNumberFormat="1" applyFont="1" applyFill="1" applyBorder="1" applyAlignment="1">
      <alignment horizontal="right"/>
    </xf>
    <xf numFmtId="167" fontId="5" fillId="49" borderId="10" xfId="58" applyNumberFormat="1" applyFont="1" applyFill="1" applyBorder="1"/>
    <xf numFmtId="167" fontId="5" fillId="49" borderId="81" xfId="58" applyNumberFormat="1" applyFont="1" applyFill="1" applyBorder="1"/>
    <xf numFmtId="4" fontId="6" fillId="46" borderId="118" xfId="0" applyNumberFormat="1" applyFont="1" applyFill="1" applyBorder="1" applyAlignment="1">
      <alignment horizontal="center" vertical="center" wrapText="1"/>
    </xf>
    <xf numFmtId="4" fontId="6" fillId="46" borderId="119" xfId="0" applyNumberFormat="1" applyFont="1" applyFill="1" applyBorder="1" applyAlignment="1">
      <alignment horizontal="center" vertical="center" wrapText="1"/>
    </xf>
    <xf numFmtId="10" fontId="6" fillId="0" borderId="120" xfId="58" applyNumberFormat="1" applyFont="1" applyFill="1" applyBorder="1" applyAlignment="1">
      <alignment horizontal="right"/>
    </xf>
    <xf numFmtId="166" fontId="6" fillId="0" borderId="121" xfId="28" applyNumberFormat="1" applyFont="1" applyFill="1" applyBorder="1" applyAlignment="1">
      <alignment horizontal="center"/>
    </xf>
    <xf numFmtId="167" fontId="3" fillId="46" borderId="122" xfId="58" applyNumberFormat="1" applyFont="1" applyFill="1" applyBorder="1" applyAlignment="1">
      <alignment horizontal="right" vertical="center" wrapText="1"/>
    </xf>
    <xf numFmtId="166" fontId="3" fillId="46" borderId="123" xfId="28" applyNumberFormat="1" applyFont="1" applyFill="1" applyBorder="1" applyAlignment="1">
      <alignment horizontal="right" vertical="center" wrapText="1"/>
    </xf>
    <xf numFmtId="167" fontId="6" fillId="0" borderId="124" xfId="58" applyNumberFormat="1" applyFont="1" applyFill="1" applyBorder="1" applyAlignment="1">
      <alignment horizontal="right"/>
    </xf>
    <xf numFmtId="1" fontId="6" fillId="0" borderId="125" xfId="58" applyNumberFormat="1" applyFont="1" applyFill="1" applyBorder="1" applyAlignment="1">
      <alignment horizontal="right"/>
    </xf>
    <xf numFmtId="167" fontId="5" fillId="0" borderId="126" xfId="58" applyNumberFormat="1" applyFont="1" applyFill="1" applyBorder="1" applyAlignment="1">
      <alignment horizontal="right"/>
    </xf>
    <xf numFmtId="1" fontId="5" fillId="0" borderId="127" xfId="58" applyNumberFormat="1" applyFont="1" applyFill="1" applyBorder="1" applyAlignment="1">
      <alignment horizontal="right"/>
    </xf>
    <xf numFmtId="167" fontId="2" fillId="0" borderId="128" xfId="58" applyNumberFormat="1" applyFont="1" applyFill="1" applyBorder="1" applyAlignment="1">
      <alignment horizontal="right" vertical="center" wrapText="1"/>
    </xf>
    <xf numFmtId="166" fontId="2" fillId="0" borderId="129" xfId="28" applyNumberFormat="1" applyFont="1" applyFill="1" applyBorder="1" applyAlignment="1">
      <alignment horizontal="right" vertical="center" wrapText="1"/>
    </xf>
    <xf numFmtId="169" fontId="23" fillId="0" borderId="127" xfId="0" applyNumberFormat="1" applyFont="1" applyFill="1" applyBorder="1" applyAlignment="1">
      <alignment horizontal="right" vertical="top"/>
    </xf>
    <xf numFmtId="0" fontId="5" fillId="0" borderId="127" xfId="0" applyFont="1" applyFill="1" applyBorder="1"/>
    <xf numFmtId="0" fontId="5" fillId="0" borderId="129" xfId="0" applyFont="1" applyFill="1" applyBorder="1"/>
    <xf numFmtId="0" fontId="5" fillId="47" borderId="126" xfId="0" applyFont="1" applyFill="1" applyBorder="1"/>
    <xf numFmtId="0" fontId="5" fillId="47" borderId="127" xfId="0" applyFont="1" applyFill="1" applyBorder="1"/>
    <xf numFmtId="0" fontId="5" fillId="47" borderId="130" xfId="0" applyFont="1" applyFill="1" applyBorder="1"/>
    <xf numFmtId="0" fontId="5" fillId="47" borderId="131" xfId="0" applyFont="1" applyFill="1" applyBorder="1"/>
    <xf numFmtId="166" fontId="6" fillId="0" borderId="79" xfId="28" applyNumberFormat="1" applyFont="1" applyFill="1" applyBorder="1" applyAlignment="1">
      <alignment horizontal="center"/>
    </xf>
    <xf numFmtId="166" fontId="3" fillId="46" borderId="82" xfId="28" applyNumberFormat="1" applyFont="1" applyFill="1" applyBorder="1" applyAlignment="1">
      <alignment horizontal="right" vertical="center" wrapText="1"/>
    </xf>
    <xf numFmtId="1" fontId="6" fillId="0" borderId="7" xfId="58" applyNumberFormat="1" applyFont="1" applyFill="1" applyBorder="1" applyAlignment="1">
      <alignment horizontal="right"/>
    </xf>
    <xf numFmtId="1" fontId="5" fillId="0" borderId="9" xfId="58" applyNumberFormat="1" applyFont="1" applyFill="1" applyBorder="1" applyAlignment="1">
      <alignment horizontal="right"/>
    </xf>
    <xf numFmtId="166" fontId="2" fillId="0" borderId="16" xfId="28" applyNumberFormat="1" applyFont="1" applyFill="1" applyBorder="1" applyAlignment="1">
      <alignment horizontal="right" vertical="center" wrapText="1"/>
    </xf>
    <xf numFmtId="169" fontId="23" fillId="0" borderId="9" xfId="0" applyNumberFormat="1" applyFont="1" applyFill="1" applyBorder="1" applyAlignment="1">
      <alignment horizontal="right" vertical="top"/>
    </xf>
    <xf numFmtId="0" fontId="5" fillId="0" borderId="16" xfId="0" applyFont="1" applyFill="1" applyBorder="1"/>
    <xf numFmtId="0" fontId="5" fillId="49" borderId="9" xfId="0" applyFont="1" applyFill="1" applyBorder="1"/>
    <xf numFmtId="0" fontId="5" fillId="49" borderId="83" xfId="0" applyFont="1" applyFill="1" applyBorder="1"/>
    <xf numFmtId="10" fontId="6" fillId="0" borderId="124" xfId="58" applyNumberFormat="1" applyFont="1" applyFill="1" applyBorder="1" applyAlignment="1">
      <alignment horizontal="right"/>
    </xf>
    <xf numFmtId="167" fontId="5" fillId="49" borderId="126" xfId="58" applyNumberFormat="1" applyFont="1" applyFill="1" applyBorder="1"/>
    <xf numFmtId="0" fontId="5" fillId="49" borderId="127" xfId="0" applyFont="1" applyFill="1" applyBorder="1"/>
    <xf numFmtId="167" fontId="5" fillId="49" borderId="130" xfId="58" applyNumberFormat="1" applyFont="1" applyFill="1" applyBorder="1"/>
    <xf numFmtId="0" fontId="5" fillId="49" borderId="131" xfId="0" applyFont="1" applyFill="1" applyBorder="1"/>
    <xf numFmtId="0" fontId="22" fillId="0" borderId="132" xfId="31" applyFont="1" applyBorder="1" applyProtection="1">
      <protection locked="0"/>
    </xf>
    <xf numFmtId="0" fontId="22" fillId="0" borderId="133" xfId="31" applyFont="1" applyBorder="1" applyProtection="1">
      <protection locked="0"/>
    </xf>
    <xf numFmtId="1" fontId="22" fillId="0" borderId="134" xfId="31" applyNumberFormat="1" applyFont="1" applyBorder="1" applyProtection="1">
      <protection locked="0"/>
    </xf>
    <xf numFmtId="0" fontId="22" fillId="0" borderId="134" xfId="31" applyFont="1" applyBorder="1" applyProtection="1">
      <protection locked="0"/>
    </xf>
    <xf numFmtId="10" fontId="22" fillId="0" borderId="135" xfId="31" applyNumberFormat="1" applyFont="1" applyBorder="1" applyProtection="1">
      <protection locked="0"/>
    </xf>
    <xf numFmtId="0" fontId="22" fillId="0" borderId="136" xfId="31" applyNumberFormat="1" applyFont="1" applyFill="1" applyBorder="1" applyAlignment="1" applyProtection="1">
      <protection locked="0"/>
    </xf>
    <xf numFmtId="0" fontId="22" fillId="0" borderId="0" xfId="31" applyNumberFormat="1" applyFont="1" applyFill="1" applyBorder="1" applyAlignment="1" applyProtection="1">
      <alignment horizontal="center"/>
      <protection locked="0"/>
    </xf>
    <xf numFmtId="169" fontId="23" fillId="2" borderId="1" xfId="0" applyNumberFormat="1" applyFont="1" applyFill="1" applyBorder="1" applyAlignment="1" applyProtection="1">
      <alignment horizontal="right" vertical="top"/>
      <protection locked="0"/>
    </xf>
    <xf numFmtId="170" fontId="23" fillId="2" borderId="137" xfId="0" applyNumberFormat="1" applyFont="1" applyFill="1" applyBorder="1" applyAlignment="1" applyProtection="1">
      <alignment horizontal="right" vertical="top"/>
      <protection locked="0"/>
    </xf>
    <xf numFmtId="0" fontId="21" fillId="0" borderId="138" xfId="31" applyNumberFormat="1" applyFont="1" applyFill="1" applyBorder="1" applyAlignment="1" applyProtection="1">
      <protection locked="0"/>
    </xf>
    <xf numFmtId="0" fontId="21" fillId="0" borderId="139" xfId="31" applyNumberFormat="1" applyFont="1" applyFill="1" applyBorder="1" applyAlignment="1" applyProtection="1">
      <protection locked="0"/>
    </xf>
    <xf numFmtId="169" fontId="24" fillId="2" borderId="140" xfId="0" applyNumberFormat="1" applyFont="1" applyFill="1" applyBorder="1" applyAlignment="1" applyProtection="1">
      <alignment horizontal="right" vertical="top"/>
      <protection locked="0"/>
    </xf>
    <xf numFmtId="170" fontId="24" fillId="2" borderId="141" xfId="0" applyNumberFormat="1" applyFont="1" applyFill="1" applyBorder="1" applyAlignment="1" applyProtection="1">
      <alignment horizontal="right" vertical="top"/>
      <protection locked="0"/>
    </xf>
    <xf numFmtId="0" fontId="22" fillId="0" borderId="132" xfId="31" applyFont="1" applyFill="1" applyBorder="1" applyProtection="1">
      <protection locked="0"/>
    </xf>
    <xf numFmtId="0" fontId="22" fillId="0" borderId="133" xfId="31" applyFont="1" applyFill="1" applyBorder="1" applyProtection="1">
      <protection locked="0"/>
    </xf>
    <xf numFmtId="1" fontId="22" fillId="0" borderId="133" xfId="31" applyNumberFormat="1" applyFont="1" applyFill="1" applyBorder="1" applyProtection="1">
      <protection locked="0"/>
    </xf>
    <xf numFmtId="10" fontId="22" fillId="0" borderId="142" xfId="31" applyNumberFormat="1" applyFont="1" applyFill="1" applyBorder="1" applyProtection="1">
      <protection locked="0"/>
    </xf>
    <xf numFmtId="169" fontId="23" fillId="0" borderId="0" xfId="0" applyNumberFormat="1" applyFont="1" applyFill="1" applyBorder="1" applyAlignment="1" applyProtection="1">
      <alignment horizontal="right" vertical="top"/>
      <protection locked="0"/>
    </xf>
    <xf numFmtId="10" fontId="23" fillId="0" borderId="143" xfId="0" applyNumberFormat="1" applyFont="1" applyFill="1" applyBorder="1" applyAlignment="1" applyProtection="1">
      <alignment horizontal="right" vertical="top"/>
      <protection locked="0"/>
    </xf>
    <xf numFmtId="169" fontId="22" fillId="0" borderId="0" xfId="0" applyNumberFormat="1" applyFont="1" applyFill="1" applyBorder="1" applyAlignment="1" applyProtection="1">
      <alignment horizontal="right" vertical="top"/>
      <protection locked="0"/>
    </xf>
    <xf numFmtId="10" fontId="22" fillId="0" borderId="143" xfId="0" applyNumberFormat="1" applyFont="1" applyFill="1" applyBorder="1" applyAlignment="1" applyProtection="1">
      <alignment horizontal="right" vertical="top"/>
      <protection locked="0"/>
    </xf>
    <xf numFmtId="1" fontId="21" fillId="0" borderId="139" xfId="31" applyNumberFormat="1" applyFont="1" applyFill="1" applyBorder="1" applyAlignment="1" applyProtection="1">
      <protection locked="0"/>
    </xf>
    <xf numFmtId="10" fontId="24" fillId="0" borderId="144" xfId="0" applyNumberFormat="1" applyFont="1" applyFill="1" applyBorder="1" applyAlignment="1" applyProtection="1">
      <alignment horizontal="right" vertical="top"/>
      <protection locked="0"/>
    </xf>
    <xf numFmtId="0" fontId="0" fillId="0" borderId="132" xfId="0" applyBorder="1" applyProtection="1">
      <protection locked="0"/>
    </xf>
    <xf numFmtId="0" fontId="0" fillId="0" borderId="133" xfId="0" applyBorder="1" applyProtection="1">
      <protection locked="0"/>
    </xf>
    <xf numFmtId="0" fontId="0" fillId="0" borderId="142" xfId="0" applyBorder="1" applyProtection="1">
      <protection locked="0"/>
    </xf>
    <xf numFmtId="0" fontId="0" fillId="0" borderId="136" xfId="0" applyBorder="1" applyProtection="1">
      <protection locked="0"/>
    </xf>
    <xf numFmtId="0" fontId="0" fillId="0" borderId="0" xfId="0" applyBorder="1" applyProtection="1">
      <protection locked="0"/>
    </xf>
    <xf numFmtId="10" fontId="74" fillId="0" borderId="143" xfId="58" applyNumberFormat="1" applyFont="1" applyBorder="1" applyProtection="1">
      <protection locked="0"/>
    </xf>
    <xf numFmtId="0" fontId="0" fillId="0" borderId="138" xfId="0" applyBorder="1" applyProtection="1">
      <protection locked="0"/>
    </xf>
    <xf numFmtId="0" fontId="0" fillId="0" borderId="139" xfId="0" applyBorder="1" applyProtection="1">
      <protection locked="0"/>
    </xf>
    <xf numFmtId="10" fontId="74" fillId="0" borderId="144" xfId="58" applyNumberFormat="1" applyFont="1" applyBorder="1" applyProtection="1">
      <protection locked="0"/>
    </xf>
    <xf numFmtId="169" fontId="23" fillId="0" borderId="0" xfId="0" applyNumberFormat="1" applyFont="1" applyFill="1" applyBorder="1" applyAlignment="1">
      <alignment horizontal="center" vertical="top"/>
    </xf>
    <xf numFmtId="0" fontId="5" fillId="47" borderId="0" xfId="0" applyFont="1" applyFill="1" applyBorder="1"/>
    <xf numFmtId="167" fontId="5" fillId="49" borderId="0" xfId="58" applyNumberFormat="1" applyFont="1" applyFill="1" applyBorder="1"/>
    <xf numFmtId="0" fontId="5" fillId="49" borderId="0" xfId="0" applyFont="1" applyFill="1" applyBorder="1"/>
    <xf numFmtId="0" fontId="6" fillId="52" borderId="52" xfId="0" applyFont="1" applyFill="1" applyBorder="1" applyAlignment="1">
      <alignment horizontal="center"/>
    </xf>
    <xf numFmtId="0" fontId="6" fillId="55" borderId="52" xfId="0" applyFont="1" applyFill="1" applyBorder="1" applyAlignment="1">
      <alignment horizontal="center"/>
    </xf>
    <xf numFmtId="0" fontId="6" fillId="55" borderId="42" xfId="0" applyFont="1" applyFill="1" applyBorder="1" applyAlignment="1">
      <alignment horizontal="center"/>
    </xf>
    <xf numFmtId="22" fontId="0" fillId="0" borderId="0" xfId="0" applyNumberFormat="1"/>
    <xf numFmtId="0" fontId="31" fillId="41" borderId="30" xfId="0" applyFont="1" applyFill="1" applyBorder="1" applyAlignment="1">
      <alignment horizontal="center" vertical="center"/>
    </xf>
    <xf numFmtId="0" fontId="31" fillId="41" borderId="18" xfId="0" applyFont="1" applyFill="1" applyBorder="1" applyAlignment="1">
      <alignment horizontal="center" vertical="center"/>
    </xf>
    <xf numFmtId="0" fontId="31" fillId="41" borderId="44" xfId="0" applyFont="1" applyFill="1" applyBorder="1" applyAlignment="1">
      <alignment horizontal="center" vertical="center"/>
    </xf>
    <xf numFmtId="0" fontId="40" fillId="0" borderId="9" xfId="0" applyFont="1" applyBorder="1" applyAlignment="1">
      <alignment horizontal="left" vertical="top" wrapText="1"/>
    </xf>
    <xf numFmtId="0" fontId="40" fillId="0" borderId="0" xfId="0" applyFont="1" applyBorder="1" applyAlignment="1">
      <alignment horizontal="left" vertical="top" wrapText="1"/>
    </xf>
    <xf numFmtId="0" fontId="40" fillId="0" borderId="10"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34" xfId="0" applyFont="1" applyBorder="1" applyAlignment="1">
      <alignment horizontal="left" vertical="top" wrapText="1"/>
    </xf>
    <xf numFmtId="0" fontId="4" fillId="41" borderId="30" xfId="0" applyFont="1" applyFill="1" applyBorder="1" applyAlignment="1">
      <alignment horizontal="center" vertical="center"/>
    </xf>
    <xf numFmtId="0" fontId="4" fillId="41" borderId="18" xfId="0" applyFont="1" applyFill="1" applyBorder="1" applyAlignment="1">
      <alignment horizontal="center" vertical="center"/>
    </xf>
    <xf numFmtId="0" fontId="4" fillId="41" borderId="44" xfId="0" applyFont="1" applyFill="1" applyBorder="1" applyAlignment="1">
      <alignment horizontal="center" vertical="center"/>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11" fillId="3" borderId="34" xfId="0" applyFont="1" applyFill="1" applyBorder="1" applyAlignment="1">
      <alignment horizontal="center" wrapText="1"/>
    </xf>
    <xf numFmtId="0" fontId="11" fillId="0" borderId="0" xfId="0" applyFont="1" applyFill="1" applyBorder="1" applyAlignment="1">
      <alignment horizontal="left" wrapText="1"/>
    </xf>
    <xf numFmtId="0" fontId="11" fillId="3" borderId="30" xfId="0" applyFont="1" applyFill="1" applyBorder="1" applyAlignment="1">
      <alignment horizontal="center" wrapText="1"/>
    </xf>
    <xf numFmtId="0" fontId="11" fillId="3" borderId="18" xfId="0" applyFont="1" applyFill="1" applyBorder="1" applyAlignment="1">
      <alignment horizontal="center" wrapText="1"/>
    </xf>
    <xf numFmtId="0" fontId="11" fillId="3" borderId="44" xfId="0" applyFont="1" applyFill="1" applyBorder="1" applyAlignment="1">
      <alignment horizontal="center" wrapText="1"/>
    </xf>
    <xf numFmtId="0" fontId="34" fillId="50" borderId="7" xfId="49" applyFont="1" applyFill="1" applyBorder="1" applyAlignment="1" applyProtection="1">
      <alignment horizontal="center" vertical="center" wrapText="1"/>
    </xf>
    <xf numFmtId="0" fontId="34" fillId="50" borderId="16" xfId="49" applyFont="1" applyFill="1" applyBorder="1" applyAlignment="1" applyProtection="1">
      <alignment horizontal="center" vertical="center" wrapText="1"/>
    </xf>
    <xf numFmtId="0" fontId="34" fillId="50" borderId="47" xfId="49" applyFont="1" applyFill="1" applyBorder="1" applyAlignment="1" applyProtection="1">
      <alignment horizontal="center" vertical="center" wrapText="1"/>
    </xf>
    <xf numFmtId="0" fontId="34" fillId="50" borderId="20" xfId="49" applyFont="1" applyFill="1" applyBorder="1" applyAlignment="1" applyProtection="1">
      <alignment horizontal="center" vertical="center" wrapText="1"/>
    </xf>
    <xf numFmtId="0" fontId="34" fillId="50" borderId="17" xfId="49" applyFont="1" applyFill="1" applyBorder="1" applyAlignment="1" applyProtection="1">
      <alignment horizontal="center" vertical="center" wrapText="1"/>
    </xf>
    <xf numFmtId="0" fontId="34" fillId="50" borderId="34" xfId="49" applyFont="1" applyFill="1" applyBorder="1" applyAlignment="1" applyProtection="1">
      <alignment horizontal="center" vertical="center" wrapText="1"/>
    </xf>
    <xf numFmtId="0" fontId="12" fillId="40" borderId="7" xfId="0" applyFont="1" applyFill="1" applyBorder="1" applyAlignment="1">
      <alignment horizontal="center" vertical="center" wrapText="1"/>
    </xf>
    <xf numFmtId="0" fontId="12" fillId="40" borderId="47" xfId="0" applyFont="1" applyFill="1" applyBorder="1" applyAlignment="1">
      <alignment horizontal="center" vertical="center" wrapText="1"/>
    </xf>
    <xf numFmtId="0" fontId="12" fillId="40" borderId="20" xfId="0" applyFont="1" applyFill="1" applyBorder="1" applyAlignment="1">
      <alignment horizontal="center" vertical="center" wrapText="1"/>
    </xf>
    <xf numFmtId="0" fontId="12" fillId="40" borderId="16" xfId="0" applyFont="1" applyFill="1" applyBorder="1" applyAlignment="1">
      <alignment horizontal="center" vertical="center" wrapText="1"/>
    </xf>
    <xf numFmtId="0" fontId="12" fillId="40" borderId="17" xfId="0" applyFont="1" applyFill="1" applyBorder="1" applyAlignment="1">
      <alignment horizontal="center" vertical="center" wrapText="1"/>
    </xf>
    <xf numFmtId="0" fontId="12" fillId="40" borderId="34" xfId="0" applyFont="1" applyFill="1" applyBorder="1" applyAlignment="1">
      <alignment horizontal="center" vertical="center" wrapText="1"/>
    </xf>
    <xf numFmtId="3" fontId="4" fillId="40" borderId="36" xfId="0" applyNumberFormat="1" applyFont="1" applyFill="1" applyBorder="1" applyAlignment="1">
      <alignment horizontal="center" vertical="center" wrapText="1"/>
    </xf>
    <xf numFmtId="3" fontId="4" fillId="40" borderId="48" xfId="0" applyNumberFormat="1" applyFont="1" applyFill="1" applyBorder="1" applyAlignment="1">
      <alignment horizontal="center" vertical="center" wrapText="1"/>
    </xf>
    <xf numFmtId="167" fontId="4" fillId="40" borderId="20" xfId="60" applyNumberFormat="1" applyFont="1" applyFill="1" applyBorder="1" applyAlignment="1">
      <alignment horizontal="center" vertical="center" wrapText="1"/>
    </xf>
    <xf numFmtId="167" fontId="4" fillId="40" borderId="10" xfId="60" applyNumberFormat="1" applyFont="1" applyFill="1" applyBorder="1" applyAlignment="1">
      <alignment horizontal="center" vertical="center" wrapText="1"/>
    </xf>
    <xf numFmtId="0" fontId="4" fillId="40" borderId="7" xfId="0" applyFont="1" applyFill="1" applyBorder="1" applyAlignment="1">
      <alignment horizontal="center" vertical="center" wrapText="1"/>
    </xf>
    <xf numFmtId="0" fontId="4" fillId="40" borderId="20" xfId="0" applyFont="1" applyFill="1" applyBorder="1" applyAlignment="1">
      <alignment horizontal="center" vertical="center" wrapText="1"/>
    </xf>
    <xf numFmtId="0" fontId="4" fillId="40" borderId="9" xfId="0" applyFont="1" applyFill="1" applyBorder="1" applyAlignment="1">
      <alignment horizontal="center" vertical="center" wrapText="1"/>
    </xf>
    <xf numFmtId="0" fontId="4" fillId="40" borderId="0" xfId="0" applyFont="1" applyFill="1" applyBorder="1" applyAlignment="1">
      <alignment horizontal="center" vertical="center" wrapText="1"/>
    </xf>
    <xf numFmtId="0" fontId="26" fillId="40" borderId="7" xfId="0" applyFont="1" applyFill="1" applyBorder="1" applyAlignment="1">
      <alignment horizontal="center" wrapText="1"/>
    </xf>
    <xf numFmtId="0" fontId="26" fillId="40" borderId="47" xfId="0" applyFont="1" applyFill="1" applyBorder="1" applyAlignment="1">
      <alignment horizontal="center" wrapText="1"/>
    </xf>
    <xf numFmtId="0" fontId="26" fillId="40" borderId="16" xfId="0" applyFont="1" applyFill="1" applyBorder="1" applyAlignment="1">
      <alignment horizontal="center" wrapText="1"/>
    </xf>
    <xf numFmtId="0" fontId="26" fillId="40" borderId="17" xfId="0" applyFont="1" applyFill="1" applyBorder="1" applyAlignment="1">
      <alignment horizontal="center" wrapText="1"/>
    </xf>
    <xf numFmtId="0" fontId="14" fillId="0" borderId="30" xfId="0" applyFont="1" applyBorder="1" applyAlignment="1">
      <alignment horizontal="center" wrapText="1"/>
    </xf>
    <xf numFmtId="0" fontId="14" fillId="0" borderId="18" xfId="0" applyFont="1" applyBorder="1" applyAlignment="1">
      <alignment horizontal="center" wrapText="1"/>
    </xf>
    <xf numFmtId="0" fontId="0" fillId="0" borderId="44" xfId="0" applyBorder="1" applyAlignment="1"/>
    <xf numFmtId="0" fontId="5" fillId="0" borderId="22" xfId="0" applyFont="1" applyBorder="1" applyAlignment="1">
      <alignment horizontal="center" vertical="center" wrapText="1"/>
    </xf>
    <xf numFmtId="0" fontId="0" fillId="0" borderId="2" xfId="0" applyBorder="1" applyAlignment="1">
      <alignment horizontal="center" vertical="center" wrapText="1"/>
    </xf>
    <xf numFmtId="0" fontId="5" fillId="0" borderId="3" xfId="0" applyFont="1" applyBorder="1" applyAlignment="1">
      <alignment horizontal="center" vertical="center" wrapText="1"/>
    </xf>
    <xf numFmtId="0" fontId="26" fillId="40" borderId="20" xfId="0" applyFont="1" applyFill="1" applyBorder="1" applyAlignment="1">
      <alignment horizontal="center" wrapText="1"/>
    </xf>
    <xf numFmtId="0" fontId="26" fillId="40" borderId="34" xfId="0" applyFont="1" applyFill="1" applyBorder="1" applyAlignment="1">
      <alignment horizontal="center" wrapText="1"/>
    </xf>
    <xf numFmtId="0" fontId="5" fillId="0" borderId="53" xfId="0" applyFont="1" applyBorder="1" applyAlignment="1">
      <alignment horizontal="center" vertical="center" wrapText="1"/>
    </xf>
    <xf numFmtId="0" fontId="0" fillId="0" borderId="54" xfId="0" applyBorder="1" applyAlignment="1">
      <alignment horizontal="center" vertical="center" wrapText="1"/>
    </xf>
    <xf numFmtId="0" fontId="5" fillId="0" borderId="54" xfId="0" applyFont="1" applyBorder="1" applyAlignment="1">
      <alignment horizontal="center" vertical="center" wrapText="1"/>
    </xf>
    <xf numFmtId="0" fontId="5" fillId="0" borderId="53"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4" fontId="6" fillId="40" borderId="22" xfId="0" applyNumberFormat="1" applyFont="1" applyFill="1" applyBorder="1" applyAlignment="1">
      <alignment horizontal="center"/>
    </xf>
    <xf numFmtId="4" fontId="6" fillId="40" borderId="51" xfId="0" applyNumberFormat="1" applyFont="1" applyFill="1" applyBorder="1" applyAlignment="1">
      <alignment horizontal="center"/>
    </xf>
    <xf numFmtId="4" fontId="6" fillId="40" borderId="2" xfId="0" applyNumberFormat="1" applyFont="1" applyFill="1" applyBorder="1" applyAlignment="1">
      <alignment horizontal="center"/>
    </xf>
    <xf numFmtId="4" fontId="6" fillId="40" borderId="52" xfId="0" applyNumberFormat="1" applyFont="1" applyFill="1" applyBorder="1" applyAlignment="1">
      <alignment horizontal="center"/>
    </xf>
    <xf numFmtId="4" fontId="6" fillId="40" borderId="42" xfId="0" applyNumberFormat="1" applyFont="1" applyFill="1" applyBorder="1" applyAlignment="1">
      <alignment horizontal="center"/>
    </xf>
    <xf numFmtId="0" fontId="37" fillId="0" borderId="30" xfId="0" applyFont="1" applyBorder="1" applyAlignment="1">
      <alignment horizontal="left" vertical="center" wrapText="1"/>
    </xf>
    <xf numFmtId="0" fontId="37" fillId="0" borderId="18" xfId="0" applyFont="1" applyBorder="1" applyAlignment="1">
      <alignment horizontal="left" vertical="center" wrapText="1"/>
    </xf>
    <xf numFmtId="0" fontId="37" fillId="0" borderId="44" xfId="0" applyFont="1" applyBorder="1" applyAlignment="1">
      <alignment horizontal="left" vertical="center" wrapText="1"/>
    </xf>
    <xf numFmtId="4" fontId="6" fillId="40" borderId="3" xfId="0" applyNumberFormat="1" applyFont="1" applyFill="1" applyBorder="1" applyAlignment="1">
      <alignment horizontal="center"/>
    </xf>
    <xf numFmtId="0" fontId="0" fillId="40" borderId="3" xfId="0" applyFill="1" applyBorder="1" applyAlignment="1"/>
    <xf numFmtId="0" fontId="5"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56" xfId="0"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0" fillId="0" borderId="58" xfId="0" applyBorder="1" applyAlignment="1">
      <alignment horizontal="center" vertical="center" wrapText="1"/>
    </xf>
    <xf numFmtId="0" fontId="10" fillId="0" borderId="0" xfId="0" applyFont="1" applyFill="1" applyBorder="1" applyAlignment="1">
      <alignment horizontal="center"/>
    </xf>
    <xf numFmtId="0" fontId="6" fillId="0" borderId="0" xfId="0" applyFont="1" applyFill="1" applyBorder="1" applyAlignment="1">
      <alignment horizontal="center"/>
    </xf>
    <xf numFmtId="0" fontId="6" fillId="43" borderId="3" xfId="53" applyFont="1" applyFill="1" applyBorder="1" applyAlignment="1">
      <alignment horizontal="center"/>
    </xf>
    <xf numFmtId="0" fontId="6" fillId="43" borderId="22" xfId="0" applyFont="1" applyFill="1" applyBorder="1" applyAlignment="1">
      <alignment horizontal="center"/>
    </xf>
    <xf numFmtId="0" fontId="6" fillId="43" borderId="51" xfId="0" applyFont="1" applyFill="1" applyBorder="1" applyAlignment="1">
      <alignment horizontal="center"/>
    </xf>
    <xf numFmtId="0" fontId="6" fillId="43" borderId="2" xfId="0" applyFont="1" applyFill="1" applyBorder="1" applyAlignment="1">
      <alignment horizontal="center"/>
    </xf>
    <xf numFmtId="0" fontId="18" fillId="2" borderId="59" xfId="0" applyFont="1" applyFill="1" applyBorder="1" applyAlignment="1">
      <alignment horizontal="left" vertical="center" wrapText="1"/>
    </xf>
    <xf numFmtId="0" fontId="11" fillId="41" borderId="9" xfId="0" applyFont="1" applyFill="1" applyBorder="1" applyAlignment="1">
      <alignment horizontal="left" vertical="center" wrapText="1"/>
    </xf>
    <xf numFmtId="0" fontId="11" fillId="41" borderId="5" xfId="0" applyFont="1" applyFill="1" applyBorder="1" applyAlignment="1">
      <alignment horizontal="left" vertical="center" wrapText="1"/>
    </xf>
    <xf numFmtId="0" fontId="10" fillId="40" borderId="22" xfId="0" applyFont="1" applyFill="1" applyBorder="1" applyAlignment="1">
      <alignment horizontal="center"/>
    </xf>
    <xf numFmtId="0" fontId="10" fillId="40" borderId="51" xfId="0" applyFont="1" applyFill="1" applyBorder="1" applyAlignment="1">
      <alignment horizontal="center"/>
    </xf>
    <xf numFmtId="0" fontId="10" fillId="40" borderId="2" xfId="0" applyFont="1" applyFill="1" applyBorder="1" applyAlignment="1">
      <alignment horizontal="center"/>
    </xf>
    <xf numFmtId="0" fontId="11" fillId="41" borderId="0" xfId="0" applyFont="1" applyFill="1" applyBorder="1" applyAlignment="1">
      <alignment horizontal="left" vertical="center" wrapText="1"/>
    </xf>
    <xf numFmtId="0" fontId="11" fillId="41" borderId="16" xfId="0" applyFont="1" applyFill="1" applyBorder="1" applyAlignment="1">
      <alignment horizontal="left" vertical="center" wrapText="1"/>
    </xf>
    <xf numFmtId="0" fontId="11" fillId="41" borderId="17" xfId="0" applyFont="1" applyFill="1" applyBorder="1" applyAlignment="1">
      <alignment horizontal="left" vertical="center" wrapText="1"/>
    </xf>
    <xf numFmtId="0" fontId="11" fillId="41" borderId="33" xfId="0" applyFont="1" applyFill="1" applyBorder="1" applyAlignment="1">
      <alignment horizontal="left" vertical="center" wrapText="1"/>
    </xf>
    <xf numFmtId="0" fontId="25" fillId="44" borderId="30" xfId="0" applyFont="1" applyFill="1" applyBorder="1" applyAlignment="1">
      <alignment horizontal="center" vertical="center" wrapText="1"/>
    </xf>
    <xf numFmtId="0" fontId="25" fillId="44" borderId="18" xfId="0" applyFont="1" applyFill="1" applyBorder="1" applyAlignment="1">
      <alignment horizontal="center" vertical="center" wrapText="1"/>
    </xf>
    <xf numFmtId="0" fontId="12" fillId="42" borderId="0" xfId="0" applyFont="1" applyFill="1" applyBorder="1" applyAlignment="1">
      <alignment horizontal="center" vertical="center" wrapText="1"/>
    </xf>
    <xf numFmtId="0" fontId="12" fillId="51" borderId="16" xfId="0" applyFont="1" applyFill="1" applyBorder="1" applyAlignment="1">
      <alignment horizontal="center" vertical="center" wrapText="1"/>
    </xf>
    <xf numFmtId="0" fontId="12" fillId="51" borderId="17" xfId="0" applyFont="1" applyFill="1" applyBorder="1" applyAlignment="1">
      <alignment horizontal="center" vertical="center" wrapText="1"/>
    </xf>
    <xf numFmtId="0" fontId="12" fillId="51" borderId="34"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1" fillId="41" borderId="7" xfId="0" applyFont="1" applyFill="1" applyBorder="1" applyAlignment="1">
      <alignment horizontal="left" vertical="center" wrapText="1"/>
    </xf>
    <xf numFmtId="0" fontId="11" fillId="41" borderId="47"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20" xfId="0" applyFont="1" applyFill="1" applyBorder="1" applyAlignment="1">
      <alignment horizontal="center" vertical="center" wrapText="1"/>
    </xf>
    <xf numFmtId="49" fontId="11" fillId="41" borderId="9" xfId="0" applyNumberFormat="1" applyFont="1" applyFill="1" applyBorder="1" applyAlignment="1">
      <alignment horizontal="left" vertical="center" wrapText="1"/>
    </xf>
    <xf numFmtId="49" fontId="11" fillId="41" borderId="0" xfId="0" applyNumberFormat="1" applyFont="1" applyFill="1" applyBorder="1" applyAlignment="1">
      <alignment horizontal="left" vertical="center" wrapText="1"/>
    </xf>
    <xf numFmtId="49" fontId="11" fillId="41" borderId="5" xfId="0" applyNumberFormat="1" applyFont="1" applyFill="1" applyBorder="1" applyAlignment="1">
      <alignment horizontal="left" vertical="center" wrapText="1"/>
    </xf>
    <xf numFmtId="0" fontId="11" fillId="41" borderId="9" xfId="0" applyFont="1" applyFill="1" applyBorder="1" applyAlignment="1">
      <alignment vertical="center" wrapText="1"/>
    </xf>
    <xf numFmtId="0" fontId="11" fillId="41" borderId="0" xfId="0" applyFont="1" applyFill="1" applyBorder="1" applyAlignment="1">
      <alignment vertical="center" wrapText="1"/>
    </xf>
    <xf numFmtId="0" fontId="11" fillId="41" borderId="5" xfId="0" applyFont="1" applyFill="1" applyBorder="1" applyAlignment="1">
      <alignment vertical="center" wrapText="1"/>
    </xf>
    <xf numFmtId="0" fontId="10" fillId="40" borderId="30" xfId="0" applyFont="1" applyFill="1" applyBorder="1" applyAlignment="1">
      <alignment horizontal="center" wrapText="1"/>
    </xf>
    <xf numFmtId="0" fontId="10" fillId="40" borderId="18" xfId="0" applyFont="1" applyFill="1" applyBorder="1" applyAlignment="1">
      <alignment horizontal="center" wrapText="1"/>
    </xf>
    <xf numFmtId="0" fontId="10" fillId="40" borderId="44" xfId="0" applyFont="1" applyFill="1" applyBorder="1" applyAlignment="1">
      <alignment horizont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168" fontId="33" fillId="0" borderId="30" xfId="0" applyNumberFormat="1" applyFont="1" applyBorder="1" applyAlignment="1">
      <alignment horizontal="center" vertical="center" wrapText="1"/>
    </xf>
    <xf numFmtId="168" fontId="33" fillId="0" borderId="18" xfId="0" applyNumberFormat="1" applyFont="1" applyBorder="1" applyAlignment="1">
      <alignment horizontal="center" vertical="center" wrapText="1"/>
    </xf>
    <xf numFmtId="168" fontId="33" fillId="0" borderId="44" xfId="0" applyNumberFormat="1" applyFont="1" applyBorder="1" applyAlignment="1">
      <alignment horizontal="center" vertical="center" wrapText="1"/>
    </xf>
    <xf numFmtId="4" fontId="40" fillId="0" borderId="30" xfId="0" applyNumberFormat="1" applyFont="1" applyFill="1" applyBorder="1" applyAlignment="1">
      <alignment horizontal="center" vertical="center" wrapText="1"/>
    </xf>
    <xf numFmtId="4" fontId="40" fillId="0" borderId="18" xfId="0" applyNumberFormat="1" applyFont="1" applyFill="1" applyBorder="1" applyAlignment="1">
      <alignment horizontal="center" vertical="center" wrapText="1"/>
    </xf>
    <xf numFmtId="4" fontId="40" fillId="0" borderId="44" xfId="0" applyNumberFormat="1" applyFont="1" applyFill="1" applyBorder="1" applyAlignment="1">
      <alignment horizontal="center" vertical="center" wrapText="1"/>
    </xf>
    <xf numFmtId="0" fontId="73" fillId="0" borderId="9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101" xfId="0" applyFont="1" applyFill="1" applyBorder="1" applyAlignment="1">
      <alignment horizontal="center" vertical="center" wrapText="1"/>
    </xf>
    <xf numFmtId="0" fontId="73" fillId="0" borderId="102" xfId="0" applyFont="1" applyFill="1" applyBorder="1" applyAlignment="1">
      <alignment horizontal="center" vertical="center" wrapText="1"/>
    </xf>
    <xf numFmtId="0" fontId="73" fillId="0" borderId="103" xfId="0" applyFont="1" applyFill="1" applyBorder="1" applyAlignment="1">
      <alignment horizontal="center" vertical="center" wrapText="1"/>
    </xf>
    <xf numFmtId="0" fontId="72" fillId="0" borderId="0" xfId="0" applyFont="1" applyBorder="1" applyAlignment="1">
      <alignment horizontal="center" vertical="center"/>
    </xf>
    <xf numFmtId="0" fontId="28" fillId="45" borderId="0" xfId="0" applyFont="1" applyFill="1" applyAlignment="1">
      <alignment horizontal="center"/>
    </xf>
    <xf numFmtId="0" fontId="6" fillId="45" borderId="0" xfId="0" applyFont="1" applyFill="1" applyAlignment="1">
      <alignment horizontal="center"/>
    </xf>
    <xf numFmtId="0" fontId="28" fillId="45" borderId="9" xfId="0" applyFont="1" applyFill="1" applyBorder="1" applyAlignment="1">
      <alignment horizontal="center"/>
    </xf>
    <xf numFmtId="0" fontId="28" fillId="45" borderId="0" xfId="0" applyFont="1" applyFill="1" applyBorder="1" applyAlignment="1">
      <alignment horizontal="center"/>
    </xf>
    <xf numFmtId="0" fontId="6" fillId="0" borderId="41"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2" xfId="0" applyFont="1" applyFill="1" applyBorder="1" applyAlignment="1">
      <alignment horizontal="center" vertical="center"/>
    </xf>
    <xf numFmtId="0" fontId="6" fillId="55" borderId="59" xfId="0" applyFont="1" applyFill="1" applyBorder="1" applyAlignment="1">
      <alignment horizontal="center"/>
    </xf>
    <xf numFmtId="0" fontId="6" fillId="55" borderId="61" xfId="0" applyFont="1" applyFill="1" applyBorder="1" applyAlignment="1">
      <alignment horizontal="center"/>
    </xf>
    <xf numFmtId="0" fontId="50" fillId="0" borderId="0" xfId="0" applyFont="1" applyAlignment="1">
      <alignment horizontal="center" wrapText="1"/>
    </xf>
    <xf numFmtId="0" fontId="4" fillId="38" borderId="0" xfId="0" applyFont="1" applyFill="1" applyAlignment="1">
      <alignment horizontal="center" vertical="center"/>
    </xf>
    <xf numFmtId="0" fontId="12" fillId="0" borderId="111" xfId="0" applyFont="1" applyFill="1" applyBorder="1" applyAlignment="1">
      <alignment horizontal="left" vertical="center"/>
    </xf>
    <xf numFmtId="0" fontId="6" fillId="0" borderId="41" xfId="0" applyFont="1" applyFill="1" applyBorder="1" applyAlignment="1">
      <alignment horizontal="left" vertical="center"/>
    </xf>
    <xf numFmtId="0" fontId="6" fillId="0" borderId="59" xfId="0" applyFont="1" applyFill="1" applyBorder="1" applyAlignment="1">
      <alignment horizontal="left" vertical="center"/>
    </xf>
    <xf numFmtId="0" fontId="6" fillId="0" borderId="23" xfId="0" applyFont="1" applyFill="1" applyBorder="1" applyAlignment="1">
      <alignment horizontal="left" vertical="center"/>
    </xf>
    <xf numFmtId="0" fontId="6" fillId="0" borderId="52" xfId="0" applyFont="1" applyFill="1" applyBorder="1" applyAlignment="1">
      <alignment horizontal="left" vertical="center"/>
    </xf>
    <xf numFmtId="0" fontId="21" fillId="46" borderId="59" xfId="31" applyNumberFormat="1" applyFont="1" applyFill="1" applyBorder="1" applyAlignment="1" applyProtection="1">
      <alignment horizontal="center" wrapText="1"/>
    </xf>
    <xf numFmtId="0" fontId="21" fillId="46" borderId="52" xfId="31" applyNumberFormat="1" applyFont="1" applyFill="1" applyBorder="1" applyAlignment="1" applyProtection="1">
      <alignment horizontal="center" wrapText="1"/>
    </xf>
    <xf numFmtId="0" fontId="21" fillId="46" borderId="61" xfId="31" applyNumberFormat="1" applyFont="1" applyFill="1" applyBorder="1" applyAlignment="1" applyProtection="1">
      <alignment horizontal="center" wrapText="1"/>
    </xf>
    <xf numFmtId="0" fontId="21" fillId="46" borderId="42" xfId="31" applyNumberFormat="1" applyFont="1" applyFill="1" applyBorder="1" applyAlignment="1" applyProtection="1">
      <alignment horizontal="center" wrapText="1"/>
    </xf>
    <xf numFmtId="0" fontId="5" fillId="0" borderId="112" xfId="0" applyFont="1" applyFill="1" applyBorder="1" applyAlignment="1">
      <alignment horizontal="center"/>
    </xf>
    <xf numFmtId="0" fontId="6" fillId="55" borderId="0" xfId="0" applyFont="1" applyFill="1" applyBorder="1" applyAlignment="1">
      <alignment horizontal="center"/>
    </xf>
    <xf numFmtId="0" fontId="6" fillId="55" borderId="5" xfId="0" applyFont="1" applyFill="1" applyBorder="1" applyAlignment="1">
      <alignment horizontal="center"/>
    </xf>
    <xf numFmtId="0" fontId="6" fillId="52" borderId="51" xfId="0" applyFont="1" applyFill="1" applyBorder="1" applyAlignment="1">
      <alignment horizontal="center"/>
    </xf>
    <xf numFmtId="0" fontId="6" fillId="52" borderId="2" xfId="0" applyFont="1" applyFill="1" applyBorder="1" applyAlignment="1">
      <alignment horizontal="center"/>
    </xf>
    <xf numFmtId="0" fontId="21" fillId="54" borderId="59" xfId="31" applyNumberFormat="1" applyFont="1" applyFill="1" applyBorder="1" applyAlignment="1" applyProtection="1">
      <alignment horizontal="center" wrapText="1"/>
    </xf>
    <xf numFmtId="0" fontId="21" fillId="54" borderId="61" xfId="31" applyNumberFormat="1" applyFont="1" applyFill="1" applyBorder="1" applyAlignment="1" applyProtection="1">
      <alignment horizontal="center" wrapText="1"/>
    </xf>
    <xf numFmtId="0" fontId="21" fillId="54" borderId="52" xfId="31" applyNumberFormat="1" applyFont="1" applyFill="1" applyBorder="1" applyAlignment="1" applyProtection="1">
      <alignment horizontal="center" wrapText="1"/>
    </xf>
    <xf numFmtId="0" fontId="21" fillId="54" borderId="42" xfId="31" applyNumberFormat="1" applyFont="1" applyFill="1" applyBorder="1" applyAlignment="1" applyProtection="1">
      <alignment horizontal="center" wrapText="1"/>
    </xf>
    <xf numFmtId="0" fontId="13" fillId="0" borderId="111" xfId="49" applyFill="1" applyBorder="1" applyAlignment="1" applyProtection="1">
      <alignment horizontal="left" vertical="center"/>
    </xf>
    <xf numFmtId="0" fontId="0" fillId="0" borderId="112" xfId="0" applyFill="1" applyBorder="1" applyAlignment="1">
      <alignment horizontal="center"/>
    </xf>
    <xf numFmtId="0" fontId="6" fillId="52" borderId="59" xfId="0" applyFont="1" applyFill="1" applyBorder="1" applyAlignment="1">
      <alignment horizontal="center"/>
    </xf>
    <xf numFmtId="0" fontId="6" fillId="52" borderId="0" xfId="0" applyFont="1" applyFill="1" applyBorder="1" applyAlignment="1">
      <alignment horizontal="center"/>
    </xf>
    <xf numFmtId="0" fontId="6" fillId="52" borderId="59" xfId="0" applyFont="1" applyFill="1" applyBorder="1" applyAlignment="1">
      <alignment horizontal="center" wrapText="1"/>
    </xf>
    <xf numFmtId="0" fontId="6" fillId="52" borderId="52" xfId="0" applyFont="1" applyFill="1" applyBorder="1" applyAlignment="1">
      <alignment horizontal="center" wrapText="1"/>
    </xf>
    <xf numFmtId="0" fontId="6" fillId="52" borderId="61" xfId="0" applyFont="1" applyFill="1" applyBorder="1" applyAlignment="1">
      <alignment horizontal="center" wrapText="1"/>
    </xf>
    <xf numFmtId="0" fontId="6" fillId="52" borderId="42" xfId="0" applyFont="1" applyFill="1" applyBorder="1" applyAlignment="1">
      <alignment horizontal="center" wrapText="1"/>
    </xf>
    <xf numFmtId="0" fontId="6" fillId="52" borderId="51" xfId="0" applyFont="1" applyFill="1" applyBorder="1" applyAlignment="1">
      <alignment horizontal="center" wrapText="1"/>
    </xf>
    <xf numFmtId="0" fontId="6" fillId="0" borderId="22" xfId="0" applyFont="1" applyFill="1" applyBorder="1" applyAlignment="1">
      <alignment horizontal="left" vertical="center"/>
    </xf>
    <xf numFmtId="0" fontId="6" fillId="0" borderId="51" xfId="0" applyFont="1" applyFill="1" applyBorder="1" applyAlignment="1">
      <alignment horizontal="left" vertical="center"/>
    </xf>
    <xf numFmtId="0" fontId="12" fillId="0" borderId="104" xfId="0" applyFont="1" applyFill="1" applyBorder="1" applyAlignment="1">
      <alignment horizontal="center" vertical="center"/>
    </xf>
    <xf numFmtId="0" fontId="12" fillId="0" borderId="111" xfId="0" applyFont="1" applyFill="1" applyBorder="1" applyAlignment="1">
      <alignment horizontal="center" vertical="center"/>
    </xf>
    <xf numFmtId="0" fontId="4" fillId="38" borderId="0" xfId="0" applyFont="1" applyFill="1" applyBorder="1" applyAlignment="1">
      <alignment horizontal="center" vertical="center"/>
    </xf>
    <xf numFmtId="0" fontId="6" fillId="0" borderId="41" xfId="0" applyFont="1" applyFill="1" applyBorder="1" applyAlignment="1">
      <alignment horizontal="left"/>
    </xf>
    <xf numFmtId="0" fontId="6" fillId="0" borderId="59" xfId="0" applyFont="1" applyFill="1" applyBorder="1" applyAlignment="1">
      <alignment horizontal="left"/>
    </xf>
    <xf numFmtId="0" fontId="13" fillId="0" borderId="107" xfId="49" applyFill="1" applyBorder="1" applyAlignment="1" applyProtection="1">
      <alignment horizontal="left" vertical="center"/>
    </xf>
    <xf numFmtId="0" fontId="4" fillId="53" borderId="0" xfId="0" applyFont="1" applyFill="1" applyBorder="1" applyAlignment="1">
      <alignment horizontal="center" vertical="center"/>
    </xf>
    <xf numFmtId="4" fontId="6" fillId="46" borderId="113" xfId="0" applyNumberFormat="1" applyFont="1" applyFill="1" applyBorder="1" applyAlignment="1">
      <alignment horizontal="center" vertical="center" wrapText="1"/>
    </xf>
    <xf numFmtId="4" fontId="6" fillId="46" borderId="114" xfId="0" applyNumberFormat="1" applyFont="1" applyFill="1" applyBorder="1" applyAlignment="1">
      <alignment horizontal="center" vertical="center" wrapText="1"/>
    </xf>
    <xf numFmtId="4" fontId="6" fillId="46" borderId="115" xfId="0" applyNumberFormat="1" applyFont="1" applyFill="1" applyBorder="1" applyAlignment="1">
      <alignment horizontal="center" vertical="center" wrapText="1"/>
    </xf>
    <xf numFmtId="4" fontId="6" fillId="46" borderId="116" xfId="0" applyNumberFormat="1" applyFont="1" applyFill="1" applyBorder="1" applyAlignment="1">
      <alignment horizontal="center" vertical="center" wrapText="1"/>
    </xf>
    <xf numFmtId="4" fontId="6" fillId="46" borderId="17" xfId="0" applyNumberFormat="1" applyFont="1" applyFill="1" applyBorder="1" applyAlignment="1">
      <alignment horizontal="center" vertical="center" wrapText="1"/>
    </xf>
    <xf numFmtId="4" fontId="6" fillId="46" borderId="117" xfId="0" applyNumberFormat="1" applyFont="1" applyFill="1" applyBorder="1" applyAlignment="1">
      <alignment horizontal="center" vertical="center" wrapText="1"/>
    </xf>
    <xf numFmtId="4" fontId="6" fillId="46" borderId="145" xfId="0" applyNumberFormat="1" applyFont="1" applyFill="1" applyBorder="1" applyAlignment="1">
      <alignment horizontal="center" vertical="center" wrapText="1"/>
    </xf>
    <xf numFmtId="4" fontId="6" fillId="46" borderId="60" xfId="0" applyNumberFormat="1" applyFont="1" applyFill="1" applyBorder="1" applyAlignment="1">
      <alignment horizontal="center" vertical="center" wrapText="1"/>
    </xf>
    <xf numFmtId="0" fontId="0" fillId="0" borderId="0" xfId="0" applyBorder="1" applyAlignment="1">
      <alignment horizontal="center"/>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3" xfId="31"/>
    <cellStyle name="Comma 3" xfId="32"/>
    <cellStyle name="Comma 3 2" xfId="33"/>
    <cellStyle name="Comma 4" xfId="34"/>
    <cellStyle name="Comma 5" xfId="35"/>
    <cellStyle name="Comma 6" xfId="36"/>
    <cellStyle name="Comma 7" xfId="37"/>
    <cellStyle name="Comma 8" xfId="38"/>
    <cellStyle name="Currency 2" xfId="39"/>
    <cellStyle name="Currency 2 2" xfId="40"/>
    <cellStyle name="Currency 3" xfId="41"/>
    <cellStyle name="Currency 3 2" xfId="42"/>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3" xfId="55"/>
    <cellStyle name="Note 2" xfId="56"/>
    <cellStyle name="Output" xfId="57" builtinId="21" customBuiltin="1"/>
    <cellStyle name="Percent" xfId="58" builtinId="5"/>
    <cellStyle name="Percent 2" xfId="59"/>
    <cellStyle name="Percent 2 2" xfId="60"/>
    <cellStyle name="Percent 3" xfId="61"/>
    <cellStyle name="Percent 3 2" xfId="62"/>
    <cellStyle name="Percent 4" xfId="63"/>
    <cellStyle name="Percent 5" xfId="64"/>
    <cellStyle name="Percent 6" xfId="65"/>
    <cellStyle name="Title" xfId="66" builtinId="15" customBuiltin="1"/>
    <cellStyle name="Total" xfId="67" builtinId="25" customBuiltin="1"/>
    <cellStyle name="Warning Text" xfId="68" builtinId="11" customBuiltin="1"/>
  </cellStyles>
  <dxfs count="96">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numFmt numFmtId="171" formatCode="m/d/yyyy\ h:mm"/>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75" y="2028825"/>
          <a:ext cx="548640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628650</xdr:colOff>
          <xdr:row>1</xdr:row>
          <xdr:rowOff>9525</xdr:rowOff>
        </xdr:from>
        <xdr:to>
          <xdr:col>16</xdr:col>
          <xdr:colOff>0</xdr:colOff>
          <xdr:row>6</xdr:row>
          <xdr:rowOff>190500</xdr:rowOff>
        </xdr:to>
        <xdr:sp macro="" textlink="">
          <xdr:nvSpPr>
            <xdr:cNvPr id="35771" name="Object 955" hidden="1">
              <a:extLst>
                <a:ext uri="{63B3BB69-23CF-44E3-9099-C40C66FF867C}">
                  <a14:compatExt spid="_x0000_s35771"/>
                </a:ext>
              </a:extLst>
            </xdr:cNvPr>
            <xdr:cNvSpPr/>
          </xdr:nvSpPr>
          <xdr:spPr>
            <a:xfrm>
              <a:off x="0" y="0"/>
              <a:ext cx="0" cy="0"/>
            </a:xfrm>
            <a:prstGeom prst="rect">
              <a:avLst/>
            </a:prstGeom>
          </xdr:spPr>
        </xdr:sp>
        <xdr:clientData/>
      </xdr:twoCellAnchor>
    </mc:Choice>
    <mc:Fallback/>
  </mc:AlternateContent>
</xdr:wsDr>
</file>

<file path=xl/queryTables/queryTable1.xml><?xml version="1.0" encoding="utf-8"?>
<queryTable xmlns="http://schemas.openxmlformats.org/spreadsheetml/2006/main" name="(Default) MMWR_TIME_DATE" connectionId="1" autoFormatId="16" applyNumberFormats="0" applyBorderFormats="0" applyFontFormats="0" applyPatternFormats="0" applyAlignmentFormats="0" applyWidthHeightFormats="0">
  <queryTableRefresh nextId="4">
    <queryTableFields count="3">
      <queryTableField id="1" name="v_month" tableColumnId="1"/>
      <queryTableField id="2" name="v_Fdtsid" tableColumnId="2"/>
      <queryTableField id="3" name="fy_dt_2" tableColumnId="3"/>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314" name="Table_MMWL_P3" displayName="Table_MMWL_P3" ref="A2:C53" totalsRowShown="0">
  <autoFilter ref="A2:C53"/>
  <tableColumns count="3">
    <tableColumn id="1" name="EP"/>
    <tableColumn id="2" name="COUNTS"/>
    <tableColumn id="3" name="COUNTS125"/>
  </tableColumns>
  <tableStyleInfo name="TableStyleMedium2" showFirstColumn="0" showLastColumn="0" showRowStripes="1" showColumnStripes="0"/>
</table>
</file>

<file path=xl/tables/table2.xml><?xml version="1.0" encoding="utf-8"?>
<table xmlns="http://schemas.openxmlformats.org/spreadsheetml/2006/main" id="316" name="Table_MMWL_P2" displayName="Table_MMWL_P2" ref="E2:Q74" totalsRowShown="0">
  <autoFilter ref="E2:Q74"/>
  <tableColumns count="13">
    <tableColumn id="1" name="STN"/>
    <tableColumn id="2" name="ENTIT"/>
    <tableColumn id="3" name="ENTIT125"/>
    <tableColumn id="4" name="AWD"/>
    <tableColumn id="5" name="AWD125"/>
    <tableColumn id="6" name="PROGRVW"/>
    <tableColumn id="7" name="PROGRVW125"/>
    <tableColumn id="8" name="OTH"/>
    <tableColumn id="9" name="OTH125"/>
    <tableColumn id="10" name="BUR"/>
    <tableColumn id="11" name="ACC"/>
    <tableColumn id="12" name="ADP"/>
    <tableColumn id="13" name="NBRINV"/>
  </tableColumns>
  <tableStyleInfo name="TableStyleMedium2" showFirstColumn="0" showLastColumn="0" showRowStripes="1" showColumnStripes="0"/>
</table>
</file>

<file path=xl/tables/table3.xml><?xml version="1.0" encoding="utf-8"?>
<table xmlns="http://schemas.openxmlformats.org/spreadsheetml/2006/main" id="526" name="Table_MMWL_RATING" displayName="Table_MMWL_RATING" ref="T2:AH80" totalsRowShown="0">
  <autoFilter ref="T2:AH80"/>
  <tableColumns count="15">
    <tableColumn id="1" name="STN"/>
    <tableColumn id="2" name="INVROJ"/>
    <tableColumn id="3" name="ADPROJ"/>
    <tableColumn id="4" name="PER125ROJ"/>
    <tableColumn id="5" name="MTDROJ"/>
    <tableColumn id="6" name="FYTDROJ"/>
    <tableColumn id="7" name="ADCMTDROJ"/>
    <tableColumn id="8" name="ADCFYTDROJ"/>
    <tableColumn id="9" name="INVSOJ"/>
    <tableColumn id="10" name="ADPSOJ"/>
    <tableColumn id="11" name="PER125SOJ"/>
    <tableColumn id="12" name="MTDSOJ"/>
    <tableColumn id="13" name="FYTDSOJ"/>
    <tableColumn id="14" name="ADCMTDSOJ"/>
    <tableColumn id="15" name="ADCFYTDSOJ"/>
  </tableColumns>
  <tableStyleInfo name="TableStyleMedium2" showFirstColumn="0" showLastColumn="0" showRowStripes="1" showColumnStripes="0"/>
</table>
</file>

<file path=xl/tables/table4.xml><?xml version="1.0" encoding="utf-8"?>
<table xmlns="http://schemas.openxmlformats.org/spreadsheetml/2006/main" id="542" name="Table_MMWL_APLS" displayName="Table_MMWL_APLS" ref="AK2:AV71" totalsRowShown="0">
  <autoFilter ref="AK2:AV71"/>
  <tableColumns count="12">
    <tableColumn id="1" name="STATION_DISPLAY"/>
    <tableColumn id="2" name="NOD_PENDING"/>
    <tableColumn id="3" name="AVG_DAYS_NOD"/>
    <tableColumn id="4" name="SOC_PENDING"/>
    <tableColumn id="5" name="F9_PENDING"/>
    <tableColumn id="6" name="AVG_DAYS_F9"/>
    <tableColumn id="7" name="REM_AT_RO"/>
    <tableColumn id="8" name="REM_AVG_DAYS_PENDING_AT_RO"/>
    <tableColumn id="9" name="REM_AT_AMC"/>
    <tableColumn id="10" name="AVG_DAYS_PENDING_AT_AMC"/>
    <tableColumn id="11" name="TB_RDY"/>
    <tableColumn id="12" name="TOTAL_PENDING"/>
  </tableColumns>
  <tableStyleInfo name="TableStyleMedium2" showFirstColumn="0" showLastColumn="0" showRowStripes="1" showColumnStripes="0"/>
</table>
</file>

<file path=xl/tables/table5.xml><?xml version="1.0" encoding="utf-8"?>
<table xmlns="http://schemas.openxmlformats.org/spreadsheetml/2006/main" id="1123" name="MMWR_TIME_DATE" displayName="MMWR_TIME_DATE" ref="AX2:AZ3" tableType="queryTable" totalsRowShown="0">
  <autoFilter ref="AX2:AZ3"/>
  <tableColumns count="3">
    <tableColumn id="1" uniqueName="1" name="v_month" queryTableFieldId="1"/>
    <tableColumn id="2" uniqueName="2" name="v_Fdtsid" queryTableFieldId="2"/>
    <tableColumn id="3" uniqueName="3" name="fy_dt_2" queryTableFieldId="3" dataDxfId="3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hyperlink" Target="http://vbaw.vba.va.gov/bl/21/star/reports/fy15/PMC%20ACCURACY.xls" TargetMode="External"/><Relationship Id="rId3" Type="http://schemas.openxmlformats.org/officeDocument/2006/relationships/hyperlink" Target="http://vbaw.vba.va.gov/bl/21/star/reports/fy14/3%20Month%20PMC%20Accuracy.xls" TargetMode="External"/><Relationship Id="rId7" Type="http://schemas.openxmlformats.org/officeDocument/2006/relationships/hyperlink" Target="http://vbaw.vba.va.gov/bl/21/star/reports/fy15/3%20Month%20PMC%20Accuracy.xls" TargetMode="External"/><Relationship Id="rId2" Type="http://schemas.openxmlformats.org/officeDocument/2006/relationships/hyperlink" Target="http://vbaw.vba.va.gov/bl/21/star/reports/fy14/BENEFIT%20ENTITLEMENT%20ACCURACY.xls" TargetMode="External"/><Relationship Id="rId1" Type="http://schemas.openxmlformats.org/officeDocument/2006/relationships/hyperlink" Target="http://vbaw.vba.va.gov/bl/21/star/reports/fy14/3%20Month%20Rating%20Accuracy.xls" TargetMode="External"/><Relationship Id="rId6" Type="http://schemas.openxmlformats.org/officeDocument/2006/relationships/hyperlink" Target="http://vbaw.vba.va.gov/bl/21/star/reports/fy15/BENEFIT%20ENTITLEMENT%20ACCURACY.xls" TargetMode="External"/><Relationship Id="rId11" Type="http://schemas.openxmlformats.org/officeDocument/2006/relationships/comments" Target="../comments4.xml"/><Relationship Id="rId5" Type="http://schemas.openxmlformats.org/officeDocument/2006/relationships/hyperlink" Target="http://vbaw.vba.va.gov/bl/21/star/reports/fy15/3%20Month%20Rating%20Accuracy.xls" TargetMode="External"/><Relationship Id="rId10" Type="http://schemas.openxmlformats.org/officeDocument/2006/relationships/vmlDrawing" Target="../drawings/vmlDrawing5.vml"/><Relationship Id="rId4" Type="http://schemas.openxmlformats.org/officeDocument/2006/relationships/hyperlink" Target="http://vbaw.vba.va.gov/bl/21/star/reports/fy14/PMC%20ACCURACY.xls"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RowHeight="12.75" x14ac:dyDescent="0.2"/>
  <cols>
    <col min="8" max="8" width="12.5703125" customWidth="1"/>
    <col min="14" max="14" width="10.42578125" customWidth="1"/>
  </cols>
  <sheetData>
    <row r="1" spans="1:16" ht="29.25" customHeight="1" thickBot="1" x14ac:dyDescent="0.25">
      <c r="A1" s="456" t="s">
        <v>426</v>
      </c>
      <c r="B1" s="457"/>
      <c r="C1" s="457"/>
      <c r="D1" s="457"/>
      <c r="E1" s="457"/>
      <c r="F1" s="457"/>
      <c r="G1" s="457"/>
      <c r="H1" s="457"/>
      <c r="I1" s="457"/>
      <c r="J1" s="457"/>
      <c r="K1" s="457"/>
      <c r="L1" s="457"/>
      <c r="M1" s="457"/>
      <c r="N1" s="457"/>
      <c r="O1" s="457"/>
      <c r="P1" s="458"/>
    </row>
    <row r="2" spans="1:16" ht="29.25" customHeight="1" x14ac:dyDescent="0.2">
      <c r="A2" s="450" t="s">
        <v>429</v>
      </c>
      <c r="B2" s="451"/>
      <c r="C2" s="451"/>
      <c r="D2" s="451"/>
      <c r="E2" s="451"/>
      <c r="F2" s="451"/>
      <c r="G2" s="451"/>
      <c r="H2" s="451"/>
      <c r="I2" s="451"/>
      <c r="J2" s="451"/>
      <c r="K2" s="451"/>
      <c r="L2" s="451"/>
      <c r="M2" s="451"/>
      <c r="N2" s="452"/>
    </row>
    <row r="3" spans="1:16" x14ac:dyDescent="0.2">
      <c r="A3" s="450"/>
      <c r="B3" s="451"/>
      <c r="C3" s="451"/>
      <c r="D3" s="451"/>
      <c r="E3" s="451"/>
      <c r="F3" s="451"/>
      <c r="G3" s="451"/>
      <c r="H3" s="451"/>
      <c r="I3" s="451"/>
      <c r="J3" s="451"/>
      <c r="K3" s="451"/>
      <c r="L3" s="451"/>
      <c r="M3" s="451"/>
      <c r="N3" s="452"/>
    </row>
    <row r="4" spans="1:16" x14ac:dyDescent="0.2">
      <c r="A4" s="450"/>
      <c r="B4" s="451"/>
      <c r="C4" s="451"/>
      <c r="D4" s="451"/>
      <c r="E4" s="451"/>
      <c r="F4" s="451"/>
      <c r="G4" s="451"/>
      <c r="H4" s="451"/>
      <c r="I4" s="451"/>
      <c r="J4" s="451"/>
      <c r="K4" s="451"/>
      <c r="L4" s="451"/>
      <c r="M4" s="451"/>
      <c r="N4" s="452"/>
    </row>
    <row r="5" spans="1:16" x14ac:dyDescent="0.2">
      <c r="A5" s="450"/>
      <c r="B5" s="451"/>
      <c r="C5" s="451"/>
      <c r="D5" s="451"/>
      <c r="E5" s="451"/>
      <c r="F5" s="451"/>
      <c r="G5" s="451"/>
      <c r="H5" s="451"/>
      <c r="I5" s="451"/>
      <c r="J5" s="451"/>
      <c r="K5" s="451"/>
      <c r="L5" s="451"/>
      <c r="M5" s="451"/>
      <c r="N5" s="452"/>
    </row>
    <row r="6" spans="1:16" x14ac:dyDescent="0.2">
      <c r="A6" s="450"/>
      <c r="B6" s="451"/>
      <c r="C6" s="451"/>
      <c r="D6" s="451"/>
      <c r="E6" s="451"/>
      <c r="F6" s="451"/>
      <c r="G6" s="451"/>
      <c r="H6" s="451"/>
      <c r="I6" s="451"/>
      <c r="J6" s="451"/>
      <c r="K6" s="451"/>
      <c r="L6" s="451"/>
      <c r="M6" s="451"/>
      <c r="N6" s="452"/>
    </row>
    <row r="7" spans="1:16" ht="18" customHeight="1" thickBot="1" x14ac:dyDescent="0.25">
      <c r="A7" s="453"/>
      <c r="B7" s="454"/>
      <c r="C7" s="454"/>
      <c r="D7" s="454"/>
      <c r="E7" s="454"/>
      <c r="F7" s="454"/>
      <c r="G7" s="454"/>
      <c r="H7" s="454"/>
      <c r="I7" s="454"/>
      <c r="J7" s="454"/>
      <c r="K7" s="454"/>
      <c r="L7" s="454"/>
      <c r="M7" s="454"/>
      <c r="N7" s="455"/>
    </row>
    <row r="8" spans="1:16" ht="18.75" thickBot="1" x14ac:dyDescent="0.25">
      <c r="A8" s="447" t="s">
        <v>424</v>
      </c>
      <c r="B8" s="448"/>
      <c r="C8" s="448"/>
      <c r="D8" s="448"/>
      <c r="E8" s="448"/>
      <c r="F8" s="448"/>
      <c r="G8" s="449"/>
      <c r="H8" s="447" t="s">
        <v>425</v>
      </c>
      <c r="I8" s="448"/>
      <c r="J8" s="448"/>
      <c r="K8" s="448"/>
      <c r="L8" s="448"/>
      <c r="M8" s="448"/>
      <c r="N8" s="448"/>
      <c r="O8" s="448"/>
      <c r="P8" s="449"/>
    </row>
    <row r="9" spans="1:16" x14ac:dyDescent="0.2">
      <c r="A9" s="252"/>
      <c r="B9" s="253"/>
      <c r="C9" s="253"/>
      <c r="D9" s="253"/>
      <c r="E9" s="253"/>
      <c r="F9" s="253"/>
      <c r="G9" s="254"/>
      <c r="H9" s="253"/>
      <c r="I9" s="253"/>
      <c r="J9" s="253"/>
      <c r="K9" s="253"/>
      <c r="L9" s="253"/>
      <c r="M9" s="253"/>
      <c r="N9" s="253"/>
      <c r="O9" s="253"/>
      <c r="P9" s="254"/>
    </row>
    <row r="10" spans="1:16" x14ac:dyDescent="0.2">
      <c r="A10" s="252"/>
      <c r="B10" s="253"/>
      <c r="C10" s="253"/>
      <c r="D10" s="253"/>
      <c r="E10" s="253"/>
      <c r="F10" s="253"/>
      <c r="G10" s="254"/>
      <c r="H10" s="253"/>
      <c r="I10" s="253"/>
      <c r="J10" s="253"/>
      <c r="K10" s="253"/>
      <c r="L10" s="253"/>
      <c r="M10" s="253"/>
      <c r="N10" s="253"/>
      <c r="O10" s="253"/>
      <c r="P10" s="254"/>
    </row>
    <row r="11" spans="1:16" x14ac:dyDescent="0.2">
      <c r="A11" s="252"/>
      <c r="B11" s="253"/>
      <c r="C11" s="253"/>
      <c r="D11" s="253"/>
      <c r="E11" s="253"/>
      <c r="F11" s="253"/>
      <c r="G11" s="254"/>
      <c r="H11" s="253"/>
      <c r="I11" s="253"/>
      <c r="J11" s="253"/>
      <c r="K11" s="253"/>
      <c r="L11" s="253"/>
      <c r="M11" s="253"/>
      <c r="N11" s="253"/>
      <c r="O11" s="253"/>
      <c r="P11" s="254"/>
    </row>
    <row r="12" spans="1:16" x14ac:dyDescent="0.2">
      <c r="A12" s="252"/>
      <c r="B12" s="253"/>
      <c r="C12" s="253"/>
      <c r="D12" s="253"/>
      <c r="E12" s="253"/>
      <c r="F12" s="253"/>
      <c r="G12" s="254"/>
      <c r="H12" s="253"/>
      <c r="I12" s="253"/>
      <c r="J12" s="253"/>
      <c r="K12" s="253"/>
      <c r="L12" s="253"/>
      <c r="M12" s="253"/>
      <c r="N12" s="253"/>
      <c r="O12" s="253"/>
      <c r="P12" s="254"/>
    </row>
    <row r="13" spans="1:16" x14ac:dyDescent="0.2">
      <c r="A13" s="252"/>
      <c r="B13" s="253"/>
      <c r="C13" s="253"/>
      <c r="D13" s="253"/>
      <c r="E13" s="253"/>
      <c r="F13" s="253"/>
      <c r="G13" s="254"/>
      <c r="H13" s="253"/>
      <c r="I13" s="253"/>
      <c r="J13" s="253"/>
      <c r="K13" s="253"/>
      <c r="L13" s="253"/>
      <c r="M13" s="253"/>
      <c r="N13" s="253"/>
      <c r="O13" s="253"/>
      <c r="P13" s="254"/>
    </row>
    <row r="14" spans="1:16" x14ac:dyDescent="0.2">
      <c r="A14" s="252"/>
      <c r="B14" s="253"/>
      <c r="C14" s="253"/>
      <c r="D14" s="253"/>
      <c r="E14" s="253"/>
      <c r="F14" s="253"/>
      <c r="G14" s="254"/>
      <c r="H14" s="253"/>
      <c r="I14" s="253"/>
      <c r="J14" s="253"/>
      <c r="K14" s="253"/>
      <c r="L14" s="253"/>
      <c r="M14" s="253"/>
      <c r="N14" s="253"/>
      <c r="O14" s="253"/>
      <c r="P14" s="254"/>
    </row>
    <row r="15" spans="1:16" x14ac:dyDescent="0.2">
      <c r="A15" s="252"/>
      <c r="B15" s="253"/>
      <c r="C15" s="253"/>
      <c r="D15" s="253"/>
      <c r="E15" s="253"/>
      <c r="F15" s="253"/>
      <c r="G15" s="254"/>
      <c r="H15" s="253"/>
      <c r="I15" s="253"/>
      <c r="J15" s="253"/>
      <c r="K15" s="253"/>
      <c r="L15" s="253"/>
      <c r="M15" s="253"/>
      <c r="N15" s="253"/>
      <c r="O15" s="253"/>
      <c r="P15" s="254"/>
    </row>
    <row r="16" spans="1:16" x14ac:dyDescent="0.2">
      <c r="A16" s="252"/>
      <c r="B16" s="253"/>
      <c r="C16" s="253"/>
      <c r="D16" s="253"/>
      <c r="E16" s="253"/>
      <c r="F16" s="253"/>
      <c r="G16" s="254"/>
      <c r="H16" s="253"/>
      <c r="I16" s="253"/>
      <c r="J16" s="253"/>
      <c r="K16" s="253"/>
      <c r="L16" s="253"/>
      <c r="M16" s="253"/>
      <c r="N16" s="253"/>
      <c r="O16" s="253"/>
      <c r="P16" s="254"/>
    </row>
    <row r="17" spans="1:16" x14ac:dyDescent="0.2">
      <c r="A17" s="252"/>
      <c r="B17" s="253"/>
      <c r="C17" s="253"/>
      <c r="D17" s="253"/>
      <c r="E17" s="253"/>
      <c r="F17" s="253"/>
      <c r="G17" s="254"/>
      <c r="H17" s="253"/>
      <c r="I17" s="253"/>
      <c r="J17" s="253"/>
      <c r="K17" s="253"/>
      <c r="L17" s="253"/>
      <c r="M17" s="253"/>
      <c r="N17" s="253"/>
      <c r="O17" s="253"/>
      <c r="P17" s="254"/>
    </row>
    <row r="18" spans="1:16" x14ac:dyDescent="0.2">
      <c r="A18" s="252"/>
      <c r="B18" s="253"/>
      <c r="C18" s="253"/>
      <c r="D18" s="253"/>
      <c r="E18" s="253"/>
      <c r="F18" s="253"/>
      <c r="G18" s="254"/>
      <c r="H18" s="253"/>
      <c r="I18" s="253"/>
      <c r="J18" s="253"/>
      <c r="K18" s="253"/>
      <c r="L18" s="253"/>
      <c r="M18" s="253"/>
      <c r="N18" s="253"/>
      <c r="O18" s="253"/>
      <c r="P18" s="254"/>
    </row>
    <row r="19" spans="1:16" x14ac:dyDescent="0.2">
      <c r="A19" s="252"/>
      <c r="B19" s="253"/>
      <c r="C19" s="253"/>
      <c r="D19" s="253"/>
      <c r="E19" s="253"/>
      <c r="F19" s="253"/>
      <c r="G19" s="254"/>
      <c r="H19" s="253"/>
      <c r="I19" s="253"/>
      <c r="J19" s="253"/>
      <c r="K19" s="253"/>
      <c r="L19" s="253"/>
      <c r="M19" s="253"/>
      <c r="N19" s="253"/>
      <c r="O19" s="253"/>
      <c r="P19" s="254"/>
    </row>
    <row r="20" spans="1:16" x14ac:dyDescent="0.2">
      <c r="A20" s="252"/>
      <c r="B20" s="253"/>
      <c r="C20" s="253"/>
      <c r="D20" s="253"/>
      <c r="E20" s="253"/>
      <c r="F20" s="253"/>
      <c r="G20" s="254"/>
      <c r="H20" s="253"/>
      <c r="I20" s="253"/>
      <c r="J20" s="253"/>
      <c r="K20" s="253"/>
      <c r="L20" s="253"/>
      <c r="M20" s="253"/>
      <c r="N20" s="253"/>
      <c r="O20" s="253"/>
      <c r="P20" s="254"/>
    </row>
    <row r="21" spans="1:16" x14ac:dyDescent="0.2">
      <c r="A21" s="252"/>
      <c r="B21" s="253"/>
      <c r="C21" s="253"/>
      <c r="D21" s="253"/>
      <c r="E21" s="253"/>
      <c r="F21" s="253"/>
      <c r="G21" s="254"/>
      <c r="H21" s="253"/>
      <c r="I21" s="253"/>
      <c r="J21" s="253"/>
      <c r="K21" s="253"/>
      <c r="L21" s="253"/>
      <c r="M21" s="253"/>
      <c r="N21" s="253"/>
      <c r="O21" s="253"/>
      <c r="P21" s="254"/>
    </row>
    <row r="22" spans="1:16" x14ac:dyDescent="0.2">
      <c r="A22" s="252"/>
      <c r="B22" s="253"/>
      <c r="C22" s="253"/>
      <c r="D22" s="253"/>
      <c r="E22" s="253"/>
      <c r="F22" s="253"/>
      <c r="G22" s="254"/>
      <c r="H22" s="253"/>
      <c r="I22" s="253"/>
      <c r="J22" s="253"/>
      <c r="K22" s="253"/>
      <c r="L22" s="253"/>
      <c r="M22" s="253"/>
      <c r="N22" s="253"/>
      <c r="O22" s="253"/>
      <c r="P22" s="254"/>
    </row>
    <row r="23" spans="1:16" x14ac:dyDescent="0.2">
      <c r="A23" s="252"/>
      <c r="B23" s="253"/>
      <c r="C23" s="253"/>
      <c r="D23" s="253"/>
      <c r="E23" s="253"/>
      <c r="F23" s="253"/>
      <c r="G23" s="254"/>
      <c r="H23" s="253"/>
      <c r="I23" s="253"/>
      <c r="J23" s="253"/>
      <c r="K23" s="253"/>
      <c r="L23" s="253"/>
      <c r="M23" s="253"/>
      <c r="N23" s="253"/>
      <c r="O23" s="253"/>
      <c r="P23" s="254"/>
    </row>
    <row r="24" spans="1:16" x14ac:dyDescent="0.2">
      <c r="A24" s="252"/>
      <c r="B24" s="253"/>
      <c r="C24" s="253"/>
      <c r="D24" s="253"/>
      <c r="E24" s="253"/>
      <c r="F24" s="253"/>
      <c r="G24" s="254"/>
      <c r="H24" s="253"/>
      <c r="I24" s="253"/>
      <c r="J24" s="253"/>
      <c r="K24" s="253"/>
      <c r="L24" s="253"/>
      <c r="M24" s="253"/>
      <c r="N24" s="253"/>
      <c r="O24" s="253"/>
      <c r="P24" s="254"/>
    </row>
    <row r="25" spans="1:16" x14ac:dyDescent="0.2">
      <c r="A25" s="252"/>
      <c r="B25" s="253"/>
      <c r="C25" s="253"/>
      <c r="D25" s="253"/>
      <c r="E25" s="253"/>
      <c r="F25" s="253"/>
      <c r="G25" s="254"/>
      <c r="H25" s="253"/>
      <c r="I25" s="253"/>
      <c r="J25" s="253"/>
      <c r="K25" s="253"/>
      <c r="L25" s="253"/>
      <c r="M25" s="253"/>
      <c r="N25" s="253"/>
      <c r="O25" s="253"/>
      <c r="P25" s="254"/>
    </row>
    <row r="26" spans="1:16" x14ac:dyDescent="0.2">
      <c r="A26" s="252"/>
      <c r="B26" s="253"/>
      <c r="C26" s="253"/>
      <c r="D26" s="253"/>
      <c r="E26" s="253"/>
      <c r="F26" s="253"/>
      <c r="G26" s="254"/>
      <c r="H26" s="253"/>
      <c r="I26" s="253"/>
      <c r="J26" s="253"/>
      <c r="K26" s="253"/>
      <c r="L26" s="253"/>
      <c r="M26" s="253"/>
      <c r="N26" s="253"/>
      <c r="O26" s="253"/>
      <c r="P26" s="254"/>
    </row>
    <row r="27" spans="1:16" x14ac:dyDescent="0.2">
      <c r="A27" s="252"/>
      <c r="B27" s="253"/>
      <c r="C27" s="253"/>
      <c r="D27" s="253"/>
      <c r="E27" s="253"/>
      <c r="F27" s="253"/>
      <c r="G27" s="254"/>
      <c r="H27" s="253"/>
      <c r="I27" s="253"/>
      <c r="J27" s="253"/>
      <c r="K27" s="253"/>
      <c r="L27" s="253"/>
      <c r="M27" s="253"/>
      <c r="N27" s="253"/>
      <c r="O27" s="253"/>
      <c r="P27" s="254"/>
    </row>
    <row r="28" spans="1:16" x14ac:dyDescent="0.2">
      <c r="A28" s="252"/>
      <c r="B28" s="253"/>
      <c r="C28" s="253"/>
      <c r="D28" s="253"/>
      <c r="E28" s="253"/>
      <c r="F28" s="253"/>
      <c r="G28" s="254"/>
      <c r="H28" s="253"/>
      <c r="I28" s="253"/>
      <c r="J28" s="253"/>
      <c r="K28" s="253"/>
      <c r="L28" s="253"/>
      <c r="M28" s="253"/>
      <c r="N28" s="253"/>
      <c r="O28" s="253"/>
      <c r="P28" s="254"/>
    </row>
    <row r="29" spans="1:16" x14ac:dyDescent="0.2">
      <c r="A29" s="252"/>
      <c r="B29" s="253"/>
      <c r="C29" s="253"/>
      <c r="D29" s="253"/>
      <c r="E29" s="253"/>
      <c r="F29" s="253"/>
      <c r="G29" s="254"/>
      <c r="H29" s="253"/>
      <c r="I29" s="253"/>
      <c r="J29" s="253"/>
      <c r="K29" s="253"/>
      <c r="L29" s="253"/>
      <c r="M29" s="253"/>
      <c r="N29" s="253"/>
      <c r="O29" s="253"/>
      <c r="P29" s="254"/>
    </row>
    <row r="30" spans="1:16" x14ac:dyDescent="0.2">
      <c r="A30" s="252"/>
      <c r="B30" s="253"/>
      <c r="C30" s="253"/>
      <c r="D30" s="253"/>
      <c r="E30" s="253"/>
      <c r="F30" s="253"/>
      <c r="G30" s="254"/>
      <c r="H30" s="253"/>
      <c r="I30" s="253"/>
      <c r="J30" s="253"/>
      <c r="K30" s="253"/>
      <c r="L30" s="253"/>
      <c r="M30" s="253"/>
      <c r="N30" s="253"/>
      <c r="O30" s="253"/>
      <c r="P30" s="254"/>
    </row>
    <row r="31" spans="1:16" x14ac:dyDescent="0.2">
      <c r="A31" s="252"/>
      <c r="B31" s="253"/>
      <c r="C31" s="253"/>
      <c r="D31" s="253"/>
      <c r="E31" s="253"/>
      <c r="F31" s="253"/>
      <c r="G31" s="254"/>
      <c r="H31" s="253"/>
      <c r="I31" s="253"/>
      <c r="J31" s="253"/>
      <c r="K31" s="253"/>
      <c r="L31" s="253"/>
      <c r="M31" s="253"/>
      <c r="N31" s="253"/>
      <c r="O31" s="253"/>
      <c r="P31" s="254"/>
    </row>
    <row r="32" spans="1:16" x14ac:dyDescent="0.2">
      <c r="A32" s="252"/>
      <c r="B32" s="253"/>
      <c r="C32" s="253"/>
      <c r="D32" s="253"/>
      <c r="E32" s="253"/>
      <c r="F32" s="253"/>
      <c r="G32" s="254"/>
      <c r="H32" s="253"/>
      <c r="I32" s="253"/>
      <c r="J32" s="253"/>
      <c r="K32" s="253"/>
      <c r="L32" s="253"/>
      <c r="M32" s="253"/>
      <c r="N32" s="253"/>
      <c r="O32" s="253"/>
      <c r="P32" s="254"/>
    </row>
    <row r="33" spans="1:16" x14ac:dyDescent="0.2">
      <c r="A33" s="252"/>
      <c r="B33" s="253"/>
      <c r="C33" s="253"/>
      <c r="D33" s="253"/>
      <c r="E33" s="253"/>
      <c r="F33" s="253"/>
      <c r="G33" s="254"/>
      <c r="H33" s="253"/>
      <c r="I33" s="253"/>
      <c r="J33" s="253"/>
      <c r="K33" s="253"/>
      <c r="L33" s="253"/>
      <c r="M33" s="253"/>
      <c r="N33" s="253"/>
      <c r="O33" s="253"/>
      <c r="P33" s="254"/>
    </row>
    <row r="34" spans="1:16" x14ac:dyDescent="0.2">
      <c r="A34" s="252"/>
      <c r="B34" s="253"/>
      <c r="C34" s="253"/>
      <c r="D34" s="253"/>
      <c r="E34" s="253"/>
      <c r="F34" s="253"/>
      <c r="G34" s="254"/>
      <c r="H34" s="253"/>
      <c r="I34" s="253"/>
      <c r="J34" s="253"/>
      <c r="K34" s="253"/>
      <c r="L34" s="253"/>
      <c r="M34" s="253"/>
      <c r="N34" s="253"/>
      <c r="O34" s="253"/>
      <c r="P34" s="254"/>
    </row>
    <row r="35" spans="1:16" x14ac:dyDescent="0.2">
      <c r="A35" s="252"/>
      <c r="B35" s="253"/>
      <c r="C35" s="253"/>
      <c r="D35" s="253"/>
      <c r="E35" s="253"/>
      <c r="F35" s="253"/>
      <c r="G35" s="254"/>
      <c r="H35" s="253"/>
      <c r="I35" s="253"/>
      <c r="J35" s="253"/>
      <c r="K35" s="253"/>
      <c r="L35" s="253"/>
      <c r="M35" s="253"/>
      <c r="N35" s="253"/>
      <c r="O35" s="253"/>
      <c r="P35" s="254"/>
    </row>
    <row r="36" spans="1:16" x14ac:dyDescent="0.2">
      <c r="A36" s="252"/>
      <c r="B36" s="253"/>
      <c r="C36" s="253"/>
      <c r="D36" s="253"/>
      <c r="E36" s="253"/>
      <c r="F36" s="253"/>
      <c r="G36" s="254"/>
      <c r="H36" s="253"/>
      <c r="I36" s="253"/>
      <c r="J36" s="253"/>
      <c r="K36" s="253"/>
      <c r="L36" s="253"/>
      <c r="M36" s="253"/>
      <c r="N36" s="253"/>
      <c r="O36" s="253"/>
      <c r="P36" s="254"/>
    </row>
    <row r="37" spans="1:16" x14ac:dyDescent="0.2">
      <c r="A37" s="252"/>
      <c r="B37" s="253"/>
      <c r="C37" s="253"/>
      <c r="D37" s="253"/>
      <c r="E37" s="253"/>
      <c r="F37" s="253"/>
      <c r="G37" s="254"/>
      <c r="H37" s="253"/>
      <c r="I37" s="253"/>
      <c r="J37" s="253"/>
      <c r="K37" s="253"/>
      <c r="L37" s="253"/>
      <c r="M37" s="253"/>
      <c r="N37" s="253"/>
      <c r="O37" s="253"/>
      <c r="P37" s="254"/>
    </row>
    <row r="38" spans="1:16" x14ac:dyDescent="0.2">
      <c r="A38" s="252"/>
      <c r="B38" s="253"/>
      <c r="C38" s="253"/>
      <c r="D38" s="253"/>
      <c r="E38" s="253"/>
      <c r="F38" s="253"/>
      <c r="G38" s="254"/>
      <c r="H38" s="253"/>
      <c r="I38" s="253"/>
      <c r="J38" s="253"/>
      <c r="K38" s="253"/>
      <c r="L38" s="253"/>
      <c r="M38" s="253"/>
      <c r="N38" s="253"/>
      <c r="O38" s="253"/>
      <c r="P38" s="254"/>
    </row>
    <row r="39" spans="1:16" x14ac:dyDescent="0.2">
      <c r="A39" s="252"/>
      <c r="B39" s="253"/>
      <c r="C39" s="253"/>
      <c r="D39" s="253"/>
      <c r="E39" s="253"/>
      <c r="F39" s="253"/>
      <c r="G39" s="254"/>
      <c r="H39" s="253"/>
      <c r="I39" s="253"/>
      <c r="J39" s="253"/>
      <c r="K39" s="253"/>
      <c r="L39" s="253"/>
      <c r="M39" s="253"/>
      <c r="N39" s="253"/>
      <c r="O39" s="253"/>
      <c r="P39" s="254"/>
    </row>
    <row r="40" spans="1:16" ht="13.5" thickBot="1" x14ac:dyDescent="0.25">
      <c r="A40" s="255"/>
      <c r="B40" s="256"/>
      <c r="C40" s="256"/>
      <c r="D40" s="256"/>
      <c r="E40" s="256"/>
      <c r="F40" s="256"/>
      <c r="G40" s="257"/>
      <c r="H40" s="256"/>
      <c r="I40" s="256"/>
      <c r="J40" s="256"/>
      <c r="K40" s="256"/>
      <c r="L40" s="256"/>
      <c r="M40" s="256"/>
      <c r="N40" s="256"/>
      <c r="O40" s="256"/>
      <c r="P40" s="257"/>
    </row>
  </sheetData>
  <mergeCells count="4">
    <mergeCell ref="H8:P8"/>
    <mergeCell ref="A8:G8"/>
    <mergeCell ref="A2:N7"/>
    <mergeCell ref="A1:P1"/>
  </mergeCells>
  <printOptions horizontalCentered="1" verticalCentered="1"/>
  <pageMargins left="0.7" right="0.7" top="0.75" bottom="0.75" header="0.3" footer="0.3"/>
  <pageSetup scale="82" orientation="landscape" r:id="rId1"/>
  <headerFooter>
    <oddHeader>&amp;C&amp;14VBA Monday Morning Workload Report</oddHeader>
    <oddFooter>&amp;LPrepared by VBA Office of Performance Analysis &amp;&amp; Integrity</oddFooter>
  </headerFooter>
  <drawing r:id="rId2"/>
  <legacyDrawing r:id="rId3"/>
  <oleObjects>
    <mc:AlternateContent xmlns:mc="http://schemas.openxmlformats.org/markup-compatibility/2006">
      <mc:Choice Requires="x14">
        <oleObject progId="Document" dvAspect="DVASPECT_ICON" shapeId="35771" r:id="rId4">
          <objectPr defaultSize="0" autoPict="0" r:id="rId5">
            <anchor moveWithCells="1">
              <from>
                <xdr:col>13</xdr:col>
                <xdr:colOff>628650</xdr:colOff>
                <xdr:row>1</xdr:row>
                <xdr:rowOff>9525</xdr:rowOff>
              </from>
              <to>
                <xdr:col>16</xdr:col>
                <xdr:colOff>0</xdr:colOff>
                <xdr:row>6</xdr:row>
                <xdr:rowOff>190500</xdr:rowOff>
              </to>
            </anchor>
          </objectPr>
        </oleObject>
      </mc:Choice>
      <mc:Fallback>
        <oleObject progId="Document" dvAspect="DVASPECT_ICON" shapeId="3577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7"/>
  <sheetViews>
    <sheetView zoomScale="90" zoomScaleNormal="90" zoomScaleSheetLayoutView="75" workbookViewId="0"/>
  </sheetViews>
  <sheetFormatPr defaultRowHeight="15" x14ac:dyDescent="0.2"/>
  <cols>
    <col min="1" max="1" width="3.42578125" style="20" customWidth="1"/>
    <col min="2" max="2" width="63.7109375" style="26" customWidth="1"/>
    <col min="3" max="3" width="15.140625" style="27" customWidth="1"/>
    <col min="4" max="4" width="18" style="3" customWidth="1"/>
    <col min="5" max="5" width="15" style="3" customWidth="1"/>
    <col min="6" max="6" width="15.5703125" style="3" customWidth="1"/>
    <col min="7" max="7" width="9.140625" style="1" bestFit="1" customWidth="1"/>
    <col min="8" max="8" width="14.85546875" style="23" bestFit="1" customWidth="1"/>
    <col min="9" max="16384" width="9.140625" style="23"/>
  </cols>
  <sheetData>
    <row r="1" spans="2:10" ht="4.5" customHeight="1" x14ac:dyDescent="0.2">
      <c r="B1" s="21"/>
      <c r="C1" s="22"/>
      <c r="D1" s="2"/>
      <c r="E1" s="2"/>
      <c r="F1" s="2"/>
    </row>
    <row r="2" spans="2:10" ht="10.5" customHeight="1" thickBot="1" x14ac:dyDescent="0.25">
      <c r="B2" s="21"/>
      <c r="C2" s="22"/>
      <c r="D2" s="2"/>
      <c r="E2" s="2"/>
      <c r="F2" s="2"/>
    </row>
    <row r="3" spans="2:10" ht="39" customHeight="1" thickBot="1" x14ac:dyDescent="0.25">
      <c r="B3" s="482" t="s">
        <v>305</v>
      </c>
      <c r="C3" s="483"/>
      <c r="D3" s="165" t="s">
        <v>6</v>
      </c>
      <c r="E3" s="102" t="s">
        <v>3</v>
      </c>
      <c r="F3" s="102" t="s">
        <v>290</v>
      </c>
    </row>
    <row r="4" spans="2:10" ht="59.25" customHeight="1" x14ac:dyDescent="0.2">
      <c r="B4" s="484"/>
      <c r="C4" s="485"/>
      <c r="D4" s="478">
        <v>510023</v>
      </c>
      <c r="E4" s="478">
        <v>242331</v>
      </c>
      <c r="F4" s="480">
        <v>0.47514000000000001</v>
      </c>
      <c r="J4" s="277"/>
    </row>
    <row r="5" spans="2:10" ht="33" customHeight="1" thickBot="1" x14ac:dyDescent="0.25">
      <c r="B5" s="150" t="s">
        <v>469</v>
      </c>
      <c r="C5" s="151"/>
      <c r="D5" s="479"/>
      <c r="E5" s="479"/>
      <c r="F5" s="481"/>
      <c r="G5" s="291"/>
      <c r="H5" s="291"/>
      <c r="J5" s="277"/>
    </row>
    <row r="6" spans="2:10" ht="16.5" customHeight="1" thickBot="1" x14ac:dyDescent="0.25">
      <c r="B6" s="246" t="s">
        <v>295</v>
      </c>
      <c r="C6" s="247" t="s">
        <v>315</v>
      </c>
      <c r="D6" s="236">
        <v>181301</v>
      </c>
      <c r="E6" s="236">
        <v>85383</v>
      </c>
      <c r="F6" s="235">
        <v>0.47094610619908328</v>
      </c>
    </row>
    <row r="7" spans="2:10" ht="16.5" customHeight="1" x14ac:dyDescent="0.2">
      <c r="B7" s="123" t="s">
        <v>23</v>
      </c>
      <c r="C7" s="124" t="s">
        <v>222</v>
      </c>
      <c r="D7" s="125">
        <v>51721</v>
      </c>
      <c r="E7" s="125">
        <v>24564</v>
      </c>
      <c r="F7" s="126">
        <v>0.47493281259063047</v>
      </c>
    </row>
    <row r="8" spans="2:10" ht="16.5" customHeight="1" x14ac:dyDescent="0.2">
      <c r="B8" s="123" t="s">
        <v>0</v>
      </c>
      <c r="C8" s="132" t="s">
        <v>223</v>
      </c>
      <c r="D8" s="125">
        <v>118748</v>
      </c>
      <c r="E8" s="125">
        <v>59461</v>
      </c>
      <c r="F8" s="126">
        <v>0.50073264391821337</v>
      </c>
    </row>
    <row r="9" spans="2:10" ht="16.5" customHeight="1" x14ac:dyDescent="0.2">
      <c r="B9" s="127" t="s">
        <v>296</v>
      </c>
      <c r="C9" s="128" t="s">
        <v>225</v>
      </c>
      <c r="D9" s="125">
        <v>4670</v>
      </c>
      <c r="E9" s="125">
        <v>375</v>
      </c>
      <c r="F9" s="126">
        <v>8.0299785867237683E-2</v>
      </c>
    </row>
    <row r="10" spans="2:10" ht="16.5" customHeight="1" thickBot="1" x14ac:dyDescent="0.25">
      <c r="B10" s="127" t="s">
        <v>24</v>
      </c>
      <c r="C10" s="132" t="s">
        <v>227</v>
      </c>
      <c r="D10" s="125">
        <v>6162</v>
      </c>
      <c r="E10" s="125">
        <v>983</v>
      </c>
      <c r="F10" s="126">
        <v>0.15952612788055825</v>
      </c>
    </row>
    <row r="11" spans="2:10" ht="17.25" thickBot="1" x14ac:dyDescent="0.25">
      <c r="B11" s="246" t="s">
        <v>1</v>
      </c>
      <c r="C11" s="247" t="s">
        <v>315</v>
      </c>
      <c r="D11" s="236">
        <v>328722</v>
      </c>
      <c r="E11" s="236">
        <v>156948</v>
      </c>
      <c r="F11" s="235">
        <v>0.47744902987935095</v>
      </c>
    </row>
    <row r="12" spans="2:10" ht="16.5" customHeight="1" x14ac:dyDescent="0.2">
      <c r="B12" s="123" t="s">
        <v>231</v>
      </c>
      <c r="C12" s="128" t="s">
        <v>226</v>
      </c>
      <c r="D12" s="125">
        <v>6163</v>
      </c>
      <c r="E12" s="125">
        <v>347</v>
      </c>
      <c r="F12" s="126">
        <v>5.6303748174590294E-2</v>
      </c>
    </row>
    <row r="13" spans="2:10" ht="16.5" customHeight="1" x14ac:dyDescent="0.2">
      <c r="B13" s="123" t="s">
        <v>25</v>
      </c>
      <c r="C13" s="124" t="s">
        <v>224</v>
      </c>
      <c r="D13" s="125">
        <v>305603</v>
      </c>
      <c r="E13" s="125">
        <v>150986</v>
      </c>
      <c r="F13" s="126">
        <v>0.49405928606721794</v>
      </c>
    </row>
    <row r="14" spans="2:10" ht="16.5" customHeight="1" x14ac:dyDescent="0.2">
      <c r="B14" s="123" t="s">
        <v>17</v>
      </c>
      <c r="C14" s="124" t="s">
        <v>228</v>
      </c>
      <c r="D14" s="125">
        <v>15311</v>
      </c>
      <c r="E14" s="125">
        <v>5206</v>
      </c>
      <c r="F14" s="126">
        <v>0.34001698125530666</v>
      </c>
    </row>
    <row r="15" spans="2:10" ht="16.5" customHeight="1" x14ac:dyDescent="0.2">
      <c r="B15" s="127" t="s">
        <v>26</v>
      </c>
      <c r="C15" s="128" t="s">
        <v>229</v>
      </c>
      <c r="D15" s="129">
        <v>1429</v>
      </c>
      <c r="E15" s="125">
        <v>258</v>
      </c>
      <c r="F15" s="126">
        <v>0.18054583624912526</v>
      </c>
    </row>
    <row r="16" spans="2:10" ht="16.5" customHeight="1" x14ac:dyDescent="0.2">
      <c r="B16" s="127" t="s">
        <v>98</v>
      </c>
      <c r="C16" s="130" t="s">
        <v>232</v>
      </c>
      <c r="D16" s="129">
        <v>203</v>
      </c>
      <c r="E16" s="125">
        <v>149</v>
      </c>
      <c r="F16" s="126">
        <v>0.73399014778325122</v>
      </c>
    </row>
    <row r="17" spans="2:6" ht="28.5" customHeight="1" x14ac:dyDescent="0.2">
      <c r="B17" s="127" t="s">
        <v>99</v>
      </c>
      <c r="C17" s="130" t="s">
        <v>233</v>
      </c>
      <c r="D17" s="129">
        <v>1</v>
      </c>
      <c r="E17" s="125">
        <v>1</v>
      </c>
      <c r="F17" s="126">
        <v>1</v>
      </c>
    </row>
    <row r="18" spans="2:6" ht="16.5" customHeight="1" x14ac:dyDescent="0.2">
      <c r="B18" s="127" t="s">
        <v>101</v>
      </c>
      <c r="C18" s="130" t="s">
        <v>234</v>
      </c>
      <c r="D18" s="129">
        <v>11</v>
      </c>
      <c r="E18" s="125">
        <v>1</v>
      </c>
      <c r="F18" s="126">
        <v>9.0909090909090912E-2</v>
      </c>
    </row>
    <row r="19" spans="2:6" ht="16.5" customHeight="1" thickBot="1" x14ac:dyDescent="0.25">
      <c r="B19" s="127" t="s">
        <v>100</v>
      </c>
      <c r="C19" s="130" t="s">
        <v>235</v>
      </c>
      <c r="D19" s="129">
        <v>1</v>
      </c>
      <c r="E19" s="125">
        <v>0</v>
      </c>
      <c r="F19" s="131">
        <v>0</v>
      </c>
    </row>
    <row r="20" spans="2:6" ht="16.5" customHeight="1" x14ac:dyDescent="0.2">
      <c r="B20" s="472" t="s">
        <v>356</v>
      </c>
      <c r="C20" s="473"/>
      <c r="D20" s="473"/>
      <c r="E20" s="473"/>
      <c r="F20" s="474"/>
    </row>
    <row r="21" spans="2:6" ht="36" customHeight="1" thickBot="1" x14ac:dyDescent="0.25">
      <c r="B21" s="475"/>
      <c r="C21" s="476"/>
      <c r="D21" s="476"/>
      <c r="E21" s="476"/>
      <c r="F21" s="477"/>
    </row>
    <row r="22" spans="2:6" ht="36" customHeight="1" x14ac:dyDescent="0.2">
      <c r="B22" s="466" t="s">
        <v>384</v>
      </c>
      <c r="C22" s="466" t="s">
        <v>392</v>
      </c>
      <c r="D22" s="468"/>
      <c r="E22" s="468"/>
      <c r="F22" s="469"/>
    </row>
    <row r="23" spans="2:6" ht="29.25" customHeight="1" thickBot="1" x14ac:dyDescent="0.25">
      <c r="B23" s="467"/>
      <c r="C23" s="467"/>
      <c r="D23" s="470"/>
      <c r="E23" s="470"/>
      <c r="F23" s="471"/>
    </row>
    <row r="24" spans="2:6" ht="29.25" customHeight="1" thickBot="1" x14ac:dyDescent="0.25">
      <c r="B24" s="189"/>
      <c r="C24" s="149"/>
      <c r="D24" s="149"/>
      <c r="E24" s="149"/>
      <c r="F24" s="149"/>
    </row>
    <row r="25" spans="2:6" ht="25.5" x14ac:dyDescent="0.2">
      <c r="B25" s="24" t="s">
        <v>32</v>
      </c>
      <c r="C25" s="62" t="s">
        <v>37</v>
      </c>
      <c r="D25" s="62" t="s">
        <v>38</v>
      </c>
      <c r="E25" s="62" t="s">
        <v>39</v>
      </c>
      <c r="F25" s="106" t="s">
        <v>40</v>
      </c>
    </row>
    <row r="26" spans="2:6" ht="16.5" x14ac:dyDescent="0.2">
      <c r="B26" s="248" t="s">
        <v>300</v>
      </c>
      <c r="C26" s="249">
        <v>10786</v>
      </c>
      <c r="D26" s="249">
        <v>9896</v>
      </c>
      <c r="E26" s="249">
        <v>890</v>
      </c>
      <c r="F26" s="250">
        <v>0.09</v>
      </c>
    </row>
    <row r="27" spans="2:6" x14ac:dyDescent="0.2">
      <c r="B27" s="118" t="s">
        <v>33</v>
      </c>
      <c r="C27" s="141">
        <v>1580</v>
      </c>
      <c r="D27" s="141">
        <v>1407</v>
      </c>
      <c r="E27" s="141">
        <v>173</v>
      </c>
      <c r="F27" s="301">
        <v>0.123</v>
      </c>
    </row>
    <row r="28" spans="2:6" x14ac:dyDescent="0.2">
      <c r="B28" s="121" t="s">
        <v>34</v>
      </c>
      <c r="C28" s="212">
        <v>664</v>
      </c>
      <c r="D28" s="212">
        <v>669</v>
      </c>
      <c r="E28" s="212">
        <v>-5</v>
      </c>
      <c r="F28" s="302">
        <v>-7.0000000000000001E-3</v>
      </c>
    </row>
    <row r="29" spans="2:6" x14ac:dyDescent="0.2">
      <c r="B29" s="118" t="s">
        <v>35</v>
      </c>
      <c r="C29" s="212">
        <v>1522</v>
      </c>
      <c r="D29" s="212">
        <v>1648</v>
      </c>
      <c r="E29" s="212">
        <v>-126</v>
      </c>
      <c r="F29" s="302">
        <v>-7.5999999999999998E-2</v>
      </c>
    </row>
    <row r="30" spans="2:6" x14ac:dyDescent="0.2">
      <c r="B30" s="122" t="s">
        <v>36</v>
      </c>
      <c r="C30" s="213">
        <v>7020</v>
      </c>
      <c r="D30" s="213">
        <v>6172</v>
      </c>
      <c r="E30" s="213">
        <v>848</v>
      </c>
      <c r="F30" s="303">
        <v>0.13700000000000001</v>
      </c>
    </row>
    <row r="31" spans="2:6" ht="16.5" x14ac:dyDescent="0.2">
      <c r="B31" s="248" t="s">
        <v>301</v>
      </c>
      <c r="C31" s="249">
        <v>83332</v>
      </c>
      <c r="D31" s="249">
        <v>76944</v>
      </c>
      <c r="E31" s="249">
        <v>6388</v>
      </c>
      <c r="F31" s="250">
        <v>8.3000000000000004E-2</v>
      </c>
    </row>
    <row r="32" spans="2:6" x14ac:dyDescent="0.2">
      <c r="B32" s="118" t="s">
        <v>33</v>
      </c>
      <c r="C32" s="141">
        <v>16458</v>
      </c>
      <c r="D32" s="141">
        <v>15363</v>
      </c>
      <c r="E32" s="141">
        <v>1095</v>
      </c>
      <c r="F32" s="301">
        <v>7.0999999999999994E-2</v>
      </c>
    </row>
    <row r="33" spans="2:6" x14ac:dyDescent="0.2">
      <c r="B33" s="121" t="s">
        <v>34</v>
      </c>
      <c r="C33" s="212">
        <v>5676</v>
      </c>
      <c r="D33" s="212">
        <v>4816</v>
      </c>
      <c r="E33" s="212">
        <v>860</v>
      </c>
      <c r="F33" s="302">
        <v>0.17899999999999999</v>
      </c>
    </row>
    <row r="34" spans="2:6" x14ac:dyDescent="0.2">
      <c r="B34" s="118" t="s">
        <v>35</v>
      </c>
      <c r="C34" s="212">
        <v>16690</v>
      </c>
      <c r="D34" s="212">
        <v>15441</v>
      </c>
      <c r="E34" s="212">
        <v>1249</v>
      </c>
      <c r="F34" s="302">
        <v>8.1000000000000003E-2</v>
      </c>
    </row>
    <row r="35" spans="2:6" ht="15.75" thickBot="1" x14ac:dyDescent="0.25">
      <c r="B35" s="118" t="s">
        <v>36</v>
      </c>
      <c r="C35" s="212">
        <v>44508</v>
      </c>
      <c r="D35" s="212">
        <v>41324</v>
      </c>
      <c r="E35" s="212">
        <v>3184</v>
      </c>
      <c r="F35" s="302">
        <v>7.6999999999999999E-2</v>
      </c>
    </row>
    <row r="36" spans="2:6" ht="15.75" customHeight="1" thickBot="1" x14ac:dyDescent="0.25">
      <c r="B36" s="463" t="s">
        <v>41</v>
      </c>
      <c r="C36" s="464"/>
      <c r="D36" s="464"/>
      <c r="E36" s="464"/>
      <c r="F36" s="465"/>
    </row>
    <row r="37" spans="2:6" ht="36" customHeight="1" x14ac:dyDescent="0.2">
      <c r="B37" s="140"/>
      <c r="C37" s="140"/>
      <c r="D37" s="140"/>
      <c r="E37" s="140"/>
      <c r="F37" s="140"/>
    </row>
    <row r="38" spans="2:6" ht="26.25" hidden="1" thickBot="1" x14ac:dyDescent="0.25">
      <c r="B38" s="146" t="s">
        <v>303</v>
      </c>
      <c r="C38" s="147" t="s">
        <v>37</v>
      </c>
      <c r="D38" s="147" t="s">
        <v>38</v>
      </c>
      <c r="E38" s="147" t="s">
        <v>39</v>
      </c>
      <c r="F38" s="148" t="s">
        <v>40</v>
      </c>
    </row>
    <row r="39" spans="2:6" hidden="1" x14ac:dyDescent="0.2">
      <c r="B39" s="143" t="s">
        <v>300</v>
      </c>
      <c r="C39" s="144">
        <v>3310</v>
      </c>
      <c r="D39" s="144">
        <v>2341</v>
      </c>
      <c r="E39" s="144">
        <v>0.70725075528700909</v>
      </c>
      <c r="F39" s="145">
        <v>208</v>
      </c>
    </row>
    <row r="40" spans="2:6" hidden="1" x14ac:dyDescent="0.2">
      <c r="B40" s="118" t="s">
        <v>33</v>
      </c>
      <c r="C40" s="141">
        <v>1130</v>
      </c>
      <c r="D40" s="141">
        <v>1400</v>
      </c>
      <c r="E40" s="141">
        <v>-270</v>
      </c>
      <c r="F40" s="142">
        <v>-0.19285714285714287</v>
      </c>
    </row>
    <row r="41" spans="2:6" hidden="1" x14ac:dyDescent="0.2">
      <c r="B41" s="121" t="s">
        <v>34</v>
      </c>
      <c r="C41" s="212">
        <v>780</v>
      </c>
      <c r="D41" s="212">
        <v>713</v>
      </c>
      <c r="E41" s="212">
        <v>67</v>
      </c>
      <c r="F41" s="214">
        <v>9.3969144460028048E-2</v>
      </c>
    </row>
    <row r="42" spans="2:6" hidden="1" x14ac:dyDescent="0.2">
      <c r="B42" s="118" t="s">
        <v>35</v>
      </c>
      <c r="C42" s="212">
        <v>1843</v>
      </c>
      <c r="D42" s="212">
        <v>1945</v>
      </c>
      <c r="E42" s="212">
        <v>-102</v>
      </c>
      <c r="F42" s="214">
        <v>-5.244215938303342E-2</v>
      </c>
    </row>
    <row r="43" spans="2:6" hidden="1" x14ac:dyDescent="0.2">
      <c r="B43" s="122" t="s">
        <v>36</v>
      </c>
      <c r="C43" s="213">
        <v>3367</v>
      </c>
      <c r="D43" s="213">
        <v>3404</v>
      </c>
      <c r="E43" s="213">
        <v>-37</v>
      </c>
      <c r="F43" s="215">
        <v>-1.0869565217391304E-2</v>
      </c>
    </row>
    <row r="44" spans="2:6" hidden="1" x14ac:dyDescent="0.2">
      <c r="B44" s="107" t="s">
        <v>301</v>
      </c>
      <c r="C44" s="100">
        <v>46973</v>
      </c>
      <c r="D44" s="100">
        <v>49002</v>
      </c>
      <c r="E44" s="100">
        <v>-2029</v>
      </c>
      <c r="F44" s="110">
        <v>-4.14064732051753E-2</v>
      </c>
    </row>
    <row r="45" spans="2:6" hidden="1" x14ac:dyDescent="0.2">
      <c r="B45" s="118" t="s">
        <v>33</v>
      </c>
      <c r="C45" s="141">
        <v>7785</v>
      </c>
      <c r="D45" s="141">
        <v>7793</v>
      </c>
      <c r="E45" s="141">
        <v>-8</v>
      </c>
      <c r="F45" s="142">
        <v>-1.0265622994995508E-3</v>
      </c>
    </row>
    <row r="46" spans="2:6" hidden="1" x14ac:dyDescent="0.2">
      <c r="B46" s="121" t="s">
        <v>34</v>
      </c>
      <c r="C46" s="212">
        <v>4678</v>
      </c>
      <c r="D46" s="212">
        <v>5977</v>
      </c>
      <c r="E46" s="212">
        <v>-1299</v>
      </c>
      <c r="F46" s="214">
        <v>-0.21733311025598126</v>
      </c>
    </row>
    <row r="47" spans="2:6" hidden="1" x14ac:dyDescent="0.2">
      <c r="B47" s="118" t="s">
        <v>35</v>
      </c>
      <c r="C47" s="212">
        <v>11334</v>
      </c>
      <c r="D47" s="212">
        <v>13508</v>
      </c>
      <c r="E47" s="212">
        <v>-2174</v>
      </c>
      <c r="F47" s="214">
        <v>-0.1609416641989932</v>
      </c>
    </row>
    <row r="48" spans="2:6" hidden="1" x14ac:dyDescent="0.2">
      <c r="B48" s="122" t="s">
        <v>36</v>
      </c>
      <c r="C48" s="213">
        <v>23176</v>
      </c>
      <c r="D48" s="213">
        <v>21724</v>
      </c>
      <c r="E48" s="213">
        <v>1452</v>
      </c>
      <c r="F48" s="215">
        <v>6.6838519609648317E-2</v>
      </c>
    </row>
    <row r="49" spans="2:18" ht="15.75" hidden="1" thickBot="1" x14ac:dyDescent="0.25">
      <c r="B49" s="459" t="s">
        <v>41</v>
      </c>
      <c r="C49" s="460"/>
      <c r="D49" s="460"/>
      <c r="E49" s="460"/>
      <c r="F49" s="461"/>
    </row>
    <row r="50" spans="2:18" ht="29.25" hidden="1" customHeight="1" thickBot="1" x14ac:dyDescent="0.25">
      <c r="B50" s="139"/>
      <c r="C50" s="149"/>
      <c r="D50" s="149"/>
      <c r="E50" s="149"/>
      <c r="F50" s="149"/>
    </row>
    <row r="51" spans="2:18" ht="36" hidden="1" customHeight="1" x14ac:dyDescent="0.2">
      <c r="B51" s="24" t="s">
        <v>302</v>
      </c>
      <c r="C51" s="62" t="s">
        <v>37</v>
      </c>
      <c r="D51" s="62" t="s">
        <v>38</v>
      </c>
      <c r="E51" s="62" t="s">
        <v>39</v>
      </c>
      <c r="F51" s="106" t="s">
        <v>40</v>
      </c>
    </row>
    <row r="52" spans="2:18" hidden="1" x14ac:dyDescent="0.2">
      <c r="B52" s="107" t="s">
        <v>300</v>
      </c>
      <c r="C52" s="100">
        <v>0</v>
      </c>
      <c r="D52" s="100">
        <v>0</v>
      </c>
      <c r="E52" s="100">
        <v>0</v>
      </c>
      <c r="F52" s="110">
        <v>0</v>
      </c>
    </row>
    <row r="53" spans="2:18" hidden="1" x14ac:dyDescent="0.2">
      <c r="B53" s="118" t="s">
        <v>33</v>
      </c>
      <c r="C53" s="141">
        <v>1130</v>
      </c>
      <c r="D53" s="141">
        <v>1400</v>
      </c>
      <c r="E53" s="141">
        <v>-270</v>
      </c>
      <c r="F53" s="142">
        <v>-0.19285714285714287</v>
      </c>
    </row>
    <row r="54" spans="2:18" hidden="1" x14ac:dyDescent="0.2">
      <c r="B54" s="121" t="s">
        <v>34</v>
      </c>
      <c r="C54" s="212">
        <v>780</v>
      </c>
      <c r="D54" s="212">
        <v>713</v>
      </c>
      <c r="E54" s="212">
        <v>67</v>
      </c>
      <c r="F54" s="214">
        <v>9.3969144460028048E-2</v>
      </c>
    </row>
    <row r="55" spans="2:18" hidden="1" x14ac:dyDescent="0.2">
      <c r="B55" s="118" t="s">
        <v>35</v>
      </c>
      <c r="C55" s="212">
        <v>1843</v>
      </c>
      <c r="D55" s="212">
        <v>1945</v>
      </c>
      <c r="E55" s="212">
        <v>-102</v>
      </c>
      <c r="F55" s="214">
        <v>-5.244215938303342E-2</v>
      </c>
    </row>
    <row r="56" spans="2:18" hidden="1" x14ac:dyDescent="0.2">
      <c r="B56" s="122" t="s">
        <v>36</v>
      </c>
      <c r="C56" s="213">
        <v>3367</v>
      </c>
      <c r="D56" s="213">
        <v>3404</v>
      </c>
      <c r="E56" s="213">
        <v>-37</v>
      </c>
      <c r="F56" s="215">
        <v>-1.0869565217391304E-2</v>
      </c>
    </row>
    <row r="57" spans="2:18" hidden="1" x14ac:dyDescent="0.2">
      <c r="B57" s="107" t="s">
        <v>301</v>
      </c>
      <c r="C57" s="100">
        <v>46973</v>
      </c>
      <c r="D57" s="100">
        <v>49002</v>
      </c>
      <c r="E57" s="100">
        <v>-2029</v>
      </c>
      <c r="F57" s="110">
        <v>-4.14064732051753E-2</v>
      </c>
    </row>
    <row r="58" spans="2:18" hidden="1" x14ac:dyDescent="0.2">
      <c r="B58" s="118" t="s">
        <v>33</v>
      </c>
      <c r="C58" s="141">
        <v>7785</v>
      </c>
      <c r="D58" s="141">
        <v>7793</v>
      </c>
      <c r="E58" s="141">
        <v>-8</v>
      </c>
      <c r="F58" s="142">
        <v>-1.0265622994995508E-3</v>
      </c>
    </row>
    <row r="59" spans="2:18" hidden="1" x14ac:dyDescent="0.2">
      <c r="B59" s="121" t="s">
        <v>34</v>
      </c>
      <c r="C59" s="212">
        <v>4678</v>
      </c>
      <c r="D59" s="212">
        <v>5977</v>
      </c>
      <c r="E59" s="212">
        <v>-1299</v>
      </c>
      <c r="F59" s="214">
        <v>-0.21733311025598126</v>
      </c>
    </row>
    <row r="60" spans="2:18" hidden="1" x14ac:dyDescent="0.2">
      <c r="B60" s="118" t="s">
        <v>35</v>
      </c>
      <c r="C60" s="212">
        <v>11334</v>
      </c>
      <c r="D60" s="212">
        <v>13508</v>
      </c>
      <c r="E60" s="212">
        <v>-2174</v>
      </c>
      <c r="F60" s="214">
        <v>-0.1609416641989932</v>
      </c>
    </row>
    <row r="61" spans="2:18" hidden="1" x14ac:dyDescent="0.2">
      <c r="B61" s="122" t="s">
        <v>36</v>
      </c>
      <c r="C61" s="213">
        <v>23176</v>
      </c>
      <c r="D61" s="213">
        <v>21724</v>
      </c>
      <c r="E61" s="213">
        <v>1452</v>
      </c>
      <c r="F61" s="215">
        <v>6.6838519609648317E-2</v>
      </c>
    </row>
    <row r="62" spans="2:18" ht="16.5" hidden="1" customHeight="1" thickBot="1" x14ac:dyDescent="0.25">
      <c r="B62" s="459" t="s">
        <v>41</v>
      </c>
      <c r="C62" s="460"/>
      <c r="D62" s="460"/>
      <c r="E62" s="460"/>
      <c r="F62" s="461"/>
    </row>
    <row r="63" spans="2:18" ht="16.5" hidden="1" customHeight="1" x14ac:dyDescent="0.2">
      <c r="B63" s="41"/>
      <c r="C63" s="41"/>
      <c r="D63" s="42"/>
      <c r="E63" s="42"/>
      <c r="F63" s="43"/>
    </row>
    <row r="64" spans="2:18" ht="16.5" hidden="1" customHeight="1" thickBot="1" x14ac:dyDescent="0.25">
      <c r="B64" s="41"/>
      <c r="C64" s="41"/>
      <c r="D64" s="42"/>
      <c r="E64" s="42"/>
      <c r="F64" s="43"/>
      <c r="J64" s="4"/>
      <c r="K64" s="108"/>
      <c r="L64" s="108"/>
      <c r="M64" s="108"/>
      <c r="N64" s="109"/>
      <c r="O64" s="108"/>
      <c r="P64" s="108"/>
      <c r="Q64" s="108"/>
      <c r="R64" s="109"/>
    </row>
    <row r="65" spans="2:18" ht="25.5" hidden="1" x14ac:dyDescent="0.2">
      <c r="B65" s="24" t="s">
        <v>304</v>
      </c>
      <c r="C65" s="62" t="s">
        <v>37</v>
      </c>
      <c r="D65" s="62" t="s">
        <v>38</v>
      </c>
      <c r="E65" s="62" t="s">
        <v>39</v>
      </c>
      <c r="F65" s="106" t="s">
        <v>40</v>
      </c>
      <c r="J65" s="13"/>
      <c r="K65" s="108"/>
      <c r="L65" s="108"/>
      <c r="M65" s="108"/>
      <c r="N65" s="109"/>
      <c r="O65" s="108"/>
      <c r="P65" s="108"/>
      <c r="Q65" s="108"/>
      <c r="R65" s="109"/>
    </row>
    <row r="66" spans="2:18" ht="16.5" hidden="1" customHeight="1" x14ac:dyDescent="0.2">
      <c r="B66" s="107" t="s">
        <v>300</v>
      </c>
      <c r="C66" s="100">
        <v>0</v>
      </c>
      <c r="D66" s="100">
        <v>0</v>
      </c>
      <c r="E66" s="100">
        <v>0</v>
      </c>
      <c r="F66" s="110">
        <v>0</v>
      </c>
      <c r="J66" s="4"/>
      <c r="K66" s="108"/>
      <c r="L66" s="108"/>
      <c r="M66" s="108"/>
      <c r="N66" s="109"/>
      <c r="O66" s="108"/>
      <c r="P66" s="108"/>
      <c r="Q66" s="108"/>
      <c r="R66" s="109"/>
    </row>
    <row r="67" spans="2:18" ht="16.5" hidden="1" customHeight="1" x14ac:dyDescent="0.2">
      <c r="B67" s="118" t="s">
        <v>33</v>
      </c>
      <c r="C67" s="119">
        <v>1130</v>
      </c>
      <c r="D67" s="119">
        <v>1400</v>
      </c>
      <c r="E67" s="119">
        <v>-270</v>
      </c>
      <c r="F67" s="120">
        <v>-0.19285714285714287</v>
      </c>
      <c r="G67" s="23"/>
      <c r="J67" s="4"/>
      <c r="K67" s="108"/>
      <c r="L67" s="108"/>
      <c r="M67" s="108"/>
      <c r="N67" s="109"/>
      <c r="O67" s="108"/>
      <c r="P67" s="108"/>
      <c r="Q67" s="108"/>
      <c r="R67" s="109"/>
    </row>
    <row r="68" spans="2:18" ht="16.5" hidden="1" customHeight="1" x14ac:dyDescent="0.2">
      <c r="B68" s="121" t="s">
        <v>34</v>
      </c>
      <c r="C68" s="119">
        <v>780</v>
      </c>
      <c r="D68" s="119">
        <v>713</v>
      </c>
      <c r="E68" s="119">
        <v>67</v>
      </c>
      <c r="F68" s="120">
        <v>9.3969144460028048E-2</v>
      </c>
      <c r="G68" s="23"/>
      <c r="J68" s="4"/>
      <c r="K68" s="108"/>
      <c r="L68" s="108"/>
      <c r="M68" s="108"/>
      <c r="N68" s="109"/>
      <c r="O68" s="108"/>
      <c r="P68" s="108"/>
      <c r="Q68" s="108"/>
      <c r="R68" s="109"/>
    </row>
    <row r="69" spans="2:18" ht="16.5" hidden="1" customHeight="1" x14ac:dyDescent="0.2">
      <c r="B69" s="118" t="s">
        <v>35</v>
      </c>
      <c r="C69" s="119">
        <v>1843</v>
      </c>
      <c r="D69" s="119">
        <v>1945</v>
      </c>
      <c r="E69" s="119">
        <v>-102</v>
      </c>
      <c r="F69" s="120">
        <v>-5.244215938303342E-2</v>
      </c>
      <c r="G69" s="23"/>
      <c r="J69" s="4"/>
      <c r="K69" s="108"/>
      <c r="L69" s="108"/>
      <c r="M69" s="108"/>
      <c r="N69" s="109"/>
      <c r="O69" s="108"/>
      <c r="P69" s="108"/>
      <c r="Q69" s="108"/>
      <c r="R69" s="109"/>
    </row>
    <row r="70" spans="2:18" ht="16.5" hidden="1" customHeight="1" x14ac:dyDescent="0.2">
      <c r="B70" s="122" t="s">
        <v>36</v>
      </c>
      <c r="C70" s="119">
        <v>3367</v>
      </c>
      <c r="D70" s="119">
        <v>3404</v>
      </c>
      <c r="E70" s="119">
        <v>-37</v>
      </c>
      <c r="F70" s="120">
        <v>-1.0869565217391304E-2</v>
      </c>
      <c r="G70" s="23"/>
      <c r="J70" s="4"/>
      <c r="K70" s="108"/>
      <c r="L70" s="108"/>
      <c r="M70" s="108"/>
      <c r="N70" s="109"/>
      <c r="O70" s="108"/>
      <c r="P70" s="108"/>
      <c r="Q70" s="108"/>
      <c r="R70" s="109"/>
    </row>
    <row r="71" spans="2:18" ht="16.5" hidden="1" customHeight="1" x14ac:dyDescent="0.2">
      <c r="B71" s="107" t="s">
        <v>301</v>
      </c>
      <c r="C71" s="100">
        <v>46973</v>
      </c>
      <c r="D71" s="100">
        <v>49002</v>
      </c>
      <c r="E71" s="100">
        <v>-2029</v>
      </c>
      <c r="F71" s="110">
        <v>-4.14064732051753E-2</v>
      </c>
      <c r="G71" s="23"/>
      <c r="J71" s="4"/>
      <c r="K71" s="108"/>
      <c r="L71" s="108"/>
      <c r="M71" s="108"/>
      <c r="N71" s="109"/>
      <c r="O71" s="108"/>
      <c r="P71" s="108"/>
      <c r="Q71" s="108"/>
      <c r="R71" s="109"/>
    </row>
    <row r="72" spans="2:18" ht="16.5" hidden="1" customHeight="1" x14ac:dyDescent="0.2">
      <c r="B72" s="118" t="s">
        <v>33</v>
      </c>
      <c r="C72" s="119">
        <v>7785</v>
      </c>
      <c r="D72" s="119">
        <v>7793</v>
      </c>
      <c r="E72" s="119">
        <v>-8</v>
      </c>
      <c r="F72" s="120">
        <v>-1.0265622994995508E-3</v>
      </c>
      <c r="G72" s="23"/>
      <c r="J72" s="4"/>
      <c r="K72" s="108"/>
      <c r="L72" s="108"/>
      <c r="M72" s="108"/>
      <c r="N72" s="109"/>
      <c r="O72" s="108"/>
      <c r="P72" s="108"/>
      <c r="Q72" s="108"/>
      <c r="R72" s="109"/>
    </row>
    <row r="73" spans="2:18" ht="16.5" hidden="1" customHeight="1" x14ac:dyDescent="0.2">
      <c r="B73" s="121" t="s">
        <v>34</v>
      </c>
      <c r="C73" s="119">
        <v>4678</v>
      </c>
      <c r="D73" s="119">
        <v>5977</v>
      </c>
      <c r="E73" s="119">
        <v>-1299</v>
      </c>
      <c r="F73" s="120">
        <v>-0.21733311025598126</v>
      </c>
      <c r="G73" s="23"/>
      <c r="J73" s="4"/>
      <c r="K73" s="108"/>
      <c r="L73" s="108"/>
      <c r="M73" s="108"/>
      <c r="N73" s="109"/>
      <c r="O73" s="108"/>
      <c r="P73" s="108"/>
      <c r="Q73" s="108"/>
      <c r="R73" s="109"/>
    </row>
    <row r="74" spans="2:18" ht="16.5" hidden="1" customHeight="1" x14ac:dyDescent="0.2">
      <c r="B74" s="118" t="s">
        <v>35</v>
      </c>
      <c r="C74" s="119">
        <v>11334</v>
      </c>
      <c r="D74" s="119">
        <v>13508</v>
      </c>
      <c r="E74" s="119">
        <v>-2174</v>
      </c>
      <c r="F74" s="120">
        <v>-0.1609416641989932</v>
      </c>
      <c r="G74" s="23"/>
      <c r="J74" s="4"/>
      <c r="K74" s="108"/>
      <c r="L74" s="108"/>
      <c r="M74" s="108"/>
      <c r="N74" s="109"/>
      <c r="O74" s="108"/>
      <c r="P74" s="108"/>
      <c r="Q74" s="108"/>
      <c r="R74" s="109"/>
    </row>
    <row r="75" spans="2:18" ht="16.5" hidden="1" customHeight="1" x14ac:dyDescent="0.2">
      <c r="B75" s="122" t="s">
        <v>36</v>
      </c>
      <c r="C75" s="119">
        <v>23176</v>
      </c>
      <c r="D75" s="119">
        <v>21724</v>
      </c>
      <c r="E75" s="119">
        <v>1452</v>
      </c>
      <c r="F75" s="120">
        <v>6.6838519609648317E-2</v>
      </c>
      <c r="G75" s="23"/>
      <c r="J75" s="4"/>
      <c r="K75" s="108"/>
      <c r="L75" s="108"/>
      <c r="M75" s="108"/>
      <c r="N75" s="109"/>
      <c r="O75" s="108"/>
      <c r="P75" s="108"/>
      <c r="Q75" s="108"/>
      <c r="R75" s="109"/>
    </row>
    <row r="76" spans="2:18" ht="45.75" hidden="1" customHeight="1" thickBot="1" x14ac:dyDescent="0.25">
      <c r="B76" s="459" t="s">
        <v>41</v>
      </c>
      <c r="C76" s="460"/>
      <c r="D76" s="460"/>
      <c r="E76" s="460"/>
      <c r="F76" s="461"/>
      <c r="J76" s="462"/>
      <c r="K76" s="462"/>
      <c r="L76" s="462"/>
      <c r="M76" s="462"/>
      <c r="N76" s="462"/>
      <c r="O76" s="462"/>
      <c r="P76" s="462"/>
      <c r="Q76" s="462"/>
      <c r="R76" s="462"/>
    </row>
    <row r="77" spans="2:18" ht="45.75" hidden="1" customHeight="1" x14ac:dyDescent="0.2">
      <c r="B77" s="103"/>
      <c r="C77" s="104"/>
      <c r="D77" s="104"/>
      <c r="E77" s="42"/>
      <c r="F77" s="43"/>
      <c r="J77" s="6"/>
      <c r="K77" s="6"/>
      <c r="L77" s="6"/>
      <c r="M77" s="6"/>
      <c r="N77" s="6"/>
      <c r="O77" s="6"/>
      <c r="P77" s="6"/>
      <c r="Q77" s="6"/>
      <c r="R77" s="6"/>
    </row>
  </sheetData>
  <mergeCells count="12">
    <mergeCell ref="B20:F21"/>
    <mergeCell ref="B49:F49"/>
    <mergeCell ref="E4:E5"/>
    <mergeCell ref="F4:F5"/>
    <mergeCell ref="D4:D5"/>
    <mergeCell ref="B3:C4"/>
    <mergeCell ref="B62:F62"/>
    <mergeCell ref="J76:R76"/>
    <mergeCell ref="B76:F76"/>
    <mergeCell ref="B36:F36"/>
    <mergeCell ref="B22:B23"/>
    <mergeCell ref="C22:F23"/>
  </mergeCells>
  <phoneticPr fontId="0" type="noConversion"/>
  <conditionalFormatting sqref="F7:F8 F10 F12:F19">
    <cfRule type="expression" dxfId="95" priority="26" stopIfTrue="1">
      <formula>ISERROR(F7)</formula>
    </cfRule>
  </conditionalFormatting>
  <conditionalFormatting sqref="F9">
    <cfRule type="expression" dxfId="94" priority="1" stopIfTrue="1">
      <formula>ISERROR(F9)</formula>
    </cfRule>
  </conditionalFormatting>
  <hyperlinks>
    <hyperlink ref="B22:B23" location="'Rating Bundle Measures - SOO'!A1" tooltip=" The Station of Origination (SOO) primarily represents pending claims based on geographic boundaries; typically defined by a claimant's state of residence. Only when a claim is permanently transferred from one station to another, will the SOO change." display="Station of Origination"/>
    <hyperlink ref="C22:D23" location="'Rating Bundle Measures - STJ'!A1" display="Station of Temporary Jurisdiction"/>
    <hyperlink ref="C22:F23" location="'Rating Bundle Measures - SOJ'!A1" tooltip="The Station of Jurisdiction represents pending claims at the regional office currently assigned to work the claim." display="Station of Jurisdiction"/>
  </hyperlinks>
  <printOptions horizontalCentered="1" verticalCentered="1"/>
  <pageMargins left="0.7" right="0.7" top="0.75" bottom="0.75" header="0.3" footer="0.3"/>
  <pageSetup scale="13" orientation="landscape" r:id="rId1"/>
  <headerFooter>
    <oddHeader>&amp;C&amp;14VBA Monday Morning Workload Report</oddHeader>
    <oddFooter>&amp;LPrepared by VBA Office of Performance Analysis &amp;&amp; Integrity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55"/>
  <sheetViews>
    <sheetView zoomScale="70" zoomScaleNormal="70" zoomScaleSheetLayoutView="80" workbookViewId="0"/>
  </sheetViews>
  <sheetFormatPr defaultRowHeight="12.75" x14ac:dyDescent="0.2"/>
  <cols>
    <col min="1" max="1" width="4.42578125" style="5" customWidth="1"/>
    <col min="2" max="2" width="32.855468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8"/>
      <c r="C1" s="486" t="s">
        <v>391</v>
      </c>
      <c r="D1" s="487"/>
      <c r="E1" s="487"/>
      <c r="F1" s="487"/>
      <c r="G1" s="487"/>
      <c r="H1" s="487"/>
      <c r="I1" s="487"/>
      <c r="J1" s="486" t="s">
        <v>399</v>
      </c>
      <c r="K1" s="487"/>
      <c r="L1" s="487"/>
      <c r="M1" s="496"/>
    </row>
    <row r="2" spans="2:16" ht="24" customHeight="1" thickBot="1" x14ac:dyDescent="0.4">
      <c r="B2" s="228"/>
      <c r="C2" s="488"/>
      <c r="D2" s="489"/>
      <c r="E2" s="489"/>
      <c r="F2" s="489"/>
      <c r="G2" s="489"/>
      <c r="H2" s="489"/>
      <c r="I2" s="489"/>
      <c r="J2" s="488" t="str">
        <f>Transformation!B5</f>
        <v>As of January 24, 2015</v>
      </c>
      <c r="K2" s="489"/>
      <c r="L2" s="489"/>
      <c r="M2" s="497"/>
    </row>
    <row r="3" spans="2:16" ht="73.5" customHeight="1" thickBot="1" x14ac:dyDescent="0.25">
      <c r="B3" s="228"/>
      <c r="C3" s="510" t="s">
        <v>427</v>
      </c>
      <c r="D3" s="511"/>
      <c r="E3" s="511"/>
      <c r="F3" s="511"/>
      <c r="G3" s="511"/>
      <c r="H3" s="511"/>
      <c r="I3" s="511"/>
      <c r="J3" s="511"/>
      <c r="K3" s="511"/>
      <c r="L3" s="511"/>
      <c r="M3" s="512"/>
    </row>
    <row r="4" spans="2:16" ht="22.5" customHeight="1" thickBot="1" x14ac:dyDescent="0.3">
      <c r="B4" s="219"/>
      <c r="C4" s="490" t="s">
        <v>236</v>
      </c>
      <c r="D4" s="491"/>
      <c r="E4" s="491"/>
      <c r="F4" s="491"/>
      <c r="G4" s="491"/>
      <c r="H4" s="491"/>
      <c r="I4" s="491"/>
      <c r="J4" s="491"/>
      <c r="K4" s="491"/>
      <c r="L4" s="491"/>
      <c r="M4" s="492"/>
    </row>
    <row r="5" spans="2:16" ht="55.5" customHeight="1" x14ac:dyDescent="0.2">
      <c r="B5" s="99"/>
      <c r="C5" s="66" t="s">
        <v>222</v>
      </c>
      <c r="D5" s="498" t="s">
        <v>23</v>
      </c>
      <c r="E5" s="499"/>
      <c r="F5" s="61" t="s">
        <v>225</v>
      </c>
      <c r="G5" s="498" t="s">
        <v>230</v>
      </c>
      <c r="H5" s="500"/>
      <c r="I5" s="61" t="s">
        <v>228</v>
      </c>
      <c r="J5" s="62" t="s">
        <v>17</v>
      </c>
      <c r="K5" s="61" t="s">
        <v>233</v>
      </c>
      <c r="L5" s="501" t="s">
        <v>99</v>
      </c>
      <c r="M5" s="502"/>
    </row>
    <row r="6" spans="2:16" ht="51.75" customHeight="1" x14ac:dyDescent="0.2">
      <c r="B6" s="99"/>
      <c r="C6" s="67" t="s">
        <v>223</v>
      </c>
      <c r="D6" s="493" t="s">
        <v>0</v>
      </c>
      <c r="E6" s="494"/>
      <c r="F6" s="63" t="s">
        <v>226</v>
      </c>
      <c r="G6" s="495" t="s">
        <v>231</v>
      </c>
      <c r="H6" s="495"/>
      <c r="I6" s="63" t="s">
        <v>229</v>
      </c>
      <c r="J6" s="31" t="s">
        <v>26</v>
      </c>
      <c r="K6" s="63" t="s">
        <v>234</v>
      </c>
      <c r="L6" s="503" t="s">
        <v>101</v>
      </c>
      <c r="M6" s="504"/>
    </row>
    <row r="7" spans="2:16" ht="51.75" customHeight="1" thickBot="1" x14ac:dyDescent="0.25">
      <c r="B7" s="99"/>
      <c r="C7" s="68" t="s">
        <v>224</v>
      </c>
      <c r="D7" s="518" t="s">
        <v>25</v>
      </c>
      <c r="E7" s="519"/>
      <c r="F7" s="64" t="s">
        <v>227</v>
      </c>
      <c r="G7" s="515" t="s">
        <v>24</v>
      </c>
      <c r="H7" s="515"/>
      <c r="I7" s="64" t="s">
        <v>232</v>
      </c>
      <c r="J7" s="65" t="s">
        <v>98</v>
      </c>
      <c r="K7" s="64" t="s">
        <v>235</v>
      </c>
      <c r="L7" s="516" t="s">
        <v>100</v>
      </c>
      <c r="M7" s="517"/>
    </row>
    <row r="8" spans="2:16" ht="14.25" customHeight="1" x14ac:dyDescent="0.4">
      <c r="C8" s="46"/>
      <c r="D8" s="46"/>
      <c r="E8" s="46"/>
      <c r="F8" s="46"/>
      <c r="G8" s="46"/>
      <c r="H8" s="46"/>
      <c r="I8" s="46"/>
      <c r="J8" s="46"/>
      <c r="K8" s="46"/>
      <c r="L8" s="46"/>
    </row>
    <row r="9" spans="2:16" ht="15.75" customHeight="1" x14ac:dyDescent="0.2">
      <c r="C9" s="513" t="s">
        <v>390</v>
      </c>
      <c r="D9" s="513"/>
      <c r="E9" s="513"/>
      <c r="F9" s="513"/>
      <c r="G9" s="513"/>
      <c r="H9" s="513"/>
      <c r="I9" s="513"/>
      <c r="J9" s="513"/>
      <c r="K9" s="513"/>
      <c r="L9" s="513"/>
      <c r="M9" s="514"/>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8">
        <f>IF(ISNA(VLOOKUP($B11,EDW_FEEDER!$T$2:$AH$86,2,FALSE))=TRUE,"",VLOOKUP($B11,EDW_FEEDER!$T$2:$AH$86,2,FALSE))</f>
        <v>510023</v>
      </c>
      <c r="D11" s="259">
        <f>IF(ISNA(VLOOKUP(B11,EDW_FEEDER!$T$2:$AH$86,3,FALSE))=TRUE,"",VLOOKUP(B11,EDW_FEEDER!$T$2:$AH$86,3,FALSE))</f>
        <v>148.80000000000001</v>
      </c>
      <c r="E11" s="260">
        <f>IF(ISNA(VLOOKUP(B11,EDW_FEEDER!$T$2:$AH$86,4,FALSE))=TRUE,"",VLOOKUP(B11,EDW_FEEDER!$T$2:$AH$870,4,FALSE))</f>
        <v>0.47514000000000001</v>
      </c>
      <c r="F11" s="258">
        <f>IF(ISNA(VLOOKUP(B11,EDW_FEEDER!$T$2:$AH$86,5,FALSE))=TRUE,"",VLOOKUP(B11,EDW_FEEDER!$T$2:$AH$86,5,FALSE))</f>
        <v>83677</v>
      </c>
      <c r="G11" s="258">
        <f>IF(ISNA(VLOOKUP(B11,EDW_FEEDER!$T$2:$AH$86,6,FALSE))=TRUE,"",VLOOKUP(B11,EDW_FEEDER!$T$2:$AH$86,6,FALSE))</f>
        <v>390480</v>
      </c>
      <c r="H11" s="259">
        <f>IF(ISNA(VLOOKUP(B11,EDW_FEEDER!$T$2:$AH$86,7,FALSE))=TRUE,"",VLOOKUP(B11,EDW_FEEDER!$T$2:$AH$86,7,FALSE))</f>
        <v>187.6</v>
      </c>
      <c r="I11" s="259">
        <f>IF(ISNA(VLOOKUP(B11,EDW_FEEDER!$T$2:$AH$86,8,FALSE))=TRUE,"",VLOOKUP(B11,EDW_FEEDER!$T$2:$AH$86,8,FALSE))</f>
        <v>186.1</v>
      </c>
      <c r="J11" s="290">
        <f>VLOOKUP(B11,Accuracy!$AD$7:$AQ$69,3,FALSE)</f>
        <v>0.96</v>
      </c>
      <c r="K11" s="290">
        <f>VLOOKUP(B11,Accuracy!$AD$7:$AQ$69,6,FALSE)</f>
        <v>0.91500000000000004</v>
      </c>
      <c r="L11" s="290">
        <f>VLOOKUP(B11,Accuracy!$AD$7:$AQ$69,9,FALSE)</f>
        <v>0.90990000000000004</v>
      </c>
      <c r="M11" s="290">
        <f>VLOOKUP(B11,Accuracy!$AD$7:$AQ$69,12,FALSE)</f>
        <v>0.92330000000000001</v>
      </c>
      <c r="P11" s="70" t="s">
        <v>151</v>
      </c>
    </row>
    <row r="12" spans="2:16" x14ac:dyDescent="0.2">
      <c r="B12" s="505" t="s">
        <v>385</v>
      </c>
      <c r="C12" s="506"/>
      <c r="D12" s="506"/>
      <c r="E12" s="506"/>
      <c r="F12" s="506"/>
      <c r="G12" s="506"/>
      <c r="H12" s="506"/>
      <c r="I12" s="506"/>
      <c r="J12" s="506"/>
      <c r="K12" s="506"/>
      <c r="L12" s="506"/>
      <c r="M12" s="507"/>
      <c r="P12" s="190" t="s">
        <v>152</v>
      </c>
    </row>
    <row r="13" spans="2:16" x14ac:dyDescent="0.2">
      <c r="B13" s="225" t="s">
        <v>386</v>
      </c>
      <c r="C13" s="258">
        <f>IF(ISNA(VLOOKUP("USAV",EDW_FEEDER!$T$2:$AH$86,2,FALSE))=TRUE,"",VLOOKUP("USAV",EDW_FEEDER!$T$2:$AH$86,2,FALSE))</f>
        <v>470655</v>
      </c>
      <c r="D13" s="259">
        <f>IF(ISNA(VLOOKUP("USAV",EDW_FEEDER!$T$2:$AH$86,3,FALSE))=TRUE,"",VLOOKUP("USAV",EDW_FEEDER!$T$2:$AH$86,3,FALSE))</f>
        <v>154.5</v>
      </c>
      <c r="E13" s="260">
        <f>IF(ISNA(VLOOKUP("USAV",EDW_FEEDER!$T$2:$AH$86,4,FALSE))=TRUE,"",VLOOKUP("USAV",EDW_FEEDER!$T$2:$AH$870,4,FALSE))</f>
        <v>0.49879000000000001</v>
      </c>
      <c r="F13" s="258">
        <f>IF(ISNA(VLOOKUP("USAV",EDW_FEEDER!$T$2:$AH$86,5,FALSE))=TRUE,"",VLOOKUP("USAV",EDW_FEEDER!$T$2:$AH$86,5,FALSE))</f>
        <v>70506</v>
      </c>
      <c r="G13" s="258">
        <f>IF(ISNA(VLOOKUP("USAV",EDW_FEEDER!$T$2:$AH$86,6,FALSE))=TRUE,"",VLOOKUP("USAV",EDW_FEEDER!$T$2:$AH$86,6,FALSE))</f>
        <v>329185</v>
      </c>
      <c r="H13" s="259">
        <f>IF(ISNA(VLOOKUP("USAV",EDW_FEEDER!$T$2:$AH$86,7,FALSE))=TRUE,"",VLOOKUP("USAV",EDW_FEEDER!$T$2:$AH$86,7,FALSE))</f>
        <v>205.8</v>
      </c>
      <c r="I13" s="259">
        <f>IF(ISNA(VLOOKUP("USAV",EDW_FEEDER!$T$2:$AH$86,8,FALSE))=TRUE,"",VLOOKUP("USAV",EDW_FEEDER!$T$2:$AH$86,8,FALSE))</f>
        <v>205.2</v>
      </c>
      <c r="J13" s="261"/>
      <c r="K13" s="261"/>
      <c r="L13" s="261"/>
      <c r="M13" s="261"/>
      <c r="P13" s="190" t="s">
        <v>9</v>
      </c>
    </row>
    <row r="14" spans="2:16" x14ac:dyDescent="0.2">
      <c r="B14" s="224" t="s">
        <v>149</v>
      </c>
      <c r="C14" s="258">
        <f>IF(ISNA(VLOOKUP($B14,EDW_FEEDER!$T$2:$AH$86,2,FALSE))=TRUE,"",VLOOKUP($B14,EDW_FEEDER!$T$2:$AH$86,2,FALSE))</f>
        <v>91273</v>
      </c>
      <c r="D14" s="259">
        <f>IF(ISNA(VLOOKUP(B14,EDW_FEEDER!$T$2:$AH$86,3,FALSE))=TRUE,"",VLOOKUP(B14,EDW_FEEDER!$T$2:$AH$86,3,FALSE))</f>
        <v>155.19999999999999</v>
      </c>
      <c r="E14" s="260">
        <f>IF(ISNA(VLOOKUP(B14,EDW_FEEDER!$T$2:$AH$86,4,FALSE))=TRUE,"",VLOOKUP(B14,EDW_FEEDER!$T$2:$AH$870,4,FALSE))</f>
        <v>0.49983</v>
      </c>
      <c r="F14" s="258">
        <f>IF(ISNA(VLOOKUP(B14,EDW_FEEDER!$T$2:$AH$86,5,FALSE))=TRUE,"",VLOOKUP(B14,EDW_FEEDER!$T$2:$AH$86,5,FALSE))</f>
        <v>14654</v>
      </c>
      <c r="G14" s="258">
        <f>IF(ISNA(VLOOKUP(B14,EDW_FEEDER!$T$2:$AH$86,6,FALSE))=TRUE,"",VLOOKUP(B14,EDW_FEEDER!$T$2:$AH$86,6,FALSE))</f>
        <v>65011</v>
      </c>
      <c r="H14" s="259">
        <f>IF(ISNA(VLOOKUP(B14,EDW_FEEDER!$T$2:$AH$86,7,FALSE))=TRUE,"",VLOOKUP(B14,EDW_FEEDER!$T$2:$AH$86,7,FALSE))</f>
        <v>198</v>
      </c>
      <c r="I14" s="259">
        <f>IF(ISNA(VLOOKUP(B14,EDW_FEEDER!$T$2:$AH$86,8,FALSE))=TRUE,"",VLOOKUP(B14,EDW_FEEDER!$T$2:$AH$86,8,FALSE))</f>
        <v>200.5</v>
      </c>
      <c r="J14" s="260">
        <f>IF(ISNA(VLOOKUP(B14,Accuracy!$AD$7:$AQ$69,3,FALSE))=TRUE,"-",VLOOKUP(B14,Accuracy!$AD$7:$AQ$69,3,FALSE))</f>
        <v>0.95125235658497176</v>
      </c>
      <c r="K14" s="260">
        <f>IF(ISNA(VLOOKUP(B14,Accuracy!$AD$7:$AQ$69,6,FALSE))=TRUE,"-",VLOOKUP(B14,Accuracy!$AD$7:$AQ$69,6,FALSE))</f>
        <v>0.90900000000000003</v>
      </c>
      <c r="L14" s="260">
        <f>IF(ISNA(VLOOKUP(B14,Accuracy!$AD$7:$AQ$69,9,FALSE))=TRUE,"-",VLOOKUP(B14,Accuracy!$AD$7:$AQ$69,9,FALSE))</f>
        <v>0.90007401924500374</v>
      </c>
      <c r="M14" s="260">
        <f>IF(ISNA(VLOOKUP(B14,Accuracy!$AD$7:$AQ$69,12,FALSE))=TRUE,"-",VLOOKUP(B14,Accuracy!$AD$7:$AQ$69,12,FALSE))</f>
        <v>0.90227507755946224</v>
      </c>
    </row>
    <row r="15" spans="2:16" x14ac:dyDescent="0.2">
      <c r="B15" s="112" t="str">
        <f>IF(ISBLANK(VLOOKUP($B$14,EDW_FEEDER!$A$117:$AK$121,2,FALSE))=TRUE,"",VLOOKUP($B$14,EDW_FEEDER!$A$117:$AK$121,2,FALSE))</f>
        <v>Baltimore</v>
      </c>
      <c r="C15" s="258">
        <f>IF(ISNA(VLOOKUP($B15,EDW_FEEDER!$T$2:$AH$86,2,FALSE))=TRUE,"",VLOOKUP($B15,EDW_FEEDER!$T$2:$AH$86,2,FALSE))</f>
        <v>9949</v>
      </c>
      <c r="D15" s="259">
        <f>IF(ISNA(VLOOKUP(B15,EDW_FEEDER!$T$2:$AH$86,3,FALSE))=TRUE,"",VLOOKUP(B15,EDW_FEEDER!$T$2:$AH$86,3,FALSE))</f>
        <v>203.6</v>
      </c>
      <c r="E15" s="260">
        <f>IF(ISNA(VLOOKUP(B15,EDW_FEEDER!$T$2:$AH$86,4,FALSE))=TRUE,"",VLOOKUP(B15,EDW_FEEDER!$T$2:$AH$870,4,FALSE))</f>
        <v>0.62568999999999997</v>
      </c>
      <c r="F15" s="258">
        <f>IF(ISNA(VLOOKUP(B15,EDW_FEEDER!$T$2:$AH$86,5,FALSE))=TRUE,"",VLOOKUP(B15,EDW_FEEDER!$T$2:$AH$86,5,FALSE))</f>
        <v>836</v>
      </c>
      <c r="G15" s="258">
        <f>IF(ISNA(VLOOKUP(B15,EDW_FEEDER!$T$2:$AH$86,6,FALSE))=TRUE,"",VLOOKUP(B15,EDW_FEEDER!$T$2:$AH$86,6,FALSE))</f>
        <v>4571</v>
      </c>
      <c r="H15" s="259">
        <f>IF(ISNA(VLOOKUP(B15,EDW_FEEDER!$T$2:$AH$86,7,FALSE))=TRUE,"",VLOOKUP(B15,EDW_FEEDER!$T$2:$AH$86,7,FALSE))</f>
        <v>289.2</v>
      </c>
      <c r="I15" s="259">
        <f>IF(ISNA(VLOOKUP(B15,EDW_FEEDER!$T$2:$AH$86,8,FALSE))=TRUE,"",VLOOKUP(B15,EDW_FEEDER!$T$2:$AH$86,8,FALSE))</f>
        <v>287.2</v>
      </c>
      <c r="J15" s="260">
        <f>IF(ISNA(VLOOKUP(B15,Accuracy!$AD$7:$AQ$69,3,FALSE))=TRUE,"",VLOOKUP(B15,Accuracy!$AD$7:$AQ$69,3,FALSE))</f>
        <v>0.91869999999999996</v>
      </c>
      <c r="K15" s="260">
        <f>IF(ISNA(VLOOKUP(B15,Accuracy!$AD$7:$AQ$69,6,FALSE))=TRUE,"",VLOOKUP(B15,Accuracy!$AD$7:$AQ$69,6,FALSE))</f>
        <v>0.85450000000000004</v>
      </c>
      <c r="L15" s="260">
        <f>IF(ISNA(VLOOKUP(B15,Accuracy!$AD$7:$AQ$69,9,FALSE))=TRUE,"",VLOOKUP(B15,Accuracy!$AD$7:$AQ$69,9,FALSE))</f>
        <v>0.82330000000000003</v>
      </c>
      <c r="M15" s="260">
        <f>IF(ISNA(VLOOKUP(B15,Accuracy!$AD$7:$AQ$69,12,FALSE))=TRUE,"",VLOOKUP(B15,Accuracy!$AD$7:$AQ$69,12,FALSE))</f>
        <v>0.86160000000000003</v>
      </c>
    </row>
    <row r="16" spans="2:16" x14ac:dyDescent="0.2">
      <c r="B16" s="112" t="str">
        <f>IF(ISBLANK(VLOOKUP($B$14,EDW_FEEDER!$A$117:$AK$121,3,FALSE))=TRUE,"",VLOOKUP($B$14,EDW_FEEDER!$A$117:$AK$121,3,FALSE))</f>
        <v>Boston</v>
      </c>
      <c r="C16" s="258">
        <f>IF(ISNA(VLOOKUP($B16,EDW_FEEDER!$T$2:$AH$86,2,FALSE))=TRUE,"",VLOOKUP($B16,EDW_FEEDER!$T$2:$AH$86,2,FALSE))</f>
        <v>5859</v>
      </c>
      <c r="D16" s="259">
        <f>IF(ISNA(VLOOKUP(B16,EDW_FEEDER!$T$2:$AH$86,3,FALSE))=TRUE,"",VLOOKUP(B16,EDW_FEEDER!$T$2:$AH$86,3,FALSE))</f>
        <v>165.1</v>
      </c>
      <c r="E16" s="260">
        <f>IF(ISNA(VLOOKUP(B16,EDW_FEEDER!$T$2:$AH$86,4,FALSE))=TRUE,"",VLOOKUP(B16,EDW_FEEDER!$T$2:$AH$870,4,FALSE))</f>
        <v>0.53490000000000004</v>
      </c>
      <c r="F16" s="258">
        <f>IF(ISNA(VLOOKUP(B16,EDW_FEEDER!$T$2:$AH$86,5,FALSE))=TRUE,"",VLOOKUP(B16,EDW_FEEDER!$T$2:$AH$86,5,FALSE))</f>
        <v>1003</v>
      </c>
      <c r="G16" s="258">
        <f>IF(ISNA(VLOOKUP(B16,EDW_FEEDER!$T$2:$AH$86,6,FALSE))=TRUE,"",VLOOKUP(B16,EDW_FEEDER!$T$2:$AH$86,6,FALSE))</f>
        <v>2995</v>
      </c>
      <c r="H16" s="259">
        <f>IF(ISNA(VLOOKUP(B16,EDW_FEEDER!$T$2:$AH$86,7,FALSE))=TRUE,"",VLOOKUP(B16,EDW_FEEDER!$T$2:$AH$86,7,FALSE))</f>
        <v>238.7</v>
      </c>
      <c r="I16" s="259">
        <f>IF(ISNA(VLOOKUP(B16,EDW_FEEDER!$T$2:$AH$86,8,FALSE))=TRUE,"",VLOOKUP(B16,EDW_FEEDER!$T$2:$AH$86,8,FALSE))</f>
        <v>254.6</v>
      </c>
      <c r="J16" s="260">
        <f>IF(ISNA(VLOOKUP(B16,Accuracy!$AD$7:$AQ$69,3,FALSE))=TRUE,"",VLOOKUP(B16,Accuracy!$AD$7:$AQ$69,3,FALSE))</f>
        <v>0.95689999999999997</v>
      </c>
      <c r="K16" s="260">
        <f>IF(ISNA(VLOOKUP(B16,Accuracy!$AD$7:$AQ$69,6,FALSE))=TRUE,"",VLOOKUP(B16,Accuracy!$AD$7:$AQ$69,6,FALSE))</f>
        <v>0.88890000000000002</v>
      </c>
      <c r="L16" s="260">
        <f>IF(ISNA(VLOOKUP(B16,Accuracy!$AD$7:$AQ$69,9,FALSE))=TRUE,"",VLOOKUP(B16,Accuracy!$AD$7:$AQ$69,9,FALSE))</f>
        <v>0.9405</v>
      </c>
      <c r="M16" s="260">
        <f>IF(ISNA(VLOOKUP(B16,Accuracy!$AD$7:$AQ$69,12,FALSE))=TRUE,"",VLOOKUP(B16,Accuracy!$AD$7:$AQ$69,12,FALSE))</f>
        <v>0.89959999999999996</v>
      </c>
    </row>
    <row r="17" spans="2:13" x14ac:dyDescent="0.2">
      <c r="B17" s="112" t="str">
        <f>IF(ISBLANK(VLOOKUP($B$14,EDW_FEEDER!$A$117:$AK$121,4,FALSE))=TRUE,"",VLOOKUP($B$14,EDW_FEEDER!$A$117:$AK$121,4,FALSE))</f>
        <v>Buffalo</v>
      </c>
      <c r="C17" s="258">
        <f>IF(ISNA(VLOOKUP($B17,EDW_FEEDER!$T$2:$AH$86,2,FALSE))=TRUE,"",VLOOKUP($B17,EDW_FEEDER!$T$2:$AH$86,2,FALSE))</f>
        <v>6350</v>
      </c>
      <c r="D17" s="259">
        <f>IF(ISNA(VLOOKUP(B17,EDW_FEEDER!$T$2:$AH$86,3,FALSE))=TRUE,"",VLOOKUP(B17,EDW_FEEDER!$T$2:$AH$86,3,FALSE))</f>
        <v>148.80000000000001</v>
      </c>
      <c r="E17" s="260">
        <f>IF(ISNA(VLOOKUP(B17,EDW_FEEDER!$T$2:$AH$86,4,FALSE))=TRUE,"",VLOOKUP(B17,EDW_FEEDER!$T$2:$AH$870,4,FALSE))</f>
        <v>0.52471999999999996</v>
      </c>
      <c r="F17" s="258">
        <f>IF(ISNA(VLOOKUP(B17,EDW_FEEDER!$T$2:$AH$86,5,FALSE))=TRUE,"",VLOOKUP(B17,EDW_FEEDER!$T$2:$AH$86,5,FALSE))</f>
        <v>786</v>
      </c>
      <c r="G17" s="258">
        <f>IF(ISNA(VLOOKUP(B17,EDW_FEEDER!$T$2:$AH$86,6,FALSE))=TRUE,"",VLOOKUP(B17,EDW_FEEDER!$T$2:$AH$86,6,FALSE))</f>
        <v>3420</v>
      </c>
      <c r="H17" s="259">
        <f>IF(ISNA(VLOOKUP(B17,EDW_FEEDER!$T$2:$AH$86,7,FALSE))=TRUE,"",VLOOKUP(B17,EDW_FEEDER!$T$2:$AH$86,7,FALSE))</f>
        <v>223.1</v>
      </c>
      <c r="I17" s="259">
        <f>IF(ISNA(VLOOKUP(B17,EDW_FEEDER!$T$2:$AH$86,8,FALSE))=TRUE,"",VLOOKUP(B17,EDW_FEEDER!$T$2:$AH$86,8,FALSE))</f>
        <v>242.3</v>
      </c>
      <c r="J17" s="260">
        <f>IF(ISNA(VLOOKUP(B17,Accuracy!$AD$7:$AQ$69,3,FALSE))=TRUE,"",VLOOKUP(B17,Accuracy!$AD$7:$AQ$69,3,FALSE))</f>
        <v>0.95099999999999996</v>
      </c>
      <c r="K17" s="260">
        <f>IF(ISNA(VLOOKUP(B17,Accuracy!$AD$7:$AQ$69,6,FALSE))=TRUE,"",VLOOKUP(B17,Accuracy!$AD$7:$AQ$69,6,FALSE))</f>
        <v>0.91039999999999999</v>
      </c>
      <c r="L17" s="260">
        <f>IF(ISNA(VLOOKUP(B17,Accuracy!$AD$7:$AQ$69,9,FALSE))=TRUE,"",VLOOKUP(B17,Accuracy!$AD$7:$AQ$69,9,FALSE))</f>
        <v>0.90159999999999996</v>
      </c>
      <c r="M17" s="260">
        <f>IF(ISNA(VLOOKUP(B17,Accuracy!$AD$7:$AQ$69,12,FALSE))=TRUE,"",VLOOKUP(B17,Accuracy!$AD$7:$AQ$69,12,FALSE))</f>
        <v>0.876</v>
      </c>
    </row>
    <row r="18" spans="2:13" x14ac:dyDescent="0.2">
      <c r="B18" s="112" t="str">
        <f>IF(ISBLANK(VLOOKUP($B$14,EDW_FEEDER!$A$117:$AK$121,5,FALSE))=TRUE,"",VLOOKUP($B$14,EDW_FEEDER!$A$117:$AK$121,5,FALSE))</f>
        <v>Cleveland</v>
      </c>
      <c r="C18" s="258">
        <f>IF(ISNA(VLOOKUP($B18,EDW_FEEDER!$T$2:$AH$86,2,FALSE))=TRUE,"",VLOOKUP($B18,EDW_FEEDER!$T$2:$AH$86,2,FALSE))</f>
        <v>10082</v>
      </c>
      <c r="D18" s="259">
        <f>IF(ISNA(VLOOKUP(B18,EDW_FEEDER!$T$2:$AH$86,3,FALSE))=TRUE,"",VLOOKUP(B18,EDW_FEEDER!$T$2:$AH$86,3,FALSE))</f>
        <v>134.69999999999999</v>
      </c>
      <c r="E18" s="260">
        <f>IF(ISNA(VLOOKUP(B18,EDW_FEEDER!$T$2:$AH$86,4,FALSE))=TRUE,"",VLOOKUP(B18,EDW_FEEDER!$T$2:$AH$870,4,FALSE))</f>
        <v>0.38921</v>
      </c>
      <c r="F18" s="258">
        <f>IF(ISNA(VLOOKUP(B18,EDW_FEEDER!$T$2:$AH$86,5,FALSE))=TRUE,"",VLOOKUP(B18,EDW_FEEDER!$T$2:$AH$86,5,FALSE))</f>
        <v>1867</v>
      </c>
      <c r="G18" s="258">
        <f>IF(ISNA(VLOOKUP(B18,EDW_FEEDER!$T$2:$AH$86,6,FALSE))=TRUE,"",VLOOKUP(B18,EDW_FEEDER!$T$2:$AH$86,6,FALSE))</f>
        <v>9460</v>
      </c>
      <c r="H18" s="259">
        <f>IF(ISNA(VLOOKUP(B18,EDW_FEEDER!$T$2:$AH$86,7,FALSE))=TRUE,"",VLOOKUP(B18,EDW_FEEDER!$T$2:$AH$86,7,FALSE))</f>
        <v>169</v>
      </c>
      <c r="I18" s="259">
        <f>IF(ISNA(VLOOKUP(B18,EDW_FEEDER!$T$2:$AH$86,8,FALSE))=TRUE,"",VLOOKUP(B18,EDW_FEEDER!$T$2:$AH$86,8,FALSE))</f>
        <v>177.6</v>
      </c>
      <c r="J18" s="260">
        <f>IF(ISNA(VLOOKUP(B18,Accuracy!$AD$7:$AQ$69,3,FALSE))=TRUE,"",VLOOKUP(B18,Accuracy!$AD$7:$AQ$69,3,FALSE))</f>
        <v>0.96240000000000003</v>
      </c>
      <c r="K18" s="260">
        <f>IF(ISNA(VLOOKUP(B18,Accuracy!$AD$7:$AQ$69,6,FALSE))=TRUE,"",VLOOKUP(B18,Accuracy!$AD$7:$AQ$69,6,FALSE))</f>
        <v>0.9375</v>
      </c>
      <c r="L18" s="260">
        <f>IF(ISNA(VLOOKUP(B18,Accuracy!$AD$7:$AQ$69,9,FALSE))=TRUE,"",VLOOKUP(B18,Accuracy!$AD$7:$AQ$69,9,FALSE))</f>
        <v>0.90869999999999995</v>
      </c>
      <c r="M18" s="260">
        <f>IF(ISNA(VLOOKUP(B18,Accuracy!$AD$7:$AQ$69,12,FALSE))=TRUE,"",VLOOKUP(B18,Accuracy!$AD$7:$AQ$69,12,FALSE))</f>
        <v>0.9234</v>
      </c>
    </row>
    <row r="19" spans="2:13" x14ac:dyDescent="0.2">
      <c r="B19" s="112" t="str">
        <f>IF(ISBLANK(VLOOKUP($B$14,EDW_FEEDER!$A$117:$AK$121,6,FALSE))=TRUE,"",VLOOKUP($B$14,EDW_FEEDER!$A$117:$AK$121,6,FALSE))</f>
        <v>Detroit</v>
      </c>
      <c r="C19" s="258">
        <f>IF(ISNA(VLOOKUP($B19,EDW_FEEDER!$T$2:$AH$86,2,FALSE))=TRUE,"",VLOOKUP($B19,EDW_FEEDER!$T$2:$AH$86,2,FALSE))</f>
        <v>9765</v>
      </c>
      <c r="D19" s="259">
        <f>IF(ISNA(VLOOKUP(B19,EDW_FEEDER!$T$2:$AH$86,3,FALSE))=TRUE,"",VLOOKUP(B19,EDW_FEEDER!$T$2:$AH$86,3,FALSE))</f>
        <v>133.5</v>
      </c>
      <c r="E19" s="260">
        <f>IF(ISNA(VLOOKUP(B19,EDW_FEEDER!$T$2:$AH$86,4,FALSE))=TRUE,"",VLOOKUP(B19,EDW_FEEDER!$T$2:$AH$870,4,FALSE))</f>
        <v>0.43052000000000001</v>
      </c>
      <c r="F19" s="258">
        <f>IF(ISNA(VLOOKUP(B19,EDW_FEEDER!$T$2:$AH$86,5,FALSE))=TRUE,"",VLOOKUP(B19,EDW_FEEDER!$T$2:$AH$86,5,FALSE))</f>
        <v>1800</v>
      </c>
      <c r="G19" s="258">
        <f>IF(ISNA(VLOOKUP(B19,EDW_FEEDER!$T$2:$AH$86,6,FALSE))=TRUE,"",VLOOKUP(B19,EDW_FEEDER!$T$2:$AH$86,6,FALSE))</f>
        <v>7462</v>
      </c>
      <c r="H19" s="259">
        <f>IF(ISNA(VLOOKUP(B19,EDW_FEEDER!$T$2:$AH$86,7,FALSE))=TRUE,"",VLOOKUP(B19,EDW_FEEDER!$T$2:$AH$86,7,FALSE))</f>
        <v>186.2</v>
      </c>
      <c r="I19" s="259">
        <f>IF(ISNA(VLOOKUP(B19,EDW_FEEDER!$T$2:$AH$86,8,FALSE))=TRUE,"",VLOOKUP(B19,EDW_FEEDER!$T$2:$AH$86,8,FALSE))</f>
        <v>187.5</v>
      </c>
      <c r="J19" s="260">
        <f>IF(ISNA(VLOOKUP(B19,Accuracy!$AD$7:$AQ$69,3,FALSE))=TRUE,"",VLOOKUP(B19,Accuracy!$AD$7:$AQ$69,3,FALSE))</f>
        <v>0.90710000000000002</v>
      </c>
      <c r="K19" s="260">
        <f>IF(ISNA(VLOOKUP(B19,Accuracy!$AD$7:$AQ$69,6,FALSE))=TRUE,"",VLOOKUP(B19,Accuracy!$AD$7:$AQ$69,6,FALSE))</f>
        <v>0.8841</v>
      </c>
      <c r="L19" s="260">
        <f>IF(ISNA(VLOOKUP(B19,Accuracy!$AD$7:$AQ$69,9,FALSE))=TRUE,"",VLOOKUP(B19,Accuracy!$AD$7:$AQ$69,9,FALSE))</f>
        <v>0.88719999999999999</v>
      </c>
      <c r="M19" s="260">
        <f>IF(ISNA(VLOOKUP(B19,Accuracy!$AD$7:$AQ$69,12,FALSE))=TRUE,"",VLOOKUP(B19,Accuracy!$AD$7:$AQ$69,12,FALSE))</f>
        <v>0.9</v>
      </c>
    </row>
    <row r="20" spans="2:13" x14ac:dyDescent="0.2">
      <c r="B20" s="112" t="str">
        <f>IF(ISBLANK(VLOOKUP($B$14,EDW_FEEDER!$A$117:$AK$121,7,FALSE))=TRUE,"",VLOOKUP($B$14,EDW_FEEDER!$A$117:$AK$121,7,FALSE))</f>
        <v>Hartford</v>
      </c>
      <c r="C20" s="258">
        <f>IF(ISNA(VLOOKUP($B20,EDW_FEEDER!$T$2:$AH$86,2,FALSE))=TRUE,"",VLOOKUP($B20,EDW_FEEDER!$T$2:$AH$86,2,FALSE))</f>
        <v>2175</v>
      </c>
      <c r="D20" s="259">
        <f>IF(ISNA(VLOOKUP(B20,EDW_FEEDER!$T$2:$AH$86,3,FALSE))=TRUE,"",VLOOKUP(B20,EDW_FEEDER!$T$2:$AH$86,3,FALSE))</f>
        <v>110.8</v>
      </c>
      <c r="E20" s="260">
        <f>IF(ISNA(VLOOKUP(B20,EDW_FEEDER!$T$2:$AH$86,4,FALSE))=TRUE,"",VLOOKUP(B20,EDW_FEEDER!$T$2:$AH$870,4,FALSE))</f>
        <v>0.33562999999999998</v>
      </c>
      <c r="F20" s="258">
        <f>IF(ISNA(VLOOKUP(B20,EDW_FEEDER!$T$2:$AH$86,5,FALSE))=TRUE,"",VLOOKUP(B20,EDW_FEEDER!$T$2:$AH$86,5,FALSE))</f>
        <v>333</v>
      </c>
      <c r="G20" s="258">
        <f>IF(ISNA(VLOOKUP(B20,EDW_FEEDER!$T$2:$AH$86,6,FALSE))=TRUE,"",VLOOKUP(B20,EDW_FEEDER!$T$2:$AH$86,6,FALSE))</f>
        <v>2122</v>
      </c>
      <c r="H20" s="259">
        <f>IF(ISNA(VLOOKUP(B20,EDW_FEEDER!$T$2:$AH$86,7,FALSE))=TRUE,"",VLOOKUP(B20,EDW_FEEDER!$T$2:$AH$86,7,FALSE))</f>
        <v>160.19999999999999</v>
      </c>
      <c r="I20" s="259">
        <f>IF(ISNA(VLOOKUP(B20,EDW_FEEDER!$T$2:$AH$86,8,FALSE))=TRUE,"",VLOOKUP(B20,EDW_FEEDER!$T$2:$AH$86,8,FALSE))</f>
        <v>159.5</v>
      </c>
      <c r="J20" s="260">
        <f>IF(ISNA(VLOOKUP(B20,Accuracy!$AD$7:$AQ$69,3,FALSE))=TRUE,"",VLOOKUP(B20,Accuracy!$AD$7:$AQ$69,3,FALSE))</f>
        <v>0.98399999999999999</v>
      </c>
      <c r="K20" s="260">
        <f>IF(ISNA(VLOOKUP(B20,Accuracy!$AD$7:$AQ$69,6,FALSE))=TRUE,"",VLOOKUP(B20,Accuracy!$AD$7:$AQ$69,6,FALSE))</f>
        <v>0.97099999999999997</v>
      </c>
      <c r="L20" s="260">
        <f>IF(ISNA(VLOOKUP(B20,Accuracy!$AD$7:$AQ$69,9,FALSE))=TRUE,"",VLOOKUP(B20,Accuracy!$AD$7:$AQ$69,9,FALSE))</f>
        <v>0.96089999999999998</v>
      </c>
      <c r="M20" s="260">
        <f>IF(ISNA(VLOOKUP(B20,Accuracy!$AD$7:$AQ$69,12,FALSE))=TRUE,"",VLOOKUP(B20,Accuracy!$AD$7:$AQ$69,12,FALSE))</f>
        <v>0.94940000000000002</v>
      </c>
    </row>
    <row r="21" spans="2:13" x14ac:dyDescent="0.2">
      <c r="B21" s="112" t="str">
        <f>IF(ISBLANK(VLOOKUP($B$14,EDW_FEEDER!$A$117:$AK$121,8,FALSE))=TRUE,"",VLOOKUP($B$14,EDW_FEEDER!$A$117:$AK$121,8,FALSE))</f>
        <v>Indianapolis</v>
      </c>
      <c r="C21" s="258">
        <f>IF(ISNA(VLOOKUP($B21,EDW_FEEDER!$T$2:$AH$86,2,FALSE))=TRUE,"",VLOOKUP($B21,EDW_FEEDER!$T$2:$AH$86,2,FALSE))</f>
        <v>9268</v>
      </c>
      <c r="D21" s="259">
        <f>IF(ISNA(VLOOKUP(B21,EDW_FEEDER!$T$2:$AH$86,3,FALSE))=TRUE,"",VLOOKUP(B21,EDW_FEEDER!$T$2:$AH$86,3,FALSE))</f>
        <v>177.1</v>
      </c>
      <c r="E21" s="260">
        <f>IF(ISNA(VLOOKUP(B21,EDW_FEEDER!$T$2:$AH$86,4,FALSE))=TRUE,"",VLOOKUP(B21,EDW_FEEDER!$T$2:$AH$870,4,FALSE))</f>
        <v>0.57779000000000003</v>
      </c>
      <c r="F21" s="258">
        <f>IF(ISNA(VLOOKUP(B21,EDW_FEEDER!$T$2:$AH$86,5,FALSE))=TRUE,"",VLOOKUP(B21,EDW_FEEDER!$T$2:$AH$86,5,FALSE))</f>
        <v>1186</v>
      </c>
      <c r="G21" s="258">
        <f>IF(ISNA(VLOOKUP(B21,EDW_FEEDER!$T$2:$AH$86,6,FALSE))=TRUE,"",VLOOKUP(B21,EDW_FEEDER!$T$2:$AH$86,6,FALSE))</f>
        <v>4938</v>
      </c>
      <c r="H21" s="259">
        <f>IF(ISNA(VLOOKUP(B21,EDW_FEEDER!$T$2:$AH$86,7,FALSE))=TRUE,"",VLOOKUP(B21,EDW_FEEDER!$T$2:$AH$86,7,FALSE))</f>
        <v>237.9</v>
      </c>
      <c r="I21" s="259">
        <f>IF(ISNA(VLOOKUP(B21,EDW_FEEDER!$T$2:$AH$86,8,FALSE))=TRUE,"",VLOOKUP(B21,EDW_FEEDER!$T$2:$AH$86,8,FALSE))</f>
        <v>239.5</v>
      </c>
      <c r="J21" s="260">
        <f>IF(ISNA(VLOOKUP(B21,Accuracy!$AD$7:$AQ$69,3,FALSE))=TRUE,"",VLOOKUP(B21,Accuracy!$AD$7:$AQ$69,3,FALSE))</f>
        <v>0.94669999999999999</v>
      </c>
      <c r="K21" s="260">
        <f>IF(ISNA(VLOOKUP(B21,Accuracy!$AD$7:$AQ$69,6,FALSE))=TRUE,"",VLOOKUP(B21,Accuracy!$AD$7:$AQ$69,6,FALSE))</f>
        <v>0.88890000000000002</v>
      </c>
      <c r="L21" s="260">
        <f>IF(ISNA(VLOOKUP(B21,Accuracy!$AD$7:$AQ$69,9,FALSE))=TRUE,"",VLOOKUP(B21,Accuracy!$AD$7:$AQ$69,9,FALSE))</f>
        <v>0.92</v>
      </c>
      <c r="M21" s="260">
        <f>IF(ISNA(VLOOKUP(B21,Accuracy!$AD$7:$AQ$69,12,FALSE))=TRUE,"",VLOOKUP(B21,Accuracy!$AD$7:$AQ$69,12,FALSE))</f>
        <v>0.90720000000000001</v>
      </c>
    </row>
    <row r="22" spans="2:13" x14ac:dyDescent="0.2">
      <c r="B22" s="112" t="str">
        <f>IF(ISBLANK(VLOOKUP($B$14,EDW_FEEDER!$A$117:$AK$121,9,FALSE))=TRUE,"",VLOOKUP($B$14,EDW_FEEDER!$A$117:$AK$121,9,FALSE))</f>
        <v>Manchester</v>
      </c>
      <c r="C22" s="258">
        <f>IF(ISNA(VLOOKUP($B22,EDW_FEEDER!$T$2:$AH$86,2,FALSE))=TRUE,"",VLOOKUP($B22,EDW_FEEDER!$T$2:$AH$86,2,FALSE))</f>
        <v>1635</v>
      </c>
      <c r="D22" s="259">
        <f>IF(ISNA(VLOOKUP(B22,EDW_FEEDER!$T$2:$AH$86,3,FALSE))=TRUE,"",VLOOKUP(B22,EDW_FEEDER!$T$2:$AH$86,3,FALSE))</f>
        <v>135.9</v>
      </c>
      <c r="E22" s="260">
        <f>IF(ISNA(VLOOKUP(B22,EDW_FEEDER!$T$2:$AH$86,4,FALSE))=TRUE,"",VLOOKUP(B22,EDW_FEEDER!$T$2:$AH$870,4,FALSE))</f>
        <v>0.44036999999999998</v>
      </c>
      <c r="F22" s="258">
        <f>IF(ISNA(VLOOKUP(B22,EDW_FEEDER!$T$2:$AH$86,5,FALSE))=TRUE,"",VLOOKUP(B22,EDW_FEEDER!$T$2:$AH$86,5,FALSE))</f>
        <v>301</v>
      </c>
      <c r="G22" s="258">
        <f>IF(ISNA(VLOOKUP(B22,EDW_FEEDER!$T$2:$AH$86,6,FALSE))=TRUE,"",VLOOKUP(B22,EDW_FEEDER!$T$2:$AH$86,6,FALSE))</f>
        <v>1102</v>
      </c>
      <c r="H22" s="259">
        <f>IF(ISNA(VLOOKUP(B22,EDW_FEEDER!$T$2:$AH$86,7,FALSE))=TRUE,"",VLOOKUP(B22,EDW_FEEDER!$T$2:$AH$86,7,FALSE))</f>
        <v>175.5</v>
      </c>
      <c r="I22" s="259">
        <f>IF(ISNA(VLOOKUP(B22,EDW_FEEDER!$T$2:$AH$86,8,FALSE))=TRUE,"",VLOOKUP(B22,EDW_FEEDER!$T$2:$AH$86,8,FALSE))</f>
        <v>194.6</v>
      </c>
      <c r="J22" s="260">
        <f>IF(ISNA(VLOOKUP(B22,Accuracy!$AD$7:$AQ$69,3,FALSE))=TRUE,"",VLOOKUP(B22,Accuracy!$AD$7:$AQ$69,3,FALSE))</f>
        <v>0.95850000000000002</v>
      </c>
      <c r="K22" s="260">
        <f>IF(ISNA(VLOOKUP(B22,Accuracy!$AD$7:$AQ$69,6,FALSE))=TRUE,"",VLOOKUP(B22,Accuracy!$AD$7:$AQ$69,6,FALSE))</f>
        <v>0.92979999999999996</v>
      </c>
      <c r="L22" s="260">
        <f>IF(ISNA(VLOOKUP(B22,Accuracy!$AD$7:$AQ$69,9,FALSE))=TRUE,"",VLOOKUP(B22,Accuracy!$AD$7:$AQ$69,9,FALSE))</f>
        <v>0.9073</v>
      </c>
      <c r="M22" s="260">
        <f>IF(ISNA(VLOOKUP(B22,Accuracy!$AD$7:$AQ$69,12,FALSE))=TRUE,"",VLOOKUP(B22,Accuracy!$AD$7:$AQ$69,12,FALSE))</f>
        <v>0.91320000000000001</v>
      </c>
    </row>
    <row r="23" spans="2:13" x14ac:dyDescent="0.2">
      <c r="B23" s="112" t="str">
        <f>IF(ISBLANK(VLOOKUP($B$14,EDW_FEEDER!$A$117:$AK$121,10,FALSE))=TRUE,"",VLOOKUP($B$14,EDW_FEEDER!$A$117:$AK$121,10,FALSE))</f>
        <v>New York</v>
      </c>
      <c r="C23" s="258">
        <f>IF(ISNA(VLOOKUP($B23,EDW_FEEDER!$T$2:$AH$86,2,FALSE))=TRUE,"",VLOOKUP($B23,EDW_FEEDER!$T$2:$AH$86,2,FALSE))</f>
        <v>7837</v>
      </c>
      <c r="D23" s="259">
        <f>IF(ISNA(VLOOKUP(B23,EDW_FEEDER!$T$2:$AH$86,3,FALSE))=TRUE,"",VLOOKUP(B23,EDW_FEEDER!$T$2:$AH$86,3,FALSE))</f>
        <v>154.9</v>
      </c>
      <c r="E23" s="260">
        <f>IF(ISNA(VLOOKUP(B23,EDW_FEEDER!$T$2:$AH$86,4,FALSE))=TRUE,"",VLOOKUP(B23,EDW_FEEDER!$T$2:$AH$870,4,FALSE))</f>
        <v>0.54944000000000004</v>
      </c>
      <c r="F23" s="258">
        <f>IF(ISNA(VLOOKUP(B23,EDW_FEEDER!$T$2:$AH$86,5,FALSE))=TRUE,"",VLOOKUP(B23,EDW_FEEDER!$T$2:$AH$86,5,FALSE))</f>
        <v>1011</v>
      </c>
      <c r="G23" s="258">
        <f>IF(ISNA(VLOOKUP(B23,EDW_FEEDER!$T$2:$AH$86,6,FALSE))=TRUE,"",VLOOKUP(B23,EDW_FEEDER!$T$2:$AH$86,6,FALSE))</f>
        <v>4063</v>
      </c>
      <c r="H23" s="259">
        <f>IF(ISNA(VLOOKUP(B23,EDW_FEEDER!$T$2:$AH$86,7,FALSE))=TRUE,"",VLOOKUP(B23,EDW_FEEDER!$T$2:$AH$86,7,FALSE))</f>
        <v>214.6</v>
      </c>
      <c r="I23" s="259">
        <f>IF(ISNA(VLOOKUP(B23,EDW_FEEDER!$T$2:$AH$86,8,FALSE))=TRUE,"",VLOOKUP(B23,EDW_FEEDER!$T$2:$AH$86,8,FALSE))</f>
        <v>240.7</v>
      </c>
      <c r="J23" s="260">
        <f>IF(ISNA(VLOOKUP(B23,Accuracy!$AD$7:$AQ$69,3,FALSE))=TRUE,"",VLOOKUP(B23,Accuracy!$AD$7:$AQ$69,3,FALSE))</f>
        <v>0.93940000000000001</v>
      </c>
      <c r="K23" s="260">
        <f>IF(ISNA(VLOOKUP(B23,Accuracy!$AD$7:$AQ$69,6,FALSE))=TRUE,"",VLOOKUP(B23,Accuracy!$AD$7:$AQ$69,6,FALSE))</f>
        <v>0.93440000000000001</v>
      </c>
      <c r="L23" s="260">
        <f>IF(ISNA(VLOOKUP(B23,Accuracy!$AD$7:$AQ$69,9,FALSE))=TRUE,"",VLOOKUP(B23,Accuracy!$AD$7:$AQ$69,9,FALSE))</f>
        <v>0.92830000000000001</v>
      </c>
      <c r="M23" s="260">
        <f>IF(ISNA(VLOOKUP(B23,Accuracy!$AD$7:$AQ$69,12,FALSE))=TRUE,"",VLOOKUP(B23,Accuracy!$AD$7:$AQ$69,12,FALSE))</f>
        <v>0.90380000000000005</v>
      </c>
    </row>
    <row r="24" spans="2:13" x14ac:dyDescent="0.2">
      <c r="B24" s="112" t="str">
        <f>IF(ISBLANK(VLOOKUP($B$14,EDW_FEEDER!$A$117:$AK$121,11,FALSE))=TRUE,"",VLOOKUP($B$14,EDW_FEEDER!$A$117:$AK$121,11,FALSE))</f>
        <v>Newark</v>
      </c>
      <c r="C24" s="258">
        <f>IF(ISNA(VLOOKUP($B24,EDW_FEEDER!$T$2:$AH$86,2,FALSE))=TRUE,"",VLOOKUP($B24,EDW_FEEDER!$T$2:$AH$86,2,FALSE))</f>
        <v>3287</v>
      </c>
      <c r="D24" s="259">
        <f>IF(ISNA(VLOOKUP(B24,EDW_FEEDER!$T$2:$AH$86,3,FALSE))=TRUE,"",VLOOKUP(B24,EDW_FEEDER!$T$2:$AH$86,3,FALSE))</f>
        <v>123</v>
      </c>
      <c r="E24" s="260">
        <f>IF(ISNA(VLOOKUP(B24,EDW_FEEDER!$T$2:$AH$86,4,FALSE))=TRUE,"",VLOOKUP(B24,EDW_FEEDER!$T$2:$AH$870,4,FALSE))</f>
        <v>0.40371000000000001</v>
      </c>
      <c r="F24" s="258">
        <f>IF(ISNA(VLOOKUP(B24,EDW_FEEDER!$T$2:$AH$86,5,FALSE))=TRUE,"",VLOOKUP(B24,EDW_FEEDER!$T$2:$AH$86,5,FALSE))</f>
        <v>376</v>
      </c>
      <c r="G24" s="258">
        <f>IF(ISNA(VLOOKUP(B24,EDW_FEEDER!$T$2:$AH$86,6,FALSE))=TRUE,"",VLOOKUP(B24,EDW_FEEDER!$T$2:$AH$86,6,FALSE))</f>
        <v>1965</v>
      </c>
      <c r="H24" s="259">
        <f>IF(ISNA(VLOOKUP(B24,EDW_FEEDER!$T$2:$AH$86,7,FALSE))=TRUE,"",VLOOKUP(B24,EDW_FEEDER!$T$2:$AH$86,7,FALSE))</f>
        <v>171.8</v>
      </c>
      <c r="I24" s="259">
        <f>IF(ISNA(VLOOKUP(B24,EDW_FEEDER!$T$2:$AH$86,8,FALSE))=TRUE,"",VLOOKUP(B24,EDW_FEEDER!$T$2:$AH$86,8,FALSE))</f>
        <v>170.9</v>
      </c>
      <c r="J24" s="260">
        <f>IF(ISNA(VLOOKUP(B24,Accuracy!$AD$7:$AQ$69,3,FALSE))=TRUE,"",VLOOKUP(B24,Accuracy!$AD$7:$AQ$69,3,FALSE))</f>
        <v>0.92649999999999999</v>
      </c>
      <c r="K24" s="260">
        <f>IF(ISNA(VLOOKUP(B24,Accuracy!$AD$7:$AQ$69,6,FALSE))=TRUE,"",VLOOKUP(B24,Accuracy!$AD$7:$AQ$69,6,FALSE))</f>
        <v>0.89829999999999999</v>
      </c>
      <c r="L24" s="260">
        <f>IF(ISNA(VLOOKUP(B24,Accuracy!$AD$7:$AQ$69,9,FALSE))=TRUE,"",VLOOKUP(B24,Accuracy!$AD$7:$AQ$69,9,FALSE))</f>
        <v>0.8226</v>
      </c>
      <c r="M24" s="260">
        <f>IF(ISNA(VLOOKUP(B24,Accuracy!$AD$7:$AQ$69,12,FALSE))=TRUE,"",VLOOKUP(B24,Accuracy!$AD$7:$AQ$69,12,FALSE))</f>
        <v>0.83</v>
      </c>
    </row>
    <row r="25" spans="2:13" x14ac:dyDescent="0.2">
      <c r="B25" s="113" t="str">
        <f>IF(ISBLANK(VLOOKUP($B$14,EDW_FEEDER!$A$117:$AK$121,12,FALSE))=TRUE,"",VLOOKUP($B$14,EDW_FEEDER!$A$117:$AK$121,12,FALSE))</f>
        <v>Philadelphia (Non-PMC)</v>
      </c>
      <c r="C25" s="258">
        <f>IF(ISNA(VLOOKUP($B25,EDW_FEEDER!$T$2:$AH$86,2,FALSE))=TRUE,"",VLOOKUP($B25,EDW_FEEDER!$T$2:$AH$86,2,FALSE))</f>
        <v>12902</v>
      </c>
      <c r="D25" s="259">
        <f>IF(ISNA(VLOOKUP(B25,EDW_FEEDER!$T$2:$AH$86,3,FALSE))=TRUE,"",VLOOKUP(B25,EDW_FEEDER!$T$2:$AH$86,3,FALSE))</f>
        <v>166.2</v>
      </c>
      <c r="E25" s="260">
        <f>IF(ISNA(VLOOKUP(B25,EDW_FEEDER!$T$2:$AH$86,4,FALSE))=TRUE,"",VLOOKUP(B25,EDW_FEEDER!$T$2:$AH$870,4,FALSE))</f>
        <v>0.55750999999999995</v>
      </c>
      <c r="F25" s="258">
        <f>IF(ISNA(VLOOKUP(B25,EDW_FEEDER!$T$2:$AH$86,5,FALSE))=TRUE,"",VLOOKUP(B25,EDW_FEEDER!$T$2:$AH$86,5,FALSE))</f>
        <v>2224</v>
      </c>
      <c r="G25" s="258">
        <f>IF(ISNA(VLOOKUP(B25,EDW_FEEDER!$T$2:$AH$86,6,FALSE))=TRUE,"",VLOOKUP(B25,EDW_FEEDER!$T$2:$AH$86,6,FALSE))</f>
        <v>8715</v>
      </c>
      <c r="H25" s="259">
        <f>IF(ISNA(VLOOKUP(B25,EDW_FEEDER!$T$2:$AH$86,7,FALSE))=TRUE,"",VLOOKUP(B25,EDW_FEEDER!$T$2:$AH$86,7,FALSE))</f>
        <v>238.4</v>
      </c>
      <c r="I25" s="259">
        <f>IF(ISNA(VLOOKUP(B25,EDW_FEEDER!$T$2:$AH$86,8,FALSE))=TRUE,"",VLOOKUP(B25,EDW_FEEDER!$T$2:$AH$86,8,FALSE))</f>
        <v>257</v>
      </c>
      <c r="J25" s="260">
        <f>IF(ISNA(VLOOKUP(B25,Accuracy!$AD$7:$AQ$69,3,FALSE))=TRUE,"",VLOOKUP(B25,Accuracy!$AD$7:$AQ$69,3,FALSE))</f>
        <v>0.97740000000000005</v>
      </c>
      <c r="K25" s="260">
        <f>IF(ISNA(VLOOKUP(B25,Accuracy!$AD$7:$AQ$69,6,FALSE))=TRUE,"",VLOOKUP(B25,Accuracy!$AD$7:$AQ$69,6,FALSE))</f>
        <v>0.94199999999999995</v>
      </c>
      <c r="L25" s="260">
        <f>IF(ISNA(VLOOKUP(B25,Accuracy!$AD$7:$AQ$69,9,FALSE))=TRUE,"",VLOOKUP(B25,Accuracy!$AD$7:$AQ$69,9,FALSE))</f>
        <v>0.88929999999999998</v>
      </c>
      <c r="M25" s="260">
        <f>IF(ISNA(VLOOKUP(B25,Accuracy!$AD$7:$AQ$69,12,FALSE))=TRUE,"",VLOOKUP(B25,Accuracy!$AD$7:$AQ$69,12,FALSE))</f>
        <v>0.91739999999999999</v>
      </c>
    </row>
    <row r="26" spans="2:13" x14ac:dyDescent="0.2">
      <c r="B26" s="112" t="str">
        <f>IF(ISBLANK(VLOOKUP($B$14,EDW_FEEDER!$A$117:$AK$121,13,FALSE))=TRUE,"",VLOOKUP($B$14,EDW_FEEDER!$A$117:$AK$121,13,FALSE))</f>
        <v>Pittsburgh</v>
      </c>
      <c r="C26" s="258">
        <f>IF(ISNA(VLOOKUP($B26,EDW_FEEDER!$T$2:$AH$86,2,FALSE))=TRUE,"",VLOOKUP($B26,EDW_FEEDER!$T$2:$AH$86,2,FALSE))</f>
        <v>6090</v>
      </c>
      <c r="D26" s="259">
        <f>IF(ISNA(VLOOKUP(B26,EDW_FEEDER!$T$2:$AH$86,3,FALSE))=TRUE,"",VLOOKUP(B26,EDW_FEEDER!$T$2:$AH$86,3,FALSE))</f>
        <v>171.6</v>
      </c>
      <c r="E26" s="260">
        <f>IF(ISNA(VLOOKUP(B26,EDW_FEEDER!$T$2:$AH$86,4,FALSE))=TRUE,"",VLOOKUP(B26,EDW_FEEDER!$T$2:$AH$870,4,FALSE))</f>
        <v>0.54007000000000005</v>
      </c>
      <c r="F26" s="258">
        <f>IF(ISNA(VLOOKUP(B26,EDW_FEEDER!$T$2:$AH$86,5,FALSE))=TRUE,"",VLOOKUP(B26,EDW_FEEDER!$T$2:$AH$86,5,FALSE))</f>
        <v>921</v>
      </c>
      <c r="G26" s="258">
        <f>IF(ISNA(VLOOKUP(B26,EDW_FEEDER!$T$2:$AH$86,6,FALSE))=TRUE,"",VLOOKUP(B26,EDW_FEEDER!$T$2:$AH$86,6,FALSE))</f>
        <v>3667</v>
      </c>
      <c r="H26" s="259">
        <f>IF(ISNA(VLOOKUP(B26,EDW_FEEDER!$T$2:$AH$86,7,FALSE))=TRUE,"",VLOOKUP(B26,EDW_FEEDER!$T$2:$AH$86,7,FALSE))</f>
        <v>237.2</v>
      </c>
      <c r="I26" s="259">
        <f>IF(ISNA(VLOOKUP(B26,EDW_FEEDER!$T$2:$AH$86,8,FALSE))=TRUE,"",VLOOKUP(B26,EDW_FEEDER!$T$2:$AH$86,8,FALSE))</f>
        <v>229.6</v>
      </c>
      <c r="J26" s="260">
        <f>IF(ISNA(VLOOKUP(B26,Accuracy!$AD$7:$AQ$69,3,FALSE))=TRUE,"",VLOOKUP(B26,Accuracy!$AD$7:$AQ$69,3,FALSE))</f>
        <v>0.96199999999999997</v>
      </c>
      <c r="K26" s="260">
        <f>IF(ISNA(VLOOKUP(B26,Accuracy!$AD$7:$AQ$69,6,FALSE))=TRUE,"",VLOOKUP(B26,Accuracy!$AD$7:$AQ$69,6,FALSE))</f>
        <v>0.91669999999999996</v>
      </c>
      <c r="L26" s="260">
        <f>IF(ISNA(VLOOKUP(B26,Accuracy!$AD$7:$AQ$69,9,FALSE))=TRUE,"",VLOOKUP(B26,Accuracy!$AD$7:$AQ$69,9,FALSE))</f>
        <v>0.88349999999999995</v>
      </c>
      <c r="M26" s="260">
        <f>IF(ISNA(VLOOKUP(B26,Accuracy!$AD$7:$AQ$69,12,FALSE))=TRUE,"",VLOOKUP(B26,Accuracy!$AD$7:$AQ$69,12,FALSE))</f>
        <v>0.91290000000000004</v>
      </c>
    </row>
    <row r="27" spans="2:13" x14ac:dyDescent="0.2">
      <c r="B27" s="112" t="str">
        <f>IF(ISBLANK(VLOOKUP($B$14,EDW_FEEDER!$A$117:$AK$121,14,FALSE))=TRUE,"",VLOOKUP($B$14,EDW_FEEDER!$A$117:$AK$121,14,FALSE))</f>
        <v>Providence</v>
      </c>
      <c r="C27" s="258">
        <f>IF(ISNA(VLOOKUP($B27,EDW_FEEDER!$T$2:$AH$86,2,FALSE))=TRUE,"",VLOOKUP($B27,EDW_FEEDER!$T$2:$AH$86,2,FALSE))</f>
        <v>2970</v>
      </c>
      <c r="D27" s="259">
        <f>IF(ISNA(VLOOKUP(B27,EDW_FEEDER!$T$2:$AH$86,3,FALSE))=TRUE,"",VLOOKUP(B27,EDW_FEEDER!$T$2:$AH$86,3,FALSE))</f>
        <v>82.8</v>
      </c>
      <c r="E27" s="260">
        <f>IF(ISNA(VLOOKUP(B27,EDW_FEEDER!$T$2:$AH$86,4,FALSE))=TRUE,"",VLOOKUP(B27,EDW_FEEDER!$T$2:$AH$870,4,FALSE))</f>
        <v>0.20100999999999999</v>
      </c>
      <c r="F27" s="258">
        <f>IF(ISNA(VLOOKUP(B27,EDW_FEEDER!$T$2:$AH$86,5,FALSE))=TRUE,"",VLOOKUP(B27,EDW_FEEDER!$T$2:$AH$86,5,FALSE))</f>
        <v>1558</v>
      </c>
      <c r="G27" s="258">
        <f>IF(ISNA(VLOOKUP(B27,EDW_FEEDER!$T$2:$AH$86,6,FALSE))=TRUE,"",VLOOKUP(B27,EDW_FEEDER!$T$2:$AH$86,6,FALSE))</f>
        <v>7875</v>
      </c>
      <c r="H27" s="259">
        <f>IF(ISNA(VLOOKUP(B27,EDW_FEEDER!$T$2:$AH$86,7,FALSE))=TRUE,"",VLOOKUP(B27,EDW_FEEDER!$T$2:$AH$86,7,FALSE))</f>
        <v>61.7</v>
      </c>
      <c r="I27" s="259">
        <f>IF(ISNA(VLOOKUP(B27,EDW_FEEDER!$T$2:$AH$86,8,FALSE))=TRUE,"",VLOOKUP(B27,EDW_FEEDER!$T$2:$AH$86,8,FALSE))</f>
        <v>63</v>
      </c>
      <c r="J27" s="260">
        <f>IF(ISNA(VLOOKUP(B27,Accuracy!$AD$7:$AQ$69,3,FALSE))=TRUE,"",VLOOKUP(B27,Accuracy!$AD$7:$AQ$69,3,FALSE))</f>
        <v>0.96430000000000005</v>
      </c>
      <c r="K27" s="260">
        <f>IF(ISNA(VLOOKUP(B27,Accuracy!$AD$7:$AQ$69,6,FALSE))=TRUE,"",VLOOKUP(B27,Accuracy!$AD$7:$AQ$69,6,FALSE))</f>
        <v>0.9385</v>
      </c>
      <c r="L27" s="260">
        <f>IF(ISNA(VLOOKUP(B27,Accuracy!$AD$7:$AQ$69,9,FALSE))=TRUE,"",VLOOKUP(B27,Accuracy!$AD$7:$AQ$69,9,FALSE))</f>
        <v>0.94510000000000005</v>
      </c>
      <c r="M27" s="260">
        <f>IF(ISNA(VLOOKUP(B27,Accuracy!$AD$7:$AQ$69,12,FALSE))=TRUE,"",VLOOKUP(B27,Accuracy!$AD$7:$AQ$69,12,FALSE))</f>
        <v>0.90529999999999999</v>
      </c>
    </row>
    <row r="28" spans="2:13" x14ac:dyDescent="0.2">
      <c r="B28" s="112" t="str">
        <f>IF(ISBLANK(VLOOKUP($B$14,EDW_FEEDER!$A$117:$AK$121,15,FALSE))=TRUE,"",VLOOKUP($B$14,EDW_FEEDER!$A$117:$AK$121,15,FALSE))</f>
        <v>Togus</v>
      </c>
      <c r="C28" s="258">
        <f>IF(ISNA(VLOOKUP($B28,EDW_FEEDER!$T$2:$AH$86,2,FALSE))=TRUE,"",VLOOKUP($B28,EDW_FEEDER!$T$2:$AH$86,2,FALSE))</f>
        <v>1157</v>
      </c>
      <c r="D28" s="259">
        <f>IF(ISNA(VLOOKUP(B28,EDW_FEEDER!$T$2:$AH$86,3,FALSE))=TRUE,"",VLOOKUP(B28,EDW_FEEDER!$T$2:$AH$86,3,FALSE))</f>
        <v>101.4</v>
      </c>
      <c r="E28" s="260">
        <f>IF(ISNA(VLOOKUP(B28,EDW_FEEDER!$T$2:$AH$86,4,FALSE))=TRUE,"",VLOOKUP(B28,EDW_FEEDER!$T$2:$AH$870,4,FALSE))</f>
        <v>0.24113999999999999</v>
      </c>
      <c r="F28" s="258">
        <f>IF(ISNA(VLOOKUP(B28,EDW_FEEDER!$T$2:$AH$86,5,FALSE))=TRUE,"",VLOOKUP(B28,EDW_FEEDER!$T$2:$AH$86,5,FALSE))</f>
        <v>191</v>
      </c>
      <c r="G28" s="258">
        <f>IF(ISNA(VLOOKUP(B28,EDW_FEEDER!$T$2:$AH$86,6,FALSE))=TRUE,"",VLOOKUP(B28,EDW_FEEDER!$T$2:$AH$86,6,FALSE))</f>
        <v>1489</v>
      </c>
      <c r="H28" s="259">
        <f>IF(ISNA(VLOOKUP(B28,EDW_FEEDER!$T$2:$AH$86,7,FALSE))=TRUE,"",VLOOKUP(B28,EDW_FEEDER!$T$2:$AH$86,7,FALSE))</f>
        <v>135.9</v>
      </c>
      <c r="I28" s="259">
        <f>IF(ISNA(VLOOKUP(B28,EDW_FEEDER!$T$2:$AH$86,8,FALSE))=TRUE,"",VLOOKUP(B28,EDW_FEEDER!$T$2:$AH$86,8,FALSE))</f>
        <v>119.5</v>
      </c>
      <c r="J28" s="260">
        <f>IF(ISNA(VLOOKUP(B28,Accuracy!$AD$7:$AQ$69,3,FALSE))=TRUE,"",VLOOKUP(B28,Accuracy!$AD$7:$AQ$69,3,FALSE))</f>
        <v>0.97089999999999999</v>
      </c>
      <c r="K28" s="260">
        <f>IF(ISNA(VLOOKUP(B28,Accuracy!$AD$7:$AQ$69,6,FALSE))=TRUE,"",VLOOKUP(B28,Accuracy!$AD$7:$AQ$69,6,FALSE))</f>
        <v>0.875</v>
      </c>
      <c r="L28" s="260">
        <f>IF(ISNA(VLOOKUP(B28,Accuracy!$AD$7:$AQ$69,9,FALSE))=TRUE,"",VLOOKUP(B28,Accuracy!$AD$7:$AQ$69,9,FALSE))</f>
        <v>0.93020000000000003</v>
      </c>
      <c r="M28" s="260">
        <f>IF(ISNA(VLOOKUP(B28,Accuracy!$AD$7:$AQ$69,12,FALSE))=TRUE,"",VLOOKUP(B28,Accuracy!$AD$7:$AQ$69,12,FALSE))</f>
        <v>0.98019999999999996</v>
      </c>
    </row>
    <row r="29" spans="2:13" x14ac:dyDescent="0.2">
      <c r="B29" s="112" t="str">
        <f>IF(ISBLANK(VLOOKUP($B$14,EDW_FEEDER!$A$117:$AK$121,16,FALSE))=TRUE,"",VLOOKUP($B$14,EDW_FEEDER!$A$117:$AK$121,16,FALSE))</f>
        <v>White River J.</v>
      </c>
      <c r="C29" s="258">
        <f>IF(ISNA(VLOOKUP($B29,EDW_FEEDER!$T$2:$AH$86,2,FALSE))=TRUE,"",VLOOKUP($B29,EDW_FEEDER!$T$2:$AH$86,2,FALSE))</f>
        <v>619</v>
      </c>
      <c r="D29" s="259">
        <f>IF(ISNA(VLOOKUP(B29,EDW_FEEDER!$T$2:$AH$86,3,FALSE))=TRUE,"",VLOOKUP(B29,EDW_FEEDER!$T$2:$AH$86,3,FALSE))</f>
        <v>147.6</v>
      </c>
      <c r="E29" s="260">
        <f>IF(ISNA(VLOOKUP(B29,EDW_FEEDER!$T$2:$AH$86,4,FALSE))=TRUE,"",VLOOKUP(B29,EDW_FEEDER!$T$2:$AH$870,4,FALSE))</f>
        <v>0.52019000000000004</v>
      </c>
      <c r="F29" s="258">
        <f>IF(ISNA(VLOOKUP(B29,EDW_FEEDER!$T$2:$AH$86,5,FALSE))=TRUE,"",VLOOKUP(B29,EDW_FEEDER!$T$2:$AH$86,5,FALSE))</f>
        <v>121</v>
      </c>
      <c r="G29" s="258">
        <f>IF(ISNA(VLOOKUP(B29,EDW_FEEDER!$T$2:$AH$86,6,FALSE))=TRUE,"",VLOOKUP(B29,EDW_FEEDER!$T$2:$AH$86,6,FALSE))</f>
        <v>416</v>
      </c>
      <c r="H29" s="259">
        <f>IF(ISNA(VLOOKUP(B29,EDW_FEEDER!$T$2:$AH$86,7,FALSE))=TRUE,"",VLOOKUP(B29,EDW_FEEDER!$T$2:$AH$86,7,FALSE))</f>
        <v>169.5</v>
      </c>
      <c r="I29" s="259">
        <f>IF(ISNA(VLOOKUP(B29,EDW_FEEDER!$T$2:$AH$86,8,FALSE))=TRUE,"",VLOOKUP(B29,EDW_FEEDER!$T$2:$AH$86,8,FALSE))</f>
        <v>157.9</v>
      </c>
      <c r="J29" s="260">
        <f>IF(ISNA(VLOOKUP(B29,Accuracy!$AD$7:$AQ$69,3,FALSE))=TRUE,"",VLOOKUP(B29,Accuracy!$AD$7:$AQ$69,3,FALSE))</f>
        <v>0.93530000000000002</v>
      </c>
      <c r="K29" s="260">
        <f>IF(ISNA(VLOOKUP(B29,Accuracy!$AD$7:$AQ$69,6,FALSE))=TRUE,"",VLOOKUP(B29,Accuracy!$AD$7:$AQ$69,6,FALSE))</f>
        <v>0.89090000000000003</v>
      </c>
      <c r="L29" s="260">
        <f>IF(ISNA(VLOOKUP(B29,Accuracy!$AD$7:$AQ$69,9,FALSE))=TRUE,"",VLOOKUP(B29,Accuracy!$AD$7:$AQ$69,9,FALSE))</f>
        <v>0.86799999999999999</v>
      </c>
      <c r="M29" s="260">
        <f>IF(ISNA(VLOOKUP(B29,Accuracy!$AD$7:$AQ$69,12,FALSE))=TRUE,"",VLOOKUP(B29,Accuracy!$AD$7:$AQ$69,12,FALSE))</f>
        <v>0.85250000000000004</v>
      </c>
    </row>
    <row r="30" spans="2:13" x14ac:dyDescent="0.2">
      <c r="B30" s="114" t="str">
        <f>IF(ISBLANK(VLOOKUP($B$14,EDW_FEEDER!$A$117:$AK$121,17,FALSE))=TRUE,"",VLOOKUP($B$14,EDW_FEEDER!$A$117:$AK$121,17,FALSE))</f>
        <v>Wilmington</v>
      </c>
      <c r="C30" s="258">
        <f>IF(ISNA(VLOOKUP($B30,EDW_FEEDER!$T$2:$AH$86,2,FALSE))=TRUE,"",VLOOKUP($B30,EDW_FEEDER!$T$2:$AH$86,2,FALSE))</f>
        <v>1328</v>
      </c>
      <c r="D30" s="259">
        <f>IF(ISNA(VLOOKUP(B30,EDW_FEEDER!$T$2:$AH$86,3,FALSE))=TRUE,"",VLOOKUP(B30,EDW_FEEDER!$T$2:$AH$86,3,FALSE))</f>
        <v>152.5</v>
      </c>
      <c r="E30" s="260">
        <f>IF(ISNA(VLOOKUP(B30,EDW_FEEDER!$T$2:$AH$86,4,FALSE))=TRUE,"",VLOOKUP(B30,EDW_FEEDER!$T$2:$AH$870,4,FALSE))</f>
        <v>0.51505999999999996</v>
      </c>
      <c r="F30" s="258">
        <f>IF(ISNA(VLOOKUP(B30,EDW_FEEDER!$T$2:$AH$86,5,FALSE))=TRUE,"",VLOOKUP(B30,EDW_FEEDER!$T$2:$AH$86,5,FALSE))</f>
        <v>140</v>
      </c>
      <c r="G30" s="258">
        <f>IF(ISNA(VLOOKUP(B30,EDW_FEEDER!$T$2:$AH$86,6,FALSE))=TRUE,"",VLOOKUP(B30,EDW_FEEDER!$T$2:$AH$86,6,FALSE))</f>
        <v>751</v>
      </c>
      <c r="H30" s="259">
        <f>IF(ISNA(VLOOKUP(B30,EDW_FEEDER!$T$2:$AH$86,7,FALSE))=TRUE,"",VLOOKUP(B30,EDW_FEEDER!$T$2:$AH$86,7,FALSE))</f>
        <v>236.8</v>
      </c>
      <c r="I30" s="259">
        <f>IF(ISNA(VLOOKUP(B30,EDW_FEEDER!$T$2:$AH$86,8,FALSE))=TRUE,"",VLOOKUP(B30,EDW_FEEDER!$T$2:$AH$86,8,FALSE))</f>
        <v>244</v>
      </c>
      <c r="J30" s="260">
        <f>IF(ISNA(VLOOKUP(B30,Accuracy!$AD$7:$AQ$69,3,FALSE))=TRUE,"",VLOOKUP(B30,Accuracy!$AD$7:$AQ$69,3,FALSE))</f>
        <v>0.93220000000000003</v>
      </c>
      <c r="K30" s="260">
        <f>IF(ISNA(VLOOKUP(B30,Accuracy!$AD$7:$AQ$69,6,FALSE))=TRUE,"",VLOOKUP(B30,Accuracy!$AD$7:$AQ$69,6,FALSE))</f>
        <v>0.86670000000000003</v>
      </c>
      <c r="L30" s="260">
        <f>IF(ISNA(VLOOKUP(B30,Accuracy!$AD$7:$AQ$69,9,FALSE))=TRUE,"",VLOOKUP(B30,Accuracy!$AD$7:$AQ$69,9,FALSE))</f>
        <v>0.87749999999999995</v>
      </c>
      <c r="M30" s="260">
        <f>IF(ISNA(VLOOKUP(B30,Accuracy!$AD$7:$AQ$69,12,FALSE))=TRUE,"",VLOOKUP(B30,Accuracy!$AD$7:$AQ$69,12,FALSE))</f>
        <v>0.90090000000000003</v>
      </c>
    </row>
    <row r="31" spans="2:13" x14ac:dyDescent="0.2">
      <c r="B31" s="505" t="s">
        <v>297</v>
      </c>
      <c r="C31" s="506"/>
      <c r="D31" s="506"/>
      <c r="E31" s="506"/>
      <c r="F31" s="506"/>
      <c r="G31" s="506"/>
      <c r="H31" s="506"/>
      <c r="I31" s="506"/>
      <c r="J31" s="506"/>
      <c r="K31" s="506"/>
      <c r="L31" s="506"/>
      <c r="M31" s="507"/>
    </row>
    <row r="32" spans="2:13" x14ac:dyDescent="0.2">
      <c r="B32" s="220" t="s">
        <v>387</v>
      </c>
      <c r="C32" s="258">
        <f>IF(ISNA(VLOOKUP("USAP",EDW_FEEDER!$T$2:$AH$86,2,FALSE))=TRUE,"",VLOOKUP("USAP",EDW_FEEDER!$T$2:$AH$86,2,FALSE))</f>
        <v>18845</v>
      </c>
      <c r="D32" s="259">
        <f>IF(ISNA(VLOOKUP("USAP",EDW_FEEDER!$T$2:$AH$86,3,FALSE))=TRUE,"",VLOOKUP("USAP",EDW_FEEDER!$T$2:$AH$86,3,FALSE))</f>
        <v>64.2</v>
      </c>
      <c r="E32" s="260">
        <f>IF(ISNA(VLOOKUP("USAP",EDW_FEEDER!$T$2:$AH$86,4,FALSE))=TRUE,"",VLOOKUP("USAP",EDW_FEEDER!$T$2:$AH$870,4,FALSE))</f>
        <v>0.10602</v>
      </c>
      <c r="F32" s="258">
        <f>IF(ISNA(VLOOKUP("USAP",EDW_FEEDER!$T$2:$AH$86,5,FALSE))=TRUE,"",VLOOKUP("USAP",EDW_FEEDER!$T$2:$AH$86,5,FALSE))</f>
        <v>10015</v>
      </c>
      <c r="G32" s="258">
        <f>IF(ISNA(VLOOKUP("USAP",EDW_FEEDER!$T$2:$AH$86,6,FALSE))=TRUE,"",VLOOKUP("USAP",EDW_FEEDER!$T$2:$AH$86,6,FALSE))</f>
        <v>45856</v>
      </c>
      <c r="H32" s="259">
        <f>IF(ISNA(VLOOKUP("USAP",EDW_FEEDER!$T$2:$AH$86,7,FALSE))=TRUE,"",VLOOKUP("USAP",EDW_FEEDER!$T$2:$AH$86,7,FALSE))</f>
        <v>70.900000000000006</v>
      </c>
      <c r="I32" s="259">
        <f>IF(ISNA(VLOOKUP("USAP",EDW_FEEDER!$T$2:$AH$86,8,FALSE))=TRUE,"",VLOOKUP("USAP",EDW_FEEDER!$T$2:$AH$86,8,FALSE))</f>
        <v>64.7</v>
      </c>
      <c r="J32" s="261"/>
      <c r="K32" s="260">
        <f>IF(ISNA(VLOOKUP("USA PMCs",Accuracy!$AD$70:$AQ$73,6,FALSE))=TRUE,"",VLOOKUP("USA PMCs",Accuracy!$AD$70:$AQ$73,6,FALSE))</f>
        <v>1</v>
      </c>
      <c r="L32" s="260">
        <f>IF(ISNA(VLOOKUP("USA PMCs",Accuracy!$AD$70:$AQ$73,9,FALSE))=TRUE,"",VLOOKUP("USA PMCs",Accuracy!$AD$70:$AQ$73,9,FALSE))</f>
        <v>0.996</v>
      </c>
      <c r="M32" s="290">
        <f>IF(ISNA(VLOOKUP("USA PMCs",Accuracy!$AD$70:$AQ$73,12,FALSE))=TRUE,"",VLOOKUP("USA PMCs",Accuracy!$AD$70:$AQ$73,12,FALSE))</f>
        <v>0.99070000000000003</v>
      </c>
    </row>
    <row r="33" spans="1:16" x14ac:dyDescent="0.2">
      <c r="B33" s="116" t="s">
        <v>245</v>
      </c>
      <c r="C33" s="258">
        <f>IF(ISNA(VLOOKUP($B33,EDW_FEEDER!$T$2:$AH$86,2,FALSE))=TRUE,"",VLOOKUP($B33,EDW_FEEDER!$T$2:$AH$86,2,FALSE))</f>
        <v>6702</v>
      </c>
      <c r="D33" s="259">
        <f>IF(ISNA(VLOOKUP(B33,EDW_FEEDER!$T$2:$AH$86,3,FALSE))=TRUE,"",VLOOKUP(B33,EDW_FEEDER!$T$2:$AH$86,3,FALSE))</f>
        <v>67.2</v>
      </c>
      <c r="E33" s="260">
        <f>IF(ISNA(VLOOKUP(B33,EDW_FEEDER!$T$2:$AH$86,4,FALSE))=TRUE,"",VLOOKUP(B33,EDW_FEEDER!$T$2:$AH$870,4,FALSE))</f>
        <v>0.10503999999999999</v>
      </c>
      <c r="F33" s="258">
        <f>IF(ISNA(VLOOKUP(B33,EDW_FEEDER!$T$2:$AH$86,5,FALSE))=TRUE,"",VLOOKUP(B33,EDW_FEEDER!$T$2:$AH$86,5,FALSE))</f>
        <v>3257</v>
      </c>
      <c r="G33" s="258">
        <f>IF(ISNA(VLOOKUP(B33,EDW_FEEDER!$T$2:$AH$86,6,FALSE))=TRUE,"",VLOOKUP(B33,EDW_FEEDER!$T$2:$AH$86,6,FALSE))</f>
        <v>13834</v>
      </c>
      <c r="H33" s="259">
        <f>IF(ISNA(VLOOKUP(B33,EDW_FEEDER!$T$2:$AH$86,7,FALSE))=TRUE,"",VLOOKUP(B33,EDW_FEEDER!$T$2:$AH$86,7,FALSE))</f>
        <v>82.5</v>
      </c>
      <c r="I33" s="259">
        <f>IF(ISNA(VLOOKUP(B33,EDW_FEEDER!$T$2:$AH$86,8,FALSE))=TRUE,"",VLOOKUP(B33,EDW_FEEDER!$T$2:$AH$86,8,FALSE))</f>
        <v>73.8</v>
      </c>
      <c r="J33" s="261"/>
      <c r="K33" s="260">
        <f>IF(ISNA(VLOOKUP(B33,Accuracy!$AD$70:$AQ$73,6,FALSE))=TRUE,"",VLOOKUP(B33,Accuracy!$AD$70:$AQ$73,6,FALSE))</f>
        <v>1</v>
      </c>
      <c r="L33" s="260">
        <f>IF(ISNA(VLOOKUP(B33,Accuracy!$AD$70:$AQ$73,9,FALSE))=TRUE,"",VLOOKUP(B33,Accuracy!$AD$70:$AQ$73,9,FALSE))</f>
        <v>0.9919</v>
      </c>
      <c r="M33" s="290">
        <f>IF(ISNA(VLOOKUP(B33,Accuracy!$AD$70:$AQ$73,12,FALSE))=TRUE,"",VLOOKUP(B33,Accuracy!$AD$70:$AQ$73,12,FALSE))</f>
        <v>0.9839</v>
      </c>
    </row>
    <row r="34" spans="1:16" x14ac:dyDescent="0.2">
      <c r="A34" s="16"/>
      <c r="B34" s="116" t="s">
        <v>243</v>
      </c>
      <c r="C34" s="258">
        <f>IF(ISNA(VLOOKUP($B34,EDW_FEEDER!$T$2:$AH$86,2,FALSE))=TRUE,"",VLOOKUP($B34,EDW_FEEDER!$T$2:$AH$86,2,FALSE))</f>
        <v>4903</v>
      </c>
      <c r="D34" s="259">
        <f>IF(ISNA(VLOOKUP(B34,EDW_FEEDER!$T$2:$AH$86,3,FALSE))=TRUE,"",VLOOKUP(B34,EDW_FEEDER!$T$2:$AH$86,3,FALSE))</f>
        <v>56.5</v>
      </c>
      <c r="E34" s="260">
        <f>IF(ISNA(VLOOKUP(B34,EDW_FEEDER!$T$2:$AH$86,4,FALSE))=TRUE,"",VLOOKUP(B34,EDW_FEEDER!$T$2:$AH$870,4,FALSE))</f>
        <v>9.9529999999999993E-2</v>
      </c>
      <c r="F34" s="258">
        <f>IF(ISNA(VLOOKUP(B34,EDW_FEEDER!$T$2:$AH$86,5,FALSE))=TRUE,"",VLOOKUP(B34,EDW_FEEDER!$T$2:$AH$86,5,FALSE))</f>
        <v>2753</v>
      </c>
      <c r="G34" s="258">
        <f>IF(ISNA(VLOOKUP(B34,EDW_FEEDER!$T$2:$AH$86,6,FALSE))=TRUE,"",VLOOKUP(B34,EDW_FEEDER!$T$2:$AH$86,6,FALSE))</f>
        <v>12624</v>
      </c>
      <c r="H34" s="259">
        <f>IF(ISNA(VLOOKUP(B34,EDW_FEEDER!$T$2:$AH$86,7,FALSE))=TRUE,"",VLOOKUP(B34,EDW_FEEDER!$T$2:$AH$86,7,FALSE))</f>
        <v>61.9</v>
      </c>
      <c r="I34" s="259">
        <f>IF(ISNA(VLOOKUP(B34,EDW_FEEDER!$T$2:$AH$86,8,FALSE))=TRUE,"",VLOOKUP(B34,EDW_FEEDER!$T$2:$AH$86,8,FALSE))</f>
        <v>56.9</v>
      </c>
      <c r="J34" s="261"/>
      <c r="K34" s="260">
        <f>IF(ISNA(VLOOKUP(B34,Accuracy!$AD$70:$AQ$73,6,FALSE))=TRUE,"",VLOOKUP(B34,Accuracy!$AD$70:$AQ$73,6,FALSE))</f>
        <v>1</v>
      </c>
      <c r="L34" s="260">
        <f>IF(ISNA(VLOOKUP(B34,Accuracy!$AD$70:$AQ$73,9,FALSE))=TRUE,"",VLOOKUP(B34,Accuracy!$AD$70:$AQ$73,9,FALSE))</f>
        <v>0.99590000000000001</v>
      </c>
      <c r="M34" s="290">
        <f>IF(ISNA(VLOOKUP(B34,Accuracy!$AD$70:$AQ$73,12,FALSE))=TRUE,"",VLOOKUP(B34,Accuracy!$AD$70:$AQ$73,12,FALSE))</f>
        <v>0.99199999999999999</v>
      </c>
    </row>
    <row r="35" spans="1:16" x14ac:dyDescent="0.2">
      <c r="B35" s="116" t="s">
        <v>251</v>
      </c>
      <c r="C35" s="258">
        <f>IF(ISNA(VLOOKUP($B35,EDW_FEEDER!$T$2:$AH$86,2,FALSE))=TRUE,"",VLOOKUP($B35,EDW_FEEDER!$T$2:$AH$86,2,FALSE))</f>
        <v>6573</v>
      </c>
      <c r="D35" s="259">
        <f>IF(ISNA(VLOOKUP(B35,EDW_FEEDER!$T$2:$AH$86,3,FALSE))=TRUE,"",VLOOKUP(B35,EDW_FEEDER!$T$2:$AH$86,3,FALSE))</f>
        <v>55.5</v>
      </c>
      <c r="E35" s="260">
        <f>IF(ISNA(VLOOKUP(B35,EDW_FEEDER!$T$2:$AH$86,4,FALSE))=TRUE,"",VLOOKUP(B35,EDW_FEEDER!$T$2:$AH$870,4,FALSE))</f>
        <v>6.8010000000000001E-2</v>
      </c>
      <c r="F35" s="258">
        <f>IF(ISNA(VLOOKUP(B35,EDW_FEEDER!$T$2:$AH$86,5,FALSE))=TRUE,"",VLOOKUP(B35,EDW_FEEDER!$T$2:$AH$86,5,FALSE))</f>
        <v>3624</v>
      </c>
      <c r="G35" s="258">
        <f>IF(ISNA(VLOOKUP(B35,EDW_FEEDER!$T$2:$AH$86,6,FALSE))=TRUE,"",VLOOKUP(B35,EDW_FEEDER!$T$2:$AH$86,6,FALSE))</f>
        <v>17568</v>
      </c>
      <c r="H35" s="259">
        <f>IF(ISNA(VLOOKUP(B35,EDW_FEEDER!$T$2:$AH$86,7,FALSE))=TRUE,"",VLOOKUP(B35,EDW_FEEDER!$T$2:$AH$86,7,FALSE))</f>
        <v>68.8</v>
      </c>
      <c r="I35" s="259">
        <f>IF(ISNA(VLOOKUP(B35,EDW_FEEDER!$T$2:$AH$86,8,FALSE))=TRUE,"",VLOOKUP(B35,EDW_FEEDER!$T$2:$AH$86,8,FALSE))</f>
        <v>63.9</v>
      </c>
      <c r="J35" s="261"/>
      <c r="K35" s="260">
        <f>IF(ISNA(VLOOKUP(B35,Accuracy!$AD$70:$AQ$73,6,FALSE))=TRUE,"",VLOOKUP(B35,Accuracy!$AD$70:$AQ$73,6,FALSE))</f>
        <v>1</v>
      </c>
      <c r="L35" s="260">
        <f>IF(ISNA(VLOOKUP(B35,Accuracy!$AD$70:$AQ$73,9,FALSE))=TRUE,"",VLOOKUP(B35,Accuracy!$AD$70:$AQ$73,9,FALSE))</f>
        <v>1</v>
      </c>
      <c r="M35" s="290">
        <f>IF(ISNA(VLOOKUP(B35,Accuracy!$AD$70:$AQ$73,12,FALSE))=TRUE,"",VLOOKUP(B35,Accuracy!$AD$70:$AQ$73,12,FALSE))</f>
        <v>0.996</v>
      </c>
    </row>
    <row r="36" spans="1:16" x14ac:dyDescent="0.2">
      <c r="B36" s="117" t="s">
        <v>433</v>
      </c>
      <c r="C36" s="258">
        <f>IF(ISNA(VLOOKUP($B36,EDW_FEEDER!$T$2:$AH$86,2,FALSE))=TRUE,"",VLOOKUP($B36,EDW_FEEDER!$T$2:$AH$86,2,FALSE))</f>
        <v>667</v>
      </c>
      <c r="D36" s="259">
        <f>IF(ISNA(VLOOKUP(B36,EDW_FEEDER!$T$2:$AH$86,3,FALSE))=TRUE,"",VLOOKUP(B36,EDW_FEEDER!$T$2:$AH$86,3,FALSE))</f>
        <v>175.3</v>
      </c>
      <c r="E36" s="260">
        <f>IF(ISNA(VLOOKUP(B36,EDW_FEEDER!$T$2:$AH$86,4,FALSE))=TRUE,"",VLOOKUP(B36,EDW_FEEDER!$T$2:$AH$870,4,FALSE))</f>
        <v>0.53822999999999999</v>
      </c>
      <c r="F36" s="258">
        <f>IF(ISNA(VLOOKUP(B36,EDW_FEEDER!$T$2:$AH$86,5,FALSE))=TRUE,"",VLOOKUP(B36,EDW_FEEDER!$T$2:$AH$86,5,FALSE))</f>
        <v>381</v>
      </c>
      <c r="G36" s="258">
        <f>IF(ISNA(VLOOKUP(B36,EDW_FEEDER!$T$2:$AH$86,6,FALSE))=TRUE,"",VLOOKUP(B36,EDW_FEEDER!$T$2:$AH$86,6,FALSE))</f>
        <v>1830</v>
      </c>
      <c r="H36" s="259">
        <f>IF(ISNA(VLOOKUP(B36,EDW_FEEDER!$T$2:$AH$86,7,FALSE))=TRUE,"",VLOOKUP(B36,EDW_FEEDER!$T$2:$AH$86,7,FALSE))</f>
        <v>56.8</v>
      </c>
      <c r="I36" s="259">
        <f>IF(ISNA(VLOOKUP(B36,EDW_FEEDER!$T$2:$AH$86,8,FALSE))=TRUE,"",VLOOKUP(B36,EDW_FEEDER!$T$2:$AH$86,8,FALSE))</f>
        <v>57.1</v>
      </c>
      <c r="J36" s="261"/>
      <c r="K36" s="261" t="str">
        <f>IF(ISNA(VLOOKUP(B36,Accuracy!$AD$70:$AQ$73,6,FALSE))=TRUE,"",VLOOKUP(B36,Accuracy!$AD$70:$AQ$73,6,FALSE))</f>
        <v/>
      </c>
      <c r="L36" s="261" t="str">
        <f>IF(ISNA(VLOOKUP(B36,Accuracy!$AD$70:$AQ$73,9,FALSE))=TRUE,"",VLOOKUP(B36,Accuracy!$AD$70:$AQ$73,9,FALSE))</f>
        <v/>
      </c>
      <c r="M36" s="261" t="str">
        <f>IF(ISNA(VLOOKUP(B36,Accuracy!$AD$70:$AQ$73,9,FALSE))=TRUE,"",VLOOKUP(B36,Accuracy!$AD$70:$AQ$73,9,FALSE))</f>
        <v/>
      </c>
    </row>
    <row r="37" spans="1:16" x14ac:dyDescent="0.2">
      <c r="B37" s="505" t="s">
        <v>298</v>
      </c>
      <c r="C37" s="508"/>
      <c r="D37" s="508"/>
      <c r="E37" s="508"/>
      <c r="F37" s="508"/>
      <c r="G37" s="508"/>
      <c r="H37" s="508"/>
      <c r="I37" s="508"/>
      <c r="J37" s="508"/>
      <c r="K37" s="508"/>
      <c r="L37" s="508"/>
      <c r="M37" s="509"/>
    </row>
    <row r="38" spans="1:16" x14ac:dyDescent="0.2">
      <c r="B38" s="222" t="s">
        <v>388</v>
      </c>
      <c r="C38" s="258">
        <f>IF(ISNA(VLOOKUP("USAQ",EDW_FEEDER!$T$2:$AH$86,2,FALSE))=TRUE,"",VLOOKUP("USAQ",EDW_FEEDER!$T$2:$AH$86,2,FALSE))</f>
        <v>9843</v>
      </c>
      <c r="D38" s="259">
        <f>IF(ISNA(VLOOKUP("USAQ",EDW_FEEDER!$T$2:$AH$86,3,FALSE))=TRUE,"",VLOOKUP("USAQ",EDW_FEEDER!$T$2:$AH$86,3,FALSE))</f>
        <v>94</v>
      </c>
      <c r="E38" s="260">
        <f>IF(ISNA(VLOOKUP("USAQ",EDW_FEEDER!$T$2:$AH$86,4,FALSE))=TRUE,"",VLOOKUP("USAQ",EDW_FEEDER!$T$2:$AH$86,4,FALSE))</f>
        <v>0.26577000000000001</v>
      </c>
      <c r="F38" s="258">
        <f>IF(ISNA(VLOOKUP("USAQ",EDW_FEEDER!$T$2:$AH$86,5,FALSE))=TRUE,"",VLOOKUP("USAQ",EDW_FEEDER!$T$2:$AH$86,5,FALSE))</f>
        <v>1653</v>
      </c>
      <c r="G38" s="258">
        <f>IF(ISNA(VLOOKUP("USAQ",EDW_FEEDER!$T$2:$AH$86,6,FALSE))=TRUE,"",VLOOKUP("USAQ",EDW_FEEDER!$T$2:$AH$86,6,FALSE))</f>
        <v>7735</v>
      </c>
      <c r="H38" s="259">
        <f>IF(ISNA(VLOOKUP("USAQ",EDW_FEEDER!$T$2:$AH$86,7,FALSE))=TRUE,"",VLOOKUP("USAQ",EDW_FEEDER!$T$2:$AH$86,7,FALSE))</f>
        <v>145.4</v>
      </c>
      <c r="I38" s="259">
        <f>IF(ISNA(VLOOKUP("USAQ",EDW_FEEDER!$T$2:$AH$86,8,FALSE))=TRUE,"",VLOOKUP("USAQ",EDW_FEEDER!$T$2:$AH$86,8,FALSE))</f>
        <v>127.9</v>
      </c>
      <c r="J38" s="261"/>
      <c r="K38" s="261"/>
      <c r="L38" s="261"/>
      <c r="M38" s="261"/>
    </row>
    <row r="39" spans="1:16" x14ac:dyDescent="0.2">
      <c r="B39" s="221" t="s">
        <v>85</v>
      </c>
      <c r="C39" s="258">
        <f>IF(ISNA(VLOOKUP("San Diego QS",EDW_FEEDER!$T$2:$AH$86,2,FALSE))=TRUE,"",VLOOKUP("San Diego QS",EDW_FEEDER!$T$2:$AH$86,2,FALSE))</f>
        <v>2848</v>
      </c>
      <c r="D39" s="259">
        <f>IF(ISNA(VLOOKUP("San Diego QS",EDW_FEEDER!$T$2:$AH$86,3,FALSE))=TRUE,"",VLOOKUP("San Diego QS",EDW_FEEDER!$T$2:$AH$86,3,FALSE))</f>
        <v>96</v>
      </c>
      <c r="E39" s="260">
        <f>IF(ISNA(VLOOKUP("San Diego QS",EDW_FEEDER!$T$2:$AH$86,4,FALSE))=TRUE,"",VLOOKUP("San Diego QS",EDW_FEEDER!$T$2:$AH$86,4,FALSE))</f>
        <v>0.29565000000000002</v>
      </c>
      <c r="F39" s="258">
        <f>IF(ISNA(VLOOKUP("San Diego QS",EDW_FEEDER!$T$2:$AH$86,5,FALSE))=TRUE,"",VLOOKUP("San Diego QS",EDW_FEEDER!$T$2:$AH$86,5,FALSE))</f>
        <v>731</v>
      </c>
      <c r="G39" s="258">
        <f>IF(ISNA(VLOOKUP("San Diego QS",EDW_FEEDER!$T$2:$AH$86,6,FALSE))=TRUE,"",VLOOKUP("San Diego QS",EDW_FEEDER!$T$2:$AH$86,6,FALSE))</f>
        <v>3561</v>
      </c>
      <c r="H39" s="259">
        <f>IF(ISNA(VLOOKUP("San Diego QS",EDW_FEEDER!$T$2:$AH$86,7,FALSE))=TRUE,"",VLOOKUP("San Diego QS",EDW_FEEDER!$T$2:$AH$86,7,FALSE))</f>
        <v>138.6</v>
      </c>
      <c r="I39" s="259">
        <f>IF(ISNA(VLOOKUP("San Diego QS",EDW_FEEDER!$T$2:$AH$86,8,FALSE))=TRUE,"",VLOOKUP("San Diego QS",EDW_FEEDER!$T$2:$AH$86,8,FALSE))</f>
        <v>115.2</v>
      </c>
      <c r="J39" s="261"/>
      <c r="K39" s="261"/>
      <c r="L39" s="261"/>
      <c r="M39" s="261"/>
      <c r="N39" s="49"/>
      <c r="O39" s="49"/>
      <c r="P39" s="49"/>
    </row>
    <row r="40" spans="1:16" x14ac:dyDescent="0.2">
      <c r="B40" s="221" t="s">
        <v>97</v>
      </c>
      <c r="C40" s="258">
        <f>IF(ISNA(VLOOKUP("Winston-Salem QS",EDW_FEEDER!$T$2:$AH$86,2,FALSE))=TRUE,"",VLOOKUP("Winston-Salem QS",EDW_FEEDER!$T$2:$AH$86,2,FALSE))</f>
        <v>4233</v>
      </c>
      <c r="D40" s="259">
        <f>IF(ISNA(VLOOKUP("Winston-Salem QS",EDW_FEEDER!$T$2:$AH$86,3,FALSE))=TRUE,"",VLOOKUP("Winston-Salem QS",EDW_FEEDER!$T$2:$AH$86,3,FALSE))</f>
        <v>105.3</v>
      </c>
      <c r="E40" s="260">
        <f>IF(ISNA(VLOOKUP("Winston-Salem QS",EDW_FEEDER!$T$2:$AH$86,4,FALSE))=TRUE,"",VLOOKUP("Winston-Salem QS",EDW_FEEDER!$T$2:$AH$86,4,FALSE))</f>
        <v>0.31820999999999999</v>
      </c>
      <c r="F40" s="258">
        <f>IF(ISNA(VLOOKUP("Winston-Salem QS",EDW_FEEDER!$T$2:$AH$86,5,FALSE))=TRUE,"",VLOOKUP("Winston-Salem QS",EDW_FEEDER!$T$2:$AH$86,5,FALSE))</f>
        <v>692</v>
      </c>
      <c r="G40" s="258">
        <f>IF(ISNA(VLOOKUP("Winston-Salem QS",EDW_FEEDER!$T$2:$AH$86,6,FALSE))=TRUE,"",VLOOKUP("Winston-Salem QS",EDW_FEEDER!$T$2:$AH$86,6,FALSE))</f>
        <v>3439</v>
      </c>
      <c r="H40" s="259">
        <f>IF(ISNA(VLOOKUP("Winston-Salem QS",EDW_FEEDER!$T$2:$AH$86,7,FALSE))=TRUE,"",VLOOKUP("Winston-Salem QS",EDW_FEEDER!$T$2:$AH$870,7,FALSE))</f>
        <v>157.6</v>
      </c>
      <c r="I40" s="259">
        <f>IF(ISNA(VLOOKUP("Winston-Salem QS",EDW_FEEDER!$T$2:$AH$86,8,FALSE))=TRUE,"",VLOOKUP("Winston-Salem QS",EDW_FEEDER!$T$2:$AH$86,8,FALSE))</f>
        <v>139.9</v>
      </c>
      <c r="J40" s="261"/>
      <c r="K40" s="261"/>
      <c r="L40" s="261"/>
      <c r="M40" s="261"/>
      <c r="N40" s="87"/>
      <c r="O40" s="88"/>
      <c r="P40" s="88"/>
    </row>
    <row r="41" spans="1:16" x14ac:dyDescent="0.2">
      <c r="B41" s="115" t="s">
        <v>432</v>
      </c>
      <c r="C41" s="258">
        <f>IF(ISNA(VLOOKUP(B41,EDW_FEEDER!$T$2:$AH$86,2,FALSE))=TRUE,"",VLOOKUP(B41,EDW_FEEDER!$T$2:$AH$86,2,FALSE))</f>
        <v>2762</v>
      </c>
      <c r="D41" s="259">
        <f>IF(ISNA(VLOOKUP(B41,EDW_FEEDER!$T$2:$AH$86,3,FALSE))=TRUE,"",VLOOKUP(B41,EDW_FEEDER!$T$2:$AH$86,3,FALSE))</f>
        <v>74.599999999999994</v>
      </c>
      <c r="E41" s="260">
        <f>IF(ISNA(VLOOKUP(B41,EDW_FEEDER!$T$2:$AH$86,4,FALSE))=TRUE,"",VLOOKUP(B41,EDW_FEEDER!$T$2:$AH$86,4,FALSE))</f>
        <v>0.15459999999999999</v>
      </c>
      <c r="F41" s="258">
        <f>IF(ISNA(VLOOKUP(B41,EDW_FEEDER!$T$2:$AH$86,5,FALSE))=TRUE,"",VLOOKUP(B41,EDW_FEEDER!$T$2:$AH$86,5,FALSE))</f>
        <v>230</v>
      </c>
      <c r="G41" s="258">
        <f>IF(ISNA(VLOOKUP(B41,EDW_FEEDER!$T$2:$AH$86,6,FALSE))=TRUE,"",VLOOKUP(B41,EDW_FEEDER!$T$2:$AH$86,6,FALSE))</f>
        <v>735</v>
      </c>
      <c r="H41" s="259">
        <f>IF(ISNA(VLOOKUP(B41,EDW_FEEDER!$T$2:$AH$86,7,FALSE))=TRUE,"",VLOOKUP(B41,EDW_FEEDER!$T$2:$AH$870,7,FALSE))</f>
        <v>130.5</v>
      </c>
      <c r="I41" s="259">
        <f>IF(ISNA(VLOOKUP(B41,EDW_FEEDER!$T$2:$AH$86,8,FALSE))=TRUE,"",VLOOKUP(B41,EDW_FEEDER!$T$2:$AH$86,8,FALSE))</f>
        <v>132.69999999999999</v>
      </c>
      <c r="J41" s="261"/>
      <c r="K41" s="261"/>
      <c r="L41" s="261"/>
      <c r="M41" s="261"/>
      <c r="N41" s="87"/>
      <c r="O41" s="88"/>
      <c r="P41" s="88"/>
    </row>
    <row r="42" spans="1:16" x14ac:dyDescent="0.2">
      <c r="B42" s="505" t="s">
        <v>299</v>
      </c>
      <c r="C42" s="508"/>
      <c r="D42" s="508"/>
      <c r="E42" s="508"/>
      <c r="F42" s="508"/>
      <c r="G42" s="508"/>
      <c r="H42" s="508"/>
      <c r="I42" s="508"/>
      <c r="J42" s="508"/>
      <c r="K42" s="508"/>
      <c r="L42" s="508"/>
      <c r="M42" s="509"/>
      <c r="N42" s="87"/>
      <c r="O42" s="88"/>
      <c r="P42" s="88"/>
    </row>
    <row r="43" spans="1:16" ht="25.5" x14ac:dyDescent="0.2">
      <c r="B43" s="222" t="s">
        <v>398</v>
      </c>
      <c r="C43" s="258">
        <f>IF(ISNA(VLOOKUP("USAB",EDW_FEEDER!$T$2:$AH$86,2,FALSE))=TRUE,"",VLOOKUP("USAB",EDW_FEEDER!$T$2:$AH$86,2,FALSE))</f>
        <v>10680</v>
      </c>
      <c r="D43" s="259">
        <f>IF(ISNA(VLOOKUP("USAB",EDW_FEEDER!$T$2:$AH$86,3,FALSE))=TRUE,"",VLOOKUP("USAB",EDW_FEEDER!$T$2:$AH$86,3,FALSE))</f>
        <v>99.4</v>
      </c>
      <c r="E43" s="260">
        <f>IF(ISNA(VLOOKUP("USAB",EDW_FEEDER!$T$2:$AH$86,4,FALSE))=TRUE,"",VLOOKUP("USAB",EDW_FEEDER!$T$2:$AH$86,4,FALSE))</f>
        <v>0.27696999999999999</v>
      </c>
      <c r="F43" s="258">
        <f>IF(ISNA(VLOOKUP("USAB",EDW_FEEDER!$T$2:$AH$86,5,FALSE))=TRUE,"",VLOOKUP("USAB",EDW_FEEDER!$T$2:$AH$86,5,FALSE))</f>
        <v>1503</v>
      </c>
      <c r="G43" s="258">
        <f>IF(ISNA(VLOOKUP("USAB",EDW_FEEDER!$T$2:$AH$86,6,FALSE))=TRUE,"",VLOOKUP("USAB",EDW_FEEDER!$T$2:$AH$870,6,FALSE))</f>
        <v>7704</v>
      </c>
      <c r="H43" s="259">
        <f>IF(ISNA(VLOOKUP("USAB",EDW_FEEDER!$T$2:$AH$86,7,FALSE))=TRUE,"",VLOOKUP("USAB",EDW_FEEDER!$T$2:$AH$86,7,FALSE))</f>
        <v>159.30000000000001</v>
      </c>
      <c r="I43" s="259">
        <f>IF(ISNA(VLOOKUP("USAB",EDW_FEEDER!$T$2:$AH$86,8,FALSE))=TRUE,"",VLOOKUP("USAB",EDW_FEEDER!$T$2:$AH$86,8,FALSE))</f>
        <v>149.5</v>
      </c>
      <c r="J43" s="261"/>
      <c r="K43" s="261"/>
      <c r="L43" s="261"/>
      <c r="M43" s="261"/>
      <c r="N43" s="87"/>
      <c r="O43" s="88"/>
      <c r="P43" s="88"/>
    </row>
    <row r="44" spans="1:16" x14ac:dyDescent="0.2">
      <c r="B44" s="221" t="s">
        <v>97</v>
      </c>
      <c r="C44" s="258">
        <f>IF(ISNA(VLOOKUP("Winston-Salem BDD",EDW_FEEDER!$T$2:$AH$86,2,FALSE))=TRUE,"",VLOOKUP("Winston-Salem BDD",EDW_FEEDER!$T$2:$AH$86,2,FALSE))</f>
        <v>3757</v>
      </c>
      <c r="D44" s="259">
        <f>IF(ISNA(VLOOKUP("Winston-Salem BDD",EDW_FEEDER!$T$2:$AH$86,3,FALSE))=TRUE,"",VLOOKUP("Winston-Salem BDD",EDW_FEEDER!$T$2:$AH$86,3,FALSE))</f>
        <v>87</v>
      </c>
      <c r="E44" s="260">
        <f>IF(ISNA(VLOOKUP("Winston-Salem BDD",EDW_FEEDER!$T$2:$AH$86,4,FALSE))=TRUE,"",VLOOKUP("Winston-Salem BDD",EDW_FEEDER!$T$2:$AH$86,4,FALSE))</f>
        <v>0.18498999999999999</v>
      </c>
      <c r="F44" s="258">
        <f>IF(ISNA(VLOOKUP("Winston-Salem BDD",EDW_FEEDER!$T$2:$AH$86,5,FALSE))=TRUE,"",VLOOKUP("Winston-Salem BDD",EDW_FEEDER!$T$2:$AH$86,5,FALSE))</f>
        <v>490</v>
      </c>
      <c r="G44" s="258">
        <f>IF(ISNA(VLOOKUP("Winston-Salem BDD",EDW_FEEDER!$T$2:$AH$86,6,FALSE))=TRUE,"",VLOOKUP("Winston-Salem BDD",EDW_FEEDER!$T$2:$AH$870,6,FALSE))</f>
        <v>2916</v>
      </c>
      <c r="H44" s="259">
        <f>IF(ISNA(VLOOKUP("Winston-Salem BDD",EDW_FEEDER!$T$2:$AH$86,7,FALSE))=TRUE,"",VLOOKUP("Winston-Salem BDD",EDW_FEEDER!$T$2:$AH$86,7,FALSE))</f>
        <v>117.2</v>
      </c>
      <c r="I44" s="259">
        <f>IF(ISNA(VLOOKUP("Winston-Salem BDD",EDW_FEEDER!$T$2:$AH$86,8,FALSE))=TRUE,"",VLOOKUP("Winston-Salem BDD",EDW_FEEDER!$T$2:$AH$86,8,FALSE))</f>
        <v>96.8</v>
      </c>
      <c r="J44" s="261"/>
      <c r="K44" s="261"/>
      <c r="L44" s="261"/>
      <c r="M44" s="261"/>
    </row>
    <row r="45" spans="1:16" x14ac:dyDescent="0.2">
      <c r="B45" s="221" t="s">
        <v>84</v>
      </c>
      <c r="C45" s="258">
        <f>IF(ISNA(VLOOKUP("Salt Lake City BDD",EDW_FEEDER!$T$2:$AH$86,2,FALSE))=TRUE,"",VLOOKUP("Salt Lake City BDD",EDW_FEEDER!$T$2:$AH$86,2,FALSE))</f>
        <v>5059</v>
      </c>
      <c r="D45" s="259">
        <f>IF(ISNA(VLOOKUP("Salt Lake City BDD",EDW_FEEDER!$T$2:$AH$86,3,FALSE))=TRUE,"",VLOOKUP("Salt Lake City BDD",EDW_FEEDER!$T$2:$AH$86,3,FALSE))</f>
        <v>113.8</v>
      </c>
      <c r="E45" s="260">
        <f>IF(ISNA(VLOOKUP("Salt Lake City BDD",EDW_FEEDER!$T$2:$AH$86,4,FALSE))=TRUE,"",VLOOKUP("Salt Lake City BDD",EDW_FEEDER!$T$2:$AH$86,4,FALSE))</f>
        <v>0.37201000000000001</v>
      </c>
      <c r="F45" s="258">
        <f>IF(ISNA(VLOOKUP("Salt Lake City BDD",EDW_FEEDER!$T$2:$AH$86,5,FALSE))=TRUE,"",VLOOKUP("Salt Lake City BDD",EDW_FEEDER!$T$2:$AH$86,5,FALSE))</f>
        <v>856</v>
      </c>
      <c r="G45" s="258">
        <f>IF(ISNA(VLOOKUP("Salt Lake City BDD",EDW_FEEDER!$T$2:$AH$86,6,FALSE))=TRUE,"",VLOOKUP("Salt Lake City BDD",EDW_FEEDER!$T$2:$AH$86,6,FALSE))</f>
        <v>4164</v>
      </c>
      <c r="H45" s="259">
        <f>IF(ISNA(VLOOKUP("Salt Lake City BDD",EDW_FEEDER!$T$2:$AH$86,7,FALSE))=TRUE,"",VLOOKUP("Salt Lake City BDD",EDW_FEEDER!$T$2:$AH$870,7,FALSE))</f>
        <v>179.1</v>
      </c>
      <c r="I45" s="259">
        <f>IF(ISNA(VLOOKUP("Salt Lake City BDD",EDW_FEEDER!$T$2:$AH$86,8,FALSE))=TRUE,"",VLOOKUP("Salt Lake City BDD",EDW_FEEDER!$T$2:$AH$86,8,FALSE))</f>
        <v>183.9</v>
      </c>
      <c r="J45" s="261"/>
      <c r="K45" s="261"/>
      <c r="L45" s="261"/>
      <c r="M45" s="261"/>
    </row>
    <row r="46" spans="1:16" x14ac:dyDescent="0.2">
      <c r="B46" s="115" t="s">
        <v>434</v>
      </c>
      <c r="C46" s="258">
        <f>IF(ISNA(VLOOKUP(B46,EDW_FEEDER!$T$2:$AH$86,2,FALSE))=TRUE,"",VLOOKUP(B46,EDW_FEEDER!$T$2:$AH$86,2,FALSE))</f>
        <v>1864</v>
      </c>
      <c r="D46" s="259">
        <f>IF(ISNA(VLOOKUP(B46,EDW_FEEDER!$T$2:$AH$86,3,FALSE))=TRUE,"",VLOOKUP(B46,EDW_FEEDER!$T$2:$AH$86,3,FALSE))</f>
        <v>85.1</v>
      </c>
      <c r="E46" s="260">
        <f>IF(ISNA(VLOOKUP(B46,EDW_FEEDER!$T$2:$AH$86,4,FALSE))=TRUE,"",VLOOKUP(B46,EDW_FEEDER!$T$2:$AH$86,4,FALSE))</f>
        <v>0.2044</v>
      </c>
      <c r="F46" s="258">
        <f>IF(ISNA(VLOOKUP(B46,EDW_FEEDER!$T$2:$AH$86,5,FALSE))=TRUE,"",VLOOKUP(B46,EDW_FEEDER!$T$2:$AH$86,5,FALSE))</f>
        <v>157</v>
      </c>
      <c r="G46" s="258">
        <f>IF(ISNA(VLOOKUP(B46,EDW_FEEDER!$T$2:$AH$86,6,FALSE))=TRUE,"",VLOOKUP(B46,EDW_FEEDER!$T$2:$AH$86,6,FALSE))</f>
        <v>624</v>
      </c>
      <c r="H46" s="259">
        <f>IF(ISNA(VLOOKUP(B46,EDW_FEEDER!$T$2:$AH$86,7,FALSE))=TRUE,"",VLOOKUP(B46,EDW_FEEDER!$T$2:$AH$870,7,FALSE))</f>
        <v>182.9</v>
      </c>
      <c r="I46" s="259">
        <f>IF(ISNA(VLOOKUP(B46,EDW_FEEDER!$T$2:$AH$86,8,FALSE))=TRUE,"",VLOOKUP(B46,EDW_FEEDER!$T$2:$AH$86,8,FALSE))</f>
        <v>166.7</v>
      </c>
      <c r="J46" s="261"/>
      <c r="K46" s="261"/>
      <c r="L46" s="261"/>
      <c r="M46" s="261"/>
    </row>
    <row r="48" spans="1:16" ht="12.75" customHeight="1" x14ac:dyDescent="0.2">
      <c r="C48" s="226"/>
      <c r="D48" s="226"/>
      <c r="E48" s="226"/>
      <c r="F48" s="226"/>
      <c r="G48" s="226"/>
      <c r="H48" s="226"/>
      <c r="I48" s="226"/>
      <c r="J48" s="226"/>
      <c r="K48" s="226"/>
      <c r="L48" s="226"/>
      <c r="M48" s="226"/>
    </row>
    <row r="49" spans="2:13" ht="12.75" customHeight="1" x14ac:dyDescent="0.2">
      <c r="B49" s="227"/>
      <c r="C49" s="227"/>
      <c r="D49" s="227"/>
      <c r="E49" s="227"/>
      <c r="F49" s="227"/>
      <c r="G49" s="227"/>
      <c r="H49" s="227"/>
      <c r="I49" s="227"/>
      <c r="J49" s="227"/>
      <c r="K49" s="227"/>
      <c r="L49" s="227"/>
      <c r="M49" s="227"/>
    </row>
    <row r="50" spans="2:13" ht="12.75" customHeight="1" x14ac:dyDescent="0.2">
      <c r="B50" s="227"/>
      <c r="C50" s="227"/>
      <c r="D50" s="227"/>
      <c r="E50" s="227"/>
      <c r="F50" s="227"/>
      <c r="G50" s="227"/>
      <c r="H50" s="227"/>
      <c r="I50" s="227"/>
      <c r="J50" s="227"/>
      <c r="K50" s="227"/>
      <c r="L50" s="227"/>
      <c r="M50" s="227"/>
    </row>
    <row r="51" spans="2:13" ht="12.75" customHeight="1" x14ac:dyDescent="0.2">
      <c r="B51" s="227"/>
      <c r="C51" s="227"/>
      <c r="D51" s="227"/>
      <c r="E51" s="227"/>
      <c r="F51" s="227"/>
      <c r="G51" s="227"/>
      <c r="H51" s="227"/>
      <c r="I51" s="227"/>
      <c r="J51" s="227"/>
      <c r="K51" s="227"/>
      <c r="L51" s="227"/>
      <c r="M51" s="227"/>
    </row>
    <row r="52" spans="2:13" ht="12.75" customHeight="1" x14ac:dyDescent="0.2">
      <c r="B52" s="227"/>
      <c r="C52" s="227"/>
      <c r="D52" s="227"/>
      <c r="E52" s="227"/>
      <c r="F52" s="227"/>
      <c r="G52" s="227"/>
      <c r="H52" s="227"/>
      <c r="I52" s="227"/>
      <c r="J52" s="227"/>
      <c r="K52" s="227"/>
      <c r="L52" s="227"/>
      <c r="M52" s="227"/>
    </row>
    <row r="53" spans="2:13" ht="12.75" customHeight="1" x14ac:dyDescent="0.2">
      <c r="B53" s="227"/>
      <c r="C53" s="227"/>
      <c r="D53" s="227"/>
      <c r="E53" s="227"/>
      <c r="F53" s="227"/>
      <c r="G53" s="227"/>
      <c r="H53" s="227"/>
      <c r="I53" s="227"/>
      <c r="J53" s="227"/>
      <c r="K53" s="227"/>
      <c r="L53" s="227"/>
      <c r="M53" s="227"/>
    </row>
    <row r="54" spans="2:13" ht="12.75" customHeight="1" x14ac:dyDescent="0.2">
      <c r="B54" s="227"/>
      <c r="C54" s="227"/>
      <c r="D54" s="227"/>
      <c r="E54" s="227"/>
      <c r="F54" s="227"/>
      <c r="G54" s="227"/>
      <c r="H54" s="227"/>
      <c r="I54" s="227"/>
      <c r="J54" s="227"/>
      <c r="K54" s="227"/>
      <c r="L54" s="227"/>
      <c r="M54" s="227"/>
    </row>
    <row r="55" spans="2:13" ht="12.75" customHeight="1" x14ac:dyDescent="0.2">
      <c r="B55" s="227"/>
      <c r="C55" s="227"/>
      <c r="D55" s="227"/>
      <c r="E55" s="227"/>
      <c r="F55" s="227"/>
      <c r="G55" s="227"/>
      <c r="H55" s="227"/>
      <c r="I55" s="227"/>
      <c r="J55" s="227"/>
      <c r="K55" s="227"/>
      <c r="L55" s="227"/>
      <c r="M55" s="227"/>
    </row>
  </sheetData>
  <sheetProtection password="A320" sheet="1" autoFilter="0"/>
  <protectedRanges>
    <protectedRange sqref="C11:M11 C13:M30 C38:M41 C43:M46 C32:M36" name="SOO"/>
  </protectedRanges>
  <mergeCells count="19">
    <mergeCell ref="B31:M31"/>
    <mergeCell ref="B37:M37"/>
    <mergeCell ref="B42:M42"/>
    <mergeCell ref="B12:M12"/>
    <mergeCell ref="C3:M3"/>
    <mergeCell ref="C9:M9"/>
    <mergeCell ref="G7:H7"/>
    <mergeCell ref="L7:M7"/>
    <mergeCell ref="D7:E7"/>
    <mergeCell ref="C1:I2"/>
    <mergeCell ref="C4:M4"/>
    <mergeCell ref="D6:E6"/>
    <mergeCell ref="G6:H6"/>
    <mergeCell ref="J1:M1"/>
    <mergeCell ref="J2:M2"/>
    <mergeCell ref="D5:E5"/>
    <mergeCell ref="G5:H5"/>
    <mergeCell ref="L5:M5"/>
    <mergeCell ref="L6:M6"/>
  </mergeCells>
  <conditionalFormatting sqref="B14:B30 B32:B36">
    <cfRule type="expression" dxfId="93" priority="2" stopIfTrue="1">
      <formula>ISERROR(B14)</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5" orientation="landscape" r:id="rId1"/>
  <headerFooter>
    <oddHeader>&amp;C&amp;14VBA Monday Morning Workload Report</oddHeader>
    <oddFooter>&amp;LPrepared by VBA Office of Performance Analysis &amp;&amp; Integrity</oddFooter>
  </headerFooter>
  <ignoredErrors>
    <ignoredError sqref="B15:B16 B18:B3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P49"/>
  <sheetViews>
    <sheetView zoomScale="70" zoomScaleNormal="70" zoomScaleSheetLayoutView="80" workbookViewId="0"/>
  </sheetViews>
  <sheetFormatPr defaultRowHeight="12.75" x14ac:dyDescent="0.2"/>
  <cols>
    <col min="1" max="1" width="4.5703125" style="5" customWidth="1"/>
    <col min="2" max="2" width="30.71093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8"/>
      <c r="C1" s="486" t="s">
        <v>393</v>
      </c>
      <c r="D1" s="487"/>
      <c r="E1" s="487"/>
      <c r="F1" s="487"/>
      <c r="G1" s="487"/>
      <c r="H1" s="487"/>
      <c r="I1" s="487"/>
      <c r="J1" s="486" t="s">
        <v>399</v>
      </c>
      <c r="K1" s="487"/>
      <c r="L1" s="487"/>
      <c r="M1" s="496"/>
    </row>
    <row r="2" spans="2:16" ht="24" customHeight="1" thickBot="1" x14ac:dyDescent="0.4">
      <c r="B2" s="228"/>
      <c r="C2" s="488"/>
      <c r="D2" s="489"/>
      <c r="E2" s="489"/>
      <c r="F2" s="489"/>
      <c r="G2" s="489"/>
      <c r="H2" s="489"/>
      <c r="I2" s="489"/>
      <c r="J2" s="488" t="str">
        <f>Transformation!B5</f>
        <v>As of January 24, 2015</v>
      </c>
      <c r="K2" s="489"/>
      <c r="L2" s="489"/>
      <c r="M2" s="497"/>
    </row>
    <row r="3" spans="2:16" ht="51.75" customHeight="1" thickBot="1" x14ac:dyDescent="0.25">
      <c r="B3" s="228"/>
      <c r="C3" s="510" t="s">
        <v>428</v>
      </c>
      <c r="D3" s="511"/>
      <c r="E3" s="511"/>
      <c r="F3" s="511"/>
      <c r="G3" s="511"/>
      <c r="H3" s="511"/>
      <c r="I3" s="511"/>
      <c r="J3" s="511"/>
      <c r="K3" s="511"/>
      <c r="L3" s="511"/>
      <c r="M3" s="512"/>
    </row>
    <row r="4" spans="2:16" ht="22.5" customHeight="1" thickBot="1" x14ac:dyDescent="0.3">
      <c r="B4" s="219"/>
      <c r="C4" s="490" t="s">
        <v>236</v>
      </c>
      <c r="D4" s="491"/>
      <c r="E4" s="491"/>
      <c r="F4" s="491"/>
      <c r="G4" s="491"/>
      <c r="H4" s="491"/>
      <c r="I4" s="491"/>
      <c r="J4" s="491"/>
      <c r="K4" s="491"/>
      <c r="L4" s="491"/>
      <c r="M4" s="492"/>
    </row>
    <row r="5" spans="2:16" ht="55.5" customHeight="1" x14ac:dyDescent="0.2">
      <c r="B5" s="99"/>
      <c r="C5" s="66" t="s">
        <v>222</v>
      </c>
      <c r="D5" s="498" t="s">
        <v>23</v>
      </c>
      <c r="E5" s="499"/>
      <c r="F5" s="61" t="s">
        <v>225</v>
      </c>
      <c r="G5" s="498" t="s">
        <v>230</v>
      </c>
      <c r="H5" s="500"/>
      <c r="I5" s="61" t="s">
        <v>228</v>
      </c>
      <c r="J5" s="62" t="s">
        <v>17</v>
      </c>
      <c r="K5" s="61" t="s">
        <v>233</v>
      </c>
      <c r="L5" s="501" t="s">
        <v>99</v>
      </c>
      <c r="M5" s="502"/>
    </row>
    <row r="6" spans="2:16" ht="51.75" customHeight="1" x14ac:dyDescent="0.2">
      <c r="B6" s="99"/>
      <c r="C6" s="67" t="s">
        <v>223</v>
      </c>
      <c r="D6" s="493" t="s">
        <v>0</v>
      </c>
      <c r="E6" s="494"/>
      <c r="F6" s="63" t="s">
        <v>226</v>
      </c>
      <c r="G6" s="495" t="s">
        <v>231</v>
      </c>
      <c r="H6" s="495"/>
      <c r="I6" s="63" t="s">
        <v>229</v>
      </c>
      <c r="J6" s="31" t="s">
        <v>26</v>
      </c>
      <c r="K6" s="63" t="s">
        <v>234</v>
      </c>
      <c r="L6" s="503" t="s">
        <v>101</v>
      </c>
      <c r="M6" s="504"/>
    </row>
    <row r="7" spans="2:16" ht="51.75" customHeight="1" thickBot="1" x14ac:dyDescent="0.25">
      <c r="B7" s="99"/>
      <c r="C7" s="68" t="s">
        <v>224</v>
      </c>
      <c r="D7" s="518" t="s">
        <v>25</v>
      </c>
      <c r="E7" s="519"/>
      <c r="F7" s="64" t="s">
        <v>227</v>
      </c>
      <c r="G7" s="515" t="s">
        <v>24</v>
      </c>
      <c r="H7" s="515"/>
      <c r="I7" s="64" t="s">
        <v>232</v>
      </c>
      <c r="J7" s="65" t="s">
        <v>98</v>
      </c>
      <c r="K7" s="64" t="s">
        <v>235</v>
      </c>
      <c r="L7" s="516" t="s">
        <v>100</v>
      </c>
      <c r="M7" s="517"/>
    </row>
    <row r="8" spans="2:16" ht="14.25" customHeight="1" x14ac:dyDescent="0.4">
      <c r="C8" s="46"/>
      <c r="D8" s="46"/>
      <c r="E8" s="46"/>
      <c r="F8" s="46"/>
      <c r="G8" s="46"/>
      <c r="H8" s="46"/>
      <c r="I8" s="46"/>
      <c r="J8" s="46"/>
      <c r="K8" s="46"/>
      <c r="L8" s="46"/>
    </row>
    <row r="9" spans="2:16" ht="15.75" customHeight="1" x14ac:dyDescent="0.2">
      <c r="C9" s="513" t="s">
        <v>390</v>
      </c>
      <c r="D9" s="513"/>
      <c r="E9" s="513"/>
      <c r="F9" s="513"/>
      <c r="G9" s="513"/>
      <c r="H9" s="513"/>
      <c r="I9" s="513"/>
      <c r="J9" s="513"/>
      <c r="K9" s="513"/>
      <c r="L9" s="513"/>
      <c r="M9" s="514"/>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8">
        <f>IF(ISNA(VLOOKUP($B11,EDW_FEEDER!$T$2:$AH$86,9,FALSE))=TRUE,"",VLOOKUP($B11,EDW_FEEDER!$T$2:$AH$86,9,FALSE))</f>
        <v>510023</v>
      </c>
      <c r="D11" s="259">
        <f>IF(ISNA(VLOOKUP(B11,EDW_FEEDER!$T$2:$AH$86,10,FALSE))=TRUE,"",VLOOKUP(B11,EDW_FEEDER!$T$2:$AH$86,10,FALSE))</f>
        <v>148.80000000000001</v>
      </c>
      <c r="E11" s="260">
        <f>IF(ISNA(VLOOKUP(B11,EDW_FEEDER!$T$2:$AH$86,11,FALSE))=TRUE,"",VLOOKUP(B11,EDW_FEEDER!$T$2:$AH$870,11,FALSE))</f>
        <v>0.47514000000000001</v>
      </c>
      <c r="F11" s="258">
        <f>IF(ISNA(VLOOKUP(B11,EDW_FEEDER!$T$2:$AH$86,12,FALSE))=TRUE,"",VLOOKUP(B11,EDW_FEEDER!$T$2:$AH$86,12,FALSE))</f>
        <v>83677</v>
      </c>
      <c r="G11" s="258">
        <f>IF(ISNA(VLOOKUP(B11,EDW_FEEDER!$T$2:$AH$86,13,FALSE))=TRUE,"",VLOOKUP(B11,EDW_FEEDER!$T$2:$AH$86,13,FALSE))</f>
        <v>390480</v>
      </c>
      <c r="H11" s="259">
        <f>IF(ISNA(VLOOKUP(B11,EDW_FEEDER!$T$2:$AH$86,14,FALSE))=TRUE,"",VLOOKUP(B11,EDW_FEEDER!$T$2:$AH$86,14,FALSE))</f>
        <v>187.6</v>
      </c>
      <c r="I11" s="259">
        <f>IF(ISNA(VLOOKUP(B11,EDW_FEEDER!$T$2:$AH$86,15,FALSE))=TRUE,"",VLOOKUP(B11,EDW_FEEDER!$T$2:$AH$86,15,FALSE))</f>
        <v>186.1</v>
      </c>
      <c r="J11" s="105"/>
      <c r="K11" s="105"/>
      <c r="L11" s="105"/>
      <c r="M11" s="105"/>
      <c r="P11" s="70" t="s">
        <v>151</v>
      </c>
    </row>
    <row r="12" spans="2:16" x14ac:dyDescent="0.2">
      <c r="B12" s="505" t="s">
        <v>385</v>
      </c>
      <c r="C12" s="506"/>
      <c r="D12" s="506"/>
      <c r="E12" s="506"/>
      <c r="F12" s="506"/>
      <c r="G12" s="506"/>
      <c r="H12" s="506"/>
      <c r="I12" s="506"/>
      <c r="J12" s="506"/>
      <c r="K12" s="506"/>
      <c r="L12" s="506"/>
      <c r="M12" s="507"/>
      <c r="P12" s="190" t="s">
        <v>152</v>
      </c>
    </row>
    <row r="13" spans="2:16" x14ac:dyDescent="0.2">
      <c r="B13" s="111" t="s">
        <v>386</v>
      </c>
      <c r="C13" s="258">
        <f>IF(ISNA(VLOOKUP("USAV",EDW_FEEDER!$T$2:$AH$86,9,FALSE))=TRUE,"",VLOOKUP("USAV",EDW_FEEDER!$T$2:$AH$86,9,FALSE))</f>
        <v>470655</v>
      </c>
      <c r="D13" s="259">
        <f>IF(ISNA(VLOOKUP("USAV",EDW_FEEDER!$T$2:$AH$86,10,FALSE))=TRUE,"",VLOOKUP("USAV",EDW_FEEDER!$T$2:$AH$86,10,FALSE))</f>
        <v>154.5</v>
      </c>
      <c r="E13" s="260">
        <f>IF(ISNA(VLOOKUP("USAV",EDW_FEEDER!$T$2:$AH$86,11,FALSE))=TRUE,"",VLOOKUP("USAV",EDW_FEEDER!$T$2:$AH$870,11,FALSE))</f>
        <v>0.49879000000000001</v>
      </c>
      <c r="F13" s="258">
        <f>IF(ISNA(VLOOKUP("USAV",EDW_FEEDER!$T$2:$AH$86,12,FALSE))=TRUE,"",VLOOKUP("USAV",EDW_FEEDER!$T$2:$AH$86,12,FALSE))</f>
        <v>70506</v>
      </c>
      <c r="G13" s="258">
        <f>IF(ISNA(VLOOKUP("USAV",EDW_FEEDER!$T$2:$AH$86,13,FALSE))=TRUE,"",VLOOKUP("USAV",EDW_FEEDER!$T$2:$AH$86,13,FALSE))</f>
        <v>329185</v>
      </c>
      <c r="H13" s="259">
        <f>IF(ISNA(VLOOKUP("USAV",EDW_FEEDER!$T$2:$AH$86,14,FALSE))=TRUE,"",VLOOKUP("USAV",EDW_FEEDER!$T$2:$AH$86,14,FALSE))</f>
        <v>205.8</v>
      </c>
      <c r="I13" s="259">
        <f>IF(ISNA(VLOOKUP("USAV",EDW_FEEDER!$T$2:$AH$86,15,FALSE))=TRUE,"",VLOOKUP("USAV",EDW_FEEDER!$T$2:$AH$86,15,FALSE))</f>
        <v>205.2</v>
      </c>
      <c r="J13" s="105"/>
      <c r="K13" s="105"/>
      <c r="L13" s="105"/>
      <c r="M13" s="105"/>
      <c r="P13" s="190" t="s">
        <v>9</v>
      </c>
    </row>
    <row r="14" spans="2:16" x14ac:dyDescent="0.2">
      <c r="B14" s="223" t="s">
        <v>149</v>
      </c>
      <c r="C14" s="258">
        <f>IF(ISNA(VLOOKUP($B14,EDW_FEEDER!$T$2:$AH$86,9,FALSE))=TRUE,"",VLOOKUP($B14,EDW_FEEDER!$T$2:$AH$86,9,FALSE))</f>
        <v>96273</v>
      </c>
      <c r="D14" s="259">
        <f>IF(ISNA(VLOOKUP(B14,EDW_FEEDER!$T$2:$AH$86,10,FALSE))=TRUE,"",VLOOKUP(B14,EDW_FEEDER!$T$2:$AH$86,10,FALSE))</f>
        <v>153.80000000000001</v>
      </c>
      <c r="E14" s="260">
        <f>IF(ISNA(VLOOKUP(B14,EDW_FEEDER!$T$2:$AH$86,11,FALSE))=TRUE,"",VLOOKUP(B14,EDW_FEEDER!$T$2:$AH$870,11,FALSE))</f>
        <v>0.49209999999999998</v>
      </c>
      <c r="F14" s="258">
        <f>IF(ISNA(VLOOKUP(B14,EDW_FEEDER!$T$2:$AH$86,12,FALSE))=TRUE,"",VLOOKUP(B14,EDW_FEEDER!$T$2:$AH$86,12,FALSE))</f>
        <v>15271</v>
      </c>
      <c r="G14" s="258">
        <f>IF(ISNA(VLOOKUP(B14,EDW_FEEDER!$T$2:$AH$86,13,FALSE))=TRUE,"",VLOOKUP(B14,EDW_FEEDER!$T$2:$AH$86,13,FALSE))</f>
        <v>67211</v>
      </c>
      <c r="H14" s="259">
        <f>IF(ISNA(VLOOKUP(B14,EDW_FEEDER!$T$2:$AH$86,14,FALSE))=TRUE,"",VLOOKUP(B14,EDW_FEEDER!$T$2:$AH$86,14,FALSE))</f>
        <v>196.6</v>
      </c>
      <c r="I14" s="259">
        <f>IF(ISNA(VLOOKUP(B14,EDW_FEEDER!$T$2:$AH$86,15,FALSE))=TRUE,"",VLOOKUP(B14,EDW_FEEDER!$T$2:$AH$86,15,FALSE))</f>
        <v>199.4</v>
      </c>
      <c r="J14" s="105"/>
      <c r="K14" s="105"/>
      <c r="L14" s="105"/>
      <c r="M14" s="105"/>
    </row>
    <row r="15" spans="2:16" x14ac:dyDescent="0.2">
      <c r="B15" s="112" t="str">
        <f>IF(ISBLANK(VLOOKUP($B$14,EDW_FEEDER!$A$117:$AK$121,2,FALSE))=TRUE,"",VLOOKUP($B$14,EDW_FEEDER!$A$117:$AK$121,2,FALSE))</f>
        <v>Baltimore</v>
      </c>
      <c r="C15" s="258">
        <f>IF(ISNA(VLOOKUP($B15,EDW_FEEDER!$T$2:$AH$86,9,FALSE))=TRUE,"",VLOOKUP($B15,EDW_FEEDER!$T$2:$AH$86,9,FALSE))</f>
        <v>6682</v>
      </c>
      <c r="D15" s="259">
        <f>IF(ISNA(VLOOKUP(B15,EDW_FEEDER!$T$2:$AH$86,10,FALSE))=TRUE,"",VLOOKUP(B15,EDW_FEEDER!$T$2:$AH$86,10,FALSE))</f>
        <v>184.7</v>
      </c>
      <c r="E15" s="260">
        <f>IF(ISNA(VLOOKUP(B15,EDW_FEEDER!$T$2:$AH$86,11,FALSE))=TRUE,"",VLOOKUP(B15,EDW_FEEDER!$T$2:$AH$870,11,FALSE))</f>
        <v>0.54249999999999998</v>
      </c>
      <c r="F15" s="258">
        <f>IF(ISNA(VLOOKUP(B15,EDW_FEEDER!$T$2:$AH$86,12,FALSE))=TRUE,"",VLOOKUP(B15,EDW_FEEDER!$T$2:$AH$86,12,FALSE))</f>
        <v>282</v>
      </c>
      <c r="G15" s="258">
        <f>IF(ISNA(VLOOKUP(B15,EDW_FEEDER!$T$2:$AH$86,13,FALSE))=TRUE,"",VLOOKUP(B15,EDW_FEEDER!$T$2:$AH$86,13,FALSE))</f>
        <v>1397</v>
      </c>
      <c r="H15" s="259">
        <f>IF(ISNA(VLOOKUP(B15,EDW_FEEDER!$T$2:$AH$86,14,FALSE))=TRUE,"",VLOOKUP(B15,EDW_FEEDER!$T$2:$AH$86,14,FALSE))</f>
        <v>348.5</v>
      </c>
      <c r="I15" s="259">
        <f>IF(ISNA(VLOOKUP(B15,EDW_FEEDER!$T$2:$AH$86,15,FALSE))=TRUE,"",VLOOKUP(B15,EDW_FEEDER!$T$2:$AH$86,15,FALSE))</f>
        <v>369.8</v>
      </c>
      <c r="J15" s="105"/>
      <c r="K15" s="105"/>
      <c r="L15" s="105"/>
      <c r="M15" s="105"/>
    </row>
    <row r="16" spans="2:16" x14ac:dyDescent="0.2">
      <c r="B16" s="112" t="str">
        <f>IF(ISBLANK(VLOOKUP($B$14,EDW_FEEDER!$A$117:$AK$121,3,FALSE))=TRUE,"",VLOOKUP($B$14,EDW_FEEDER!$A$117:$AK$121,3,FALSE))</f>
        <v>Boston</v>
      </c>
      <c r="C16" s="258">
        <f>IF(ISNA(VLOOKUP($B16,EDW_FEEDER!$T$2:$AH$86,9,FALSE))=TRUE,"",VLOOKUP($B16,EDW_FEEDER!$T$2:$AH$86,9,FALSE))</f>
        <v>5141</v>
      </c>
      <c r="D16" s="259">
        <f>IF(ISNA(VLOOKUP(B16,EDW_FEEDER!$T$2:$AH$86,10,FALSE))=TRUE,"",VLOOKUP(B16,EDW_FEEDER!$T$2:$AH$86,10,FALSE))</f>
        <v>151.9</v>
      </c>
      <c r="E16" s="260">
        <f>IF(ISNA(VLOOKUP(B16,EDW_FEEDER!$T$2:$AH$86,11,FALSE))=TRUE,"",VLOOKUP(B16,EDW_FEEDER!$T$2:$AH$870,11,FALSE))</f>
        <v>0.48083999999999999</v>
      </c>
      <c r="F16" s="258">
        <f>IF(ISNA(VLOOKUP(B16,EDW_FEEDER!$T$2:$AH$86,12,FALSE))=TRUE,"",VLOOKUP(B16,EDW_FEEDER!$T$2:$AH$86,12,FALSE))</f>
        <v>865</v>
      </c>
      <c r="G16" s="258">
        <f>IF(ISNA(VLOOKUP(B16,EDW_FEEDER!$T$2:$AH$86,13,FALSE))=TRUE,"",VLOOKUP(B16,EDW_FEEDER!$T$2:$AH$86,13,FALSE))</f>
        <v>2547</v>
      </c>
      <c r="H16" s="259">
        <f>IF(ISNA(VLOOKUP(B16,EDW_FEEDER!$T$2:$AH$86,14,FALSE))=TRUE,"",VLOOKUP(B16,EDW_FEEDER!$T$2:$AH$86,14,FALSE))</f>
        <v>236.9</v>
      </c>
      <c r="I16" s="259">
        <f>IF(ISNA(VLOOKUP(B16,EDW_FEEDER!$T$2:$AH$86,15,FALSE))=TRUE,"",VLOOKUP(B16,EDW_FEEDER!$T$2:$AH$86,15,FALSE))</f>
        <v>253.3</v>
      </c>
      <c r="J16" s="105"/>
      <c r="K16" s="105"/>
      <c r="L16" s="105"/>
      <c r="M16" s="105"/>
    </row>
    <row r="17" spans="2:13" x14ac:dyDescent="0.2">
      <c r="B17" s="112" t="str">
        <f>IF(ISBLANK(VLOOKUP($B$14,EDW_FEEDER!$A$117:$AK$121,4,FALSE))=TRUE,"",VLOOKUP($B$14,EDW_FEEDER!$A$117:$AK$121,4,FALSE))</f>
        <v>Buffalo</v>
      </c>
      <c r="C17" s="258">
        <f>IF(ISNA(VLOOKUP($B17,EDW_FEEDER!$T$2:$AH$86,9,FALSE))=TRUE,"",VLOOKUP($B17,EDW_FEEDER!$T$2:$AH$86,9,FALSE))</f>
        <v>6255</v>
      </c>
      <c r="D17" s="259">
        <f>IF(ISNA(VLOOKUP(B17,EDW_FEEDER!$T$2:$AH$86,10,FALSE))=TRUE,"",VLOOKUP(B17,EDW_FEEDER!$T$2:$AH$86,10,FALSE))</f>
        <v>146.69999999999999</v>
      </c>
      <c r="E17" s="260">
        <f>IF(ISNA(VLOOKUP(B17,EDW_FEEDER!$T$2:$AH$86,11,FALSE))=TRUE,"",VLOOKUP(B17,EDW_FEEDER!$T$2:$AH$870,11,FALSE))</f>
        <v>0.51463000000000003</v>
      </c>
      <c r="F17" s="258">
        <f>IF(ISNA(VLOOKUP(B17,EDW_FEEDER!$T$2:$AH$86,12,FALSE))=TRUE,"",VLOOKUP(B17,EDW_FEEDER!$T$2:$AH$86,12,FALSE))</f>
        <v>726</v>
      </c>
      <c r="G17" s="258">
        <f>IF(ISNA(VLOOKUP(B17,EDW_FEEDER!$T$2:$AH$86,13,FALSE))=TRUE,"",VLOOKUP(B17,EDW_FEEDER!$T$2:$AH$86,13,FALSE))</f>
        <v>3302</v>
      </c>
      <c r="H17" s="259">
        <f>IF(ISNA(VLOOKUP(B17,EDW_FEEDER!$T$2:$AH$86,14,FALSE))=TRUE,"",VLOOKUP(B17,EDW_FEEDER!$T$2:$AH$86,14,FALSE))</f>
        <v>222.8</v>
      </c>
      <c r="I17" s="259">
        <f>IF(ISNA(VLOOKUP(B17,EDW_FEEDER!$T$2:$AH$86,15,FALSE))=TRUE,"",VLOOKUP(B17,EDW_FEEDER!$T$2:$AH$86,15,FALSE))</f>
        <v>241.3</v>
      </c>
      <c r="J17" s="105"/>
      <c r="K17" s="105"/>
      <c r="L17" s="105"/>
      <c r="M17" s="105"/>
    </row>
    <row r="18" spans="2:13" x14ac:dyDescent="0.2">
      <c r="B18" s="112" t="str">
        <f>IF(ISBLANK(VLOOKUP($B$14,EDW_FEEDER!$A$117:$AK$121,5,FALSE))=TRUE,"",VLOOKUP($B$14,EDW_FEEDER!$A$117:$AK$121,5,FALSE))</f>
        <v>Cleveland</v>
      </c>
      <c r="C18" s="258">
        <f>IF(ISNA(VLOOKUP($B18,EDW_FEEDER!$T$2:$AH$86,9,FALSE))=TRUE,"",VLOOKUP($B18,EDW_FEEDER!$T$2:$AH$86,9,FALSE))</f>
        <v>11368</v>
      </c>
      <c r="D18" s="259">
        <f>IF(ISNA(VLOOKUP(B18,EDW_FEEDER!$T$2:$AH$86,10,FALSE))=TRUE,"",VLOOKUP(B18,EDW_FEEDER!$T$2:$AH$86,10,FALSE))</f>
        <v>139</v>
      </c>
      <c r="E18" s="260">
        <f>IF(ISNA(VLOOKUP(B18,EDW_FEEDER!$T$2:$AH$86,11,FALSE))=TRUE,"",VLOOKUP(B18,EDW_FEEDER!$T$2:$AH$870,11,FALSE))</f>
        <v>0.39743000000000001</v>
      </c>
      <c r="F18" s="258">
        <f>IF(ISNA(VLOOKUP(B18,EDW_FEEDER!$T$2:$AH$86,12,FALSE))=TRUE,"",VLOOKUP(B18,EDW_FEEDER!$T$2:$AH$86,12,FALSE))</f>
        <v>2079</v>
      </c>
      <c r="G18" s="258">
        <f>IF(ISNA(VLOOKUP(B18,EDW_FEEDER!$T$2:$AH$86,13,FALSE))=TRUE,"",VLOOKUP(B18,EDW_FEEDER!$T$2:$AH$86,13,FALSE))</f>
        <v>10208</v>
      </c>
      <c r="H18" s="259">
        <f>IF(ISNA(VLOOKUP(B18,EDW_FEEDER!$T$2:$AH$86,14,FALSE))=TRUE,"",VLOOKUP(B18,EDW_FEEDER!$T$2:$AH$86,14,FALSE))</f>
        <v>173.4</v>
      </c>
      <c r="I18" s="259">
        <f>IF(ISNA(VLOOKUP(B18,EDW_FEEDER!$T$2:$AH$86,15,FALSE))=TRUE,"",VLOOKUP(B18,EDW_FEEDER!$T$2:$AH$86,15,FALSE))</f>
        <v>182.1</v>
      </c>
      <c r="J18" s="105"/>
      <c r="K18" s="105"/>
      <c r="L18" s="105"/>
      <c r="M18" s="105"/>
    </row>
    <row r="19" spans="2:13" x14ac:dyDescent="0.2">
      <c r="B19" s="112" t="str">
        <f>IF(ISBLANK(VLOOKUP($B$14,EDW_FEEDER!$A$117:$AK$121,6,FALSE))=TRUE,"",VLOOKUP($B$14,EDW_FEEDER!$A$117:$AK$121,6,FALSE))</f>
        <v>Detroit</v>
      </c>
      <c r="C19" s="258">
        <f>IF(ISNA(VLOOKUP($B19,EDW_FEEDER!$T$2:$AH$86,9,FALSE))=TRUE,"",VLOOKUP($B19,EDW_FEEDER!$T$2:$AH$86,9,FALSE))</f>
        <v>10075</v>
      </c>
      <c r="D19" s="259">
        <f>IF(ISNA(VLOOKUP(B19,EDW_FEEDER!$T$2:$AH$86,10,FALSE))=TRUE,"",VLOOKUP(B19,EDW_FEEDER!$T$2:$AH$86,10,FALSE))</f>
        <v>133.80000000000001</v>
      </c>
      <c r="E19" s="260">
        <f>IF(ISNA(VLOOKUP(B19,EDW_FEEDER!$T$2:$AH$86,11,FALSE))=TRUE,"",VLOOKUP(B19,EDW_FEEDER!$T$2:$AH$870,11,FALSE))</f>
        <v>0.43681999999999999</v>
      </c>
      <c r="F19" s="258">
        <f>IF(ISNA(VLOOKUP(B19,EDW_FEEDER!$T$2:$AH$86,12,FALSE))=TRUE,"",VLOOKUP(B19,EDW_FEEDER!$T$2:$AH$86,12,FALSE))</f>
        <v>1883</v>
      </c>
      <c r="G19" s="258">
        <f>IF(ISNA(VLOOKUP(B19,EDW_FEEDER!$T$2:$AH$86,13,FALSE))=TRUE,"",VLOOKUP(B19,EDW_FEEDER!$T$2:$AH$86,13,FALSE))</f>
        <v>7942</v>
      </c>
      <c r="H19" s="259">
        <f>IF(ISNA(VLOOKUP(B19,EDW_FEEDER!$T$2:$AH$86,14,FALSE))=TRUE,"",VLOOKUP(B19,EDW_FEEDER!$T$2:$AH$86,14,FALSE))</f>
        <v>186.3</v>
      </c>
      <c r="I19" s="259">
        <f>IF(ISNA(VLOOKUP(B19,EDW_FEEDER!$T$2:$AH$86,15,FALSE))=TRUE,"",VLOOKUP(B19,EDW_FEEDER!$T$2:$AH$86,15,FALSE))</f>
        <v>186.6</v>
      </c>
      <c r="J19" s="105"/>
      <c r="K19" s="105"/>
      <c r="L19" s="105"/>
      <c r="M19" s="105"/>
    </row>
    <row r="20" spans="2:13" x14ac:dyDescent="0.2">
      <c r="B20" s="112" t="str">
        <f>IF(ISBLANK(VLOOKUP($B$14,EDW_FEEDER!$A$117:$AK$121,7,FALSE))=TRUE,"",VLOOKUP($B$14,EDW_FEEDER!$A$117:$AK$121,7,FALSE))</f>
        <v>Hartford</v>
      </c>
      <c r="C20" s="258">
        <f>IF(ISNA(VLOOKUP($B20,EDW_FEEDER!$T$2:$AH$86,9,FALSE))=TRUE,"",VLOOKUP($B20,EDW_FEEDER!$T$2:$AH$86,9,FALSE))</f>
        <v>3908</v>
      </c>
      <c r="D20" s="259">
        <f>IF(ISNA(VLOOKUP(B20,EDW_FEEDER!$T$2:$AH$86,10,FALSE))=TRUE,"",VLOOKUP(B20,EDW_FEEDER!$T$2:$AH$86,10,FALSE))</f>
        <v>132.4</v>
      </c>
      <c r="E20" s="260">
        <f>IF(ISNA(VLOOKUP(B20,EDW_FEEDER!$T$2:$AH$86,11,FALSE))=TRUE,"",VLOOKUP(B20,EDW_FEEDER!$T$2:$AH$870,11,FALSE))</f>
        <v>0.43986999999999998</v>
      </c>
      <c r="F20" s="258">
        <f>IF(ISNA(VLOOKUP(B20,EDW_FEEDER!$T$2:$AH$86,12,FALSE))=TRUE,"",VLOOKUP(B20,EDW_FEEDER!$T$2:$AH$86,12,FALSE))</f>
        <v>532</v>
      </c>
      <c r="G20" s="258">
        <f>IF(ISNA(VLOOKUP(B20,EDW_FEEDER!$T$2:$AH$86,13,FALSE))=TRUE,"",VLOOKUP(B20,EDW_FEEDER!$T$2:$AH$86,13,FALSE))</f>
        <v>2714</v>
      </c>
      <c r="H20" s="259">
        <f>IF(ISNA(VLOOKUP(B20,EDW_FEEDER!$T$2:$AH$86,14,FALSE))=TRUE,"",VLOOKUP(B20,EDW_FEEDER!$T$2:$AH$86,14,FALSE))</f>
        <v>182.7</v>
      </c>
      <c r="I20" s="259">
        <f>IF(ISNA(VLOOKUP(B20,EDW_FEEDER!$T$2:$AH$86,15,FALSE))=TRUE,"",VLOOKUP(B20,EDW_FEEDER!$T$2:$AH$86,15,FALSE))</f>
        <v>170.1</v>
      </c>
      <c r="J20" s="105"/>
      <c r="K20" s="105"/>
      <c r="L20" s="105"/>
      <c r="M20" s="105"/>
    </row>
    <row r="21" spans="2:13" x14ac:dyDescent="0.2">
      <c r="B21" s="112" t="str">
        <f>IF(ISBLANK(VLOOKUP($B$14,EDW_FEEDER!$A$117:$AK$121,8,FALSE))=TRUE,"",VLOOKUP($B$14,EDW_FEEDER!$A$117:$AK$121,8,FALSE))</f>
        <v>Indianapolis</v>
      </c>
      <c r="C21" s="258">
        <f>IF(ISNA(VLOOKUP($B21,EDW_FEEDER!$T$2:$AH$86,9,FALSE))=TRUE,"",VLOOKUP($B21,EDW_FEEDER!$T$2:$AH$86,9,FALSE))</f>
        <v>7153</v>
      </c>
      <c r="D21" s="259">
        <f>IF(ISNA(VLOOKUP(B21,EDW_FEEDER!$T$2:$AH$86,10,FALSE))=TRUE,"",VLOOKUP(B21,EDW_FEEDER!$T$2:$AH$86,10,FALSE))</f>
        <v>182.3</v>
      </c>
      <c r="E21" s="260">
        <f>IF(ISNA(VLOOKUP(B21,EDW_FEEDER!$T$2:$AH$86,11,FALSE))=TRUE,"",VLOOKUP(B21,EDW_FEEDER!$T$2:$AH$870,11,FALSE))</f>
        <v>0.60365999999999997</v>
      </c>
      <c r="F21" s="258">
        <f>IF(ISNA(VLOOKUP(B21,EDW_FEEDER!$T$2:$AH$86,12,FALSE))=TRUE,"",VLOOKUP(B21,EDW_FEEDER!$T$2:$AH$86,12,FALSE))</f>
        <v>927</v>
      </c>
      <c r="G21" s="258">
        <f>IF(ISNA(VLOOKUP(B21,EDW_FEEDER!$T$2:$AH$86,13,FALSE))=TRUE,"",VLOOKUP(B21,EDW_FEEDER!$T$2:$AH$86,13,FALSE))</f>
        <v>4260</v>
      </c>
      <c r="H21" s="259">
        <f>IF(ISNA(VLOOKUP(B21,EDW_FEEDER!$T$2:$AH$86,14,FALSE))=TRUE,"",VLOOKUP(B21,EDW_FEEDER!$T$2:$AH$86,14,FALSE))</f>
        <v>248</v>
      </c>
      <c r="I21" s="259">
        <f>IF(ISNA(VLOOKUP(B21,EDW_FEEDER!$T$2:$AH$86,15,FALSE))=TRUE,"",VLOOKUP(B21,EDW_FEEDER!$T$2:$AH$86,15,FALSE))</f>
        <v>243.3</v>
      </c>
      <c r="J21" s="105"/>
      <c r="K21" s="105"/>
      <c r="L21" s="105"/>
      <c r="M21" s="105"/>
    </row>
    <row r="22" spans="2:13" x14ac:dyDescent="0.2">
      <c r="B22" s="112" t="str">
        <f>IF(ISBLANK(VLOOKUP($B$14,EDW_FEEDER!$A$117:$AK$121,9,FALSE))=TRUE,"",VLOOKUP($B$14,EDW_FEEDER!$A$117:$AK$121,9,FALSE))</f>
        <v>Manchester</v>
      </c>
      <c r="C22" s="258">
        <f>IF(ISNA(VLOOKUP($B22,EDW_FEEDER!$T$2:$AH$86,9,FALSE))=TRUE,"",VLOOKUP($B22,EDW_FEEDER!$T$2:$AH$86,9,FALSE))</f>
        <v>1740</v>
      </c>
      <c r="D22" s="259">
        <f>IF(ISNA(VLOOKUP(B22,EDW_FEEDER!$T$2:$AH$86,10,FALSE))=TRUE,"",VLOOKUP(B22,EDW_FEEDER!$T$2:$AH$86,10,FALSE))</f>
        <v>146.19999999999999</v>
      </c>
      <c r="E22" s="260">
        <f>IF(ISNA(VLOOKUP(B22,EDW_FEEDER!$T$2:$AH$86,11,FALSE))=TRUE,"",VLOOKUP(B22,EDW_FEEDER!$T$2:$AH$870,11,FALSE))</f>
        <v>0.47931000000000001</v>
      </c>
      <c r="F22" s="258">
        <f>IF(ISNA(VLOOKUP(B22,EDW_FEEDER!$T$2:$AH$86,12,FALSE))=TRUE,"",VLOOKUP(B22,EDW_FEEDER!$T$2:$AH$86,12,FALSE))</f>
        <v>357</v>
      </c>
      <c r="G22" s="258">
        <f>IF(ISNA(VLOOKUP(B22,EDW_FEEDER!$T$2:$AH$86,13,FALSE))=TRUE,"",VLOOKUP(B22,EDW_FEEDER!$T$2:$AH$86,13,FALSE))</f>
        <v>1311</v>
      </c>
      <c r="H22" s="259">
        <f>IF(ISNA(VLOOKUP(B22,EDW_FEEDER!$T$2:$AH$86,14,FALSE))=TRUE,"",VLOOKUP(B22,EDW_FEEDER!$T$2:$AH$86,14,FALSE))</f>
        <v>192</v>
      </c>
      <c r="I22" s="259">
        <f>IF(ISNA(VLOOKUP(B22,EDW_FEEDER!$T$2:$AH$86,15,FALSE))=TRUE,"",VLOOKUP(B22,EDW_FEEDER!$T$2:$AH$86,15,FALSE))</f>
        <v>212</v>
      </c>
      <c r="J22" s="105"/>
      <c r="K22" s="105"/>
      <c r="L22" s="105"/>
      <c r="M22" s="105"/>
    </row>
    <row r="23" spans="2:13" x14ac:dyDescent="0.2">
      <c r="B23" s="112" t="str">
        <f>IF(ISBLANK(VLOOKUP($B$14,EDW_FEEDER!$A$117:$AK$121,10,FALSE))=TRUE,"",VLOOKUP($B$14,EDW_FEEDER!$A$117:$AK$121,10,FALSE))</f>
        <v>New York</v>
      </c>
      <c r="C23" s="258">
        <f>IF(ISNA(VLOOKUP($B23,EDW_FEEDER!$T$2:$AH$86,9,FALSE))=TRUE,"",VLOOKUP($B23,EDW_FEEDER!$T$2:$AH$86,9,FALSE))</f>
        <v>7592</v>
      </c>
      <c r="D23" s="259">
        <f>IF(ISNA(VLOOKUP(B23,EDW_FEEDER!$T$2:$AH$86,10,FALSE))=TRUE,"",VLOOKUP(B23,EDW_FEEDER!$T$2:$AH$86,10,FALSE))</f>
        <v>152.30000000000001</v>
      </c>
      <c r="E23" s="260">
        <f>IF(ISNA(VLOOKUP(B23,EDW_FEEDER!$T$2:$AH$86,11,FALSE))=TRUE,"",VLOOKUP(B23,EDW_FEEDER!$T$2:$AH$870,11,FALSE))</f>
        <v>0.53319000000000005</v>
      </c>
      <c r="F23" s="258">
        <f>IF(ISNA(VLOOKUP(B23,EDW_FEEDER!$T$2:$AH$86,12,FALSE))=TRUE,"",VLOOKUP(B23,EDW_FEEDER!$T$2:$AH$86,12,FALSE))</f>
        <v>928</v>
      </c>
      <c r="G23" s="258">
        <f>IF(ISNA(VLOOKUP(B23,EDW_FEEDER!$T$2:$AH$86,13,FALSE))=TRUE,"",VLOOKUP(B23,EDW_FEEDER!$T$2:$AH$86,13,FALSE))</f>
        <v>3944</v>
      </c>
      <c r="H23" s="259">
        <f>IF(ISNA(VLOOKUP(B23,EDW_FEEDER!$T$2:$AH$86,14,FALSE))=TRUE,"",VLOOKUP(B23,EDW_FEEDER!$T$2:$AH$86,14,FALSE))</f>
        <v>210.4</v>
      </c>
      <c r="I23" s="259">
        <f>IF(ISNA(VLOOKUP(B23,EDW_FEEDER!$T$2:$AH$86,15,FALSE))=TRUE,"",VLOOKUP(B23,EDW_FEEDER!$T$2:$AH$86,15,FALSE))</f>
        <v>239.1</v>
      </c>
      <c r="J23" s="105"/>
      <c r="K23" s="105"/>
      <c r="L23" s="105"/>
      <c r="M23" s="105"/>
    </row>
    <row r="24" spans="2:13" x14ac:dyDescent="0.2">
      <c r="B24" s="112" t="str">
        <f>IF(ISBLANK(VLOOKUP($B$14,EDW_FEEDER!$A$117:$AK$121,11,FALSE))=TRUE,"",VLOOKUP($B$14,EDW_FEEDER!$A$117:$AK$121,11,FALSE))</f>
        <v>Newark</v>
      </c>
      <c r="C24" s="258">
        <f>IF(ISNA(VLOOKUP($B24,EDW_FEEDER!$T$2:$AH$86,9,FALSE))=TRUE,"",VLOOKUP($B24,EDW_FEEDER!$T$2:$AH$86,9,FALSE))</f>
        <v>3478</v>
      </c>
      <c r="D24" s="259">
        <f>IF(ISNA(VLOOKUP(B24,EDW_FEEDER!$T$2:$AH$86,10,FALSE))=TRUE,"",VLOOKUP(B24,EDW_FEEDER!$T$2:$AH$86,10,FALSE))</f>
        <v>126.6</v>
      </c>
      <c r="E24" s="260">
        <f>IF(ISNA(VLOOKUP(B24,EDW_FEEDER!$T$2:$AH$86,11,FALSE))=TRUE,"",VLOOKUP(B24,EDW_FEEDER!$T$2:$AH$870,11,FALSE))</f>
        <v>0.43702999999999997</v>
      </c>
      <c r="F24" s="258">
        <f>IF(ISNA(VLOOKUP(B24,EDW_FEEDER!$T$2:$AH$86,12,FALSE))=TRUE,"",VLOOKUP(B24,EDW_FEEDER!$T$2:$AH$86,12,FALSE))</f>
        <v>418</v>
      </c>
      <c r="G24" s="258">
        <f>IF(ISNA(VLOOKUP(B24,EDW_FEEDER!$T$2:$AH$86,13,FALSE))=TRUE,"",VLOOKUP(B24,EDW_FEEDER!$T$2:$AH$86,13,FALSE))</f>
        <v>2190</v>
      </c>
      <c r="H24" s="259">
        <f>IF(ISNA(VLOOKUP(B24,EDW_FEEDER!$T$2:$AH$86,14,FALSE))=TRUE,"",VLOOKUP(B24,EDW_FEEDER!$T$2:$AH$86,14,FALSE))</f>
        <v>175.2</v>
      </c>
      <c r="I24" s="259">
        <f>IF(ISNA(VLOOKUP(B24,EDW_FEEDER!$T$2:$AH$86,15,FALSE))=TRUE,"",VLOOKUP(B24,EDW_FEEDER!$T$2:$AH$86,15,FALSE))</f>
        <v>173.1</v>
      </c>
      <c r="J24" s="105"/>
      <c r="K24" s="105"/>
      <c r="L24" s="105"/>
      <c r="M24" s="105"/>
    </row>
    <row r="25" spans="2:13" x14ac:dyDescent="0.2">
      <c r="B25" s="113" t="str">
        <f>IF(ISBLANK(VLOOKUP($B$14,EDW_FEEDER!$A$117:$AK$121,12,FALSE))=TRUE,"",VLOOKUP($B$14,EDW_FEEDER!$A$117:$AK$121,12,FALSE))</f>
        <v>Philadelphia (Non-PMC)</v>
      </c>
      <c r="C25" s="258">
        <f>IF(ISNA(VLOOKUP($B25,EDW_FEEDER!$T$2:$AH$86,9,FALSE))=TRUE,"",VLOOKUP($B25,EDW_FEEDER!$T$2:$AH$86,9,FALSE))</f>
        <v>12630</v>
      </c>
      <c r="D25" s="259">
        <f>IF(ISNA(VLOOKUP(B25,EDW_FEEDER!$T$2:$AH$86,10,FALSE))=TRUE,"",VLOOKUP(B25,EDW_FEEDER!$T$2:$AH$86,10,FALSE))</f>
        <v>166.4</v>
      </c>
      <c r="E25" s="260">
        <f>IF(ISNA(VLOOKUP(B25,EDW_FEEDER!$T$2:$AH$86,11,FALSE))=TRUE,"",VLOOKUP(B25,EDW_FEEDER!$T$2:$AH$870,11,FALSE))</f>
        <v>0.55937999999999999</v>
      </c>
      <c r="F25" s="258">
        <f>IF(ISNA(VLOOKUP(B25,EDW_FEEDER!$T$2:$AH$86,12,FALSE))=TRUE,"",VLOOKUP(B25,EDW_FEEDER!$T$2:$AH$86,12,FALSE))</f>
        <v>2199</v>
      </c>
      <c r="G25" s="258">
        <f>IF(ISNA(VLOOKUP(B25,EDW_FEEDER!$T$2:$AH$86,13,FALSE))=TRUE,"",VLOOKUP(B25,EDW_FEEDER!$T$2:$AH$86,13,FALSE))</f>
        <v>8617</v>
      </c>
      <c r="H25" s="259">
        <f>IF(ISNA(VLOOKUP(B25,EDW_FEEDER!$T$2:$AH$86,14,FALSE))=TRUE,"",VLOOKUP(B25,EDW_FEEDER!$T$2:$AH$86,14,FALSE))</f>
        <v>238.4</v>
      </c>
      <c r="I25" s="259">
        <f>IF(ISNA(VLOOKUP(B25,EDW_FEEDER!$T$2:$AH$86,15,FALSE))=TRUE,"",VLOOKUP(B25,EDW_FEEDER!$T$2:$AH$86,15,FALSE))</f>
        <v>258.2</v>
      </c>
      <c r="J25" s="105"/>
      <c r="K25" s="105"/>
      <c r="L25" s="105"/>
      <c r="M25" s="105"/>
    </row>
    <row r="26" spans="2:13" x14ac:dyDescent="0.2">
      <c r="B26" s="112" t="str">
        <f>IF(ISBLANK(VLOOKUP($B$14,EDW_FEEDER!$A$117:$AK$121,13,FALSE))=TRUE,"",VLOOKUP($B$14,EDW_FEEDER!$A$117:$AK$121,13,FALSE))</f>
        <v>Pittsburgh</v>
      </c>
      <c r="C26" s="258">
        <f>IF(ISNA(VLOOKUP($B26,EDW_FEEDER!$T$2:$AH$86,9,FALSE))=TRUE,"",VLOOKUP($B26,EDW_FEEDER!$T$2:$AH$86,9,FALSE))</f>
        <v>5746</v>
      </c>
      <c r="D26" s="259">
        <f>IF(ISNA(VLOOKUP(B26,EDW_FEEDER!$T$2:$AH$86,10,FALSE))=TRUE,"",VLOOKUP(B26,EDW_FEEDER!$T$2:$AH$86,10,FALSE))</f>
        <v>167.2</v>
      </c>
      <c r="E26" s="260">
        <f>IF(ISNA(VLOOKUP(B26,EDW_FEEDER!$T$2:$AH$86,11,FALSE))=TRUE,"",VLOOKUP(B26,EDW_FEEDER!$T$2:$AH$870,11,FALSE))</f>
        <v>0.52036000000000004</v>
      </c>
      <c r="F26" s="258">
        <f>IF(ISNA(VLOOKUP(B26,EDW_FEEDER!$T$2:$AH$86,12,FALSE))=TRUE,"",VLOOKUP(B26,EDW_FEEDER!$T$2:$AH$86,12,FALSE))</f>
        <v>840</v>
      </c>
      <c r="G26" s="258">
        <f>IF(ISNA(VLOOKUP(B26,EDW_FEEDER!$T$2:$AH$86,13,FALSE))=TRUE,"",VLOOKUP(B26,EDW_FEEDER!$T$2:$AH$86,13,FALSE))</f>
        <v>3387</v>
      </c>
      <c r="H26" s="259">
        <f>IF(ISNA(VLOOKUP(B26,EDW_FEEDER!$T$2:$AH$86,14,FALSE))=TRUE,"",VLOOKUP(B26,EDW_FEEDER!$T$2:$AH$86,14,FALSE))</f>
        <v>234.5</v>
      </c>
      <c r="I26" s="259">
        <f>IF(ISNA(VLOOKUP(B26,EDW_FEEDER!$T$2:$AH$86,15,FALSE))=TRUE,"",VLOOKUP(B26,EDW_FEEDER!$T$2:$AH$86,15,FALSE))</f>
        <v>230.3</v>
      </c>
      <c r="J26" s="105"/>
      <c r="K26" s="105"/>
      <c r="L26" s="105"/>
      <c r="M26" s="105"/>
    </row>
    <row r="27" spans="2:13" x14ac:dyDescent="0.2">
      <c r="B27" s="112" t="str">
        <f>IF(ISBLANK(VLOOKUP($B$14,EDW_FEEDER!$A$117:$AK$121,14,FALSE))=TRUE,"",VLOOKUP($B$14,EDW_FEEDER!$A$117:$AK$121,14,FALSE))</f>
        <v>Providence</v>
      </c>
      <c r="C27" s="258">
        <f>IF(ISNA(VLOOKUP($B27,EDW_FEEDER!$T$2:$AH$86,9,FALSE))=TRUE,"",VLOOKUP($B27,EDW_FEEDER!$T$2:$AH$86,9,FALSE))</f>
        <v>4563</v>
      </c>
      <c r="D27" s="259">
        <f>IF(ISNA(VLOOKUP(B27,EDW_FEEDER!$T$2:$AH$86,10,FALSE))=TRUE,"",VLOOKUP(B27,EDW_FEEDER!$T$2:$AH$86,10,FALSE))</f>
        <v>109.8</v>
      </c>
      <c r="E27" s="260">
        <f>IF(ISNA(VLOOKUP(B27,EDW_FEEDER!$T$2:$AH$86,11,FALSE))=TRUE,"",VLOOKUP(B27,EDW_FEEDER!$T$2:$AH$870,11,FALSE))</f>
        <v>0.30177999999999999</v>
      </c>
      <c r="F27" s="258">
        <f>IF(ISNA(VLOOKUP(B27,EDW_FEEDER!$T$2:$AH$86,12,FALSE))=TRUE,"",VLOOKUP(B27,EDW_FEEDER!$T$2:$AH$86,12,FALSE))</f>
        <v>1879</v>
      </c>
      <c r="G27" s="258">
        <f>IF(ISNA(VLOOKUP(B27,EDW_FEEDER!$T$2:$AH$86,13,FALSE))=TRUE,"",VLOOKUP(B27,EDW_FEEDER!$T$2:$AH$86,13,FALSE))</f>
        <v>8658</v>
      </c>
      <c r="H27" s="259">
        <f>IF(ISNA(VLOOKUP(B27,EDW_FEEDER!$T$2:$AH$86,14,FALSE))=TRUE,"",VLOOKUP(B27,EDW_FEEDER!$T$2:$AH$86,14,FALSE))</f>
        <v>85.9</v>
      </c>
      <c r="I27" s="259">
        <f>IF(ISNA(VLOOKUP(B27,EDW_FEEDER!$T$2:$AH$86,15,FALSE))=TRUE,"",VLOOKUP(B27,EDW_FEEDER!$T$2:$AH$86,15,FALSE))</f>
        <v>71.900000000000006</v>
      </c>
      <c r="J27" s="105"/>
      <c r="K27" s="105"/>
      <c r="L27" s="105"/>
      <c r="M27" s="105"/>
    </row>
    <row r="28" spans="2:13" x14ac:dyDescent="0.2">
      <c r="B28" s="112" t="str">
        <f>IF(ISBLANK(VLOOKUP($B$14,EDW_FEEDER!$A$117:$AK$121,15,FALSE))=TRUE,"",VLOOKUP($B$14,EDW_FEEDER!$A$117:$AK$121,15,FALSE))</f>
        <v>Togus</v>
      </c>
      <c r="C28" s="258">
        <f>IF(ISNA(VLOOKUP($B28,EDW_FEEDER!$T$2:$AH$86,9,FALSE))=TRUE,"",VLOOKUP($B28,EDW_FEEDER!$T$2:$AH$86,9,FALSE))</f>
        <v>7805</v>
      </c>
      <c r="D28" s="259">
        <f>IF(ISNA(VLOOKUP(B28,EDW_FEEDER!$T$2:$AH$86,10,FALSE))=TRUE,"",VLOOKUP(B28,EDW_FEEDER!$T$2:$AH$86,10,FALSE))</f>
        <v>174.9</v>
      </c>
      <c r="E28" s="260">
        <f>IF(ISNA(VLOOKUP(B28,EDW_FEEDER!$T$2:$AH$86,11,FALSE))=TRUE,"",VLOOKUP(B28,EDW_FEEDER!$T$2:$AH$870,11,FALSE))</f>
        <v>0.52273999999999998</v>
      </c>
      <c r="F28" s="258">
        <f>IF(ISNA(VLOOKUP(B28,EDW_FEEDER!$T$2:$AH$86,12,FALSE))=TRUE,"",VLOOKUP(B28,EDW_FEEDER!$T$2:$AH$86,12,FALSE))</f>
        <v>1054</v>
      </c>
      <c r="G28" s="258">
        <f>IF(ISNA(VLOOKUP(B28,EDW_FEEDER!$T$2:$AH$86,13,FALSE))=TRUE,"",VLOOKUP(B28,EDW_FEEDER!$T$2:$AH$86,13,FALSE))</f>
        <v>5434</v>
      </c>
      <c r="H28" s="259">
        <f>IF(ISNA(VLOOKUP(B28,EDW_FEEDER!$T$2:$AH$86,14,FALSE))=TRUE,"",VLOOKUP(B28,EDW_FEEDER!$T$2:$AH$86,14,FALSE))</f>
        <v>203.2</v>
      </c>
      <c r="I28" s="259">
        <f>IF(ISNA(VLOOKUP(B28,EDW_FEEDER!$T$2:$AH$86,15,FALSE))=TRUE,"",VLOOKUP(B28,EDW_FEEDER!$T$2:$AH$86,15,FALSE))</f>
        <v>202</v>
      </c>
      <c r="J28" s="105"/>
      <c r="K28" s="105"/>
      <c r="L28" s="105"/>
      <c r="M28" s="105"/>
    </row>
    <row r="29" spans="2:13" x14ac:dyDescent="0.2">
      <c r="B29" s="112" t="str">
        <f>IF(ISBLANK(VLOOKUP($B$14,EDW_FEEDER!$A$117:$AK$121,16,FALSE))=TRUE,"",VLOOKUP($B$14,EDW_FEEDER!$A$117:$AK$121,16,FALSE))</f>
        <v>White River J.</v>
      </c>
      <c r="C29" s="258">
        <f>IF(ISNA(VLOOKUP($B29,EDW_FEEDER!$T$2:$AH$86,9,FALSE))=TRUE,"",VLOOKUP($B29,EDW_FEEDER!$T$2:$AH$86,9,FALSE))</f>
        <v>855</v>
      </c>
      <c r="D29" s="259">
        <f>IF(ISNA(VLOOKUP(B29,EDW_FEEDER!$T$2:$AH$86,10,FALSE))=TRUE,"",VLOOKUP(B29,EDW_FEEDER!$T$2:$AH$86,10,FALSE))</f>
        <v>178.1</v>
      </c>
      <c r="E29" s="260">
        <f>IF(ISNA(VLOOKUP(B29,EDW_FEEDER!$T$2:$AH$86,11,FALSE))=TRUE,"",VLOOKUP(B29,EDW_FEEDER!$T$2:$AH$870,11,FALSE))</f>
        <v>0.64678000000000002</v>
      </c>
      <c r="F29" s="258">
        <f>IF(ISNA(VLOOKUP(B29,EDW_FEEDER!$T$2:$AH$86,12,FALSE))=TRUE,"",VLOOKUP(B29,EDW_FEEDER!$T$2:$AH$86,12,FALSE))</f>
        <v>177</v>
      </c>
      <c r="G29" s="258">
        <f>IF(ISNA(VLOOKUP(B29,EDW_FEEDER!$T$2:$AH$86,13,FALSE))=TRUE,"",VLOOKUP(B29,EDW_FEEDER!$T$2:$AH$86,13,FALSE))</f>
        <v>628</v>
      </c>
      <c r="H29" s="259">
        <f>IF(ISNA(VLOOKUP(B29,EDW_FEEDER!$T$2:$AH$86,14,FALSE))=TRUE,"",VLOOKUP(B29,EDW_FEEDER!$T$2:$AH$86,14,FALSE))</f>
        <v>201.3</v>
      </c>
      <c r="I29" s="259">
        <f>IF(ISNA(VLOOKUP(B29,EDW_FEEDER!$T$2:$AH$86,15,FALSE))=TRUE,"",VLOOKUP(B29,EDW_FEEDER!$T$2:$AH$86,15,FALSE))</f>
        <v>195.1</v>
      </c>
      <c r="J29" s="105"/>
      <c r="K29" s="105"/>
      <c r="L29" s="105"/>
      <c r="M29" s="105"/>
    </row>
    <row r="30" spans="2:13" x14ac:dyDescent="0.2">
      <c r="B30" s="114" t="str">
        <f>IF(ISBLANK(VLOOKUP($B$14,EDW_FEEDER!$A$117:$AK$121,17,FALSE))=TRUE,"",VLOOKUP($B$14,EDW_FEEDER!$A$117:$AK$121,17,FALSE))</f>
        <v>Wilmington</v>
      </c>
      <c r="C30" s="258">
        <f>IF(ISNA(VLOOKUP($B30,EDW_FEEDER!$T$2:$AH$86,9,FALSE))=TRUE,"",VLOOKUP($B30,EDW_FEEDER!$T$2:$AH$86,9,FALSE))</f>
        <v>1282</v>
      </c>
      <c r="D30" s="259">
        <f>IF(ISNA(VLOOKUP(B30,EDW_FEEDER!$T$2:$AH$86,10,FALSE))=TRUE,"",VLOOKUP(B30,EDW_FEEDER!$T$2:$AH$86,10,FALSE))</f>
        <v>148.1</v>
      </c>
      <c r="E30" s="260">
        <f>IF(ISNA(VLOOKUP(B30,EDW_FEEDER!$T$2:$AH$86,11,FALSE))=TRUE,"",VLOOKUP(B30,EDW_FEEDER!$T$2:$AH$870,11,FALSE))</f>
        <v>0.49687999999999999</v>
      </c>
      <c r="F30" s="258">
        <f>IF(ISNA(VLOOKUP(B30,EDW_FEEDER!$T$2:$AH$86,12,FALSE))=TRUE,"",VLOOKUP(B30,EDW_FEEDER!$T$2:$AH$86,12,FALSE))</f>
        <v>125</v>
      </c>
      <c r="G30" s="258">
        <f>IF(ISNA(VLOOKUP(B30,EDW_FEEDER!$T$2:$AH$86,13,FALSE))=TRUE,"",VLOOKUP(B30,EDW_FEEDER!$T$2:$AH$86,13,FALSE))</f>
        <v>672</v>
      </c>
      <c r="H30" s="259">
        <f>IF(ISNA(VLOOKUP(B30,EDW_FEEDER!$T$2:$AH$86,14,FALSE))=TRUE,"",VLOOKUP(B30,EDW_FEEDER!$T$2:$AH$86,14,FALSE))</f>
        <v>234</v>
      </c>
      <c r="I30" s="259">
        <f>IF(ISNA(VLOOKUP(B30,EDW_FEEDER!$T$2:$AH$86,15,FALSE))=TRUE,"",VLOOKUP(B30,EDW_FEEDER!$T$2:$AH$86,15,FALSE))</f>
        <v>230.3</v>
      </c>
      <c r="J30" s="105"/>
      <c r="K30" s="105"/>
      <c r="L30" s="105"/>
      <c r="M30" s="105"/>
    </row>
    <row r="31" spans="2:13" x14ac:dyDescent="0.2">
      <c r="B31" s="505" t="s">
        <v>297</v>
      </c>
      <c r="C31" s="506"/>
      <c r="D31" s="506"/>
      <c r="E31" s="506"/>
      <c r="F31" s="506"/>
      <c r="G31" s="506"/>
      <c r="H31" s="506"/>
      <c r="I31" s="506"/>
      <c r="J31" s="506"/>
      <c r="K31" s="506"/>
      <c r="L31" s="506"/>
      <c r="M31" s="507"/>
    </row>
    <row r="32" spans="2:13" x14ac:dyDescent="0.2">
      <c r="B32" s="220" t="s">
        <v>387</v>
      </c>
      <c r="C32" s="258">
        <f>IF(ISNA(VLOOKUP("USAP",EDW_FEEDER!$T$2:$AH$86,9,FALSE))=TRUE,"",VLOOKUP("USAP",EDW_FEEDER!$T$2:$AH$86,9,FALSE))</f>
        <v>18845</v>
      </c>
      <c r="D32" s="259">
        <f>IF(ISNA(VLOOKUP("USAP",EDW_FEEDER!$T$2:$AH$86,10,FALSE))=TRUE,"",VLOOKUP("USAP",EDW_FEEDER!$T$2:$AH$86,10,FALSE))</f>
        <v>64.2</v>
      </c>
      <c r="E32" s="260">
        <f>IF(ISNA(VLOOKUP("USAP",EDW_FEEDER!$T$2:$AH$86,11,FALSE))=TRUE,"",VLOOKUP("USAP",EDW_FEEDER!$T$2:$AH$870,11,FALSE))</f>
        <v>0.10602</v>
      </c>
      <c r="F32" s="258">
        <f>IF(ISNA(VLOOKUP("USAP",EDW_FEEDER!$T$2:$AH$86,12,FALSE))=TRUE,"",VLOOKUP("USAP",EDW_FEEDER!$T$2:$AH$86,12,FALSE))</f>
        <v>10015</v>
      </c>
      <c r="G32" s="258">
        <f>IF(ISNA(VLOOKUP("USAP",EDW_FEEDER!$T$2:$AH$86,13,FALSE))=TRUE,"",VLOOKUP("USAP",EDW_FEEDER!$T$2:$AH$86,13,FALSE))</f>
        <v>45856</v>
      </c>
      <c r="H32" s="259">
        <f>IF(ISNA(VLOOKUP("USAP",EDW_FEEDER!$T$2:$AH$86,14,FALSE))=TRUE,"",VLOOKUP("USAP",EDW_FEEDER!$T$2:$AH$86,14,FALSE))</f>
        <v>70.900000000000006</v>
      </c>
      <c r="I32" s="259">
        <f>IF(ISNA(VLOOKUP("USAP",EDW_FEEDER!$T$2:$AH$86,15,FALSE))=TRUE,"",VLOOKUP("USAP",EDW_FEEDER!$T$2:$AH$86,15,FALSE))</f>
        <v>64.7</v>
      </c>
      <c r="J32" s="105"/>
      <c r="K32" s="105" t="str">
        <f>IF(ISNA(VLOOKUP(B32,Accuracy!$AD$70:$AQ$73,6,FALSE))=TRUE,"",VLOOKUP(B32,Accuracy!$AD$70:$AQ$73,6,FALSE))</f>
        <v/>
      </c>
      <c r="L32" s="105" t="str">
        <f>IF(ISNA(VLOOKUP(B32,Accuracy!$AD$70:$AQ$73,9,FALSE))=TRUE,"",VLOOKUP(B32,Accuracy!$AD$70:$AQ$73,9,FALSE))</f>
        <v/>
      </c>
      <c r="M32" s="105" t="str">
        <f>IF(ISNA(VLOOKUP(B32,Accuracy!$AD$70:$AQ$73,9,FALSE))=TRUE,"",VLOOKUP(B32,Accuracy!$AD$70:$AQ$73,9,FALSE))</f>
        <v/>
      </c>
    </row>
    <row r="33" spans="1:16" x14ac:dyDescent="0.2">
      <c r="B33" s="116" t="s">
        <v>245</v>
      </c>
      <c r="C33" s="258">
        <f>IF(ISNA(VLOOKUP($B33,EDW_FEEDER!$T$2:$AH$86,9,FALSE))=TRUE,"",VLOOKUP($B33,EDW_FEEDER!$T$2:$AH$86,9,FALSE))</f>
        <v>6710</v>
      </c>
      <c r="D33" s="259">
        <f>IF(ISNA(VLOOKUP(B33,EDW_FEEDER!$T$2:$AH$86,10,FALSE))=TRUE,"",VLOOKUP(B33,EDW_FEEDER!$T$2:$AH$86,10,FALSE))</f>
        <v>67.3</v>
      </c>
      <c r="E33" s="260">
        <f>IF(ISNA(VLOOKUP(B33,EDW_FEEDER!$T$2:$AH$86,11,FALSE))=TRUE,"",VLOOKUP(B33,EDW_FEEDER!$T$2:$AH$870,11,FALSE))</f>
        <v>0.10537000000000001</v>
      </c>
      <c r="F33" s="258">
        <f>IF(ISNA(VLOOKUP(B33,EDW_FEEDER!$T$2:$AH$86,12,FALSE))=TRUE,"",VLOOKUP(B33,EDW_FEEDER!$T$2:$AH$86,12,FALSE))</f>
        <v>3262</v>
      </c>
      <c r="G33" s="258">
        <f>IF(ISNA(VLOOKUP(B33,EDW_FEEDER!$T$2:$AH$86,13,FALSE))=TRUE,"",VLOOKUP(B33,EDW_FEEDER!$T$2:$AH$86,13,FALSE))</f>
        <v>13855</v>
      </c>
      <c r="H33" s="259">
        <f>IF(ISNA(VLOOKUP(B33,EDW_FEEDER!$T$2:$AH$86,14,FALSE))=TRUE,"",VLOOKUP(B33,EDW_FEEDER!$T$2:$AH$86,14,FALSE))</f>
        <v>82.8</v>
      </c>
      <c r="I33" s="259">
        <f>IF(ISNA(VLOOKUP(B33,EDW_FEEDER!$T$2:$AH$86,15,FALSE))=TRUE,"",VLOOKUP(B33,EDW_FEEDER!$T$2:$AH$86,15,FALSE))</f>
        <v>74</v>
      </c>
      <c r="J33" s="105"/>
      <c r="K33" s="105"/>
      <c r="L33" s="105"/>
      <c r="M33" s="105"/>
    </row>
    <row r="34" spans="1:16" x14ac:dyDescent="0.2">
      <c r="A34" s="16"/>
      <c r="B34" s="116" t="s">
        <v>243</v>
      </c>
      <c r="C34" s="258">
        <f>IF(ISNA(VLOOKUP($B34,EDW_FEEDER!$T$2:$AH$86,9,FALSE))=TRUE,"",VLOOKUP($B34,EDW_FEEDER!$T$2:$AH$86,9,FALSE))</f>
        <v>4912</v>
      </c>
      <c r="D34" s="259">
        <f>IF(ISNA(VLOOKUP(B34,EDW_FEEDER!$T$2:$AH$86,10,FALSE))=TRUE,"",VLOOKUP(B34,EDW_FEEDER!$T$2:$AH$86,10,FALSE))</f>
        <v>56.8</v>
      </c>
      <c r="E34" s="260">
        <f>IF(ISNA(VLOOKUP(B34,EDW_FEEDER!$T$2:$AH$86,11,FALSE))=TRUE,"",VLOOKUP(B34,EDW_FEEDER!$T$2:$AH$870,11,FALSE))</f>
        <v>0.10057000000000001</v>
      </c>
      <c r="F34" s="258">
        <f>IF(ISNA(VLOOKUP(B34,EDW_FEEDER!$T$2:$AH$86,12,FALSE))=TRUE,"",VLOOKUP(B34,EDW_FEEDER!$T$2:$AH$86,12,FALSE))</f>
        <v>2758</v>
      </c>
      <c r="G34" s="258">
        <f>IF(ISNA(VLOOKUP(B34,EDW_FEEDER!$T$2:$AH$86,13,FALSE))=TRUE,"",VLOOKUP(B34,EDW_FEEDER!$T$2:$AH$86,13,FALSE))</f>
        <v>12637</v>
      </c>
      <c r="H34" s="259">
        <f>IF(ISNA(VLOOKUP(B34,EDW_FEEDER!$T$2:$AH$86,14,FALSE))=TRUE,"",VLOOKUP(B34,EDW_FEEDER!$T$2:$AH$86,14,FALSE))</f>
        <v>62.1</v>
      </c>
      <c r="I34" s="259">
        <f>IF(ISNA(VLOOKUP(B34,EDW_FEEDER!$T$2:$AH$86,15,FALSE))=TRUE,"",VLOOKUP(B34,EDW_FEEDER!$T$2:$AH$86,15,FALSE))</f>
        <v>57.1</v>
      </c>
      <c r="J34" s="105"/>
      <c r="K34" s="105"/>
      <c r="L34" s="105"/>
      <c r="M34" s="105"/>
    </row>
    <row r="35" spans="1:16" x14ac:dyDescent="0.2">
      <c r="B35" s="116" t="s">
        <v>251</v>
      </c>
      <c r="C35" s="258">
        <f>IF(ISNA(VLOOKUP($B35,EDW_FEEDER!$T$2:$AH$86,9,FALSE))=TRUE,"",VLOOKUP($B35,EDW_FEEDER!$T$2:$AH$86,9,FALSE))</f>
        <v>6575</v>
      </c>
      <c r="D35" s="259">
        <f>IF(ISNA(VLOOKUP(B35,EDW_FEEDER!$T$2:$AH$86,10,FALSE))=TRUE,"",VLOOKUP(B35,EDW_FEEDER!$T$2:$AH$86,10,FALSE))</f>
        <v>55.5</v>
      </c>
      <c r="E35" s="260">
        <f>IF(ISNA(VLOOKUP(B35,EDW_FEEDER!$T$2:$AH$86,11,FALSE))=TRUE,"",VLOOKUP(B35,EDW_FEEDER!$T$2:$AH$870,11,FALSE))</f>
        <v>6.8140000000000006E-2</v>
      </c>
      <c r="F35" s="258">
        <f>IF(ISNA(VLOOKUP(B35,EDW_FEEDER!$T$2:$AH$86,12,FALSE))=TRUE,"",VLOOKUP(B35,EDW_FEEDER!$T$2:$AH$86,12,FALSE))</f>
        <v>3627</v>
      </c>
      <c r="G35" s="258">
        <f>IF(ISNA(VLOOKUP(B35,EDW_FEEDER!$T$2:$AH$86,13,FALSE))=TRUE,"",VLOOKUP(B35,EDW_FEEDER!$T$2:$AH$86,13,FALSE))</f>
        <v>17578</v>
      </c>
      <c r="H35" s="259">
        <f>IF(ISNA(VLOOKUP(B35,EDW_FEEDER!$T$2:$AH$86,14,FALSE))=TRUE,"",VLOOKUP(B35,EDW_FEEDER!$T$2:$AH$86,14,FALSE))</f>
        <v>68.900000000000006</v>
      </c>
      <c r="I35" s="259">
        <f>IF(ISNA(VLOOKUP(B35,EDW_FEEDER!$T$2:$AH$86,15,FALSE))=TRUE,"",VLOOKUP(B35,EDW_FEEDER!$T$2:$AH$86,15,FALSE))</f>
        <v>64</v>
      </c>
      <c r="J35" s="105"/>
      <c r="K35" s="105"/>
      <c r="L35" s="105"/>
      <c r="M35" s="105"/>
    </row>
    <row r="36" spans="1:16" x14ac:dyDescent="0.2">
      <c r="B36" s="117" t="s">
        <v>433</v>
      </c>
      <c r="C36" s="258">
        <f>IF(ISNA(VLOOKUP(B36,EDW_FEEDER!$T$2:$AH$86,9,FALSE))=TRUE,"",VLOOKUP(B36,EDW_FEEDER!$T$2:$AH$86,9,FALSE))</f>
        <v>648</v>
      </c>
      <c r="D36" s="259">
        <f>IF(ISNA(VLOOKUP(B36,EDW_FEEDER!$T$2:$AH$86,10,FALSE))=TRUE,"",VLOOKUP(B36,EDW_FEEDER!$T$2:$AH$86,10,FALSE))</f>
        <v>175.6</v>
      </c>
      <c r="E36" s="260">
        <f>IF(ISNA(VLOOKUP(B36,EDW_FEEDER!$T$2:$AH$86,11,FALSE))=TRUE,"",VLOOKUP(B36,EDW_FEEDER!$T$2:$AH$86,11,FALSE))</f>
        <v>0.53857999999999995</v>
      </c>
      <c r="F36" s="258">
        <f>IF(ISNA(VLOOKUP(B36,EDW_FEEDER!$T$2:$AH$86,12,FALSE))=TRUE,"",VLOOKUP(B36,EDW_FEEDER!$T$2:$AH$86,12,FALSE))</f>
        <v>368</v>
      </c>
      <c r="G36" s="258">
        <f>IF(ISNA(VLOOKUP(B36,EDW_FEEDER!$T$2:$AH$86,13,FALSE))=TRUE,"",VLOOKUP(B36,EDW_FEEDER!$T$2:$AH$86,13,FALSE))</f>
        <v>1786</v>
      </c>
      <c r="H36" s="259">
        <f>IF(ISNA(VLOOKUP(B36,EDW_FEEDER!$T$2:$AH$86,14,FALSE))=TRUE,"",VLOOKUP(B36,EDW_FEEDER!$T$2:$AH$870,14,FALSE))</f>
        <v>51.4</v>
      </c>
      <c r="I36" s="259">
        <f>IF(ISNA(VLOOKUP(B36,EDW_FEEDER!$T$2:$AH$86,15,FALSE))=TRUE,"",VLOOKUP(B36,EDW_FEEDER!$T$2:$AH$86,15,FALSE))</f>
        <v>52.2</v>
      </c>
      <c r="J36" s="105"/>
      <c r="K36" s="105"/>
      <c r="L36" s="105"/>
      <c r="M36" s="105"/>
    </row>
    <row r="37" spans="1:16" x14ac:dyDescent="0.2">
      <c r="B37" s="505" t="s">
        <v>298</v>
      </c>
      <c r="C37" s="506"/>
      <c r="D37" s="506"/>
      <c r="E37" s="506"/>
      <c r="F37" s="506"/>
      <c r="G37" s="506"/>
      <c r="H37" s="506"/>
      <c r="I37" s="506"/>
      <c r="J37" s="506"/>
      <c r="K37" s="506"/>
      <c r="L37" s="506"/>
      <c r="M37" s="507"/>
    </row>
    <row r="38" spans="1:16" x14ac:dyDescent="0.2">
      <c r="B38" s="222" t="s">
        <v>388</v>
      </c>
      <c r="C38" s="258">
        <f>IF(ISNA(VLOOKUP("USAQ",EDW_FEEDER!$T$2:$AH$86,9,FALSE))=TRUE,"",VLOOKUP("USAQ",EDW_FEEDER!$T$2:$AH$86,9,FALSE))</f>
        <v>9843</v>
      </c>
      <c r="D38" s="259">
        <f>IF(ISNA(VLOOKUP("USAQ",EDW_FEEDER!$T$2:$AH$86,10,FALSE))=TRUE,"",VLOOKUP("USAQ",EDW_FEEDER!$T$2:$AH$86,10,FALSE))</f>
        <v>94</v>
      </c>
      <c r="E38" s="260">
        <f>IF(ISNA(VLOOKUP("USAQ",EDW_FEEDER!$T$2:$AH$86,11,FALSE))=TRUE,"",VLOOKUP("USAQ",EDW_FEEDER!$T$2:$AH$86,11,FALSE))</f>
        <v>0.26577000000000001</v>
      </c>
      <c r="F38" s="258">
        <f>IF(ISNA(VLOOKUP("USAQ",EDW_FEEDER!$T$2:$AH$86,12,FALSE))=TRUE,"",VLOOKUP("USAQ",EDW_FEEDER!$T$2:$AH$86,12,FALSE))</f>
        <v>1653</v>
      </c>
      <c r="G38" s="258">
        <f>IF(ISNA(VLOOKUP("USAQ",EDW_FEEDER!$T$2:$AH$86,13,FALSE))=TRUE,"",VLOOKUP("USAQ",EDW_FEEDER!$T$2:$AH$86,13,FALSE))</f>
        <v>7735</v>
      </c>
      <c r="H38" s="259">
        <f>IF(ISNA(VLOOKUP("USAQ",EDW_FEEDER!$T$2:$AH$86,14,FALSE))=TRUE,"",VLOOKUP("USAQ",EDW_FEEDER!$T$2:$AH$86,14,FALSE))</f>
        <v>145.4</v>
      </c>
      <c r="I38" s="259">
        <f>IF(ISNA(VLOOKUP("USAQ",EDW_FEEDER!$T$2:$AH$86,15,FALSE))=TRUE,"",VLOOKUP("USAQ",EDW_FEEDER!$T$2:$AH$86,15,FALSE))</f>
        <v>127.9</v>
      </c>
      <c r="J38" s="105"/>
      <c r="K38" s="105"/>
      <c r="L38" s="105"/>
      <c r="M38" s="105"/>
    </row>
    <row r="39" spans="1:16" x14ac:dyDescent="0.2">
      <c r="B39" s="221" t="s">
        <v>85</v>
      </c>
      <c r="C39" s="258">
        <f>IF(ISNA(VLOOKUP("San Diego QS",EDW_FEEDER!$T$2:$AH$86,9,FALSE))=TRUE,"",VLOOKUP("San Diego QS",EDW_FEEDER!$T$2:$AH$86,9,FALSE))</f>
        <v>4225</v>
      </c>
      <c r="D39" s="259">
        <f>IF(ISNA(VLOOKUP("San Diego QS",EDW_FEEDER!$T$2:$AH$86,10,FALSE))=TRUE,"",VLOOKUP("San Diego QS",EDW_FEEDER!$T$2:$AH$86,10,FALSE))</f>
        <v>88.4</v>
      </c>
      <c r="E39" s="260">
        <f>IF(ISNA(VLOOKUP("San Diego QS",EDW_FEEDER!$T$2:$AH$86,11,FALSE))=TRUE,"",VLOOKUP("San Diego QS",EDW_FEEDER!$T$2:$AH$86,11,FALSE))</f>
        <v>0.23432</v>
      </c>
      <c r="F39" s="258">
        <f>IF(ISNA(VLOOKUP("San Diego QS",EDW_FEEDER!$T$2:$AH$86,12,FALSE))=TRUE,"",VLOOKUP("San Diego QS",EDW_FEEDER!$T$2:$AH$86,12,FALSE))</f>
        <v>910</v>
      </c>
      <c r="G39" s="258">
        <f>IF(ISNA(VLOOKUP("San Diego QS",EDW_FEEDER!$T$2:$AH$86,13,FALSE))=TRUE,"",VLOOKUP("San Diego QS",EDW_FEEDER!$T$2:$AH$86,13,FALSE))</f>
        <v>4014</v>
      </c>
      <c r="H39" s="259">
        <f>IF(ISNA(VLOOKUP("San Diego QS",EDW_FEEDER!$T$2:$AH$86,14,FALSE))=TRUE,"",VLOOKUP("San Diego QS",EDW_FEEDER!$T$2:$AH$86,14,FALSE))</f>
        <v>132.6</v>
      </c>
      <c r="I39" s="259">
        <f>IF(ISNA(VLOOKUP("San Diego QS",EDW_FEEDER!$T$2:$AH$86,15,FALSE))=TRUE,"",VLOOKUP("San Diego QS",EDW_FEEDER!$T$2:$AH$86,15,FALSE))</f>
        <v>112.4</v>
      </c>
      <c r="J39" s="105"/>
      <c r="K39" s="105"/>
      <c r="L39" s="105"/>
      <c r="M39" s="105"/>
      <c r="N39" s="49"/>
      <c r="O39" s="49"/>
      <c r="P39" s="49"/>
    </row>
    <row r="40" spans="1:16" x14ac:dyDescent="0.2">
      <c r="B40" s="221" t="s">
        <v>97</v>
      </c>
      <c r="C40" s="258">
        <f>IF(ISNA(VLOOKUP("Winston-Salem QS",EDW_FEEDER!$T$2:$AH$86,9,FALSE))=TRUE,"",VLOOKUP("Winston-Salem QS",EDW_FEEDER!$T$2:$AH$86,9,FALSE))</f>
        <v>4738</v>
      </c>
      <c r="D40" s="259">
        <f>IF(ISNA(VLOOKUP("Winston-Salem QS",EDW_FEEDER!$T$2:$AH$86,10,FALSE))=TRUE,"",VLOOKUP("Winston-Salem QS",EDW_FEEDER!$T$2:$AH$86,10,FALSE))</f>
        <v>98.8</v>
      </c>
      <c r="E40" s="260">
        <f>IF(ISNA(VLOOKUP("Winston-Salem QS",EDW_FEEDER!$T$2:$AH$86,11,FALSE))=TRUE,"",VLOOKUP("Winston-Salem QS",EDW_FEEDER!$T$2:$AH$86,11,FALSE))</f>
        <v>0.28893999999999997</v>
      </c>
      <c r="F40" s="258">
        <f>IF(ISNA(VLOOKUP("Winston-Salem QS",EDW_FEEDER!$T$2:$AH$86,12,FALSE))=TRUE,"",VLOOKUP("Winston-Salem QS",EDW_FEEDER!$T$2:$AH$86,12,FALSE))</f>
        <v>696</v>
      </c>
      <c r="G40" s="258">
        <f>IF(ISNA(VLOOKUP("Winston-Salem QS",EDW_FEEDER!$T$2:$AH$86,13,FALSE))=TRUE,"",VLOOKUP("Winston-Salem QS",EDW_FEEDER!$T$2:$AH$86,13,FALSE))</f>
        <v>3450</v>
      </c>
      <c r="H40" s="259">
        <f>IF(ISNA(VLOOKUP("Winston-Salem QS",EDW_FEEDER!$T$2:$AH$86,14,FALSE))=TRUE,"",VLOOKUP("Winston-Salem QS",EDW_FEEDER!$T$2:$AH$870,14,FALSE))</f>
        <v>157.5</v>
      </c>
      <c r="I40" s="259">
        <f>IF(ISNA(VLOOKUP("Winston-Salem QS",EDW_FEEDER!$T$2:$AH$86,15,FALSE))=TRUE,"",VLOOKUP("Winston-Salem QS",EDW_FEEDER!$T$2:$AH$86,15,FALSE))</f>
        <v>139.6</v>
      </c>
      <c r="J40" s="105"/>
      <c r="K40" s="105"/>
      <c r="L40" s="105"/>
      <c r="M40" s="105"/>
      <c r="N40" s="87"/>
      <c r="O40" s="88"/>
      <c r="P40" s="88"/>
    </row>
    <row r="41" spans="1:16" x14ac:dyDescent="0.2">
      <c r="B41" s="115" t="s">
        <v>432</v>
      </c>
      <c r="C41" s="258">
        <f>IF(ISNA(VLOOKUP(B41,EDW_FEEDER!$T$2:$AH$86,9,FALSE))=TRUE,"",VLOOKUP(B41,EDW_FEEDER!$T$2:$AH$86,9,FALSE))</f>
        <v>880</v>
      </c>
      <c r="D41" s="259">
        <f>IF(ISNA(VLOOKUP(B41,EDW_FEEDER!$T$2:$AH$86,10,FALSE))=TRUE,"",VLOOKUP(B41,EDW_FEEDER!$T$2:$AH$86,10,FALSE))</f>
        <v>94.5</v>
      </c>
      <c r="E41" s="260">
        <f>IF(ISNA(VLOOKUP(B41,EDW_FEEDER!$T$2:$AH$86,11,FALSE))=TRUE,"",VLOOKUP(B41,EDW_FEEDER!$T$2:$AH$86,11,FALSE))</f>
        <v>0.29204999999999998</v>
      </c>
      <c r="F41" s="258">
        <f>IF(ISNA(VLOOKUP(B41,EDW_FEEDER!$T$2:$AH$86,12,FALSE))=TRUE,"",VLOOKUP(B41,EDW_FEEDER!$T$2:$AH$86,12,FALSE))</f>
        <v>47</v>
      </c>
      <c r="G41" s="258">
        <f>IF(ISNA(VLOOKUP(B41,EDW_FEEDER!$T$2:$AH$86,13,FALSE))=TRUE,"",VLOOKUP(B41,EDW_FEEDER!$T$2:$AH$86,13,FALSE))</f>
        <v>271</v>
      </c>
      <c r="H41" s="259">
        <f>IF(ISNA(VLOOKUP(B41,EDW_FEEDER!$T$2:$AH$86,14,FALSE))=TRUE,"",VLOOKUP(B41,EDW_FEEDER!$T$2:$AH$870,14,FALSE))</f>
        <v>215</v>
      </c>
      <c r="I41" s="259">
        <f>IF(ISNA(VLOOKUP(B41,EDW_FEEDER!$T$2:$AH$86,15,FALSE))=TRUE,"",VLOOKUP(B41,EDW_FEEDER!$T$2:$AH$86,15,FALSE))</f>
        <v>207.4</v>
      </c>
      <c r="J41" s="105"/>
      <c r="K41" s="105"/>
      <c r="L41" s="105"/>
      <c r="M41" s="105"/>
      <c r="N41" s="87"/>
      <c r="O41" s="88"/>
      <c r="P41" s="88"/>
    </row>
    <row r="42" spans="1:16" x14ac:dyDescent="0.2">
      <c r="B42" s="505" t="s">
        <v>299</v>
      </c>
      <c r="C42" s="506"/>
      <c r="D42" s="506"/>
      <c r="E42" s="506"/>
      <c r="F42" s="506"/>
      <c r="G42" s="506"/>
      <c r="H42" s="506"/>
      <c r="I42" s="506"/>
      <c r="J42" s="506"/>
      <c r="K42" s="506"/>
      <c r="L42" s="506"/>
      <c r="M42" s="507"/>
      <c r="N42" s="87"/>
      <c r="O42" s="88"/>
      <c r="P42" s="88"/>
    </row>
    <row r="43" spans="1:16" ht="25.5" x14ac:dyDescent="0.2">
      <c r="B43" s="222" t="s">
        <v>389</v>
      </c>
      <c r="C43" s="258">
        <f>IF(ISNA(VLOOKUP("USAB",EDW_FEEDER!$T$2:$AH$86,9,FALSE))=TRUE,"",VLOOKUP("USAB",EDW_FEEDER!$T$2:$AH$86,9,FALSE))</f>
        <v>10680</v>
      </c>
      <c r="D43" s="259">
        <f>IF(ISNA(VLOOKUP("USAB",EDW_FEEDER!$T$2:$AH$86,10,FALSE))=TRUE,"",VLOOKUP("USAB",EDW_FEEDER!$T$2:$AH$86,10,FALSE))</f>
        <v>99.4</v>
      </c>
      <c r="E43" s="260">
        <f>IF(ISNA(VLOOKUP("USAB",EDW_FEEDER!$T$2:$AH$86,11,FALSE))=TRUE,"",VLOOKUP("USAB",EDW_FEEDER!$T$2:$AH$86,11,FALSE))</f>
        <v>0.27696999999999999</v>
      </c>
      <c r="F43" s="258">
        <f>IF(ISNA(VLOOKUP("USAB",EDW_FEEDER!$T$2:$AH$86,12,FALSE))=TRUE,"",VLOOKUP("USAB",EDW_FEEDER!$T$2:$AH$86,12,FALSE))</f>
        <v>1503</v>
      </c>
      <c r="G43" s="258">
        <f>IF(ISNA(VLOOKUP("USAB",EDW_FEEDER!$T$2:$AH$86,13,FALSE))=TRUE,"",VLOOKUP("USAB",EDW_FEEDER!$T$2:$AH$870,13,FALSE))</f>
        <v>7704</v>
      </c>
      <c r="H43" s="259">
        <f>IF(ISNA(VLOOKUP("USAB",EDW_FEEDER!$T$2:$AH$86,14,FALSE))=TRUE,"",VLOOKUP("USAB",EDW_FEEDER!$T$2:$AH$86,14,FALSE))</f>
        <v>159.30000000000001</v>
      </c>
      <c r="I43" s="259">
        <f>IF(ISNA(VLOOKUP("USAB",EDW_FEEDER!$T$2:$AH$86,15,FALSE))=TRUE,"",VLOOKUP("USAB",EDW_FEEDER!$T$2:$AH$86,15,FALSE))</f>
        <v>149.5</v>
      </c>
      <c r="J43" s="105"/>
      <c r="K43" s="105"/>
      <c r="L43" s="105"/>
      <c r="M43" s="105"/>
      <c r="N43" s="87"/>
      <c r="O43" s="88"/>
      <c r="P43" s="88"/>
    </row>
    <row r="44" spans="1:16" x14ac:dyDescent="0.2">
      <c r="B44" s="221" t="s">
        <v>97</v>
      </c>
      <c r="C44" s="258">
        <f>IF(ISNA(VLOOKUP("Winston-Salem BDD",EDW_FEEDER!$T$2:$AH$86,9,FALSE))=TRUE,"",VLOOKUP("Winston-Salem BDD",EDW_FEEDER!$T$2:$AH$86,9,FALSE))</f>
        <v>4163</v>
      </c>
      <c r="D44" s="259">
        <f>IF(ISNA(VLOOKUP("Winston-Salem BDD",EDW_FEEDER!$T$2:$AH$86,10,FALSE))=TRUE,"",VLOOKUP("Winston-Salem BDD",EDW_FEEDER!$T$2:$AH$86,10,FALSE))</f>
        <v>81.7</v>
      </c>
      <c r="E44" s="260">
        <f>IF(ISNA(VLOOKUP("Winston-Salem BDD",EDW_FEEDER!$T$2:$AH$86,11,FALSE))=TRUE,"",VLOOKUP("Winston-Salem BDD",EDW_FEEDER!$T$2:$AH$86,11,FALSE))</f>
        <v>0.16694999999999999</v>
      </c>
      <c r="F44" s="258">
        <f>IF(ISNA(VLOOKUP("Winston-Salem BDD",EDW_FEEDER!$T$2:$AH$86,12,FALSE))=TRUE,"",VLOOKUP("Winston-Salem BDD",EDW_FEEDER!$T$2:$AH$86,12,FALSE))</f>
        <v>492</v>
      </c>
      <c r="G44" s="258">
        <f>IF(ISNA(VLOOKUP("Winston-Salem BDD",EDW_FEEDER!$T$2:$AH$86,13,FALSE))=TRUE,"",VLOOKUP("Winston-Salem BDD",EDW_FEEDER!$T$2:$AH$870,13,FALSE))</f>
        <v>2914</v>
      </c>
      <c r="H44" s="259">
        <f>IF(ISNA(VLOOKUP("Winston-Salem BDD",EDW_FEEDER!$T$2:$AH$86,14,FALSE))=TRUE,"",VLOOKUP("Winston-Salem BDD",EDW_FEEDER!$T$2:$AH$86,14,FALSE))</f>
        <v>117</v>
      </c>
      <c r="I44" s="259">
        <f>IF(ISNA(VLOOKUP("Winston-Salem BDD",EDW_FEEDER!$T$2:$AH$86,15,FALSE))=TRUE,"",VLOOKUP("Winston-Salem BDD",EDW_FEEDER!$T$2:$AH$86,15,FALSE))</f>
        <v>96.8</v>
      </c>
      <c r="J44" s="105"/>
      <c r="K44" s="105"/>
      <c r="L44" s="105"/>
      <c r="M44" s="105"/>
    </row>
    <row r="45" spans="1:16" x14ac:dyDescent="0.2">
      <c r="B45" s="221" t="s">
        <v>84</v>
      </c>
      <c r="C45" s="258">
        <f>IF(ISNA(VLOOKUP("Salt Lake City BDD",EDW_FEEDER!$T$2:$AH$86,9,FALSE))=TRUE,"",VLOOKUP("Salt Lake City BDD",EDW_FEEDER!$T$2:$AH$86,9,FALSE))</f>
        <v>5136</v>
      </c>
      <c r="D45" s="259">
        <f>IF(ISNA(VLOOKUP("Salt Lake City BDD",EDW_FEEDER!$T$2:$AH$86,10,FALSE))=TRUE,"",VLOOKUP("Salt Lake City BDD",EDW_FEEDER!$T$2:$AH$86,10,FALSE))</f>
        <v>113.1</v>
      </c>
      <c r="E45" s="260">
        <f>IF(ISNA(VLOOKUP("Salt Lake City BDD",EDW_FEEDER!$T$2:$AH$86,11,FALSE))=TRUE,"",VLOOKUP("Salt Lake City BDD",EDW_FEEDER!$T$2:$AH$86,11,FALSE))</f>
        <v>0.36780000000000002</v>
      </c>
      <c r="F45" s="258">
        <f>IF(ISNA(VLOOKUP("Salt Lake City BDD",EDW_FEEDER!$T$2:$AH$86,12,FALSE))=TRUE,"",VLOOKUP("Salt Lake City BDD",EDW_FEEDER!$T$2:$AH$86,12,FALSE))</f>
        <v>860</v>
      </c>
      <c r="G45" s="258">
        <f>IF(ISNA(VLOOKUP("Salt Lake City BDD",EDW_FEEDER!$T$2:$AH$86,13,FALSE))=TRUE,"",VLOOKUP("Salt Lake City BDD",EDW_FEEDER!$T$2:$AH$86,13,FALSE))</f>
        <v>4149</v>
      </c>
      <c r="H45" s="259">
        <f>IF(ISNA(VLOOKUP("Salt Lake City BDD",EDW_FEEDER!$T$2:$AH$86,14,FALSE))=TRUE,"",VLOOKUP("Salt Lake City BDD",EDW_FEEDER!$T$2:$AH$870,14,FALSE))</f>
        <v>178.8</v>
      </c>
      <c r="I45" s="259">
        <f>IF(ISNA(VLOOKUP("Salt Lake City BDD",EDW_FEEDER!$T$2:$AH$86,15,FALSE))=TRUE,"",VLOOKUP("Salt Lake City BDD",EDW_FEEDER!$T$2:$AH$86,15,FALSE))</f>
        <v>183.9</v>
      </c>
      <c r="J45" s="105"/>
      <c r="K45" s="105"/>
      <c r="L45" s="105"/>
      <c r="M45" s="105"/>
    </row>
    <row r="46" spans="1:16" ht="25.5" x14ac:dyDescent="0.2">
      <c r="B46" s="264" t="s">
        <v>434</v>
      </c>
      <c r="C46" s="258">
        <f>IF(ISNA(VLOOKUP(B46,EDW_FEEDER!$T$2:$AH$86,9,FALSE))=TRUE,"",VLOOKUP(B46,EDW_FEEDER!$T$2:$AH$86,9,FALSE))</f>
        <v>1381</v>
      </c>
      <c r="D46" s="259">
        <f>IF(ISNA(VLOOKUP(B46,EDW_FEEDER!$T$2:$AH$86,10,FALSE))=TRUE,"",VLOOKUP(B46,EDW_FEEDER!$T$2:$AH$86,10,FALSE))</f>
        <v>101.7</v>
      </c>
      <c r="E46" s="260">
        <f>IF(ISNA(VLOOKUP(B46,EDW_FEEDER!$T$2:$AH$86,11,FALSE))=TRUE,"",VLOOKUP(B46,EDW_FEEDER!$T$2:$AH$86,11,FALSE))</f>
        <v>0.27082000000000001</v>
      </c>
      <c r="F46" s="258">
        <f>IF(ISNA(VLOOKUP(B46,EDW_FEEDER!$T$2:$AH$86,12,FALSE))=TRUE,"",VLOOKUP(B46,EDW_FEEDER!$T$2:$AH$86,12,FALSE))</f>
        <v>151</v>
      </c>
      <c r="G46" s="258">
        <f>IF(ISNA(VLOOKUP(B46,EDW_FEEDER!$T$2:$AH$86,13,FALSE))=TRUE,"",VLOOKUP(B46,EDW_FEEDER!$T$2:$AH$86,13,FALSE))</f>
        <v>641</v>
      </c>
      <c r="H46" s="259">
        <f>IF(ISNA(VLOOKUP(B46,EDW_FEEDER!$T$2:$AH$86,14,FALSE))=TRUE,"",VLOOKUP(B46,EDW_FEEDER!$T$2:$AH$870,14,FALSE))</f>
        <v>185.7</v>
      </c>
      <c r="I46" s="259">
        <f>IF(ISNA(VLOOKUP(B46,EDW_FEEDER!$T$2:$AH$86,15,FALSE))=TRUE,"",VLOOKUP(B46,EDW_FEEDER!$T$2:$AH$86,15,FALSE))</f>
        <v>166.8</v>
      </c>
      <c r="J46" s="105"/>
      <c r="K46" s="105"/>
      <c r="L46" s="105"/>
      <c r="M46" s="105"/>
    </row>
    <row r="47" spans="1:16" ht="12.75" customHeight="1" x14ac:dyDescent="0.2">
      <c r="C47" s="226"/>
      <c r="D47" s="226"/>
      <c r="E47" s="226"/>
      <c r="F47" s="226"/>
      <c r="G47" s="226"/>
      <c r="H47" s="226"/>
      <c r="I47" s="226"/>
      <c r="J47" s="226"/>
      <c r="K47" s="226"/>
      <c r="L47" s="226"/>
      <c r="M47" s="226"/>
    </row>
    <row r="48" spans="1:16" ht="12.75" customHeight="1" x14ac:dyDescent="0.2">
      <c r="C48" s="226"/>
      <c r="D48" s="226"/>
      <c r="E48" s="226"/>
      <c r="F48" s="226"/>
      <c r="G48" s="226"/>
      <c r="H48" s="226"/>
      <c r="I48" s="226"/>
      <c r="J48" s="226"/>
      <c r="K48" s="226"/>
      <c r="L48" s="226"/>
      <c r="M48" s="226"/>
    </row>
    <row r="49" spans="3:13" x14ac:dyDescent="0.2">
      <c r="C49" s="226"/>
      <c r="D49" s="226"/>
      <c r="E49" s="226"/>
      <c r="F49" s="226"/>
      <c r="G49" s="226"/>
      <c r="H49" s="226"/>
      <c r="I49" s="226"/>
      <c r="J49" s="226"/>
      <c r="K49" s="226"/>
      <c r="L49" s="226"/>
      <c r="M49" s="226"/>
    </row>
  </sheetData>
  <sheetProtection password="A320" sheet="1" autoFilter="0"/>
  <protectedRanges>
    <protectedRange sqref="C11:I11 C13:I30 C43:I46 C38:I41 C32:I36" name="SOJ"/>
  </protectedRanges>
  <mergeCells count="19">
    <mergeCell ref="B42:M42"/>
    <mergeCell ref="D6:E6"/>
    <mergeCell ref="G6:H6"/>
    <mergeCell ref="L6:M6"/>
    <mergeCell ref="D7:E7"/>
    <mergeCell ref="G7:H7"/>
    <mergeCell ref="B31:M31"/>
    <mergeCell ref="B37:M37"/>
    <mergeCell ref="C9:M9"/>
    <mergeCell ref="B12:M12"/>
    <mergeCell ref="J1:M1"/>
    <mergeCell ref="J2:M2"/>
    <mergeCell ref="L7:M7"/>
    <mergeCell ref="C3:M3"/>
    <mergeCell ref="C4:M4"/>
    <mergeCell ref="D5:E5"/>
    <mergeCell ref="G5:H5"/>
    <mergeCell ref="L5:M5"/>
    <mergeCell ref="C1:I2"/>
  </mergeCells>
  <conditionalFormatting sqref="B14:B30 B32:B35">
    <cfRule type="expression" dxfId="92" priority="2" stopIfTrue="1">
      <formula>ISERROR(B14)</formula>
    </cfRule>
  </conditionalFormatting>
  <conditionalFormatting sqref="B36">
    <cfRule type="expression" dxfId="91" priority="1" stopIfTrue="1">
      <formula>ISERROR(B36)</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7" orientation="landscape" r:id="rId1"/>
  <headerFooter>
    <oddHeader>&amp;C&amp;14VBA Monday Morning Workload Report</oddHeader>
    <oddFooter>&amp;LPrepared by VBA Office of Performance Analysis &amp;&amp; Integrity</oddFooter>
  </headerFooter>
  <ignoredErrors>
    <ignoredError sqref="B15:B3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142"/>
  <sheetViews>
    <sheetView zoomScale="70" zoomScaleNormal="70" zoomScaleSheetLayoutView="80" workbookViewId="0"/>
  </sheetViews>
  <sheetFormatPr defaultRowHeight="12.75" x14ac:dyDescent="0.2"/>
  <cols>
    <col min="1" max="1" width="2.140625" style="5" customWidth="1"/>
    <col min="2" max="2" width="19.42578125" style="4" customWidth="1"/>
    <col min="3" max="3" width="14.7109375" style="4" bestFit="1" customWidth="1"/>
    <col min="4" max="4" width="14.28515625" style="4" customWidth="1"/>
    <col min="5" max="5" width="14.85546875" style="6" bestFit="1" customWidth="1"/>
    <col min="6" max="6" width="15.7109375" style="6" customWidth="1"/>
    <col min="7" max="7" width="16.7109375" style="6" customWidth="1"/>
    <col min="8" max="8" width="14" style="6" customWidth="1"/>
    <col min="9" max="9" width="12.5703125" style="6" customWidth="1"/>
    <col min="10" max="10" width="10.42578125" style="6" customWidth="1"/>
    <col min="11" max="11" width="14.7109375" style="6" customWidth="1"/>
    <col min="12" max="12" width="23" style="6" customWidth="1"/>
    <col min="13" max="13" width="14.28515625" style="6" customWidth="1"/>
    <col min="14" max="14" width="12.42578125" style="6" customWidth="1"/>
    <col min="15" max="15" width="14.42578125" style="6" customWidth="1"/>
    <col min="16" max="16" width="9.7109375" style="6" customWidth="1"/>
    <col min="17" max="17" width="15.5703125" style="6" customWidth="1"/>
    <col min="18" max="18" width="15" style="6" customWidth="1"/>
    <col min="19" max="19" width="14.5703125" style="6" customWidth="1"/>
    <col min="20" max="16384" width="9.140625" style="5"/>
  </cols>
  <sheetData>
    <row r="1" spans="2:20" ht="17.25" customHeight="1" thickBot="1" x14ac:dyDescent="0.25">
      <c r="D1" s="7"/>
      <c r="E1" s="7"/>
      <c r="F1" s="7"/>
      <c r="G1" s="7"/>
      <c r="H1" s="7"/>
      <c r="I1" s="7"/>
      <c r="J1" s="7"/>
      <c r="K1" s="7"/>
      <c r="L1" s="7"/>
      <c r="M1" s="7"/>
      <c r="N1" s="7"/>
      <c r="O1" s="7"/>
      <c r="P1" s="7"/>
      <c r="Q1" s="7"/>
      <c r="R1" s="7"/>
      <c r="S1" s="7"/>
    </row>
    <row r="2" spans="2:20" ht="27" thickBot="1" x14ac:dyDescent="0.45">
      <c r="C2" s="554" t="s">
        <v>394</v>
      </c>
      <c r="D2" s="555"/>
      <c r="E2" s="555"/>
      <c r="F2" s="555"/>
      <c r="G2" s="555"/>
      <c r="H2" s="555"/>
      <c r="I2" s="555"/>
      <c r="J2" s="555"/>
      <c r="K2" s="555"/>
      <c r="L2" s="555"/>
      <c r="M2" s="555"/>
      <c r="N2" s="555"/>
      <c r="O2" s="555"/>
      <c r="P2" s="555"/>
      <c r="Q2" s="555"/>
      <c r="R2" s="555"/>
      <c r="S2" s="556"/>
      <c r="T2" s="186"/>
    </row>
    <row r="3" spans="2:20" ht="63" customHeight="1" thickBot="1" x14ac:dyDescent="0.45">
      <c r="C3" s="563" t="s">
        <v>446</v>
      </c>
      <c r="D3" s="564"/>
      <c r="E3" s="564"/>
      <c r="F3" s="564"/>
      <c r="G3" s="564"/>
      <c r="H3" s="564"/>
      <c r="I3" s="564"/>
      <c r="J3" s="564"/>
      <c r="K3" s="564"/>
      <c r="L3" s="564"/>
      <c r="M3" s="564"/>
      <c r="N3" s="564"/>
      <c r="O3" s="564"/>
      <c r="P3" s="564"/>
      <c r="Q3" s="564"/>
      <c r="R3" s="564"/>
      <c r="S3" s="565"/>
      <c r="T3" s="186"/>
    </row>
    <row r="4" spans="2:20" ht="32.25" customHeight="1" thickBot="1" x14ac:dyDescent="0.45">
      <c r="C4" s="560" t="s">
        <v>469</v>
      </c>
      <c r="D4" s="561"/>
      <c r="E4" s="561"/>
      <c r="F4" s="561"/>
      <c r="G4" s="561"/>
      <c r="H4" s="561"/>
      <c r="I4" s="561"/>
      <c r="J4" s="561"/>
      <c r="K4" s="561"/>
      <c r="L4" s="561"/>
      <c r="M4" s="561"/>
      <c r="N4" s="561"/>
      <c r="O4" s="561"/>
      <c r="P4" s="561"/>
      <c r="Q4" s="561"/>
      <c r="R4" s="561"/>
      <c r="S4" s="562"/>
      <c r="T4" s="186"/>
    </row>
    <row r="5" spans="2:20" ht="27" customHeight="1" thickBot="1" x14ac:dyDescent="0.45">
      <c r="B5" s="25"/>
      <c r="C5" s="539" t="s">
        <v>309</v>
      </c>
      <c r="D5" s="540"/>
      <c r="E5" s="540"/>
      <c r="F5" s="540"/>
      <c r="G5" s="540"/>
      <c r="H5" s="540"/>
      <c r="I5" s="541"/>
      <c r="J5" s="270"/>
      <c r="K5" s="539" t="s">
        <v>306</v>
      </c>
      <c r="L5" s="540"/>
      <c r="M5" s="540"/>
      <c r="N5" s="540"/>
      <c r="O5" s="541"/>
      <c r="P5" s="175"/>
      <c r="Q5" s="539" t="s">
        <v>316</v>
      </c>
      <c r="R5" s="540"/>
      <c r="S5" s="541"/>
    </row>
    <row r="6" spans="2:20" ht="65.25" customHeight="1" thickBot="1" x14ac:dyDescent="0.25">
      <c r="B6" s="5"/>
      <c r="C6" s="557" t="s">
        <v>355</v>
      </c>
      <c r="D6" s="558"/>
      <c r="E6" s="558"/>
      <c r="F6" s="559"/>
      <c r="G6" s="268" t="s">
        <v>13</v>
      </c>
      <c r="H6" s="269" t="s">
        <v>4</v>
      </c>
      <c r="I6" s="271" t="s">
        <v>5</v>
      </c>
      <c r="J6" s="5"/>
      <c r="K6" s="546" t="s">
        <v>355</v>
      </c>
      <c r="L6" s="547"/>
      <c r="M6" s="265" t="s">
        <v>13</v>
      </c>
      <c r="N6" s="266" t="s">
        <v>4</v>
      </c>
      <c r="O6" s="267" t="s">
        <v>5</v>
      </c>
      <c r="P6" s="133"/>
      <c r="Q6" s="542" t="s">
        <v>355</v>
      </c>
      <c r="R6" s="543"/>
      <c r="S6" s="265" t="s">
        <v>13</v>
      </c>
    </row>
    <row r="7" spans="2:20" ht="32.25" customHeight="1" thickBot="1" x14ac:dyDescent="0.25">
      <c r="B7" s="5"/>
      <c r="C7" s="536" t="s">
        <v>396</v>
      </c>
      <c r="D7" s="537"/>
      <c r="E7" s="537"/>
      <c r="F7" s="537"/>
      <c r="G7" s="229">
        <v>171071</v>
      </c>
      <c r="H7" s="230">
        <v>84493</v>
      </c>
      <c r="I7" s="231">
        <v>0.49390603901304136</v>
      </c>
      <c r="J7" s="5"/>
      <c r="K7" s="536" t="s">
        <v>338</v>
      </c>
      <c r="L7" s="537"/>
      <c r="M7" s="230">
        <v>19666</v>
      </c>
      <c r="N7" s="230">
        <v>1637</v>
      </c>
      <c r="O7" s="234">
        <v>8.3240109834231663E-2</v>
      </c>
      <c r="P7" s="180"/>
      <c r="Q7" s="536" t="s">
        <v>317</v>
      </c>
      <c r="R7" s="537"/>
      <c r="S7" s="237">
        <v>290475</v>
      </c>
    </row>
    <row r="8" spans="2:20" ht="51" customHeight="1" x14ac:dyDescent="0.2">
      <c r="B8" s="5"/>
      <c r="C8" s="548" t="s">
        <v>322</v>
      </c>
      <c r="D8" s="549"/>
      <c r="E8" s="549"/>
      <c r="F8" s="550"/>
      <c r="G8" s="166">
        <v>602</v>
      </c>
      <c r="H8" s="161">
        <v>468</v>
      </c>
      <c r="I8" s="240">
        <v>0.77740863787375414</v>
      </c>
      <c r="J8" s="5"/>
      <c r="K8" s="544" t="s">
        <v>340</v>
      </c>
      <c r="L8" s="545"/>
      <c r="M8" s="183">
        <v>4670</v>
      </c>
      <c r="N8" s="184">
        <v>375</v>
      </c>
      <c r="O8" s="185">
        <v>8.0299785867237683E-2</v>
      </c>
      <c r="P8" s="293" t="s">
        <v>445</v>
      </c>
      <c r="Q8" s="527" t="s">
        <v>310</v>
      </c>
      <c r="R8" s="532"/>
      <c r="S8" s="216">
        <v>195752</v>
      </c>
    </row>
    <row r="9" spans="2:20" ht="45" customHeight="1" x14ac:dyDescent="0.2">
      <c r="B9" s="5"/>
      <c r="C9" s="548" t="s">
        <v>320</v>
      </c>
      <c r="D9" s="549"/>
      <c r="E9" s="549"/>
      <c r="F9" s="550"/>
      <c r="G9" s="129">
        <v>51721</v>
      </c>
      <c r="H9" s="125">
        <v>24564</v>
      </c>
      <c r="I9" s="126">
        <v>0.47493281259063047</v>
      </c>
      <c r="J9" s="293" t="s">
        <v>445</v>
      </c>
      <c r="K9" s="548" t="s">
        <v>339</v>
      </c>
      <c r="L9" s="549"/>
      <c r="M9" s="129">
        <v>6163</v>
      </c>
      <c r="N9" s="125">
        <v>347</v>
      </c>
      <c r="O9" s="158">
        <v>5.6303748174590294E-2</v>
      </c>
      <c r="P9" s="293" t="s">
        <v>445</v>
      </c>
      <c r="Q9" s="527" t="s">
        <v>291</v>
      </c>
      <c r="R9" s="532"/>
      <c r="S9" s="217">
        <v>408.8</v>
      </c>
    </row>
    <row r="10" spans="2:20" ht="63" customHeight="1" thickBot="1" x14ac:dyDescent="0.25">
      <c r="B10" s="5"/>
      <c r="C10" s="548" t="s">
        <v>321</v>
      </c>
      <c r="D10" s="549"/>
      <c r="E10" s="549"/>
      <c r="F10" s="550"/>
      <c r="G10" s="129">
        <v>118748</v>
      </c>
      <c r="H10" s="129">
        <v>59461</v>
      </c>
      <c r="I10" s="131">
        <v>0.50073264391821337</v>
      </c>
      <c r="J10" s="293" t="s">
        <v>445</v>
      </c>
      <c r="K10" s="527" t="s">
        <v>341</v>
      </c>
      <c r="L10" s="532"/>
      <c r="M10" s="129">
        <v>8833</v>
      </c>
      <c r="N10" s="125">
        <v>915</v>
      </c>
      <c r="O10" s="158">
        <v>0.10358881467225178</v>
      </c>
      <c r="P10" s="181"/>
      <c r="Q10" s="527" t="s">
        <v>311</v>
      </c>
      <c r="R10" s="532"/>
      <c r="S10" s="217">
        <v>19364</v>
      </c>
    </row>
    <row r="11" spans="2:20" ht="45" customHeight="1" thickBot="1" x14ac:dyDescent="0.25">
      <c r="B11" s="5"/>
      <c r="C11" s="536" t="s">
        <v>397</v>
      </c>
      <c r="D11" s="537"/>
      <c r="E11" s="537"/>
      <c r="F11" s="537"/>
      <c r="G11" s="229">
        <v>6711</v>
      </c>
      <c r="H11" s="232">
        <v>1514</v>
      </c>
      <c r="I11" s="233">
        <v>0.22559976158545672</v>
      </c>
      <c r="J11" s="5"/>
      <c r="K11" s="536" t="s">
        <v>307</v>
      </c>
      <c r="L11" s="537"/>
      <c r="M11" s="229">
        <v>43960</v>
      </c>
      <c r="N11" s="229">
        <v>5161</v>
      </c>
      <c r="O11" s="235">
        <v>0.11740218380345768</v>
      </c>
      <c r="P11" s="181"/>
      <c r="Q11" s="527" t="s">
        <v>312</v>
      </c>
      <c r="R11" s="528"/>
      <c r="S11" s="217">
        <v>60399</v>
      </c>
    </row>
    <row r="12" spans="2:20" ht="46.5" customHeight="1" x14ac:dyDescent="0.2">
      <c r="B12" s="5"/>
      <c r="C12" s="551" t="s">
        <v>343</v>
      </c>
      <c r="D12" s="552"/>
      <c r="E12" s="552"/>
      <c r="F12" s="553"/>
      <c r="G12" s="129">
        <v>6162</v>
      </c>
      <c r="H12" s="125">
        <v>983</v>
      </c>
      <c r="I12" s="126">
        <v>0.15952612788055825</v>
      </c>
      <c r="J12" s="293" t="s">
        <v>445</v>
      </c>
      <c r="K12" s="527" t="s">
        <v>333</v>
      </c>
      <c r="L12" s="528"/>
      <c r="M12" s="157">
        <v>499</v>
      </c>
      <c r="N12" s="157">
        <v>30</v>
      </c>
      <c r="O12" s="177">
        <v>6.0120240480961921E-2</v>
      </c>
      <c r="P12" s="181"/>
      <c r="Q12" s="527" t="s">
        <v>292</v>
      </c>
      <c r="R12" s="528"/>
      <c r="S12" s="217">
        <v>630</v>
      </c>
    </row>
    <row r="13" spans="2:20" ht="49.5" customHeight="1" thickBot="1" x14ac:dyDescent="0.25">
      <c r="B13" s="5"/>
      <c r="C13" s="551" t="s">
        <v>323</v>
      </c>
      <c r="D13" s="552"/>
      <c r="E13" s="552"/>
      <c r="F13" s="553"/>
      <c r="G13" s="129">
        <v>549</v>
      </c>
      <c r="H13" s="125">
        <v>531</v>
      </c>
      <c r="I13" s="126">
        <v>0.96721311475409832</v>
      </c>
      <c r="J13" s="5"/>
      <c r="K13" s="527" t="s">
        <v>342</v>
      </c>
      <c r="L13" s="528"/>
      <c r="M13" s="157">
        <v>4758</v>
      </c>
      <c r="N13" s="157">
        <v>1127</v>
      </c>
      <c r="O13" s="178">
        <v>0.23686422866750736</v>
      </c>
      <c r="P13" s="181"/>
      <c r="Q13" s="527" t="s">
        <v>313</v>
      </c>
      <c r="R13" s="528"/>
      <c r="S13" s="217">
        <v>21288</v>
      </c>
    </row>
    <row r="14" spans="2:20" ht="45" customHeight="1" thickBot="1" x14ac:dyDescent="0.25">
      <c r="B14" s="5"/>
      <c r="C14" s="536" t="s">
        <v>1</v>
      </c>
      <c r="D14" s="537"/>
      <c r="E14" s="537"/>
      <c r="F14" s="537"/>
      <c r="G14" s="229">
        <v>307355</v>
      </c>
      <c r="H14" s="232">
        <v>151497</v>
      </c>
      <c r="I14" s="233">
        <v>0.49290559776154608</v>
      </c>
      <c r="J14" s="5"/>
      <c r="K14" s="527" t="s">
        <v>344</v>
      </c>
      <c r="L14" s="528"/>
      <c r="M14" s="157">
        <v>16116</v>
      </c>
      <c r="N14" s="157">
        <v>999</v>
      </c>
      <c r="O14" s="178">
        <v>6.1988086373790025E-2</v>
      </c>
      <c r="P14" s="181"/>
      <c r="Q14" s="527" t="s">
        <v>293</v>
      </c>
      <c r="R14" s="528"/>
      <c r="S14" s="217">
        <v>546.9</v>
      </c>
    </row>
    <row r="15" spans="2:20" ht="44.25" customHeight="1" x14ac:dyDescent="0.2">
      <c r="B15" s="5"/>
      <c r="C15" s="548" t="s">
        <v>324</v>
      </c>
      <c r="D15" s="549"/>
      <c r="E15" s="549"/>
      <c r="F15" s="550"/>
      <c r="G15" s="129">
        <v>305603</v>
      </c>
      <c r="H15" s="125">
        <v>150986</v>
      </c>
      <c r="I15" s="126">
        <v>0.49405928606721794</v>
      </c>
      <c r="J15" s="293" t="s">
        <v>445</v>
      </c>
      <c r="K15" s="527" t="s">
        <v>345</v>
      </c>
      <c r="L15" s="528"/>
      <c r="M15" s="157">
        <v>1</v>
      </c>
      <c r="N15" s="157">
        <v>0</v>
      </c>
      <c r="O15" s="178">
        <v>0</v>
      </c>
      <c r="P15" s="181"/>
      <c r="Q15" s="527" t="s">
        <v>314</v>
      </c>
      <c r="R15" s="528"/>
      <c r="S15" s="217">
        <v>12617</v>
      </c>
    </row>
    <row r="16" spans="2:20" ht="57.75" customHeight="1" x14ac:dyDescent="0.2">
      <c r="B16" s="5"/>
      <c r="C16" s="527" t="s">
        <v>325</v>
      </c>
      <c r="D16" s="532"/>
      <c r="E16" s="532"/>
      <c r="F16" s="528"/>
      <c r="G16" s="129">
        <v>1429</v>
      </c>
      <c r="H16" s="125">
        <v>258</v>
      </c>
      <c r="I16" s="126">
        <v>0.18054583624912526</v>
      </c>
      <c r="J16" s="293" t="s">
        <v>445</v>
      </c>
      <c r="K16" s="527" t="s">
        <v>346</v>
      </c>
      <c r="L16" s="528"/>
      <c r="M16" s="157">
        <v>4772</v>
      </c>
      <c r="N16" s="157">
        <v>1700</v>
      </c>
      <c r="O16" s="178">
        <v>0.35624476110645431</v>
      </c>
      <c r="P16" s="181"/>
      <c r="Q16" s="527" t="s">
        <v>294</v>
      </c>
      <c r="R16" s="528"/>
      <c r="S16" s="217">
        <v>170.4</v>
      </c>
    </row>
    <row r="17" spans="2:26" ht="31.5" customHeight="1" thickBot="1" x14ac:dyDescent="0.25">
      <c r="B17" s="5"/>
      <c r="C17" s="527" t="s">
        <v>326</v>
      </c>
      <c r="D17" s="532"/>
      <c r="E17" s="532"/>
      <c r="F17" s="528"/>
      <c r="G17" s="129">
        <v>107</v>
      </c>
      <c r="H17" s="125">
        <v>102</v>
      </c>
      <c r="I17" s="126">
        <v>0.95327102803738317</v>
      </c>
      <c r="J17" s="5"/>
      <c r="K17" s="527" t="s">
        <v>347</v>
      </c>
      <c r="L17" s="528"/>
      <c r="M17" s="157">
        <v>17814</v>
      </c>
      <c r="N17" s="157">
        <v>1305</v>
      </c>
      <c r="O17" s="179">
        <v>7.3256988885146521E-2</v>
      </c>
      <c r="P17" s="154"/>
      <c r="Q17" s="527" t="s">
        <v>422</v>
      </c>
      <c r="R17" s="528"/>
      <c r="S17" s="217">
        <v>419</v>
      </c>
    </row>
    <row r="18" spans="2:26" ht="32.25" customHeight="1" thickBot="1" x14ac:dyDescent="0.25">
      <c r="B18" s="5"/>
      <c r="C18" s="527" t="s">
        <v>327</v>
      </c>
      <c r="D18" s="532"/>
      <c r="E18" s="532"/>
      <c r="F18" s="528"/>
      <c r="G18" s="129">
        <v>203</v>
      </c>
      <c r="H18" s="125">
        <v>149</v>
      </c>
      <c r="I18" s="126">
        <v>0.73399014778325122</v>
      </c>
      <c r="J18" s="293" t="s">
        <v>445</v>
      </c>
      <c r="K18" s="536" t="s">
        <v>18</v>
      </c>
      <c r="L18" s="537"/>
      <c r="M18" s="229">
        <v>8709</v>
      </c>
      <c r="N18" s="229">
        <v>8364</v>
      </c>
      <c r="O18" s="235">
        <v>0.96038580778504989</v>
      </c>
      <c r="P18" s="182"/>
      <c r="Q18" s="536" t="s">
        <v>318</v>
      </c>
      <c r="R18" s="537"/>
      <c r="S18" s="238">
        <v>14727</v>
      </c>
    </row>
    <row r="19" spans="2:26" ht="41.25" customHeight="1" thickBot="1" x14ac:dyDescent="0.45">
      <c r="B19" s="5"/>
      <c r="C19" s="527" t="s">
        <v>328</v>
      </c>
      <c r="D19" s="532"/>
      <c r="E19" s="532"/>
      <c r="F19" s="528"/>
      <c r="G19" s="129">
        <v>1</v>
      </c>
      <c r="H19" s="125">
        <v>1</v>
      </c>
      <c r="I19" s="126">
        <v>1</v>
      </c>
      <c r="J19" s="293" t="s">
        <v>445</v>
      </c>
      <c r="K19" s="527" t="s">
        <v>348</v>
      </c>
      <c r="L19" s="528"/>
      <c r="M19" s="157">
        <v>8304</v>
      </c>
      <c r="N19" s="157">
        <v>8288</v>
      </c>
      <c r="O19" s="158">
        <v>0.9980732177263969</v>
      </c>
      <c r="P19" s="46"/>
      <c r="Q19" s="536" t="s">
        <v>319</v>
      </c>
      <c r="R19" s="537"/>
      <c r="S19" s="239">
        <v>7731</v>
      </c>
    </row>
    <row r="20" spans="2:26" ht="40.5" customHeight="1" x14ac:dyDescent="0.4">
      <c r="B20" s="5"/>
      <c r="C20" s="527" t="s">
        <v>329</v>
      </c>
      <c r="D20" s="532"/>
      <c r="E20" s="532"/>
      <c r="F20" s="528"/>
      <c r="G20" s="129">
        <v>11</v>
      </c>
      <c r="H20" s="125">
        <v>1</v>
      </c>
      <c r="I20" s="126">
        <v>9.0909090909090912E-2</v>
      </c>
      <c r="J20" s="293" t="s">
        <v>445</v>
      </c>
      <c r="K20" s="527" t="s">
        <v>395</v>
      </c>
      <c r="L20" s="528"/>
      <c r="M20" s="157">
        <v>400</v>
      </c>
      <c r="N20" s="157">
        <v>73</v>
      </c>
      <c r="O20" s="158">
        <v>0.1825</v>
      </c>
      <c r="P20" s="46"/>
      <c r="Q20" s="46"/>
      <c r="R20" s="46"/>
      <c r="S20" s="187"/>
    </row>
    <row r="21" spans="2:26" ht="39" customHeight="1" thickBot="1" x14ac:dyDescent="0.45">
      <c r="B21" s="5"/>
      <c r="C21" s="527" t="s">
        <v>330</v>
      </c>
      <c r="D21" s="532"/>
      <c r="E21" s="532"/>
      <c r="F21" s="528"/>
      <c r="G21" s="129">
        <v>1</v>
      </c>
      <c r="H21" s="125">
        <v>0</v>
      </c>
      <c r="I21" s="131">
        <v>0</v>
      </c>
      <c r="J21" s="293" t="s">
        <v>445</v>
      </c>
      <c r="K21" s="527" t="s">
        <v>349</v>
      </c>
      <c r="L21" s="528"/>
      <c r="M21" s="157">
        <v>5</v>
      </c>
      <c r="N21" s="157">
        <v>3</v>
      </c>
      <c r="O21" s="158">
        <v>0.6</v>
      </c>
      <c r="P21" s="46"/>
      <c r="Q21" s="46"/>
      <c r="R21" s="46"/>
      <c r="S21" s="187"/>
    </row>
    <row r="22" spans="2:26" ht="32.25" customHeight="1" thickBot="1" x14ac:dyDescent="0.45">
      <c r="B22" s="5"/>
      <c r="C22" s="536" t="s">
        <v>16</v>
      </c>
      <c r="D22" s="537"/>
      <c r="E22" s="537"/>
      <c r="F22" s="537"/>
      <c r="G22" s="229">
        <v>488920</v>
      </c>
      <c r="H22" s="229">
        <v>339686</v>
      </c>
      <c r="I22" s="234">
        <v>0.69476806021435</v>
      </c>
      <c r="J22" s="5"/>
      <c r="K22" s="536" t="s">
        <v>279</v>
      </c>
      <c r="L22" s="537"/>
      <c r="M22" s="229">
        <v>3063</v>
      </c>
      <c r="N22" s="229">
        <v>456</v>
      </c>
      <c r="O22" s="235">
        <v>0.14887365328109697</v>
      </c>
      <c r="P22" s="46"/>
      <c r="Q22" s="46"/>
      <c r="R22" s="46"/>
      <c r="S22" s="187"/>
      <c r="T22" s="538"/>
      <c r="U22" s="538"/>
      <c r="V22" s="167"/>
      <c r="W22" s="168"/>
      <c r="X22" s="168"/>
      <c r="Y22" s="169"/>
    </row>
    <row r="23" spans="2:26" ht="26.25" customHeight="1" x14ac:dyDescent="0.4">
      <c r="B23" s="5"/>
      <c r="C23" s="551" t="s">
        <v>331</v>
      </c>
      <c r="D23" s="552"/>
      <c r="E23" s="552"/>
      <c r="F23" s="553"/>
      <c r="G23" s="162">
        <v>260469</v>
      </c>
      <c r="H23" s="157">
        <v>197951</v>
      </c>
      <c r="I23" s="158">
        <v>0.75997911459713052</v>
      </c>
      <c r="J23" s="5"/>
      <c r="K23" s="527" t="s">
        <v>352</v>
      </c>
      <c r="L23" s="528"/>
      <c r="M23" s="157">
        <v>2352</v>
      </c>
      <c r="N23" s="157">
        <v>233</v>
      </c>
      <c r="O23" s="158">
        <v>9.9064625850340135E-2</v>
      </c>
      <c r="P23" s="46"/>
      <c r="Q23" s="46"/>
      <c r="R23" s="46"/>
      <c r="S23" s="187"/>
      <c r="T23" s="170"/>
      <c r="U23" s="170"/>
      <c r="V23" s="171"/>
      <c r="W23" s="172"/>
      <c r="X23" s="172"/>
      <c r="Y23" s="173"/>
    </row>
    <row r="24" spans="2:26" ht="39.75" customHeight="1" x14ac:dyDescent="0.4">
      <c r="B24" s="5"/>
      <c r="C24" s="551" t="s">
        <v>332</v>
      </c>
      <c r="D24" s="552"/>
      <c r="E24" s="552"/>
      <c r="F24" s="553"/>
      <c r="G24" s="162">
        <v>316</v>
      </c>
      <c r="H24" s="157">
        <v>199</v>
      </c>
      <c r="I24" s="158">
        <v>0.629746835443038</v>
      </c>
      <c r="J24" s="5"/>
      <c r="K24" s="527" t="s">
        <v>351</v>
      </c>
      <c r="L24" s="528"/>
      <c r="M24" s="157">
        <v>255</v>
      </c>
      <c r="N24" s="157">
        <v>12</v>
      </c>
      <c r="O24" s="158">
        <v>4.7058823529411764E-2</v>
      </c>
      <c r="P24" s="46"/>
      <c r="Q24" s="46"/>
      <c r="R24" s="46"/>
      <c r="S24" s="187"/>
      <c r="T24" s="170"/>
      <c r="U24" s="170"/>
      <c r="V24" s="171"/>
      <c r="W24" s="172"/>
      <c r="X24" s="172"/>
      <c r="Y24" s="173"/>
    </row>
    <row r="25" spans="2:26" ht="37.5" customHeight="1" x14ac:dyDescent="0.4">
      <c r="B25" s="5"/>
      <c r="C25" s="551" t="s">
        <v>333</v>
      </c>
      <c r="D25" s="552"/>
      <c r="E25" s="552"/>
      <c r="F25" s="553"/>
      <c r="G25" s="162">
        <v>247</v>
      </c>
      <c r="H25" s="157">
        <v>174</v>
      </c>
      <c r="I25" s="158">
        <v>0.70445344129554655</v>
      </c>
      <c r="J25" s="5"/>
      <c r="K25" s="527" t="s">
        <v>350</v>
      </c>
      <c r="L25" s="528"/>
      <c r="M25" s="157">
        <v>456</v>
      </c>
      <c r="N25" s="157">
        <v>211</v>
      </c>
      <c r="O25" s="158">
        <v>0.46271929824561403</v>
      </c>
      <c r="P25" s="46"/>
      <c r="Q25" s="46"/>
      <c r="R25" s="46"/>
      <c r="S25" s="187"/>
      <c r="T25" s="170"/>
      <c r="U25" s="170"/>
      <c r="V25" s="171"/>
      <c r="W25" s="172"/>
      <c r="X25" s="172"/>
      <c r="Y25" s="173"/>
    </row>
    <row r="26" spans="2:26" ht="37.5" customHeight="1" thickBot="1" x14ac:dyDescent="0.45">
      <c r="B26" s="5"/>
      <c r="C26" s="551" t="s">
        <v>334</v>
      </c>
      <c r="D26" s="552"/>
      <c r="E26" s="552"/>
      <c r="F26" s="553"/>
      <c r="G26" s="162">
        <v>112410</v>
      </c>
      <c r="H26" s="157">
        <v>89581</v>
      </c>
      <c r="I26" s="158">
        <v>0.79691308602437505</v>
      </c>
      <c r="J26" s="175"/>
      <c r="K26" s="533" t="s">
        <v>448</v>
      </c>
      <c r="L26" s="535"/>
      <c r="M26" s="294">
        <v>36</v>
      </c>
      <c r="N26" s="294">
        <v>19</v>
      </c>
      <c r="O26" s="295">
        <v>0.52777777777777779</v>
      </c>
      <c r="P26" s="46"/>
      <c r="Q26" s="46"/>
      <c r="R26" s="46"/>
      <c r="S26" s="187"/>
      <c r="T26" s="170"/>
      <c r="U26" s="170"/>
      <c r="V26" s="171"/>
      <c r="W26" s="172"/>
      <c r="X26" s="172"/>
      <c r="Y26" s="173"/>
    </row>
    <row r="27" spans="2:26" ht="26.25" customHeight="1" x14ac:dyDescent="0.4">
      <c r="B27" s="5"/>
      <c r="C27" s="551" t="s">
        <v>335</v>
      </c>
      <c r="D27" s="552"/>
      <c r="E27" s="552"/>
      <c r="F27" s="553"/>
      <c r="G27" s="162">
        <v>30</v>
      </c>
      <c r="H27" s="157">
        <v>30</v>
      </c>
      <c r="I27" s="158">
        <v>1</v>
      </c>
      <c r="J27" s="175"/>
      <c r="K27" s="175"/>
      <c r="L27" s="175"/>
      <c r="M27" s="175"/>
      <c r="N27" s="46"/>
      <c r="O27" s="46"/>
      <c r="P27" s="46"/>
      <c r="Q27" s="46"/>
      <c r="R27" s="46"/>
      <c r="S27" s="187"/>
      <c r="T27" s="170"/>
      <c r="U27" s="170"/>
      <c r="V27" s="171"/>
      <c r="W27" s="172"/>
      <c r="X27" s="172"/>
      <c r="Y27" s="173"/>
    </row>
    <row r="28" spans="2:26" ht="32.25" customHeight="1" thickBot="1" x14ac:dyDescent="0.45">
      <c r="B28" s="5"/>
      <c r="C28" s="551" t="s">
        <v>336</v>
      </c>
      <c r="D28" s="552"/>
      <c r="E28" s="552"/>
      <c r="F28" s="553"/>
      <c r="G28" s="129">
        <v>15311</v>
      </c>
      <c r="H28" s="125">
        <v>5206</v>
      </c>
      <c r="I28" s="126">
        <v>0.34001698125530666</v>
      </c>
      <c r="J28" s="293" t="s">
        <v>445</v>
      </c>
      <c r="K28" s="175"/>
      <c r="R28" s="46"/>
      <c r="S28" s="187"/>
      <c r="T28" s="170"/>
      <c r="U28" s="170"/>
      <c r="V28" s="171"/>
      <c r="W28" s="172"/>
      <c r="X28" s="172"/>
      <c r="Y28" s="173"/>
    </row>
    <row r="29" spans="2:26" ht="27" customHeight="1" thickBot="1" x14ac:dyDescent="0.45">
      <c r="B29" s="5"/>
      <c r="C29" s="551" t="s">
        <v>337</v>
      </c>
      <c r="D29" s="552"/>
      <c r="E29" s="552"/>
      <c r="F29" s="553"/>
      <c r="G29" s="162">
        <v>100137</v>
      </c>
      <c r="H29" s="157">
        <v>46545</v>
      </c>
      <c r="I29" s="158">
        <v>0.46481320590790615</v>
      </c>
      <c r="J29" s="175"/>
      <c r="K29" s="566" t="s">
        <v>447</v>
      </c>
      <c r="L29" s="567"/>
      <c r="M29" s="567"/>
      <c r="N29" s="567"/>
      <c r="O29" s="568"/>
      <c r="P29" s="572" t="s">
        <v>445</v>
      </c>
      <c r="Q29" s="292"/>
      <c r="R29" s="46"/>
      <c r="S29" s="187"/>
      <c r="T29" s="170"/>
      <c r="U29" s="170"/>
      <c r="V29" s="171"/>
      <c r="W29" s="172"/>
      <c r="X29" s="172"/>
      <c r="Y29" s="173"/>
    </row>
    <row r="30" spans="2:26" ht="32.25" customHeight="1" thickBot="1" x14ac:dyDescent="0.45">
      <c r="B30" s="5"/>
      <c r="C30" s="536" t="s">
        <v>42</v>
      </c>
      <c r="D30" s="537"/>
      <c r="E30" s="537"/>
      <c r="F30" s="537"/>
      <c r="G30" s="230">
        <v>70342</v>
      </c>
      <c r="H30" s="230">
        <v>59538</v>
      </c>
      <c r="I30" s="235">
        <v>0.84640755167609683</v>
      </c>
      <c r="J30" s="175"/>
      <c r="K30" s="569"/>
      <c r="L30" s="570"/>
      <c r="M30" s="570"/>
      <c r="N30" s="570"/>
      <c r="O30" s="571"/>
      <c r="P30" s="572"/>
      <c r="Q30" s="46"/>
      <c r="R30" s="46"/>
      <c r="S30" s="187"/>
      <c r="T30" s="170"/>
      <c r="U30" s="170"/>
      <c r="V30" s="174"/>
      <c r="W30" s="172"/>
      <c r="X30" s="172"/>
      <c r="Y30" s="173"/>
    </row>
    <row r="31" spans="2:26" ht="33.75" customHeight="1" x14ac:dyDescent="0.4">
      <c r="B31" s="5"/>
      <c r="C31" s="527" t="s">
        <v>357</v>
      </c>
      <c r="D31" s="532"/>
      <c r="E31" s="532"/>
      <c r="F31" s="528"/>
      <c r="G31" s="162">
        <v>76</v>
      </c>
      <c r="H31" s="157">
        <v>62</v>
      </c>
      <c r="I31" s="158">
        <v>0.81578947368421051</v>
      </c>
      <c r="J31" s="175"/>
      <c r="K31" s="175"/>
      <c r="L31" s="175"/>
      <c r="M31" s="175"/>
      <c r="N31" s="46"/>
      <c r="O31" s="46"/>
      <c r="P31" s="46"/>
      <c r="Q31" s="46"/>
      <c r="R31" s="46"/>
      <c r="S31" s="187"/>
      <c r="T31" s="170"/>
      <c r="U31" s="170"/>
      <c r="V31" s="171"/>
      <c r="W31" s="172"/>
      <c r="X31" s="172"/>
      <c r="Y31" s="173"/>
    </row>
    <row r="32" spans="2:26" ht="32.25" customHeight="1" x14ac:dyDescent="0.4">
      <c r="B32" s="5"/>
      <c r="C32" s="527" t="s">
        <v>358</v>
      </c>
      <c r="D32" s="532"/>
      <c r="E32" s="532"/>
      <c r="F32" s="528"/>
      <c r="G32" s="162">
        <v>51</v>
      </c>
      <c r="H32" s="157">
        <v>44</v>
      </c>
      <c r="I32" s="158">
        <v>0.86274509803921573</v>
      </c>
      <c r="J32" s="46"/>
      <c r="K32" s="46"/>
      <c r="L32" s="46"/>
      <c r="M32" s="46"/>
      <c r="N32" s="46"/>
      <c r="O32" s="46"/>
      <c r="P32" s="46"/>
      <c r="Q32" s="46"/>
      <c r="R32" s="46"/>
      <c r="S32" s="187"/>
      <c r="T32" s="26"/>
      <c r="U32" s="26"/>
      <c r="V32" s="153"/>
      <c r="W32" s="154"/>
      <c r="X32" s="154"/>
      <c r="Y32" s="155"/>
      <c r="Z32" s="13"/>
    </row>
    <row r="33" spans="2:26" ht="32.25" customHeight="1" x14ac:dyDescent="0.4">
      <c r="B33" s="5"/>
      <c r="C33" s="527" t="s">
        <v>359</v>
      </c>
      <c r="D33" s="532"/>
      <c r="E33" s="532"/>
      <c r="F33" s="528"/>
      <c r="G33" s="162">
        <v>557</v>
      </c>
      <c r="H33" s="157">
        <v>523</v>
      </c>
      <c r="I33" s="158">
        <v>0.93895870736086173</v>
      </c>
      <c r="J33" s="46"/>
      <c r="K33" s="46"/>
      <c r="L33" s="46"/>
      <c r="M33" s="46"/>
      <c r="N33" s="46"/>
      <c r="O33" s="46"/>
      <c r="P33" s="46"/>
      <c r="Q33" s="46"/>
      <c r="R33" s="46"/>
      <c r="S33" s="187"/>
      <c r="T33" s="152"/>
      <c r="U33" s="152"/>
      <c r="V33" s="156"/>
      <c r="W33" s="180"/>
      <c r="X33" s="180"/>
      <c r="Y33" s="176"/>
      <c r="Z33" s="13"/>
    </row>
    <row r="34" spans="2:26" ht="32.25" customHeight="1" x14ac:dyDescent="0.4">
      <c r="B34" s="5"/>
      <c r="C34" s="527" t="s">
        <v>360</v>
      </c>
      <c r="D34" s="532"/>
      <c r="E34" s="532"/>
      <c r="F34" s="528"/>
      <c r="G34" s="162">
        <v>1285</v>
      </c>
      <c r="H34" s="157">
        <v>525</v>
      </c>
      <c r="I34" s="158">
        <v>0.40856031128404668</v>
      </c>
      <c r="J34" s="46"/>
      <c r="K34" s="46"/>
      <c r="L34" s="46"/>
      <c r="M34" s="46"/>
      <c r="N34" s="46"/>
      <c r="O34" s="46"/>
      <c r="P34" s="46"/>
      <c r="Q34" s="46"/>
      <c r="R34" s="46"/>
      <c r="S34" s="187"/>
      <c r="T34" s="26"/>
      <c r="U34" s="26"/>
      <c r="V34" s="153"/>
      <c r="W34" s="154"/>
      <c r="X34" s="154"/>
      <c r="Y34" s="155"/>
      <c r="Z34" s="13"/>
    </row>
    <row r="35" spans="2:26" ht="32.25" customHeight="1" x14ac:dyDescent="0.4">
      <c r="B35" s="5"/>
      <c r="C35" s="527" t="s">
        <v>361</v>
      </c>
      <c r="D35" s="532"/>
      <c r="E35" s="532"/>
      <c r="F35" s="528"/>
      <c r="G35" s="162">
        <v>215</v>
      </c>
      <c r="H35" s="157">
        <v>214</v>
      </c>
      <c r="I35" s="158">
        <v>0.99534883720930234</v>
      </c>
      <c r="J35" s="46"/>
      <c r="K35" s="46"/>
      <c r="L35" s="46"/>
      <c r="M35" s="46"/>
      <c r="N35" s="46"/>
      <c r="O35" s="46"/>
      <c r="P35" s="46"/>
      <c r="Q35" s="46"/>
      <c r="R35" s="46"/>
      <c r="S35" s="187"/>
      <c r="T35" s="26"/>
      <c r="U35" s="26"/>
      <c r="V35" s="153"/>
      <c r="W35" s="154"/>
      <c r="X35" s="154"/>
      <c r="Y35" s="155"/>
      <c r="Z35" s="13"/>
    </row>
    <row r="36" spans="2:26" ht="32.25" customHeight="1" x14ac:dyDescent="0.4">
      <c r="B36" s="5"/>
      <c r="C36" s="527" t="s">
        <v>362</v>
      </c>
      <c r="D36" s="532"/>
      <c r="E36" s="532"/>
      <c r="F36" s="528"/>
      <c r="G36" s="162">
        <v>15663</v>
      </c>
      <c r="H36" s="157">
        <v>12250</v>
      </c>
      <c r="I36" s="158">
        <v>0.7820979378152334</v>
      </c>
      <c r="J36" s="46"/>
      <c r="K36" s="46"/>
      <c r="L36" s="46"/>
      <c r="M36" s="46"/>
      <c r="N36" s="46"/>
      <c r="O36" s="46"/>
      <c r="P36" s="46"/>
      <c r="Q36" s="46"/>
      <c r="R36" s="46"/>
      <c r="S36" s="187"/>
      <c r="T36" s="26"/>
      <c r="U36" s="26"/>
      <c r="V36" s="153"/>
      <c r="W36" s="154"/>
      <c r="X36" s="154"/>
      <c r="Y36" s="155"/>
      <c r="Z36" s="13"/>
    </row>
    <row r="37" spans="2:26" ht="27" customHeight="1" thickBot="1" x14ac:dyDescent="0.45">
      <c r="B37" s="5"/>
      <c r="C37" s="527" t="s">
        <v>363</v>
      </c>
      <c r="D37" s="532"/>
      <c r="E37" s="532"/>
      <c r="F37" s="528"/>
      <c r="G37" s="162">
        <v>52495</v>
      </c>
      <c r="H37" s="157">
        <v>45920</v>
      </c>
      <c r="I37" s="158">
        <v>0.87474997618820838</v>
      </c>
      <c r="J37" s="46"/>
      <c r="K37" s="46"/>
      <c r="L37" s="46"/>
      <c r="M37" s="46"/>
      <c r="N37" s="46"/>
      <c r="O37" s="46"/>
      <c r="P37" s="46"/>
      <c r="Q37" s="46"/>
      <c r="R37" s="46"/>
      <c r="S37" s="187"/>
    </row>
    <row r="38" spans="2:26" ht="32.25" customHeight="1" thickBot="1" x14ac:dyDescent="0.45">
      <c r="B38" s="5"/>
      <c r="C38" s="536" t="s">
        <v>308</v>
      </c>
      <c r="D38" s="537"/>
      <c r="E38" s="537"/>
      <c r="F38" s="537"/>
      <c r="G38" s="236">
        <v>239976</v>
      </c>
      <c r="H38" s="238">
        <v>113130</v>
      </c>
      <c r="I38" s="235">
        <v>0.47142214221422141</v>
      </c>
      <c r="J38" s="46"/>
      <c r="K38" s="46"/>
      <c r="Q38" s="46"/>
      <c r="R38" s="46"/>
      <c r="S38" s="187"/>
    </row>
    <row r="39" spans="2:26" ht="26.25" customHeight="1" x14ac:dyDescent="0.4">
      <c r="B39" s="5"/>
      <c r="C39" s="527" t="s">
        <v>364</v>
      </c>
      <c r="D39" s="532"/>
      <c r="E39" s="532"/>
      <c r="F39" s="528"/>
      <c r="G39" s="162">
        <v>5287</v>
      </c>
      <c r="H39" s="157">
        <v>3957</v>
      </c>
      <c r="I39" s="158">
        <v>0.74843956875354645</v>
      </c>
      <c r="J39" s="46"/>
      <c r="K39" s="46"/>
      <c r="Q39" s="46"/>
      <c r="R39" s="46"/>
      <c r="S39" s="187"/>
    </row>
    <row r="40" spans="2:26" ht="26.25" customHeight="1" x14ac:dyDescent="0.4">
      <c r="B40" s="5"/>
      <c r="C40" s="527" t="s">
        <v>365</v>
      </c>
      <c r="D40" s="532"/>
      <c r="E40" s="532"/>
      <c r="F40" s="528"/>
      <c r="G40" s="162">
        <v>166391</v>
      </c>
      <c r="H40" s="157">
        <v>57023</v>
      </c>
      <c r="I40" s="158">
        <v>0.34270483379509709</v>
      </c>
      <c r="J40" s="46"/>
      <c r="K40" s="46"/>
      <c r="L40" s="46"/>
      <c r="M40" s="46"/>
      <c r="N40" s="46"/>
      <c r="O40" s="46"/>
      <c r="P40" s="46"/>
      <c r="Q40" s="46"/>
      <c r="R40" s="46"/>
      <c r="S40" s="187"/>
    </row>
    <row r="41" spans="2:26" ht="26.25" customHeight="1" x14ac:dyDescent="0.4">
      <c r="B41" s="5"/>
      <c r="C41" s="527" t="s">
        <v>366</v>
      </c>
      <c r="D41" s="532"/>
      <c r="E41" s="532"/>
      <c r="F41" s="528"/>
      <c r="G41" s="162">
        <v>1327</v>
      </c>
      <c r="H41" s="157">
        <v>517</v>
      </c>
      <c r="I41" s="158">
        <v>0.3896006028636021</v>
      </c>
      <c r="J41" s="46"/>
      <c r="K41" s="46"/>
      <c r="L41" s="46"/>
      <c r="M41" s="46"/>
      <c r="N41" s="46"/>
      <c r="O41" s="46"/>
      <c r="P41" s="46"/>
      <c r="Q41" s="46"/>
      <c r="R41" s="46"/>
      <c r="S41" s="187"/>
    </row>
    <row r="42" spans="2:26" ht="36" customHeight="1" x14ac:dyDescent="0.4">
      <c r="B42" s="5"/>
      <c r="C42" s="527" t="s">
        <v>367</v>
      </c>
      <c r="D42" s="532"/>
      <c r="E42" s="532"/>
      <c r="F42" s="528"/>
      <c r="G42" s="162">
        <v>31147</v>
      </c>
      <c r="H42" s="157">
        <v>20052</v>
      </c>
      <c r="I42" s="158">
        <v>0.64378591838700361</v>
      </c>
      <c r="J42" s="46"/>
      <c r="K42" s="46"/>
      <c r="L42" s="46"/>
      <c r="M42" s="46"/>
      <c r="N42" s="46"/>
      <c r="O42" s="46"/>
      <c r="P42" s="46"/>
      <c r="Q42" s="46"/>
      <c r="R42" s="46"/>
      <c r="S42" s="187"/>
    </row>
    <row r="43" spans="2:26" ht="33" customHeight="1" x14ac:dyDescent="0.4">
      <c r="B43" s="5"/>
      <c r="C43" s="527" t="s">
        <v>368</v>
      </c>
      <c r="D43" s="532"/>
      <c r="E43" s="532"/>
      <c r="F43" s="528"/>
      <c r="G43" s="162">
        <v>35068</v>
      </c>
      <c r="H43" s="157">
        <v>30932</v>
      </c>
      <c r="I43" s="158">
        <v>0.88205771643663744</v>
      </c>
      <c r="J43" s="46"/>
      <c r="K43" s="46"/>
      <c r="L43" s="46"/>
      <c r="M43" s="46"/>
      <c r="N43" s="46"/>
      <c r="O43" s="46"/>
      <c r="P43" s="46"/>
      <c r="Q43" s="46"/>
      <c r="R43" s="46"/>
      <c r="S43" s="187"/>
    </row>
    <row r="44" spans="2:26" ht="27" customHeight="1" thickBot="1" x14ac:dyDescent="0.45">
      <c r="B44" s="5"/>
      <c r="C44" s="533" t="s">
        <v>369</v>
      </c>
      <c r="D44" s="534"/>
      <c r="E44" s="534"/>
      <c r="F44" s="535"/>
      <c r="G44" s="163">
        <v>756</v>
      </c>
      <c r="H44" s="159">
        <v>649</v>
      </c>
      <c r="I44" s="160">
        <v>0.85846560846560849</v>
      </c>
      <c r="J44" s="164"/>
      <c r="K44" s="164"/>
      <c r="L44" s="164"/>
      <c r="M44" s="164"/>
      <c r="N44" s="164"/>
      <c r="O44" s="164"/>
      <c r="P44" s="164"/>
      <c r="Q44" s="164"/>
      <c r="R44" s="164"/>
      <c r="S44" s="188"/>
    </row>
    <row r="45" spans="2:26" ht="32.25" customHeight="1" x14ac:dyDescent="0.4">
      <c r="D45" s="5"/>
      <c r="E45" s="5"/>
      <c r="F45" s="5"/>
      <c r="G45" s="5"/>
      <c r="H45" s="5"/>
      <c r="I45" s="5"/>
      <c r="J45" s="46"/>
      <c r="K45" s="46"/>
      <c r="L45" s="46"/>
      <c r="M45" s="46"/>
      <c r="N45" s="46"/>
      <c r="O45" s="46"/>
      <c r="P45" s="46"/>
      <c r="Q45" s="46"/>
      <c r="R45" s="46"/>
      <c r="S45" s="60"/>
    </row>
    <row r="46" spans="2:26" ht="26.25" x14ac:dyDescent="0.4">
      <c r="D46" s="5"/>
      <c r="E46" s="5"/>
      <c r="F46" s="5"/>
      <c r="G46" s="5"/>
      <c r="H46" s="5"/>
      <c r="I46" s="5"/>
      <c r="J46" s="46"/>
      <c r="K46" s="46"/>
      <c r="L46" s="46"/>
      <c r="M46" s="46"/>
      <c r="N46" s="46"/>
      <c r="O46" s="46"/>
      <c r="P46" s="46"/>
      <c r="Q46" s="46"/>
      <c r="R46" s="46"/>
      <c r="S46" s="60"/>
    </row>
    <row r="47" spans="2:26" x14ac:dyDescent="0.2">
      <c r="B47" s="49"/>
      <c r="C47" s="49"/>
      <c r="D47" s="57"/>
      <c r="E47" s="44"/>
      <c r="F47" s="44"/>
      <c r="G47" s="45"/>
    </row>
    <row r="48" spans="2:26" ht="7.5" customHeight="1" x14ac:dyDescent="0.2"/>
    <row r="49" spans="1:19" ht="26.25" x14ac:dyDescent="0.4">
      <c r="C49" s="529" t="s">
        <v>353</v>
      </c>
      <c r="D49" s="530"/>
      <c r="E49" s="530"/>
      <c r="F49" s="530"/>
      <c r="G49" s="530"/>
      <c r="H49" s="530"/>
      <c r="I49" s="530"/>
      <c r="J49" s="530"/>
      <c r="K49" s="530"/>
      <c r="L49" s="530"/>
      <c r="M49" s="530"/>
      <c r="N49" s="530"/>
      <c r="O49" s="530"/>
      <c r="P49" s="530"/>
      <c r="Q49" s="530"/>
      <c r="R49" s="530"/>
      <c r="S49" s="531"/>
    </row>
    <row r="50" spans="1:19" x14ac:dyDescent="0.2">
      <c r="C50" s="522" t="s">
        <v>287</v>
      </c>
      <c r="D50" s="522"/>
      <c r="E50" s="523" t="s">
        <v>238</v>
      </c>
      <c r="F50" s="524"/>
      <c r="G50" s="525"/>
      <c r="H50" s="523" t="s">
        <v>8</v>
      </c>
      <c r="I50" s="524"/>
      <c r="J50" s="525"/>
      <c r="K50" s="523" t="s">
        <v>43</v>
      </c>
      <c r="L50" s="524"/>
      <c r="M50" s="525"/>
      <c r="N50" s="523" t="s">
        <v>9</v>
      </c>
      <c r="O50" s="524"/>
      <c r="P50" s="525"/>
      <c r="Q50" s="262" t="s">
        <v>10</v>
      </c>
      <c r="R50" s="218" t="s">
        <v>11</v>
      </c>
      <c r="S50" s="218" t="s">
        <v>12</v>
      </c>
    </row>
    <row r="51" spans="1:19" s="10" customFormat="1" ht="51" x14ac:dyDescent="0.2">
      <c r="A51" s="242"/>
      <c r="B51" s="7"/>
      <c r="C51" s="31" t="s">
        <v>13</v>
      </c>
      <c r="D51" s="54" t="s">
        <v>154</v>
      </c>
      <c r="E51" s="31" t="s">
        <v>13</v>
      </c>
      <c r="F51" s="9" t="s">
        <v>4</v>
      </c>
      <c r="G51" s="8" t="s">
        <v>5</v>
      </c>
      <c r="H51" s="31" t="s">
        <v>13</v>
      </c>
      <c r="I51" s="9" t="s">
        <v>4</v>
      </c>
      <c r="J51" s="8" t="s">
        <v>5</v>
      </c>
      <c r="K51" s="31" t="s">
        <v>13</v>
      </c>
      <c r="L51" s="9" t="s">
        <v>4</v>
      </c>
      <c r="M51" s="8" t="s">
        <v>5</v>
      </c>
      <c r="N51" s="31" t="s">
        <v>13</v>
      </c>
      <c r="O51" s="9" t="s">
        <v>4</v>
      </c>
      <c r="P51" s="8" t="s">
        <v>5</v>
      </c>
      <c r="Q51" s="31" t="s">
        <v>13</v>
      </c>
      <c r="R51" s="31" t="s">
        <v>13</v>
      </c>
      <c r="S51" s="31" t="s">
        <v>13</v>
      </c>
    </row>
    <row r="52" spans="1:19" x14ac:dyDescent="0.2">
      <c r="A52" s="70"/>
      <c r="B52" s="11" t="s">
        <v>282</v>
      </c>
      <c r="C52" s="274">
        <v>1</v>
      </c>
      <c r="D52" s="80">
        <v>2</v>
      </c>
      <c r="E52" s="81">
        <v>0</v>
      </c>
      <c r="F52" s="81">
        <v>0</v>
      </c>
      <c r="G52" s="84" t="e">
        <v>#DIV/0!</v>
      </c>
      <c r="H52" s="81">
        <v>0</v>
      </c>
      <c r="I52" s="81">
        <v>0</v>
      </c>
      <c r="J52" s="84" t="e">
        <v>#DIV/0!</v>
      </c>
      <c r="K52" s="81">
        <v>0</v>
      </c>
      <c r="L52" s="81">
        <v>0</v>
      </c>
      <c r="M52" s="84" t="e">
        <v>#DIV/0!</v>
      </c>
      <c r="N52" s="81">
        <v>0</v>
      </c>
      <c r="O52" s="81">
        <v>0</v>
      </c>
      <c r="P52" s="84" t="e">
        <v>#DIV/0!</v>
      </c>
      <c r="Q52" s="81">
        <v>0</v>
      </c>
      <c r="R52" s="81">
        <v>1</v>
      </c>
      <c r="S52" s="83">
        <v>284291</v>
      </c>
    </row>
    <row r="53" spans="1:19" x14ac:dyDescent="0.2">
      <c r="A53" s="70"/>
      <c r="B53" s="92" t="s">
        <v>149</v>
      </c>
      <c r="C53" s="81">
        <v>58745</v>
      </c>
      <c r="D53" s="191">
        <v>405.6</v>
      </c>
      <c r="E53" s="192">
        <v>91095</v>
      </c>
      <c r="F53" s="192">
        <v>44953</v>
      </c>
      <c r="G53" s="194">
        <v>0.49347384598496075</v>
      </c>
      <c r="H53" s="192">
        <v>79651</v>
      </c>
      <c r="I53" s="192">
        <v>54877</v>
      </c>
      <c r="J53" s="194">
        <v>0.68896812343850045</v>
      </c>
      <c r="K53" s="192">
        <v>11510</v>
      </c>
      <c r="L53" s="192">
        <v>9330</v>
      </c>
      <c r="M53" s="195">
        <v>0.8105994787141616</v>
      </c>
      <c r="N53" s="192">
        <v>53424</v>
      </c>
      <c r="O53" s="192">
        <v>22796</v>
      </c>
      <c r="P53" s="195">
        <v>0.42669961066187484</v>
      </c>
      <c r="Q53" s="192">
        <v>5402</v>
      </c>
      <c r="R53" s="192">
        <v>716</v>
      </c>
      <c r="S53" s="81">
        <v>53600</v>
      </c>
    </row>
    <row r="54" spans="1:19" x14ac:dyDescent="0.2">
      <c r="A54" s="243" t="s">
        <v>166</v>
      </c>
      <c r="B54" s="93" t="s">
        <v>46</v>
      </c>
      <c r="C54" s="82">
        <v>7665</v>
      </c>
      <c r="D54" s="196">
        <v>546.4</v>
      </c>
      <c r="E54" s="197">
        <v>9808</v>
      </c>
      <c r="F54" s="197">
        <v>6081</v>
      </c>
      <c r="G54" s="198">
        <v>0.62000407830342574</v>
      </c>
      <c r="H54" s="197">
        <v>9026</v>
      </c>
      <c r="I54" s="197">
        <v>7593</v>
      </c>
      <c r="J54" s="198">
        <v>0.84123642809660981</v>
      </c>
      <c r="K54" s="197">
        <v>1098</v>
      </c>
      <c r="L54" s="197">
        <v>961</v>
      </c>
      <c r="M54" s="198">
        <v>0.87522768670309659</v>
      </c>
      <c r="N54" s="197">
        <v>9001</v>
      </c>
      <c r="O54" s="197">
        <v>5279</v>
      </c>
      <c r="P54" s="198">
        <v>0.58649038995667147</v>
      </c>
      <c r="Q54" s="197">
        <v>31</v>
      </c>
      <c r="R54" s="197">
        <v>7</v>
      </c>
      <c r="S54" s="82">
        <v>4486</v>
      </c>
    </row>
    <row r="55" spans="1:19" x14ac:dyDescent="0.2">
      <c r="A55" s="243" t="s">
        <v>159</v>
      </c>
      <c r="B55" s="93" t="s">
        <v>48</v>
      </c>
      <c r="C55" s="82">
        <v>4877</v>
      </c>
      <c r="D55" s="196">
        <v>478.2</v>
      </c>
      <c r="E55" s="197">
        <v>5601</v>
      </c>
      <c r="F55" s="197">
        <v>3090</v>
      </c>
      <c r="G55" s="198">
        <v>0.55168719871451521</v>
      </c>
      <c r="H55" s="197">
        <v>6373</v>
      </c>
      <c r="I55" s="197">
        <v>4850</v>
      </c>
      <c r="J55" s="198">
        <v>0.76102306605994041</v>
      </c>
      <c r="K55" s="197">
        <v>2263</v>
      </c>
      <c r="L55" s="197">
        <v>1687</v>
      </c>
      <c r="M55" s="198">
        <v>0.74547061422889971</v>
      </c>
      <c r="N55" s="197">
        <v>964</v>
      </c>
      <c r="O55" s="197">
        <v>868</v>
      </c>
      <c r="P55" s="198">
        <v>0.90041493775933612</v>
      </c>
      <c r="Q55" s="197">
        <v>1</v>
      </c>
      <c r="R55" s="197">
        <v>5</v>
      </c>
      <c r="S55" s="82">
        <v>3965</v>
      </c>
    </row>
    <row r="56" spans="1:19" x14ac:dyDescent="0.2">
      <c r="A56" s="243" t="s">
        <v>162</v>
      </c>
      <c r="B56" s="93" t="s">
        <v>33</v>
      </c>
      <c r="C56" s="82">
        <v>1941</v>
      </c>
      <c r="D56" s="196">
        <v>182.4</v>
      </c>
      <c r="E56" s="197">
        <v>6314</v>
      </c>
      <c r="F56" s="197">
        <v>3307</v>
      </c>
      <c r="G56" s="198">
        <v>0.52375673107380427</v>
      </c>
      <c r="H56" s="197">
        <v>2829</v>
      </c>
      <c r="I56" s="197">
        <v>1419</v>
      </c>
      <c r="J56" s="198">
        <v>0.50159066808059383</v>
      </c>
      <c r="K56" s="197">
        <v>82</v>
      </c>
      <c r="L56" s="197">
        <v>43</v>
      </c>
      <c r="M56" s="198">
        <v>0.52439024390243905</v>
      </c>
      <c r="N56" s="197">
        <v>704</v>
      </c>
      <c r="O56" s="197">
        <v>493</v>
      </c>
      <c r="P56" s="198">
        <v>0.70028409090909094</v>
      </c>
      <c r="Q56" s="197">
        <v>3</v>
      </c>
      <c r="R56" s="197">
        <v>6</v>
      </c>
      <c r="S56" s="82">
        <v>1467</v>
      </c>
    </row>
    <row r="57" spans="1:19" x14ac:dyDescent="0.2">
      <c r="A57" s="244" t="s">
        <v>175</v>
      </c>
      <c r="B57" s="93" t="s">
        <v>51</v>
      </c>
      <c r="C57" s="82">
        <v>9503</v>
      </c>
      <c r="D57" s="196">
        <v>485.8</v>
      </c>
      <c r="E57" s="197">
        <v>9867</v>
      </c>
      <c r="F57" s="197">
        <v>3872</v>
      </c>
      <c r="G57" s="198">
        <v>0.39241917502787066</v>
      </c>
      <c r="H57" s="197">
        <v>11623</v>
      </c>
      <c r="I57" s="197">
        <v>9201</v>
      </c>
      <c r="J57" s="198">
        <v>0.79162006366686744</v>
      </c>
      <c r="K57" s="197">
        <v>1175</v>
      </c>
      <c r="L57" s="197">
        <v>1091</v>
      </c>
      <c r="M57" s="198">
        <v>0.92851063829787239</v>
      </c>
      <c r="N57" s="197">
        <v>11632</v>
      </c>
      <c r="O57" s="197">
        <v>4023</v>
      </c>
      <c r="P57" s="198">
        <v>0.34585625859697389</v>
      </c>
      <c r="Q57" s="197">
        <v>13</v>
      </c>
      <c r="R57" s="197">
        <v>303</v>
      </c>
      <c r="S57" s="82">
        <v>12974</v>
      </c>
    </row>
    <row r="58" spans="1:19" x14ac:dyDescent="0.2">
      <c r="A58" s="244" t="s">
        <v>179</v>
      </c>
      <c r="B58" s="93" t="s">
        <v>55</v>
      </c>
      <c r="C58" s="82">
        <v>4169</v>
      </c>
      <c r="D58" s="196">
        <v>212.7</v>
      </c>
      <c r="E58" s="197">
        <v>9487</v>
      </c>
      <c r="F58" s="197">
        <v>4108</v>
      </c>
      <c r="G58" s="198">
        <v>0.43301359755454832</v>
      </c>
      <c r="H58" s="197">
        <v>6487</v>
      </c>
      <c r="I58" s="197">
        <v>4120</v>
      </c>
      <c r="J58" s="198">
        <v>0.63511638661939263</v>
      </c>
      <c r="K58" s="197">
        <v>1133</v>
      </c>
      <c r="L58" s="197">
        <v>1073</v>
      </c>
      <c r="M58" s="198">
        <v>0.94704324801412176</v>
      </c>
      <c r="N58" s="197">
        <v>5247</v>
      </c>
      <c r="O58" s="197">
        <v>829</v>
      </c>
      <c r="P58" s="198">
        <v>0.15799504478749762</v>
      </c>
      <c r="Q58" s="197">
        <v>2</v>
      </c>
      <c r="R58" s="197">
        <v>173</v>
      </c>
      <c r="S58" s="82">
        <v>5957</v>
      </c>
    </row>
    <row r="59" spans="1:19" x14ac:dyDescent="0.2">
      <c r="A59" s="244" t="s">
        <v>163</v>
      </c>
      <c r="B59" s="93" t="s">
        <v>58</v>
      </c>
      <c r="C59" s="82">
        <v>1633</v>
      </c>
      <c r="D59" s="196">
        <v>252.2</v>
      </c>
      <c r="E59" s="197">
        <v>2064</v>
      </c>
      <c r="F59" s="197">
        <v>721</v>
      </c>
      <c r="G59" s="198">
        <v>0.3493217054263566</v>
      </c>
      <c r="H59" s="197">
        <v>2812</v>
      </c>
      <c r="I59" s="197">
        <v>1578</v>
      </c>
      <c r="J59" s="198">
        <v>0.5611664295874822</v>
      </c>
      <c r="K59" s="197">
        <v>204</v>
      </c>
      <c r="L59" s="197">
        <v>164</v>
      </c>
      <c r="M59" s="198">
        <v>0.80392156862745101</v>
      </c>
      <c r="N59" s="197">
        <v>1626</v>
      </c>
      <c r="O59" s="197">
        <v>602</v>
      </c>
      <c r="P59" s="198">
        <v>0.37023370233702335</v>
      </c>
      <c r="Q59" s="197">
        <v>0</v>
      </c>
      <c r="R59" s="197">
        <v>5</v>
      </c>
      <c r="S59" s="82">
        <v>909</v>
      </c>
    </row>
    <row r="60" spans="1:19" x14ac:dyDescent="0.2">
      <c r="A60" s="244" t="s">
        <v>176</v>
      </c>
      <c r="B60" s="93" t="s">
        <v>62</v>
      </c>
      <c r="C60" s="82">
        <v>8203</v>
      </c>
      <c r="D60" s="196">
        <v>448.6</v>
      </c>
      <c r="E60" s="197">
        <v>8912</v>
      </c>
      <c r="F60" s="197">
        <v>5189</v>
      </c>
      <c r="G60" s="198">
        <v>0.58224865350089772</v>
      </c>
      <c r="H60" s="197">
        <v>11702</v>
      </c>
      <c r="I60" s="197">
        <v>7075</v>
      </c>
      <c r="J60" s="198">
        <v>0.60459750470005125</v>
      </c>
      <c r="K60" s="197">
        <v>1572</v>
      </c>
      <c r="L60" s="197">
        <v>1288</v>
      </c>
      <c r="M60" s="198">
        <v>0.8193384223918575</v>
      </c>
      <c r="N60" s="197">
        <v>1954</v>
      </c>
      <c r="O60" s="197">
        <v>1415</v>
      </c>
      <c r="P60" s="198">
        <v>0.72415557830092114</v>
      </c>
      <c r="Q60" s="197">
        <v>3</v>
      </c>
      <c r="R60" s="197">
        <v>195</v>
      </c>
      <c r="S60" s="82">
        <v>7246</v>
      </c>
    </row>
    <row r="61" spans="1:19" x14ac:dyDescent="0.2">
      <c r="A61" s="244" t="s">
        <v>201</v>
      </c>
      <c r="B61" s="93" t="s">
        <v>68</v>
      </c>
      <c r="C61" s="82">
        <v>2040</v>
      </c>
      <c r="D61" s="196">
        <v>378.3</v>
      </c>
      <c r="E61" s="197">
        <v>1537</v>
      </c>
      <c r="F61" s="197">
        <v>693</v>
      </c>
      <c r="G61" s="198">
        <v>0.45087833441769681</v>
      </c>
      <c r="H61" s="197">
        <v>2444</v>
      </c>
      <c r="I61" s="197">
        <v>1814</v>
      </c>
      <c r="J61" s="198">
        <v>0.7422258592471358</v>
      </c>
      <c r="K61" s="197">
        <v>962</v>
      </c>
      <c r="L61" s="197">
        <v>885</v>
      </c>
      <c r="M61" s="198">
        <v>0.91995841995841998</v>
      </c>
      <c r="N61" s="197">
        <v>227</v>
      </c>
      <c r="O61" s="197">
        <v>174</v>
      </c>
      <c r="P61" s="198">
        <v>0.76651982378854622</v>
      </c>
      <c r="Q61" s="197">
        <v>0</v>
      </c>
      <c r="R61" s="197">
        <v>3</v>
      </c>
      <c r="S61" s="82">
        <v>743</v>
      </c>
    </row>
    <row r="62" spans="1:19" x14ac:dyDescent="0.2">
      <c r="A62" s="244" t="s">
        <v>161</v>
      </c>
      <c r="B62" s="93" t="s">
        <v>74</v>
      </c>
      <c r="C62" s="82">
        <v>3184</v>
      </c>
      <c r="D62" s="196">
        <v>229.4</v>
      </c>
      <c r="E62" s="197">
        <v>7585</v>
      </c>
      <c r="F62" s="197">
        <v>4246</v>
      </c>
      <c r="G62" s="198">
        <v>0.55978905735003293</v>
      </c>
      <c r="H62" s="197">
        <v>4615</v>
      </c>
      <c r="I62" s="197">
        <v>2606</v>
      </c>
      <c r="J62" s="198">
        <v>0.5646803900325027</v>
      </c>
      <c r="K62" s="197">
        <v>679</v>
      </c>
      <c r="L62" s="197">
        <v>349</v>
      </c>
      <c r="M62" s="198">
        <v>0.51399116347569951</v>
      </c>
      <c r="N62" s="197">
        <v>515</v>
      </c>
      <c r="O62" s="197">
        <v>396</v>
      </c>
      <c r="P62" s="198">
        <v>0.76893203883495143</v>
      </c>
      <c r="Q62" s="197">
        <v>3</v>
      </c>
      <c r="R62" s="197">
        <v>10</v>
      </c>
      <c r="S62" s="82">
        <v>3688</v>
      </c>
    </row>
    <row r="63" spans="1:19" x14ac:dyDescent="0.2">
      <c r="A63" s="244" t="s">
        <v>164</v>
      </c>
      <c r="B63" s="93" t="s">
        <v>75</v>
      </c>
      <c r="C63" s="82">
        <v>728</v>
      </c>
      <c r="D63" s="196">
        <v>155.30000000000001</v>
      </c>
      <c r="E63" s="197">
        <v>3182</v>
      </c>
      <c r="F63" s="197">
        <v>1325</v>
      </c>
      <c r="G63" s="198">
        <v>0.41640477686989313</v>
      </c>
      <c r="H63" s="197">
        <v>1256</v>
      </c>
      <c r="I63" s="197">
        <v>588</v>
      </c>
      <c r="J63" s="198">
        <v>0.46815286624203822</v>
      </c>
      <c r="K63" s="197">
        <v>95</v>
      </c>
      <c r="L63" s="197">
        <v>89</v>
      </c>
      <c r="M63" s="198">
        <v>0.93684210526315792</v>
      </c>
      <c r="N63" s="197">
        <v>1631</v>
      </c>
      <c r="O63" s="197">
        <v>471</v>
      </c>
      <c r="P63" s="198">
        <v>0.28877988963825874</v>
      </c>
      <c r="Q63" s="197">
        <v>2</v>
      </c>
      <c r="R63" s="197">
        <v>3</v>
      </c>
      <c r="S63" s="82">
        <v>2590</v>
      </c>
    </row>
    <row r="64" spans="1:19" x14ac:dyDescent="0.2">
      <c r="A64" s="244" t="s">
        <v>115</v>
      </c>
      <c r="B64" s="94" t="s">
        <v>77</v>
      </c>
      <c r="C64" s="82">
        <v>7404</v>
      </c>
      <c r="D64" s="196">
        <v>426.6</v>
      </c>
      <c r="E64" s="197">
        <v>15111</v>
      </c>
      <c r="F64" s="197">
        <v>7330</v>
      </c>
      <c r="G64" s="198">
        <v>0.48507709615511879</v>
      </c>
      <c r="H64" s="197">
        <v>9730</v>
      </c>
      <c r="I64" s="197">
        <v>6753</v>
      </c>
      <c r="J64" s="198">
        <v>0.69403905447070913</v>
      </c>
      <c r="K64" s="197">
        <v>608</v>
      </c>
      <c r="L64" s="197">
        <v>388</v>
      </c>
      <c r="M64" s="198">
        <v>0.63815789473684215</v>
      </c>
      <c r="N64" s="197">
        <v>10138</v>
      </c>
      <c r="O64" s="197">
        <v>4921</v>
      </c>
      <c r="P64" s="198">
        <v>0.48540145985401462</v>
      </c>
      <c r="Q64" s="197">
        <v>5344</v>
      </c>
      <c r="R64" s="197">
        <v>0</v>
      </c>
      <c r="S64" s="82">
        <v>3922</v>
      </c>
    </row>
    <row r="65" spans="1:19" x14ac:dyDescent="0.2">
      <c r="A65" s="244" t="s">
        <v>165</v>
      </c>
      <c r="B65" s="93" t="s">
        <v>79</v>
      </c>
      <c r="C65" s="82">
        <v>4321</v>
      </c>
      <c r="D65" s="196">
        <v>400.9</v>
      </c>
      <c r="E65" s="197">
        <v>5938</v>
      </c>
      <c r="F65" s="197">
        <v>3109</v>
      </c>
      <c r="G65" s="198">
        <v>0.5235769619400471</v>
      </c>
      <c r="H65" s="197">
        <v>5606</v>
      </c>
      <c r="I65" s="197">
        <v>4509</v>
      </c>
      <c r="J65" s="198">
        <v>0.80431680342490186</v>
      </c>
      <c r="K65" s="197">
        <v>377</v>
      </c>
      <c r="L65" s="197">
        <v>275</v>
      </c>
      <c r="M65" s="198">
        <v>0.72944297082228116</v>
      </c>
      <c r="N65" s="197">
        <v>3258</v>
      </c>
      <c r="O65" s="197">
        <v>1695</v>
      </c>
      <c r="P65" s="198">
        <v>0.52025782688766109</v>
      </c>
      <c r="Q65" s="197">
        <v>0</v>
      </c>
      <c r="R65" s="197">
        <v>3</v>
      </c>
      <c r="S65" s="82">
        <v>4269</v>
      </c>
    </row>
    <row r="66" spans="1:19" x14ac:dyDescent="0.2">
      <c r="A66" s="244" t="s">
        <v>160</v>
      </c>
      <c r="B66" s="93" t="s">
        <v>81</v>
      </c>
      <c r="C66" s="82">
        <v>832</v>
      </c>
      <c r="D66" s="196">
        <v>163.80000000000001</v>
      </c>
      <c r="E66" s="197">
        <v>2718</v>
      </c>
      <c r="F66" s="197">
        <v>602</v>
      </c>
      <c r="G66" s="198">
        <v>0.22148638704930096</v>
      </c>
      <c r="H66" s="197">
        <v>1926</v>
      </c>
      <c r="I66" s="197">
        <v>795</v>
      </c>
      <c r="J66" s="198">
        <v>0.41277258566978192</v>
      </c>
      <c r="K66" s="197">
        <v>566</v>
      </c>
      <c r="L66" s="197">
        <v>544</v>
      </c>
      <c r="M66" s="198">
        <v>0.96113074204946991</v>
      </c>
      <c r="N66" s="197">
        <v>580</v>
      </c>
      <c r="O66" s="197">
        <v>345</v>
      </c>
      <c r="P66" s="198">
        <v>0.59482758620689657</v>
      </c>
      <c r="Q66" s="197">
        <v>0</v>
      </c>
      <c r="R66" s="197">
        <v>3</v>
      </c>
      <c r="S66" s="82">
        <v>643</v>
      </c>
    </row>
    <row r="67" spans="1:19" x14ac:dyDescent="0.2">
      <c r="A67" s="244" t="s">
        <v>203</v>
      </c>
      <c r="B67" s="93" t="s">
        <v>92</v>
      </c>
      <c r="C67" s="82">
        <v>1154</v>
      </c>
      <c r="D67" s="196">
        <v>224.4</v>
      </c>
      <c r="E67" s="197">
        <v>1071</v>
      </c>
      <c r="F67" s="197">
        <v>275</v>
      </c>
      <c r="G67" s="198">
        <v>0.25676937441643322</v>
      </c>
      <c r="H67" s="197">
        <v>1770</v>
      </c>
      <c r="I67" s="197">
        <v>908</v>
      </c>
      <c r="J67" s="198">
        <v>0.51299435028248586</v>
      </c>
      <c r="K67" s="197">
        <v>618</v>
      </c>
      <c r="L67" s="197">
        <v>427</v>
      </c>
      <c r="M67" s="198">
        <v>0.69093851132686079</v>
      </c>
      <c r="N67" s="197">
        <v>5304</v>
      </c>
      <c r="O67" s="197">
        <v>1047</v>
      </c>
      <c r="P67" s="198">
        <v>0.19739819004524886</v>
      </c>
      <c r="Q67" s="197">
        <v>0</v>
      </c>
      <c r="R67" s="197">
        <v>0</v>
      </c>
      <c r="S67" s="82">
        <v>374</v>
      </c>
    </row>
    <row r="68" spans="1:19" x14ac:dyDescent="0.2">
      <c r="A68" s="244" t="s">
        <v>105</v>
      </c>
      <c r="B68" s="32" t="s">
        <v>155</v>
      </c>
      <c r="C68" s="82">
        <v>516</v>
      </c>
      <c r="D68" s="196">
        <v>398.4</v>
      </c>
      <c r="E68" s="197">
        <v>594</v>
      </c>
      <c r="F68" s="197">
        <v>323</v>
      </c>
      <c r="G68" s="198">
        <v>0.54377104377104379</v>
      </c>
      <c r="H68" s="197">
        <v>780</v>
      </c>
      <c r="I68" s="197">
        <v>569</v>
      </c>
      <c r="J68" s="198">
        <v>0.72948717948717945</v>
      </c>
      <c r="K68" s="197">
        <v>68</v>
      </c>
      <c r="L68" s="197">
        <v>58</v>
      </c>
      <c r="M68" s="198">
        <v>0.8529411764705882</v>
      </c>
      <c r="N68" s="197">
        <v>98</v>
      </c>
      <c r="O68" s="197">
        <v>78</v>
      </c>
      <c r="P68" s="198">
        <v>0.79591836734693877</v>
      </c>
      <c r="Q68" s="197">
        <v>0</v>
      </c>
      <c r="R68" s="197">
        <v>0</v>
      </c>
      <c r="S68" s="82">
        <v>115</v>
      </c>
    </row>
    <row r="69" spans="1:19" x14ac:dyDescent="0.2">
      <c r="A69" s="244" t="s">
        <v>212</v>
      </c>
      <c r="B69" s="95" t="s">
        <v>96</v>
      </c>
      <c r="C69" s="82">
        <v>575</v>
      </c>
      <c r="D69" s="199">
        <v>441.2</v>
      </c>
      <c r="E69" s="200">
        <v>1306</v>
      </c>
      <c r="F69" s="200">
        <v>682</v>
      </c>
      <c r="G69" s="201">
        <v>0.52220520673813176</v>
      </c>
      <c r="H69" s="200">
        <v>672</v>
      </c>
      <c r="I69" s="200">
        <v>499</v>
      </c>
      <c r="J69" s="201">
        <v>0.74255952380952384</v>
      </c>
      <c r="K69" s="200">
        <v>10</v>
      </c>
      <c r="L69" s="200">
        <v>8</v>
      </c>
      <c r="M69" s="201">
        <v>0.8</v>
      </c>
      <c r="N69" s="200">
        <v>545</v>
      </c>
      <c r="O69" s="200">
        <v>160</v>
      </c>
      <c r="P69" s="201">
        <v>0.29357798165137616</v>
      </c>
      <c r="Q69" s="200">
        <v>0</v>
      </c>
      <c r="R69" s="200">
        <v>0</v>
      </c>
      <c r="S69" s="82">
        <v>252</v>
      </c>
    </row>
    <row r="70" spans="1:19" x14ac:dyDescent="0.2">
      <c r="A70" s="70"/>
      <c r="B70" s="92" t="s">
        <v>20</v>
      </c>
      <c r="C70" s="81">
        <v>168407</v>
      </c>
      <c r="D70" s="202">
        <v>347.3</v>
      </c>
      <c r="E70" s="203">
        <v>162192</v>
      </c>
      <c r="F70" s="203">
        <v>82287</v>
      </c>
      <c r="G70" s="193">
        <v>0.50734314886060961</v>
      </c>
      <c r="H70" s="203">
        <v>201176</v>
      </c>
      <c r="I70" s="203">
        <v>149301</v>
      </c>
      <c r="J70" s="193">
        <v>0.74214120968704023</v>
      </c>
      <c r="K70" s="203">
        <v>24383</v>
      </c>
      <c r="L70" s="203">
        <v>21475</v>
      </c>
      <c r="M70" s="193">
        <v>0.88073657876389289</v>
      </c>
      <c r="N70" s="203">
        <v>73029</v>
      </c>
      <c r="O70" s="203">
        <v>37653</v>
      </c>
      <c r="P70" s="193">
        <v>0.51558969724356074</v>
      </c>
      <c r="Q70" s="203">
        <v>219</v>
      </c>
      <c r="R70" s="203">
        <v>1153</v>
      </c>
      <c r="S70" s="81">
        <v>102749</v>
      </c>
    </row>
    <row r="71" spans="1:19" x14ac:dyDescent="0.2">
      <c r="A71" s="243" t="s">
        <v>168</v>
      </c>
      <c r="B71" s="93" t="s">
        <v>34</v>
      </c>
      <c r="C71" s="82">
        <v>15929</v>
      </c>
      <c r="D71" s="196">
        <v>377.3</v>
      </c>
      <c r="E71" s="197">
        <v>22096</v>
      </c>
      <c r="F71" s="197">
        <v>10706</v>
      </c>
      <c r="G71" s="198">
        <v>0.48452208544532949</v>
      </c>
      <c r="H71" s="197">
        <v>20844</v>
      </c>
      <c r="I71" s="197">
        <v>14200</v>
      </c>
      <c r="J71" s="198">
        <v>0.68125119938591439</v>
      </c>
      <c r="K71" s="197">
        <v>3444</v>
      </c>
      <c r="L71" s="197">
        <v>2774</v>
      </c>
      <c r="M71" s="198">
        <v>0.80545876887340306</v>
      </c>
      <c r="N71" s="197">
        <v>8888</v>
      </c>
      <c r="O71" s="197">
        <v>4279</v>
      </c>
      <c r="P71" s="198">
        <v>0.48143564356435642</v>
      </c>
      <c r="Q71" s="197">
        <v>48</v>
      </c>
      <c r="R71" s="197">
        <v>23</v>
      </c>
      <c r="S71" s="82">
        <v>15051</v>
      </c>
    </row>
    <row r="72" spans="1:19" x14ac:dyDescent="0.2">
      <c r="A72" s="243" t="s">
        <v>171</v>
      </c>
      <c r="B72" s="93" t="s">
        <v>52</v>
      </c>
      <c r="C72" s="82">
        <v>13169</v>
      </c>
      <c r="D72" s="196">
        <v>290.5</v>
      </c>
      <c r="E72" s="197">
        <v>13107</v>
      </c>
      <c r="F72" s="197">
        <v>6535</v>
      </c>
      <c r="G72" s="198">
        <v>0.49858854047455559</v>
      </c>
      <c r="H72" s="197">
        <v>19368</v>
      </c>
      <c r="I72" s="197">
        <v>11684</v>
      </c>
      <c r="J72" s="198">
        <v>0.60326311441553082</v>
      </c>
      <c r="K72" s="197">
        <v>1352</v>
      </c>
      <c r="L72" s="197">
        <v>1181</v>
      </c>
      <c r="M72" s="198">
        <v>0.87352071005917165</v>
      </c>
      <c r="N72" s="197">
        <v>2823</v>
      </c>
      <c r="O72" s="197">
        <v>2067</v>
      </c>
      <c r="P72" s="198">
        <v>0.7321997874601488</v>
      </c>
      <c r="Q72" s="197">
        <v>3</v>
      </c>
      <c r="R72" s="197">
        <v>49</v>
      </c>
      <c r="S72" s="82">
        <v>9713</v>
      </c>
    </row>
    <row r="73" spans="1:19" x14ac:dyDescent="0.2">
      <c r="A73" s="243" t="s">
        <v>167</v>
      </c>
      <c r="B73" s="93" t="s">
        <v>61</v>
      </c>
      <c r="C73" s="82">
        <v>1739</v>
      </c>
      <c r="D73" s="196">
        <v>241.3</v>
      </c>
      <c r="E73" s="197">
        <v>2476</v>
      </c>
      <c r="F73" s="197">
        <v>619</v>
      </c>
      <c r="G73" s="198">
        <v>0.25</v>
      </c>
      <c r="H73" s="197">
        <v>2478</v>
      </c>
      <c r="I73" s="197">
        <v>1488</v>
      </c>
      <c r="J73" s="198">
        <v>0.6004842615012107</v>
      </c>
      <c r="K73" s="197">
        <v>188</v>
      </c>
      <c r="L73" s="197">
        <v>171</v>
      </c>
      <c r="M73" s="198">
        <v>0.90957446808510634</v>
      </c>
      <c r="N73" s="197">
        <v>2016</v>
      </c>
      <c r="O73" s="197">
        <v>849</v>
      </c>
      <c r="P73" s="198">
        <v>0.42113095238095238</v>
      </c>
      <c r="Q73" s="197">
        <v>2</v>
      </c>
      <c r="R73" s="197">
        <v>14</v>
      </c>
      <c r="S73" s="82">
        <v>2462</v>
      </c>
    </row>
    <row r="74" spans="1:19" x14ac:dyDescent="0.2">
      <c r="A74" s="244" t="s">
        <v>174</v>
      </c>
      <c r="B74" s="32" t="s">
        <v>63</v>
      </c>
      <c r="C74" s="82">
        <v>4495</v>
      </c>
      <c r="D74" s="196">
        <v>391.2</v>
      </c>
      <c r="E74" s="197">
        <v>7422</v>
      </c>
      <c r="F74" s="197">
        <v>4698</v>
      </c>
      <c r="G74" s="198">
        <v>0.63298302344381563</v>
      </c>
      <c r="H74" s="197">
        <v>5313</v>
      </c>
      <c r="I74" s="197">
        <v>4052</v>
      </c>
      <c r="J74" s="198">
        <v>0.76265763222284966</v>
      </c>
      <c r="K74" s="197">
        <v>1122</v>
      </c>
      <c r="L74" s="197">
        <v>1044</v>
      </c>
      <c r="M74" s="198">
        <v>0.93048128342245995</v>
      </c>
      <c r="N74" s="197">
        <v>3270</v>
      </c>
      <c r="O74" s="197">
        <v>2218</v>
      </c>
      <c r="P74" s="198">
        <v>0.67828746177370025</v>
      </c>
      <c r="Q74" s="197">
        <v>73</v>
      </c>
      <c r="R74" s="197">
        <v>148</v>
      </c>
      <c r="S74" s="82">
        <v>3841</v>
      </c>
    </row>
    <row r="75" spans="1:19" x14ac:dyDescent="0.2">
      <c r="A75" s="244" t="s">
        <v>177</v>
      </c>
      <c r="B75" s="93" t="s">
        <v>67</v>
      </c>
      <c r="C75" s="82">
        <v>8646</v>
      </c>
      <c r="D75" s="196">
        <v>450.4</v>
      </c>
      <c r="E75" s="197">
        <v>8797</v>
      </c>
      <c r="F75" s="197">
        <v>5650</v>
      </c>
      <c r="G75" s="198">
        <v>0.6422644083210185</v>
      </c>
      <c r="H75" s="197">
        <v>11249</v>
      </c>
      <c r="I75" s="197">
        <v>7968</v>
      </c>
      <c r="J75" s="198">
        <v>0.70832962930038224</v>
      </c>
      <c r="K75" s="197">
        <v>1493</v>
      </c>
      <c r="L75" s="197">
        <v>1391</v>
      </c>
      <c r="M75" s="198">
        <v>0.93168117883456125</v>
      </c>
      <c r="N75" s="197">
        <v>2731</v>
      </c>
      <c r="O75" s="197">
        <v>1533</v>
      </c>
      <c r="P75" s="198">
        <v>0.56133284511168069</v>
      </c>
      <c r="Q75" s="197">
        <v>69</v>
      </c>
      <c r="R75" s="197">
        <v>212</v>
      </c>
      <c r="S75" s="82">
        <v>4283</v>
      </c>
    </row>
    <row r="76" spans="1:19" x14ac:dyDescent="0.2">
      <c r="A76" s="244" t="s">
        <v>173</v>
      </c>
      <c r="B76" s="93" t="s">
        <v>71</v>
      </c>
      <c r="C76" s="82">
        <v>11011</v>
      </c>
      <c r="D76" s="196">
        <v>385.3</v>
      </c>
      <c r="E76" s="197">
        <v>9088</v>
      </c>
      <c r="F76" s="197">
        <v>5309</v>
      </c>
      <c r="G76" s="198">
        <v>0.58417693661971826</v>
      </c>
      <c r="H76" s="197">
        <v>12007</v>
      </c>
      <c r="I76" s="197">
        <v>9259</v>
      </c>
      <c r="J76" s="198">
        <v>0.77113350545515114</v>
      </c>
      <c r="K76" s="197">
        <v>4527</v>
      </c>
      <c r="L76" s="197">
        <v>4260</v>
      </c>
      <c r="M76" s="198">
        <v>0.94102054340622932</v>
      </c>
      <c r="N76" s="197">
        <v>3032</v>
      </c>
      <c r="O76" s="197">
        <v>2451</v>
      </c>
      <c r="P76" s="198">
        <v>0.80837730870712399</v>
      </c>
      <c r="Q76" s="197">
        <v>1</v>
      </c>
      <c r="R76" s="197">
        <v>276</v>
      </c>
      <c r="S76" s="82">
        <v>10155</v>
      </c>
    </row>
    <row r="77" spans="1:19" x14ac:dyDescent="0.2">
      <c r="A77" s="244" t="s">
        <v>107</v>
      </c>
      <c r="B77" s="93" t="s">
        <v>72</v>
      </c>
      <c r="C77" s="82">
        <v>5672</v>
      </c>
      <c r="D77" s="196">
        <v>240.8</v>
      </c>
      <c r="E77" s="197">
        <v>11337</v>
      </c>
      <c r="F77" s="197">
        <v>3967</v>
      </c>
      <c r="G77" s="198">
        <v>0.3499162035811943</v>
      </c>
      <c r="H77" s="197">
        <v>8080</v>
      </c>
      <c r="I77" s="197">
        <v>4325</v>
      </c>
      <c r="J77" s="198">
        <v>0.53527227722772275</v>
      </c>
      <c r="K77" s="197">
        <v>1674</v>
      </c>
      <c r="L77" s="197">
        <v>1424</v>
      </c>
      <c r="M77" s="198">
        <v>0.85065710872162481</v>
      </c>
      <c r="N77" s="197">
        <v>2424</v>
      </c>
      <c r="O77" s="197">
        <v>1987</v>
      </c>
      <c r="P77" s="198">
        <v>0.81971947194719474</v>
      </c>
      <c r="Q77" s="197">
        <v>3</v>
      </c>
      <c r="R77" s="197">
        <v>211</v>
      </c>
      <c r="S77" s="82">
        <v>5347</v>
      </c>
    </row>
    <row r="78" spans="1:19" x14ac:dyDescent="0.2">
      <c r="A78" s="244" t="s">
        <v>121</v>
      </c>
      <c r="B78" s="93" t="s">
        <v>83</v>
      </c>
      <c r="C78" s="82">
        <v>14997</v>
      </c>
      <c r="D78" s="196">
        <v>417.9</v>
      </c>
      <c r="E78" s="197">
        <v>16439</v>
      </c>
      <c r="F78" s="197">
        <v>8421</v>
      </c>
      <c r="G78" s="198">
        <v>0.51225743658373379</v>
      </c>
      <c r="H78" s="197">
        <v>17563</v>
      </c>
      <c r="I78" s="197">
        <v>13455</v>
      </c>
      <c r="J78" s="198">
        <v>0.76609918578830494</v>
      </c>
      <c r="K78" s="197">
        <v>2804</v>
      </c>
      <c r="L78" s="197">
        <v>2417</v>
      </c>
      <c r="M78" s="198">
        <v>0.86198288159771752</v>
      </c>
      <c r="N78" s="197">
        <v>6982</v>
      </c>
      <c r="O78" s="197">
        <v>5201</v>
      </c>
      <c r="P78" s="198">
        <v>0.74491549699226578</v>
      </c>
      <c r="Q78" s="197">
        <v>6</v>
      </c>
      <c r="R78" s="197">
        <v>24</v>
      </c>
      <c r="S78" s="82">
        <v>11491</v>
      </c>
    </row>
    <row r="79" spans="1:19" x14ac:dyDescent="0.2">
      <c r="A79" s="244" t="s">
        <v>198</v>
      </c>
      <c r="B79" s="93" t="s">
        <v>86</v>
      </c>
      <c r="C79" s="82">
        <v>2720</v>
      </c>
      <c r="D79" s="196">
        <v>329.6</v>
      </c>
      <c r="E79" s="197">
        <v>3481</v>
      </c>
      <c r="F79" s="197">
        <v>1387</v>
      </c>
      <c r="G79" s="198">
        <v>0.39844872163171502</v>
      </c>
      <c r="H79" s="197">
        <v>3974</v>
      </c>
      <c r="I79" s="197">
        <v>2892</v>
      </c>
      <c r="J79" s="198">
        <v>0.72773024660291896</v>
      </c>
      <c r="K79" s="197">
        <v>694</v>
      </c>
      <c r="L79" s="197">
        <v>616</v>
      </c>
      <c r="M79" s="198">
        <v>0.88760806916426516</v>
      </c>
      <c r="N79" s="197">
        <v>2497</v>
      </c>
      <c r="O79" s="197">
        <v>1727</v>
      </c>
      <c r="P79" s="198">
        <v>0.69162995594713661</v>
      </c>
      <c r="Q79" s="197">
        <v>1</v>
      </c>
      <c r="R79" s="197">
        <v>4</v>
      </c>
      <c r="S79" s="82">
        <v>5594</v>
      </c>
    </row>
    <row r="80" spans="1:19" x14ac:dyDescent="0.2">
      <c r="A80" s="244" t="s">
        <v>169</v>
      </c>
      <c r="B80" s="93" t="s">
        <v>91</v>
      </c>
      <c r="C80" s="82">
        <v>19139</v>
      </c>
      <c r="D80" s="196">
        <v>340.9</v>
      </c>
      <c r="E80" s="197">
        <v>33621</v>
      </c>
      <c r="F80" s="197">
        <v>19134</v>
      </c>
      <c r="G80" s="198">
        <v>0.56910859284375837</v>
      </c>
      <c r="H80" s="197">
        <v>23032</v>
      </c>
      <c r="I80" s="197">
        <v>16518</v>
      </c>
      <c r="J80" s="198">
        <v>0.71717610281347688</v>
      </c>
      <c r="K80" s="197">
        <v>2526</v>
      </c>
      <c r="L80" s="197">
        <v>1907</v>
      </c>
      <c r="M80" s="198">
        <v>0.75494853523357086</v>
      </c>
      <c r="N80" s="197">
        <v>27909</v>
      </c>
      <c r="O80" s="197">
        <v>8930</v>
      </c>
      <c r="P80" s="198">
        <v>0.31996846895266762</v>
      </c>
      <c r="Q80" s="197">
        <v>13</v>
      </c>
      <c r="R80" s="197">
        <v>179</v>
      </c>
      <c r="S80" s="82">
        <v>25739</v>
      </c>
    </row>
    <row r="81" spans="1:20" x14ac:dyDescent="0.2">
      <c r="A81" s="244" t="s">
        <v>416</v>
      </c>
      <c r="B81" s="96" t="s">
        <v>94</v>
      </c>
      <c r="C81" s="82">
        <v>48163</v>
      </c>
      <c r="D81" s="196">
        <v>304.60000000000002</v>
      </c>
      <c r="E81" s="197">
        <v>1088</v>
      </c>
      <c r="F81" s="197">
        <v>360</v>
      </c>
      <c r="G81" s="198">
        <v>0.33088235294117646</v>
      </c>
      <c r="H81" s="197">
        <v>48775</v>
      </c>
      <c r="I81" s="197">
        <v>44454</v>
      </c>
      <c r="J81" s="198">
        <v>0.91140953357252696</v>
      </c>
      <c r="K81" s="197">
        <v>129</v>
      </c>
      <c r="L81" s="197">
        <v>127</v>
      </c>
      <c r="M81" s="198">
        <v>0.98449612403100772</v>
      </c>
      <c r="N81" s="197">
        <v>771</v>
      </c>
      <c r="O81" s="197">
        <v>639</v>
      </c>
      <c r="P81" s="198">
        <v>0.8287937743190662</v>
      </c>
      <c r="Q81" s="197">
        <v>0</v>
      </c>
      <c r="R81" s="197">
        <v>2</v>
      </c>
      <c r="S81" s="82">
        <v>58</v>
      </c>
    </row>
    <row r="82" spans="1:20" x14ac:dyDescent="0.2">
      <c r="A82" s="244" t="s">
        <v>170</v>
      </c>
      <c r="B82" s="97" t="s">
        <v>97</v>
      </c>
      <c r="C82" s="82">
        <v>22727</v>
      </c>
      <c r="D82" s="204">
        <v>379</v>
      </c>
      <c r="E82" s="200">
        <v>33240</v>
      </c>
      <c r="F82" s="200">
        <v>15501</v>
      </c>
      <c r="G82" s="201">
        <v>0.46633574007220219</v>
      </c>
      <c r="H82" s="200">
        <v>28493</v>
      </c>
      <c r="I82" s="200">
        <v>19006</v>
      </c>
      <c r="J82" s="201">
        <v>0.66704102762081918</v>
      </c>
      <c r="K82" s="200">
        <v>4430</v>
      </c>
      <c r="L82" s="200">
        <v>4163</v>
      </c>
      <c r="M82" s="201">
        <v>0.93972911963882622</v>
      </c>
      <c r="N82" s="200">
        <v>9686</v>
      </c>
      <c r="O82" s="200">
        <v>5772</v>
      </c>
      <c r="P82" s="201">
        <v>0.59591162502581041</v>
      </c>
      <c r="Q82" s="200">
        <v>0</v>
      </c>
      <c r="R82" s="200">
        <v>11</v>
      </c>
      <c r="S82" s="82">
        <v>9015</v>
      </c>
    </row>
    <row r="83" spans="1:20" x14ac:dyDescent="0.2">
      <c r="A83" s="70"/>
      <c r="B83" s="526"/>
      <c r="C83" s="526"/>
      <c r="D83" s="526"/>
      <c r="E83" s="526"/>
      <c r="F83" s="526"/>
      <c r="G83" s="526"/>
      <c r="H83" s="526"/>
      <c r="I83" s="526"/>
      <c r="J83" s="526"/>
      <c r="K83" s="526"/>
      <c r="L83" s="526"/>
      <c r="M83" s="526"/>
      <c r="N83" s="526"/>
      <c r="O83" s="526"/>
      <c r="P83" s="526"/>
      <c r="Q83" s="526"/>
      <c r="R83" s="526"/>
      <c r="S83" s="526"/>
    </row>
    <row r="84" spans="1:20" ht="23.25" customHeight="1" x14ac:dyDescent="0.4">
      <c r="A84" s="70"/>
      <c r="B84" s="12"/>
      <c r="C84" s="529" t="s">
        <v>353</v>
      </c>
      <c r="D84" s="530"/>
      <c r="E84" s="530"/>
      <c r="F84" s="530"/>
      <c r="G84" s="530"/>
      <c r="H84" s="530"/>
      <c r="I84" s="530"/>
      <c r="J84" s="530"/>
      <c r="K84" s="530"/>
      <c r="L84" s="530"/>
      <c r="M84" s="530"/>
      <c r="N84" s="530"/>
      <c r="O84" s="530"/>
      <c r="P84" s="530"/>
      <c r="Q84" s="530"/>
      <c r="R84" s="530"/>
      <c r="S84" s="531"/>
    </row>
    <row r="85" spans="1:20" x14ac:dyDescent="0.2">
      <c r="A85" s="70"/>
      <c r="B85" s="28"/>
      <c r="C85" s="522" t="s">
        <v>287</v>
      </c>
      <c r="D85" s="522"/>
      <c r="E85" s="523" t="s">
        <v>238</v>
      </c>
      <c r="F85" s="524"/>
      <c r="G85" s="525"/>
      <c r="H85" s="523" t="s">
        <v>8</v>
      </c>
      <c r="I85" s="524"/>
      <c r="J85" s="525"/>
      <c r="K85" s="523" t="s">
        <v>43</v>
      </c>
      <c r="L85" s="524"/>
      <c r="M85" s="525"/>
      <c r="N85" s="523" t="s">
        <v>9</v>
      </c>
      <c r="O85" s="524"/>
      <c r="P85" s="525"/>
      <c r="Q85" s="262" t="s">
        <v>10</v>
      </c>
      <c r="R85" s="218" t="s">
        <v>11</v>
      </c>
      <c r="S85" s="218" t="s">
        <v>12</v>
      </c>
    </row>
    <row r="86" spans="1:20" s="10" customFormat="1" ht="51" x14ac:dyDescent="0.2">
      <c r="A86" s="242"/>
      <c r="B86" s="29"/>
      <c r="C86" s="31" t="s">
        <v>13</v>
      </c>
      <c r="D86" s="54" t="s">
        <v>154</v>
      </c>
      <c r="E86" s="9" t="s">
        <v>13</v>
      </c>
      <c r="F86" s="9" t="s">
        <v>4</v>
      </c>
      <c r="G86" s="8" t="s">
        <v>5</v>
      </c>
      <c r="H86" s="9" t="s">
        <v>14</v>
      </c>
      <c r="I86" s="9" t="s">
        <v>4</v>
      </c>
      <c r="J86" s="8" t="s">
        <v>5</v>
      </c>
      <c r="K86" s="9" t="s">
        <v>15</v>
      </c>
      <c r="L86" s="9" t="s">
        <v>4</v>
      </c>
      <c r="M86" s="8" t="s">
        <v>5</v>
      </c>
      <c r="N86" s="9" t="s">
        <v>14</v>
      </c>
      <c r="O86" s="9" t="s">
        <v>4</v>
      </c>
      <c r="P86" s="8" t="s">
        <v>5</v>
      </c>
      <c r="Q86" s="9" t="s">
        <v>13</v>
      </c>
      <c r="R86" s="8" t="s">
        <v>13</v>
      </c>
      <c r="S86" s="9" t="s">
        <v>15</v>
      </c>
    </row>
    <row r="87" spans="1:20" x14ac:dyDescent="0.2">
      <c r="A87" s="70"/>
      <c r="B87" s="92" t="s">
        <v>21</v>
      </c>
      <c r="C87" s="273">
        <v>66654</v>
      </c>
      <c r="D87" s="191">
        <v>314.39999999999998</v>
      </c>
      <c r="E87" s="192">
        <v>119788</v>
      </c>
      <c r="F87" s="192">
        <v>55259</v>
      </c>
      <c r="G87" s="194">
        <v>0.46130664173372959</v>
      </c>
      <c r="H87" s="192">
        <v>95195</v>
      </c>
      <c r="I87" s="192">
        <v>56697</v>
      </c>
      <c r="J87" s="194">
        <v>0.59558800357161612</v>
      </c>
      <c r="K87" s="192">
        <v>15063</v>
      </c>
      <c r="L87" s="192">
        <v>11644</v>
      </c>
      <c r="M87" s="194">
        <v>0.77301998273916217</v>
      </c>
      <c r="N87" s="192">
        <v>55305</v>
      </c>
      <c r="O87" s="192">
        <v>20507</v>
      </c>
      <c r="P87" s="194">
        <v>0.37079830033450861</v>
      </c>
      <c r="Q87" s="192">
        <v>2453</v>
      </c>
      <c r="R87" s="192">
        <v>1471</v>
      </c>
      <c r="S87" s="81">
        <v>71028</v>
      </c>
    </row>
    <row r="88" spans="1:20" x14ac:dyDescent="0.2">
      <c r="A88" s="243" t="s">
        <v>178</v>
      </c>
      <c r="B88" s="93" t="s">
        <v>50</v>
      </c>
      <c r="C88" s="82">
        <v>6441</v>
      </c>
      <c r="D88" s="196">
        <v>499.5</v>
      </c>
      <c r="E88" s="197">
        <v>11789</v>
      </c>
      <c r="F88" s="197">
        <v>6852</v>
      </c>
      <c r="G88" s="198">
        <v>0.5812197811519213</v>
      </c>
      <c r="H88" s="197">
        <v>7965</v>
      </c>
      <c r="I88" s="197">
        <v>6151</v>
      </c>
      <c r="J88" s="198">
        <v>0.77225360954174516</v>
      </c>
      <c r="K88" s="197">
        <v>1485</v>
      </c>
      <c r="L88" s="197">
        <v>1426</v>
      </c>
      <c r="M88" s="198">
        <v>0.96026936026936027</v>
      </c>
      <c r="N88" s="197">
        <v>3767</v>
      </c>
      <c r="O88" s="197">
        <v>3080</v>
      </c>
      <c r="P88" s="198">
        <v>0.81762675869392087</v>
      </c>
      <c r="Q88" s="197">
        <v>9</v>
      </c>
      <c r="R88" s="197">
        <v>264</v>
      </c>
      <c r="S88" s="82">
        <v>6926</v>
      </c>
      <c r="T88" s="137"/>
    </row>
    <row r="89" spans="1:20" x14ac:dyDescent="0.2">
      <c r="A89" s="243" t="s">
        <v>182</v>
      </c>
      <c r="B89" s="93" t="s">
        <v>54</v>
      </c>
      <c r="C89" s="82">
        <v>1566</v>
      </c>
      <c r="D89" s="196">
        <v>148.5</v>
      </c>
      <c r="E89" s="197">
        <v>2525</v>
      </c>
      <c r="F89" s="197">
        <v>794</v>
      </c>
      <c r="G89" s="198">
        <v>0.31445544554455446</v>
      </c>
      <c r="H89" s="197">
        <v>2402</v>
      </c>
      <c r="I89" s="197">
        <v>868</v>
      </c>
      <c r="J89" s="198">
        <v>0.36136552872606159</v>
      </c>
      <c r="K89" s="197">
        <v>357</v>
      </c>
      <c r="L89" s="197">
        <v>188</v>
      </c>
      <c r="M89" s="198">
        <v>0.5266106442577031</v>
      </c>
      <c r="N89" s="197">
        <v>1864</v>
      </c>
      <c r="O89" s="197">
        <v>273</v>
      </c>
      <c r="P89" s="198">
        <v>0.14645922746781115</v>
      </c>
      <c r="Q89" s="197">
        <v>0</v>
      </c>
      <c r="R89" s="197">
        <v>18</v>
      </c>
      <c r="S89" s="82">
        <v>1087</v>
      </c>
      <c r="T89" s="137"/>
    </row>
    <row r="90" spans="1:20" x14ac:dyDescent="0.2">
      <c r="A90" s="243" t="s">
        <v>207</v>
      </c>
      <c r="B90" s="93" t="s">
        <v>56</v>
      </c>
      <c r="C90" s="82">
        <v>351</v>
      </c>
      <c r="D90" s="196">
        <v>100.9</v>
      </c>
      <c r="E90" s="197">
        <v>1114</v>
      </c>
      <c r="F90" s="197">
        <v>414</v>
      </c>
      <c r="G90" s="198">
        <v>0.37163375224416517</v>
      </c>
      <c r="H90" s="197">
        <v>528</v>
      </c>
      <c r="I90" s="197">
        <v>137</v>
      </c>
      <c r="J90" s="198">
        <v>0.25946969696969696</v>
      </c>
      <c r="K90" s="197">
        <v>51</v>
      </c>
      <c r="L90" s="197">
        <v>24</v>
      </c>
      <c r="M90" s="198">
        <v>0.47058823529411764</v>
      </c>
      <c r="N90" s="197">
        <v>88</v>
      </c>
      <c r="O90" s="197">
        <v>40</v>
      </c>
      <c r="P90" s="198">
        <v>0.45454545454545453</v>
      </c>
      <c r="Q90" s="197">
        <v>0</v>
      </c>
      <c r="R90" s="197">
        <v>1</v>
      </c>
      <c r="S90" s="82">
        <v>426</v>
      </c>
      <c r="T90" s="137"/>
    </row>
    <row r="91" spans="1:20" x14ac:dyDescent="0.2">
      <c r="A91" s="243" t="s">
        <v>200</v>
      </c>
      <c r="B91" s="93" t="s">
        <v>60</v>
      </c>
      <c r="C91" s="82">
        <v>12349</v>
      </c>
      <c r="D91" s="196">
        <v>328.9</v>
      </c>
      <c r="E91" s="197">
        <v>24665</v>
      </c>
      <c r="F91" s="197">
        <v>13728</v>
      </c>
      <c r="G91" s="198">
        <v>0.55657814717210619</v>
      </c>
      <c r="H91" s="197">
        <v>16431</v>
      </c>
      <c r="I91" s="197">
        <v>11652</v>
      </c>
      <c r="J91" s="198">
        <v>0.70914734343618768</v>
      </c>
      <c r="K91" s="197">
        <v>1612</v>
      </c>
      <c r="L91" s="197">
        <v>1226</v>
      </c>
      <c r="M91" s="198">
        <v>0.76054590570719605</v>
      </c>
      <c r="N91" s="197">
        <v>6833</v>
      </c>
      <c r="O91" s="197">
        <v>5478</v>
      </c>
      <c r="P91" s="198">
        <v>0.80169764378750186</v>
      </c>
      <c r="Q91" s="197">
        <v>0</v>
      </c>
      <c r="R91" s="197">
        <v>217</v>
      </c>
      <c r="S91" s="82">
        <v>17450</v>
      </c>
      <c r="T91" s="137"/>
    </row>
    <row r="92" spans="1:20" x14ac:dyDescent="0.2">
      <c r="A92" s="243" t="s">
        <v>183</v>
      </c>
      <c r="B92" s="93" t="s">
        <v>64</v>
      </c>
      <c r="C92" s="82">
        <v>2323</v>
      </c>
      <c r="D92" s="196">
        <v>124.4</v>
      </c>
      <c r="E92" s="197">
        <v>1844</v>
      </c>
      <c r="F92" s="197">
        <v>364</v>
      </c>
      <c r="G92" s="198">
        <v>0.19739696312364424</v>
      </c>
      <c r="H92" s="197">
        <v>4453</v>
      </c>
      <c r="I92" s="197">
        <v>1289</v>
      </c>
      <c r="J92" s="198">
        <v>0.289467774534022</v>
      </c>
      <c r="K92" s="197">
        <v>582</v>
      </c>
      <c r="L92" s="197">
        <v>429</v>
      </c>
      <c r="M92" s="198">
        <v>0.73711340206185572</v>
      </c>
      <c r="N92" s="197">
        <v>765</v>
      </c>
      <c r="O92" s="197">
        <v>586</v>
      </c>
      <c r="P92" s="198">
        <v>0.76601307189542489</v>
      </c>
      <c r="Q92" s="197">
        <v>0</v>
      </c>
      <c r="R92" s="197">
        <v>11</v>
      </c>
      <c r="S92" s="82">
        <v>1418</v>
      </c>
      <c r="T92" s="137"/>
    </row>
    <row r="93" spans="1:20" x14ac:dyDescent="0.2">
      <c r="A93" s="243" t="s">
        <v>195</v>
      </c>
      <c r="B93" s="93" t="s">
        <v>65</v>
      </c>
      <c r="C93" s="82">
        <v>3963</v>
      </c>
      <c r="D93" s="196">
        <v>353.8</v>
      </c>
      <c r="E93" s="197">
        <v>4854</v>
      </c>
      <c r="F93" s="197">
        <v>1994</v>
      </c>
      <c r="G93" s="198">
        <v>0.41079522043675321</v>
      </c>
      <c r="H93" s="197">
        <v>7324</v>
      </c>
      <c r="I93" s="197">
        <v>3560</v>
      </c>
      <c r="J93" s="198">
        <v>0.48607318405243038</v>
      </c>
      <c r="K93" s="197">
        <v>2810</v>
      </c>
      <c r="L93" s="197">
        <v>2642</v>
      </c>
      <c r="M93" s="198">
        <v>0.94021352313167261</v>
      </c>
      <c r="N93" s="197">
        <v>24408</v>
      </c>
      <c r="O93" s="197">
        <v>2093</v>
      </c>
      <c r="P93" s="198">
        <v>8.5750573582431988E-2</v>
      </c>
      <c r="Q93" s="197">
        <v>0</v>
      </c>
      <c r="R93" s="197">
        <v>152</v>
      </c>
      <c r="S93" s="82">
        <v>4520</v>
      </c>
      <c r="T93" s="137"/>
    </row>
    <row r="94" spans="1:20" x14ac:dyDescent="0.2">
      <c r="A94" s="243" t="s">
        <v>180</v>
      </c>
      <c r="B94" s="32" t="s">
        <v>70</v>
      </c>
      <c r="C94" s="82">
        <v>3872</v>
      </c>
      <c r="D94" s="196">
        <v>203.3</v>
      </c>
      <c r="E94" s="197">
        <v>6789</v>
      </c>
      <c r="F94" s="197">
        <v>2222</v>
      </c>
      <c r="G94" s="198">
        <v>0.32729415230519959</v>
      </c>
      <c r="H94" s="197">
        <v>6717</v>
      </c>
      <c r="I94" s="197">
        <v>3331</v>
      </c>
      <c r="J94" s="198">
        <v>0.49590591037665627</v>
      </c>
      <c r="K94" s="197">
        <v>318</v>
      </c>
      <c r="L94" s="197">
        <v>153</v>
      </c>
      <c r="M94" s="198">
        <v>0.48113207547169812</v>
      </c>
      <c r="N94" s="197">
        <v>766</v>
      </c>
      <c r="O94" s="197">
        <v>379</v>
      </c>
      <c r="P94" s="198">
        <v>0.49477806788511747</v>
      </c>
      <c r="Q94" s="197">
        <v>2379</v>
      </c>
      <c r="R94" s="197">
        <v>0</v>
      </c>
      <c r="S94" s="82">
        <v>2732</v>
      </c>
      <c r="T94" s="137"/>
    </row>
    <row r="95" spans="1:20" x14ac:dyDescent="0.2">
      <c r="A95" s="243" t="s">
        <v>196</v>
      </c>
      <c r="B95" s="93" t="s">
        <v>36</v>
      </c>
      <c r="C95" s="82">
        <v>4858</v>
      </c>
      <c r="D95" s="196">
        <v>227.3</v>
      </c>
      <c r="E95" s="197">
        <v>9203</v>
      </c>
      <c r="F95" s="197">
        <v>3567</v>
      </c>
      <c r="G95" s="198">
        <v>0.38759100293382592</v>
      </c>
      <c r="H95" s="197">
        <v>8096</v>
      </c>
      <c r="I95" s="197">
        <v>3081</v>
      </c>
      <c r="J95" s="198">
        <v>0.3805583003952569</v>
      </c>
      <c r="K95" s="197">
        <v>1546</v>
      </c>
      <c r="L95" s="197">
        <v>688</v>
      </c>
      <c r="M95" s="198">
        <v>0.44501940491591202</v>
      </c>
      <c r="N95" s="197">
        <v>1077</v>
      </c>
      <c r="O95" s="197">
        <v>455</v>
      </c>
      <c r="P95" s="198">
        <v>0.42246982358402974</v>
      </c>
      <c r="Q95" s="197">
        <v>0</v>
      </c>
      <c r="R95" s="197">
        <v>77</v>
      </c>
      <c r="S95" s="82">
        <v>3580</v>
      </c>
      <c r="T95" s="137"/>
    </row>
    <row r="96" spans="1:20" x14ac:dyDescent="0.2">
      <c r="A96" s="243" t="s">
        <v>172</v>
      </c>
      <c r="B96" s="93" t="s">
        <v>73</v>
      </c>
      <c r="C96" s="82">
        <v>6488</v>
      </c>
      <c r="D96" s="196">
        <v>470.8</v>
      </c>
      <c r="E96" s="197">
        <v>8205</v>
      </c>
      <c r="F96" s="197">
        <v>3970</v>
      </c>
      <c r="G96" s="198">
        <v>0.48385131017672151</v>
      </c>
      <c r="H96" s="197">
        <v>7503</v>
      </c>
      <c r="I96" s="197">
        <v>6042</v>
      </c>
      <c r="J96" s="198">
        <v>0.80527788884446216</v>
      </c>
      <c r="K96" s="197">
        <v>788</v>
      </c>
      <c r="L96" s="197">
        <v>404</v>
      </c>
      <c r="M96" s="198">
        <v>0.51269035532994922</v>
      </c>
      <c r="N96" s="197">
        <v>1531</v>
      </c>
      <c r="O96" s="197">
        <v>652</v>
      </c>
      <c r="P96" s="198">
        <v>0.42586544741998694</v>
      </c>
      <c r="Q96" s="197">
        <v>3</v>
      </c>
      <c r="R96" s="197">
        <v>289</v>
      </c>
      <c r="S96" s="82">
        <v>4936</v>
      </c>
      <c r="T96" s="137"/>
    </row>
    <row r="97" spans="1:21" x14ac:dyDescent="0.2">
      <c r="A97" s="243" t="s">
        <v>208</v>
      </c>
      <c r="B97" s="93" t="s">
        <v>88</v>
      </c>
      <c r="C97" s="82">
        <v>234</v>
      </c>
      <c r="D97" s="196">
        <v>68.599999999999994</v>
      </c>
      <c r="E97" s="197">
        <v>1021</v>
      </c>
      <c r="F97" s="197">
        <v>312</v>
      </c>
      <c r="G97" s="198">
        <v>0.30558276199804113</v>
      </c>
      <c r="H97" s="197">
        <v>435</v>
      </c>
      <c r="I97" s="197">
        <v>56</v>
      </c>
      <c r="J97" s="198">
        <v>0.12873563218390804</v>
      </c>
      <c r="K97" s="197">
        <v>307</v>
      </c>
      <c r="L97" s="197">
        <v>116</v>
      </c>
      <c r="M97" s="198">
        <v>0.37785016286644951</v>
      </c>
      <c r="N97" s="197">
        <v>207</v>
      </c>
      <c r="O97" s="197">
        <v>85</v>
      </c>
      <c r="P97" s="198">
        <v>0.41062801932367149</v>
      </c>
      <c r="Q97" s="197">
        <v>0</v>
      </c>
      <c r="R97" s="197">
        <v>4</v>
      </c>
      <c r="S97" s="82">
        <v>194</v>
      </c>
      <c r="T97" s="137"/>
    </row>
    <row r="98" spans="1:21" x14ac:dyDescent="0.2">
      <c r="A98" s="243" t="s">
        <v>181</v>
      </c>
      <c r="B98" s="93" t="s">
        <v>89</v>
      </c>
      <c r="C98" s="82">
        <v>5217</v>
      </c>
      <c r="D98" s="196">
        <v>308</v>
      </c>
      <c r="E98" s="197">
        <v>8958</v>
      </c>
      <c r="F98" s="197">
        <v>4338</v>
      </c>
      <c r="G98" s="198">
        <v>0.48425987943737442</v>
      </c>
      <c r="H98" s="197">
        <v>8657</v>
      </c>
      <c r="I98" s="197">
        <v>6100</v>
      </c>
      <c r="J98" s="198">
        <v>0.70463208963844293</v>
      </c>
      <c r="K98" s="197">
        <v>3007</v>
      </c>
      <c r="L98" s="197">
        <v>2855</v>
      </c>
      <c r="M98" s="198">
        <v>0.94945128034585968</v>
      </c>
      <c r="N98" s="197">
        <v>5113</v>
      </c>
      <c r="O98" s="197">
        <v>3293</v>
      </c>
      <c r="P98" s="198">
        <v>0.64404459221592025</v>
      </c>
      <c r="Q98" s="197">
        <v>45</v>
      </c>
      <c r="R98" s="197">
        <v>224</v>
      </c>
      <c r="S98" s="82">
        <v>5951</v>
      </c>
      <c r="T98" s="137"/>
    </row>
    <row r="99" spans="1:21" x14ac:dyDescent="0.2">
      <c r="A99" s="243" t="s">
        <v>184</v>
      </c>
      <c r="B99" s="98" t="s">
        <v>90</v>
      </c>
      <c r="C99" s="82">
        <v>1772</v>
      </c>
      <c r="D99" s="196">
        <v>168.1</v>
      </c>
      <c r="E99" s="197">
        <v>11071</v>
      </c>
      <c r="F99" s="197">
        <v>3436</v>
      </c>
      <c r="G99" s="198">
        <v>0.31036040104778251</v>
      </c>
      <c r="H99" s="197">
        <v>4764</v>
      </c>
      <c r="I99" s="197">
        <v>1704</v>
      </c>
      <c r="J99" s="198">
        <v>0.35768261964735515</v>
      </c>
      <c r="K99" s="197">
        <v>564</v>
      </c>
      <c r="L99" s="197">
        <v>347</v>
      </c>
      <c r="M99" s="198">
        <v>0.61524822695035464</v>
      </c>
      <c r="N99" s="197">
        <v>1988</v>
      </c>
      <c r="O99" s="197">
        <v>993</v>
      </c>
      <c r="P99" s="198">
        <v>0.49949698189134811</v>
      </c>
      <c r="Q99" s="197">
        <v>12</v>
      </c>
      <c r="R99" s="197">
        <v>0</v>
      </c>
      <c r="S99" s="82">
        <v>1536</v>
      </c>
      <c r="T99" s="137"/>
    </row>
    <row r="100" spans="1:21" x14ac:dyDescent="0.2">
      <c r="A100" s="243" t="s">
        <v>194</v>
      </c>
      <c r="B100" s="93" t="s">
        <v>93</v>
      </c>
      <c r="C100" s="82">
        <v>15598</v>
      </c>
      <c r="D100" s="196">
        <v>292.2</v>
      </c>
      <c r="E100" s="197">
        <v>24343</v>
      </c>
      <c r="F100" s="197">
        <v>11809</v>
      </c>
      <c r="G100" s="198">
        <v>0.48510865546563692</v>
      </c>
      <c r="H100" s="197">
        <v>17246</v>
      </c>
      <c r="I100" s="197">
        <v>11439</v>
      </c>
      <c r="J100" s="198">
        <v>0.6632842398237272</v>
      </c>
      <c r="K100" s="197">
        <v>1489</v>
      </c>
      <c r="L100" s="197">
        <v>1082</v>
      </c>
      <c r="M100" s="198">
        <v>0.72666218938885163</v>
      </c>
      <c r="N100" s="197">
        <v>5219</v>
      </c>
      <c r="O100" s="197">
        <v>2882</v>
      </c>
      <c r="P100" s="198">
        <v>0.55221306763747846</v>
      </c>
      <c r="Q100" s="197">
        <v>5</v>
      </c>
      <c r="R100" s="197">
        <v>195</v>
      </c>
      <c r="S100" s="82">
        <v>18749</v>
      </c>
      <c r="T100" s="137"/>
    </row>
    <row r="101" spans="1:21" x14ac:dyDescent="0.2">
      <c r="A101" s="243" t="s">
        <v>209</v>
      </c>
      <c r="B101" s="95" t="s">
        <v>95</v>
      </c>
      <c r="C101" s="82">
        <v>1622</v>
      </c>
      <c r="D101" s="196">
        <v>180.5</v>
      </c>
      <c r="E101" s="197">
        <v>3407</v>
      </c>
      <c r="F101" s="197">
        <v>1459</v>
      </c>
      <c r="G101" s="198">
        <v>0.42823598473730556</v>
      </c>
      <c r="H101" s="197">
        <v>2674</v>
      </c>
      <c r="I101" s="197">
        <v>1287</v>
      </c>
      <c r="J101" s="198">
        <v>0.48130142109199703</v>
      </c>
      <c r="K101" s="197">
        <v>147</v>
      </c>
      <c r="L101" s="197">
        <v>64</v>
      </c>
      <c r="M101" s="198">
        <v>0.43537414965986393</v>
      </c>
      <c r="N101" s="197">
        <v>1679</v>
      </c>
      <c r="O101" s="197">
        <v>218</v>
      </c>
      <c r="P101" s="198">
        <v>0.12983918999404406</v>
      </c>
      <c r="Q101" s="197">
        <v>0</v>
      </c>
      <c r="R101" s="197">
        <v>19</v>
      </c>
      <c r="S101" s="82">
        <v>1523</v>
      </c>
      <c r="T101" s="137"/>
    </row>
    <row r="102" spans="1:21" x14ac:dyDescent="0.2">
      <c r="A102" s="243"/>
      <c r="B102" s="92" t="s">
        <v>22</v>
      </c>
      <c r="C102" s="81">
        <v>84003</v>
      </c>
      <c r="D102" s="191">
        <v>415.3</v>
      </c>
      <c r="E102" s="192">
        <v>112040</v>
      </c>
      <c r="F102" s="192">
        <v>54989</v>
      </c>
      <c r="G102" s="194">
        <v>0.49079792931096039</v>
      </c>
      <c r="H102" s="192">
        <v>112828</v>
      </c>
      <c r="I102" s="192">
        <v>78750</v>
      </c>
      <c r="J102" s="194">
        <v>0.69796504413797988</v>
      </c>
      <c r="K102" s="192">
        <v>19384</v>
      </c>
      <c r="L102" s="192">
        <v>17089</v>
      </c>
      <c r="M102" s="194">
        <v>0.8816033842344202</v>
      </c>
      <c r="N102" s="192">
        <v>52912</v>
      </c>
      <c r="O102" s="192">
        <v>31347</v>
      </c>
      <c r="P102" s="194">
        <v>0.59243649833686118</v>
      </c>
      <c r="Q102" s="192">
        <v>332</v>
      </c>
      <c r="R102" s="192">
        <v>663</v>
      </c>
      <c r="S102" s="81">
        <v>44297</v>
      </c>
    </row>
    <row r="103" spans="1:21" x14ac:dyDescent="0.2">
      <c r="A103" s="243" t="s">
        <v>186</v>
      </c>
      <c r="B103" s="93" t="s">
        <v>44</v>
      </c>
      <c r="C103" s="82">
        <v>1804</v>
      </c>
      <c r="D103" s="196">
        <v>276.89999999999998</v>
      </c>
      <c r="E103" s="197">
        <v>3897</v>
      </c>
      <c r="F103" s="197">
        <v>1675</v>
      </c>
      <c r="G103" s="198">
        <v>0.4298178085706954</v>
      </c>
      <c r="H103" s="197">
        <v>2835</v>
      </c>
      <c r="I103" s="197">
        <v>1514</v>
      </c>
      <c r="J103" s="198">
        <v>0.53403880070546739</v>
      </c>
      <c r="K103" s="197">
        <v>120</v>
      </c>
      <c r="L103" s="197">
        <v>40</v>
      </c>
      <c r="M103" s="198">
        <v>0.33333333333333331</v>
      </c>
      <c r="N103" s="197">
        <v>465</v>
      </c>
      <c r="O103" s="197">
        <v>362</v>
      </c>
      <c r="P103" s="198">
        <v>0.77849462365591393</v>
      </c>
      <c r="Q103" s="197">
        <v>0</v>
      </c>
      <c r="R103" s="197">
        <v>10</v>
      </c>
      <c r="S103" s="82">
        <v>1973</v>
      </c>
    </row>
    <row r="104" spans="1:21" x14ac:dyDescent="0.2">
      <c r="A104" s="243" t="s">
        <v>420</v>
      </c>
      <c r="B104" s="93" t="s">
        <v>45</v>
      </c>
      <c r="C104" s="82">
        <v>2494</v>
      </c>
      <c r="D104" s="196">
        <v>528.1</v>
      </c>
      <c r="E104" s="197">
        <v>1192</v>
      </c>
      <c r="F104" s="197">
        <v>307</v>
      </c>
      <c r="G104" s="198">
        <v>0.2575503355704698</v>
      </c>
      <c r="H104" s="197">
        <v>3094</v>
      </c>
      <c r="I104" s="197">
        <v>2511</v>
      </c>
      <c r="J104" s="198">
        <v>0.81157078215901746</v>
      </c>
      <c r="K104" s="197">
        <v>1745</v>
      </c>
      <c r="L104" s="197">
        <v>1622</v>
      </c>
      <c r="M104" s="198">
        <v>0.92951289398280801</v>
      </c>
      <c r="N104" s="197">
        <v>207</v>
      </c>
      <c r="O104" s="197">
        <v>163</v>
      </c>
      <c r="P104" s="198">
        <v>0.7874396135265701</v>
      </c>
      <c r="Q104" s="197">
        <v>0</v>
      </c>
      <c r="R104" s="197">
        <v>4</v>
      </c>
      <c r="S104" s="82">
        <v>250</v>
      </c>
    </row>
    <row r="105" spans="1:21" x14ac:dyDescent="0.2">
      <c r="A105" s="243" t="s">
        <v>192</v>
      </c>
      <c r="B105" s="93" t="s">
        <v>47</v>
      </c>
      <c r="C105" s="82">
        <v>676</v>
      </c>
      <c r="D105" s="196">
        <v>112.2</v>
      </c>
      <c r="E105" s="197">
        <v>1557</v>
      </c>
      <c r="F105" s="197">
        <v>441</v>
      </c>
      <c r="G105" s="198">
        <v>0.2832369942196532</v>
      </c>
      <c r="H105" s="197">
        <v>1080</v>
      </c>
      <c r="I105" s="197">
        <v>203</v>
      </c>
      <c r="J105" s="198">
        <v>0.18796296296296297</v>
      </c>
      <c r="K105" s="197">
        <v>204</v>
      </c>
      <c r="L105" s="197">
        <v>127</v>
      </c>
      <c r="M105" s="198">
        <v>0.62254901960784315</v>
      </c>
      <c r="N105" s="197">
        <v>363</v>
      </c>
      <c r="O105" s="197">
        <v>242</v>
      </c>
      <c r="P105" s="198">
        <v>0.66666666666666663</v>
      </c>
      <c r="Q105" s="197">
        <v>0</v>
      </c>
      <c r="R105" s="197">
        <v>8</v>
      </c>
      <c r="S105" s="82">
        <v>995</v>
      </c>
    </row>
    <row r="106" spans="1:21" x14ac:dyDescent="0.2">
      <c r="A106" s="243" t="s">
        <v>421</v>
      </c>
      <c r="B106" s="32" t="s">
        <v>49</v>
      </c>
      <c r="C106" s="82">
        <v>506</v>
      </c>
      <c r="D106" s="196">
        <v>316.89999999999998</v>
      </c>
      <c r="E106" s="197">
        <v>987</v>
      </c>
      <c r="F106" s="197">
        <v>255</v>
      </c>
      <c r="G106" s="198">
        <v>0.25835866261398177</v>
      </c>
      <c r="H106" s="197">
        <v>835</v>
      </c>
      <c r="I106" s="197">
        <v>463</v>
      </c>
      <c r="J106" s="198">
        <v>0.55449101796407185</v>
      </c>
      <c r="K106" s="197">
        <v>60</v>
      </c>
      <c r="L106" s="197">
        <v>35</v>
      </c>
      <c r="M106" s="198">
        <v>0.58333333333333337</v>
      </c>
      <c r="N106" s="197">
        <v>1343</v>
      </c>
      <c r="O106" s="197">
        <v>504</v>
      </c>
      <c r="P106" s="198">
        <v>0.37527922561429633</v>
      </c>
      <c r="Q106" s="197">
        <v>15</v>
      </c>
      <c r="R106" s="197">
        <v>6</v>
      </c>
      <c r="S106" s="82">
        <v>277</v>
      </c>
    </row>
    <row r="107" spans="1:21" x14ac:dyDescent="0.2">
      <c r="A107" s="243" t="s">
        <v>185</v>
      </c>
      <c r="B107" s="32" t="s">
        <v>53</v>
      </c>
      <c r="C107" s="82">
        <v>7499</v>
      </c>
      <c r="D107" s="196">
        <v>456</v>
      </c>
      <c r="E107" s="197">
        <v>9836</v>
      </c>
      <c r="F107" s="197">
        <v>5233</v>
      </c>
      <c r="G107" s="198">
        <v>0.53202521350142329</v>
      </c>
      <c r="H107" s="197">
        <v>9672</v>
      </c>
      <c r="I107" s="197">
        <v>7460</v>
      </c>
      <c r="J107" s="198">
        <v>0.77129859387923905</v>
      </c>
      <c r="K107" s="197">
        <v>2101</v>
      </c>
      <c r="L107" s="197">
        <v>1787</v>
      </c>
      <c r="M107" s="198">
        <v>0.85054735840076157</v>
      </c>
      <c r="N107" s="197">
        <v>5841</v>
      </c>
      <c r="O107" s="197">
        <v>2760</v>
      </c>
      <c r="P107" s="198">
        <v>0.47252182845403184</v>
      </c>
      <c r="Q107" s="197">
        <v>2</v>
      </c>
      <c r="R107" s="197">
        <v>43</v>
      </c>
      <c r="S107" s="82">
        <v>4888</v>
      </c>
      <c r="U107" s="17"/>
    </row>
    <row r="108" spans="1:21" x14ac:dyDescent="0.2">
      <c r="A108" s="243" t="s">
        <v>206</v>
      </c>
      <c r="B108" s="32" t="s">
        <v>57</v>
      </c>
      <c r="C108" s="82">
        <v>801</v>
      </c>
      <c r="D108" s="196">
        <v>282.7</v>
      </c>
      <c r="E108" s="197">
        <v>794</v>
      </c>
      <c r="F108" s="197">
        <v>111</v>
      </c>
      <c r="G108" s="198">
        <v>0.1397984886649874</v>
      </c>
      <c r="H108" s="197">
        <v>1223</v>
      </c>
      <c r="I108" s="197">
        <v>636</v>
      </c>
      <c r="J108" s="198">
        <v>0.52003270645952571</v>
      </c>
      <c r="K108" s="197">
        <v>297</v>
      </c>
      <c r="L108" s="197">
        <v>186</v>
      </c>
      <c r="M108" s="198">
        <v>0.6262626262626263</v>
      </c>
      <c r="N108" s="197">
        <v>687</v>
      </c>
      <c r="O108" s="197">
        <v>101</v>
      </c>
      <c r="P108" s="198">
        <v>0.14701601164483261</v>
      </c>
      <c r="Q108" s="197">
        <v>0</v>
      </c>
      <c r="R108" s="197">
        <v>4</v>
      </c>
      <c r="S108" s="82">
        <v>284</v>
      </c>
      <c r="U108"/>
    </row>
    <row r="109" spans="1:21" x14ac:dyDescent="0.2">
      <c r="A109" s="243" t="s">
        <v>210</v>
      </c>
      <c r="B109" s="93" t="s">
        <v>59</v>
      </c>
      <c r="C109" s="82">
        <v>1550</v>
      </c>
      <c r="D109" s="196">
        <v>228.6</v>
      </c>
      <c r="E109" s="197">
        <v>3764</v>
      </c>
      <c r="F109" s="197">
        <v>1962</v>
      </c>
      <c r="G109" s="198">
        <v>0.52125398512221044</v>
      </c>
      <c r="H109" s="197">
        <v>2160</v>
      </c>
      <c r="I109" s="197">
        <v>1558</v>
      </c>
      <c r="J109" s="198">
        <v>0.72129629629629632</v>
      </c>
      <c r="K109" s="197">
        <v>430</v>
      </c>
      <c r="L109" s="197">
        <v>389</v>
      </c>
      <c r="M109" s="198">
        <v>0.90465116279069768</v>
      </c>
      <c r="N109" s="197">
        <v>1106</v>
      </c>
      <c r="O109" s="197">
        <v>588</v>
      </c>
      <c r="P109" s="198">
        <v>0.53164556962025311</v>
      </c>
      <c r="Q109" s="197">
        <v>0</v>
      </c>
      <c r="R109" s="197">
        <v>3</v>
      </c>
      <c r="S109" s="82">
        <v>939</v>
      </c>
      <c r="U109"/>
    </row>
    <row r="110" spans="1:21" x14ac:dyDescent="0.2">
      <c r="A110" s="243" t="s">
        <v>189</v>
      </c>
      <c r="B110" s="93" t="s">
        <v>66</v>
      </c>
      <c r="C110" s="82">
        <v>6101</v>
      </c>
      <c r="D110" s="196">
        <v>442.7</v>
      </c>
      <c r="E110" s="197">
        <v>15659</v>
      </c>
      <c r="F110" s="197">
        <v>9551</v>
      </c>
      <c r="G110" s="198">
        <v>0.60993677757200337</v>
      </c>
      <c r="H110" s="197">
        <v>7968</v>
      </c>
      <c r="I110" s="197">
        <v>6135</v>
      </c>
      <c r="J110" s="198">
        <v>0.7699548192771084</v>
      </c>
      <c r="K110" s="197">
        <v>1279</v>
      </c>
      <c r="L110" s="197">
        <v>1195</v>
      </c>
      <c r="M110" s="198">
        <v>0.9343236903831118</v>
      </c>
      <c r="N110" s="197">
        <v>4387</v>
      </c>
      <c r="O110" s="197">
        <v>2836</v>
      </c>
      <c r="P110" s="198">
        <v>0.64645543651698201</v>
      </c>
      <c r="Q110" s="197">
        <v>2</v>
      </c>
      <c r="R110" s="197">
        <v>34</v>
      </c>
      <c r="S110" s="82">
        <v>4585</v>
      </c>
      <c r="U110"/>
    </row>
    <row r="111" spans="1:21" x14ac:dyDescent="0.2">
      <c r="A111" s="243" t="s">
        <v>199</v>
      </c>
      <c r="B111" s="93" t="s">
        <v>69</v>
      </c>
      <c r="C111" s="82">
        <v>833</v>
      </c>
      <c r="D111" s="196">
        <v>157.5</v>
      </c>
      <c r="E111" s="197">
        <v>1587</v>
      </c>
      <c r="F111" s="197">
        <v>720</v>
      </c>
      <c r="G111" s="198">
        <v>0.45368620037807184</v>
      </c>
      <c r="H111" s="197">
        <v>924</v>
      </c>
      <c r="I111" s="197">
        <v>396</v>
      </c>
      <c r="J111" s="198">
        <v>0.42857142857142855</v>
      </c>
      <c r="K111" s="197">
        <v>204</v>
      </c>
      <c r="L111" s="197">
        <v>148</v>
      </c>
      <c r="M111" s="198">
        <v>0.72549019607843135</v>
      </c>
      <c r="N111" s="197">
        <v>1067</v>
      </c>
      <c r="O111" s="197">
        <v>446</v>
      </c>
      <c r="P111" s="198">
        <v>0.41799437675726336</v>
      </c>
      <c r="Q111" s="197">
        <v>294</v>
      </c>
      <c r="R111" s="197">
        <v>126</v>
      </c>
      <c r="S111" s="82">
        <v>1086</v>
      </c>
      <c r="U111"/>
    </row>
    <row r="112" spans="1:21" x14ac:dyDescent="0.2">
      <c r="A112" s="243" t="s">
        <v>188</v>
      </c>
      <c r="B112" s="93" t="s">
        <v>76</v>
      </c>
      <c r="C112" s="82">
        <v>9414</v>
      </c>
      <c r="D112" s="196">
        <v>442.4</v>
      </c>
      <c r="E112" s="197">
        <v>17704</v>
      </c>
      <c r="F112" s="197">
        <v>9756</v>
      </c>
      <c r="G112" s="198">
        <v>0.55106190691369183</v>
      </c>
      <c r="H112" s="197">
        <v>12319</v>
      </c>
      <c r="I112" s="197">
        <v>9940</v>
      </c>
      <c r="J112" s="198">
        <v>0.80688367562302132</v>
      </c>
      <c r="K112" s="197">
        <v>1609</v>
      </c>
      <c r="L112" s="197">
        <v>1502</v>
      </c>
      <c r="M112" s="198">
        <v>0.93349906774394031</v>
      </c>
      <c r="N112" s="197">
        <v>13901</v>
      </c>
      <c r="O112" s="197">
        <v>9061</v>
      </c>
      <c r="P112" s="198">
        <v>0.65182360981224374</v>
      </c>
      <c r="Q112" s="197">
        <v>0</v>
      </c>
      <c r="R112" s="197">
        <v>27</v>
      </c>
      <c r="S112" s="82">
        <v>8505</v>
      </c>
      <c r="U112"/>
    </row>
    <row r="113" spans="1:21" x14ac:dyDescent="0.2">
      <c r="A113" s="243" t="s">
        <v>190</v>
      </c>
      <c r="B113" s="93" t="s">
        <v>78</v>
      </c>
      <c r="C113" s="82">
        <v>5727</v>
      </c>
      <c r="D113" s="196">
        <v>380.8</v>
      </c>
      <c r="E113" s="197">
        <v>6001</v>
      </c>
      <c r="F113" s="197">
        <v>2636</v>
      </c>
      <c r="G113" s="198">
        <v>0.43926012331278119</v>
      </c>
      <c r="H113" s="197">
        <v>7143</v>
      </c>
      <c r="I113" s="197">
        <v>5318</v>
      </c>
      <c r="J113" s="198">
        <v>0.74450510989780205</v>
      </c>
      <c r="K113" s="197">
        <v>440</v>
      </c>
      <c r="L113" s="197">
        <v>352</v>
      </c>
      <c r="M113" s="198">
        <v>0.8</v>
      </c>
      <c r="N113" s="197">
        <v>5674</v>
      </c>
      <c r="O113" s="197">
        <v>3073</v>
      </c>
      <c r="P113" s="198">
        <v>0.54159323228762779</v>
      </c>
      <c r="Q113" s="197">
        <v>1</v>
      </c>
      <c r="R113" s="197">
        <v>47</v>
      </c>
      <c r="S113" s="82">
        <v>6275</v>
      </c>
      <c r="U113"/>
    </row>
    <row r="114" spans="1:21" x14ac:dyDescent="0.2">
      <c r="A114" s="243" t="s">
        <v>193</v>
      </c>
      <c r="B114" s="93" t="s">
        <v>80</v>
      </c>
      <c r="C114" s="82">
        <v>8280</v>
      </c>
      <c r="D114" s="196">
        <v>439.7</v>
      </c>
      <c r="E114" s="197">
        <v>7416</v>
      </c>
      <c r="F114" s="197">
        <v>3610</v>
      </c>
      <c r="G114" s="198">
        <v>0.48678532901833871</v>
      </c>
      <c r="H114" s="197">
        <v>10393</v>
      </c>
      <c r="I114" s="197">
        <v>7742</v>
      </c>
      <c r="J114" s="198">
        <v>0.74492446839218707</v>
      </c>
      <c r="K114" s="197">
        <v>3399</v>
      </c>
      <c r="L114" s="197">
        <v>2942</v>
      </c>
      <c r="M114" s="198">
        <v>0.86554869079140928</v>
      </c>
      <c r="N114" s="197">
        <v>1698</v>
      </c>
      <c r="O114" s="197">
        <v>1318</v>
      </c>
      <c r="P114" s="198">
        <v>0.77620730270906946</v>
      </c>
      <c r="Q114" s="197">
        <v>3</v>
      </c>
      <c r="R114" s="197">
        <v>57</v>
      </c>
      <c r="S114" s="82">
        <v>5358</v>
      </c>
      <c r="U114"/>
    </row>
    <row r="115" spans="1:21" x14ac:dyDescent="0.2">
      <c r="A115" s="243" t="s">
        <v>197</v>
      </c>
      <c r="B115" s="93" t="s">
        <v>82</v>
      </c>
      <c r="C115" s="82">
        <v>3763</v>
      </c>
      <c r="D115" s="196">
        <v>459.4</v>
      </c>
      <c r="E115" s="197">
        <v>6248</v>
      </c>
      <c r="F115" s="197">
        <v>3863</v>
      </c>
      <c r="G115" s="198">
        <v>0.61827784891165172</v>
      </c>
      <c r="H115" s="197">
        <v>4254</v>
      </c>
      <c r="I115" s="197">
        <v>3412</v>
      </c>
      <c r="J115" s="198">
        <v>0.8020686412787964</v>
      </c>
      <c r="K115" s="197">
        <v>400</v>
      </c>
      <c r="L115" s="197">
        <v>380</v>
      </c>
      <c r="M115" s="198">
        <v>0.95</v>
      </c>
      <c r="N115" s="197">
        <v>3439</v>
      </c>
      <c r="O115" s="197">
        <v>1540</v>
      </c>
      <c r="P115" s="198">
        <v>0.44780459435882525</v>
      </c>
      <c r="Q115" s="197">
        <v>1</v>
      </c>
      <c r="R115" s="197">
        <v>80</v>
      </c>
      <c r="S115" s="82">
        <v>1445</v>
      </c>
      <c r="U115"/>
    </row>
    <row r="116" spans="1:21" ht="13.5" customHeight="1" x14ac:dyDescent="0.2">
      <c r="A116" s="243" t="s">
        <v>187</v>
      </c>
      <c r="B116" s="32" t="s">
        <v>84</v>
      </c>
      <c r="C116" s="82">
        <v>10982</v>
      </c>
      <c r="D116" s="196">
        <v>462.1</v>
      </c>
      <c r="E116" s="197">
        <v>6619</v>
      </c>
      <c r="F116" s="197">
        <v>2261</v>
      </c>
      <c r="G116" s="198">
        <v>0.3415923855567306</v>
      </c>
      <c r="H116" s="197">
        <v>15739</v>
      </c>
      <c r="I116" s="197">
        <v>9626</v>
      </c>
      <c r="J116" s="198">
        <v>0.61160175360569291</v>
      </c>
      <c r="K116" s="197">
        <v>1487</v>
      </c>
      <c r="L116" s="197">
        <v>1343</v>
      </c>
      <c r="M116" s="198">
        <v>0.9031607262945528</v>
      </c>
      <c r="N116" s="197">
        <v>404</v>
      </c>
      <c r="O116" s="197">
        <v>253</v>
      </c>
      <c r="P116" s="198">
        <v>0.62623762376237624</v>
      </c>
      <c r="Q116" s="197">
        <v>0</v>
      </c>
      <c r="R116" s="197">
        <v>6</v>
      </c>
      <c r="S116" s="82">
        <v>415</v>
      </c>
      <c r="U116"/>
    </row>
    <row r="117" spans="1:21" x14ac:dyDescent="0.2">
      <c r="A117" s="243" t="s">
        <v>202</v>
      </c>
      <c r="B117" s="32" t="s">
        <v>85</v>
      </c>
      <c r="C117" s="82">
        <v>9605</v>
      </c>
      <c r="D117" s="196">
        <v>326.60000000000002</v>
      </c>
      <c r="E117" s="197">
        <v>12793</v>
      </c>
      <c r="F117" s="197">
        <v>4026</v>
      </c>
      <c r="G117" s="198">
        <v>0.31470335339638866</v>
      </c>
      <c r="H117" s="197">
        <v>13807</v>
      </c>
      <c r="I117" s="197">
        <v>7702</v>
      </c>
      <c r="J117" s="198">
        <v>0.55783298326935615</v>
      </c>
      <c r="K117" s="197">
        <v>1460</v>
      </c>
      <c r="L117" s="197">
        <v>1121</v>
      </c>
      <c r="M117" s="198">
        <v>0.76780821917808217</v>
      </c>
      <c r="N117" s="197">
        <v>1920</v>
      </c>
      <c r="O117" s="197">
        <v>1144</v>
      </c>
      <c r="P117" s="198">
        <v>0.59583333333333333</v>
      </c>
      <c r="Q117" s="197">
        <v>0</v>
      </c>
      <c r="R117" s="197">
        <v>61</v>
      </c>
      <c r="S117" s="82">
        <v>3367</v>
      </c>
      <c r="U117"/>
    </row>
    <row r="118" spans="1:21" x14ac:dyDescent="0.2">
      <c r="A118" s="243" t="s">
        <v>191</v>
      </c>
      <c r="B118" s="93" t="s">
        <v>87</v>
      </c>
      <c r="C118" s="82">
        <v>13968</v>
      </c>
      <c r="D118" s="205">
        <v>435.1</v>
      </c>
      <c r="E118" s="197">
        <v>15986</v>
      </c>
      <c r="F118" s="197">
        <v>8582</v>
      </c>
      <c r="G118" s="198">
        <v>0.53684473914675346</v>
      </c>
      <c r="H118" s="197">
        <v>19382</v>
      </c>
      <c r="I118" s="197">
        <v>14134</v>
      </c>
      <c r="J118" s="198">
        <v>0.72923330925601071</v>
      </c>
      <c r="K118" s="197">
        <v>4149</v>
      </c>
      <c r="L118" s="197">
        <v>3920</v>
      </c>
      <c r="M118" s="198">
        <v>0.94480597734393834</v>
      </c>
      <c r="N118" s="197">
        <v>10410</v>
      </c>
      <c r="O118" s="197">
        <v>6956</v>
      </c>
      <c r="P118" s="198">
        <v>0.6682036503362152</v>
      </c>
      <c r="Q118" s="197">
        <v>14</v>
      </c>
      <c r="R118" s="197">
        <v>147</v>
      </c>
      <c r="S118" s="82">
        <v>3655</v>
      </c>
      <c r="U118"/>
    </row>
    <row r="119" spans="1:21" x14ac:dyDescent="0.2">
      <c r="A119" s="243"/>
      <c r="B119" s="272" t="s">
        <v>435</v>
      </c>
      <c r="C119" s="276">
        <v>1</v>
      </c>
      <c r="D119" s="202">
        <v>2</v>
      </c>
      <c r="E119" s="203">
        <v>0</v>
      </c>
      <c r="F119" s="203">
        <v>0</v>
      </c>
      <c r="G119" s="193" t="s">
        <v>31</v>
      </c>
      <c r="H119" s="203">
        <v>0</v>
      </c>
      <c r="I119" s="203">
        <v>0</v>
      </c>
      <c r="J119" s="193" t="s">
        <v>31</v>
      </c>
      <c r="K119" s="203">
        <v>0</v>
      </c>
      <c r="L119" s="203">
        <v>0</v>
      </c>
      <c r="M119" s="193" t="s">
        <v>31</v>
      </c>
      <c r="N119" s="203">
        <v>0</v>
      </c>
      <c r="O119" s="203">
        <v>0</v>
      </c>
      <c r="P119" s="193" t="s">
        <v>31</v>
      </c>
      <c r="Q119" s="203">
        <v>0</v>
      </c>
      <c r="R119" s="203">
        <v>1</v>
      </c>
      <c r="S119" s="273">
        <v>12617</v>
      </c>
      <c r="U119"/>
    </row>
    <row r="120" spans="1:21" ht="17.25" customHeight="1" x14ac:dyDescent="0.2">
      <c r="B120" s="526"/>
      <c r="C120" s="526"/>
      <c r="D120" s="526"/>
      <c r="E120" s="526"/>
      <c r="F120" s="526"/>
      <c r="G120" s="526"/>
      <c r="H120" s="526"/>
      <c r="I120" s="526"/>
      <c r="J120" s="526"/>
      <c r="K120" s="526"/>
      <c r="L120" s="526"/>
      <c r="M120" s="526"/>
      <c r="N120" s="526"/>
      <c r="O120" s="526"/>
      <c r="P120" s="526"/>
      <c r="Q120" s="526"/>
      <c r="R120" s="526"/>
      <c r="S120" s="526"/>
    </row>
    <row r="121" spans="1:21" ht="27" customHeight="1" x14ac:dyDescent="0.4">
      <c r="B121" s="13"/>
      <c r="C121" s="529" t="s">
        <v>354</v>
      </c>
      <c r="D121" s="530"/>
      <c r="E121" s="530"/>
      <c r="F121" s="530"/>
      <c r="G121" s="530"/>
      <c r="H121" s="530"/>
      <c r="I121" s="530"/>
      <c r="J121" s="530"/>
      <c r="K121" s="530"/>
      <c r="L121" s="530"/>
      <c r="M121" s="530"/>
      <c r="N121" s="530"/>
      <c r="O121" s="530"/>
      <c r="P121" s="530"/>
      <c r="Q121" s="530"/>
      <c r="R121" s="530"/>
      <c r="S121" s="531"/>
    </row>
    <row r="122" spans="1:21" x14ac:dyDescent="0.2">
      <c r="B122" s="30"/>
      <c r="C122" s="522" t="s">
        <v>287</v>
      </c>
      <c r="D122" s="522"/>
      <c r="E122" s="523" t="s">
        <v>238</v>
      </c>
      <c r="F122" s="524"/>
      <c r="G122" s="525"/>
      <c r="H122" s="523" t="s">
        <v>8</v>
      </c>
      <c r="I122" s="524"/>
      <c r="J122" s="525"/>
      <c r="K122" s="523" t="s">
        <v>43</v>
      </c>
      <c r="L122" s="524"/>
      <c r="M122" s="525"/>
      <c r="N122" s="523" t="s">
        <v>9</v>
      </c>
      <c r="O122" s="524"/>
      <c r="P122" s="525"/>
      <c r="Q122" s="262" t="s">
        <v>10</v>
      </c>
      <c r="R122" s="218" t="s">
        <v>11</v>
      </c>
      <c r="S122" s="218" t="s">
        <v>12</v>
      </c>
    </row>
    <row r="123" spans="1:21" s="10" customFormat="1" ht="53.25" customHeight="1" x14ac:dyDescent="0.2">
      <c r="B123" s="29"/>
      <c r="C123" s="31" t="s">
        <v>13</v>
      </c>
      <c r="D123" s="54" t="s">
        <v>154</v>
      </c>
      <c r="E123" s="31" t="s">
        <v>13</v>
      </c>
      <c r="F123" s="9" t="s">
        <v>4</v>
      </c>
      <c r="G123" s="8" t="s">
        <v>5</v>
      </c>
      <c r="H123" s="31" t="s">
        <v>14</v>
      </c>
      <c r="I123" s="9" t="s">
        <v>4</v>
      </c>
      <c r="J123" s="8" t="s">
        <v>5</v>
      </c>
      <c r="K123" s="31" t="s">
        <v>15</v>
      </c>
      <c r="L123" s="9" t="s">
        <v>4</v>
      </c>
      <c r="M123" s="8" t="s">
        <v>5</v>
      </c>
      <c r="N123" s="31" t="s">
        <v>14</v>
      </c>
      <c r="O123" s="9" t="s">
        <v>4</v>
      </c>
      <c r="P123" s="8" t="s">
        <v>5</v>
      </c>
      <c r="Q123" s="31" t="s">
        <v>13</v>
      </c>
      <c r="R123" s="31" t="s">
        <v>13</v>
      </c>
      <c r="S123" s="14" t="s">
        <v>15</v>
      </c>
    </row>
    <row r="124" spans="1:21" x14ac:dyDescent="0.2">
      <c r="B124" s="11" t="s">
        <v>286</v>
      </c>
      <c r="C124" s="275">
        <v>24397</v>
      </c>
      <c r="D124" s="206">
        <v>65.900000000000006</v>
      </c>
      <c r="E124" s="207">
        <v>19666</v>
      </c>
      <c r="F124" s="207">
        <v>1637</v>
      </c>
      <c r="G124" s="208">
        <v>8.3240109834231663E-2</v>
      </c>
      <c r="H124" s="207">
        <v>43960</v>
      </c>
      <c r="I124" s="207">
        <v>5161</v>
      </c>
      <c r="J124" s="208">
        <v>0.11740218380345768</v>
      </c>
      <c r="K124" s="207">
        <v>8709</v>
      </c>
      <c r="L124" s="207">
        <v>8364</v>
      </c>
      <c r="M124" s="208">
        <v>0.96038580778504989</v>
      </c>
      <c r="N124" s="207">
        <v>3099</v>
      </c>
      <c r="O124" s="207">
        <v>475</v>
      </c>
      <c r="P124" s="208">
        <v>0.15327525008067119</v>
      </c>
      <c r="Q124" s="207">
        <v>6321</v>
      </c>
      <c r="R124" s="207">
        <v>3716</v>
      </c>
      <c r="S124" s="85">
        <v>6184</v>
      </c>
    </row>
    <row r="125" spans="1:21" x14ac:dyDescent="0.2">
      <c r="A125" s="243" t="s">
        <v>414</v>
      </c>
      <c r="B125" s="15" t="s">
        <v>283</v>
      </c>
      <c r="C125" s="82">
        <v>11373</v>
      </c>
      <c r="D125" s="196">
        <v>81.3</v>
      </c>
      <c r="E125" s="197">
        <v>8590</v>
      </c>
      <c r="F125" s="197">
        <v>775</v>
      </c>
      <c r="G125" s="198">
        <v>9.0221187427240973E-2</v>
      </c>
      <c r="H125" s="197">
        <v>17846</v>
      </c>
      <c r="I125" s="197">
        <v>2445</v>
      </c>
      <c r="J125" s="198">
        <v>0.13700549142665022</v>
      </c>
      <c r="K125" s="197">
        <v>8012</v>
      </c>
      <c r="L125" s="197">
        <v>7922</v>
      </c>
      <c r="M125" s="198">
        <v>0.98876684972541184</v>
      </c>
      <c r="N125" s="197">
        <v>2372</v>
      </c>
      <c r="O125" s="197">
        <v>148</v>
      </c>
      <c r="P125" s="198">
        <v>6.2394603709949412E-2</v>
      </c>
      <c r="Q125" s="197">
        <v>1254</v>
      </c>
      <c r="R125" s="197">
        <v>1661</v>
      </c>
      <c r="S125" s="82">
        <v>2019</v>
      </c>
    </row>
    <row r="126" spans="1:21" x14ac:dyDescent="0.2">
      <c r="A126" s="245" t="s">
        <v>418</v>
      </c>
      <c r="B126" s="15" t="s">
        <v>284</v>
      </c>
      <c r="C126" s="82">
        <v>5651</v>
      </c>
      <c r="D126" s="196">
        <v>47.5</v>
      </c>
      <c r="E126" s="197">
        <v>5342</v>
      </c>
      <c r="F126" s="197">
        <v>441</v>
      </c>
      <c r="G126" s="198">
        <v>8.2553350804941972E-2</v>
      </c>
      <c r="H126" s="197">
        <v>9779</v>
      </c>
      <c r="I126" s="197">
        <v>443</v>
      </c>
      <c r="J126" s="198">
        <v>4.5301155537376007E-2</v>
      </c>
      <c r="K126" s="197">
        <v>222</v>
      </c>
      <c r="L126" s="197">
        <v>1</v>
      </c>
      <c r="M126" s="198">
        <v>4.5045045045045045E-3</v>
      </c>
      <c r="N126" s="197">
        <v>410</v>
      </c>
      <c r="O126" s="197">
        <v>97</v>
      </c>
      <c r="P126" s="198">
        <v>0.23658536585365852</v>
      </c>
      <c r="Q126" s="197">
        <v>602</v>
      </c>
      <c r="R126" s="197">
        <v>379</v>
      </c>
      <c r="S126" s="82">
        <v>2196</v>
      </c>
    </row>
    <row r="127" spans="1:21" x14ac:dyDescent="0.2">
      <c r="A127" s="243" t="s">
        <v>419</v>
      </c>
      <c r="B127" s="18" t="s">
        <v>285</v>
      </c>
      <c r="C127" s="82">
        <v>7373</v>
      </c>
      <c r="D127" s="196">
        <v>56.3</v>
      </c>
      <c r="E127" s="197">
        <v>5474</v>
      </c>
      <c r="F127" s="197">
        <v>294</v>
      </c>
      <c r="G127" s="198">
        <v>5.3708439897698211E-2</v>
      </c>
      <c r="H127" s="197">
        <v>14160</v>
      </c>
      <c r="I127" s="197">
        <v>318</v>
      </c>
      <c r="J127" s="198">
        <v>2.2457627118644068E-2</v>
      </c>
      <c r="K127" s="197">
        <v>143</v>
      </c>
      <c r="L127" s="197">
        <v>132</v>
      </c>
      <c r="M127" s="198">
        <v>0.92307692307692313</v>
      </c>
      <c r="N127" s="197">
        <v>110</v>
      </c>
      <c r="O127" s="197">
        <v>43</v>
      </c>
      <c r="P127" s="198">
        <v>0.39090909090909093</v>
      </c>
      <c r="Q127" s="197">
        <v>4360</v>
      </c>
      <c r="R127" s="197">
        <v>1676</v>
      </c>
      <c r="S127" s="82">
        <v>1969</v>
      </c>
    </row>
    <row r="128" spans="1:21" x14ac:dyDescent="0.2">
      <c r="A128" s="70"/>
      <c r="B128" s="18" t="s">
        <v>27</v>
      </c>
      <c r="C128" s="209" t="s">
        <v>31</v>
      </c>
      <c r="D128" s="209" t="s">
        <v>31</v>
      </c>
      <c r="E128" s="210">
        <v>260</v>
      </c>
      <c r="F128" s="210">
        <v>127</v>
      </c>
      <c r="G128" s="211">
        <v>0.48846153846153845</v>
      </c>
      <c r="H128" s="210">
        <v>2175</v>
      </c>
      <c r="I128" s="210">
        <v>1955</v>
      </c>
      <c r="J128" s="211">
        <v>0.89885057471264362</v>
      </c>
      <c r="K128" s="210">
        <v>332</v>
      </c>
      <c r="L128" s="210">
        <v>309</v>
      </c>
      <c r="M128" s="211">
        <v>0.93072289156626509</v>
      </c>
      <c r="N128" s="210">
        <v>207</v>
      </c>
      <c r="O128" s="210">
        <v>187</v>
      </c>
      <c r="P128" s="211">
        <v>0.90338164251207731</v>
      </c>
      <c r="Q128" s="210">
        <v>105</v>
      </c>
      <c r="R128" s="210" t="s">
        <v>215</v>
      </c>
      <c r="S128" s="86" t="s">
        <v>215</v>
      </c>
    </row>
    <row r="129" spans="2:19" x14ac:dyDescent="0.2">
      <c r="D129" s="89"/>
      <c r="E129" s="90"/>
      <c r="F129" s="90"/>
      <c r="G129" s="91"/>
      <c r="H129" s="90"/>
      <c r="I129" s="90"/>
      <c r="J129" s="91"/>
      <c r="K129" s="90"/>
      <c r="L129" s="90"/>
      <c r="M129" s="91"/>
      <c r="N129" s="90"/>
      <c r="O129" s="90"/>
      <c r="P129" s="91"/>
      <c r="Q129" s="90"/>
      <c r="R129" s="90"/>
      <c r="S129" s="90"/>
    </row>
    <row r="130" spans="2:19" ht="15.75" customHeight="1" x14ac:dyDescent="0.2">
      <c r="B130" s="17"/>
      <c r="C130" s="17"/>
      <c r="D130" s="55"/>
      <c r="E130" s="17"/>
      <c r="F130" s="17"/>
      <c r="G130" s="17"/>
      <c r="H130" s="17"/>
      <c r="I130" s="17"/>
      <c r="J130" s="17"/>
      <c r="K130" s="17"/>
      <c r="L130" s="17"/>
      <c r="M130" s="17"/>
      <c r="N130" s="17"/>
      <c r="O130" s="17"/>
      <c r="P130" s="17"/>
      <c r="Q130" s="19"/>
      <c r="R130" s="17"/>
      <c r="S130" s="17"/>
    </row>
    <row r="131" spans="2:19" ht="39" customHeight="1" x14ac:dyDescent="0.4">
      <c r="D131" s="59"/>
      <c r="G131" s="520"/>
      <c r="H131" s="520"/>
      <c r="I131" s="520"/>
      <c r="J131" s="520"/>
      <c r="K131" s="520"/>
      <c r="L131" s="520"/>
      <c r="M131" s="520"/>
      <c r="N131" s="520"/>
      <c r="O131" s="520"/>
    </row>
    <row r="132" spans="2:19" x14ac:dyDescent="0.2">
      <c r="D132" s="48"/>
      <c r="G132" s="13"/>
      <c r="H132" s="521"/>
      <c r="I132" s="521"/>
      <c r="J132" s="521"/>
      <c r="K132" s="521"/>
      <c r="L132" s="521"/>
      <c r="M132" s="521"/>
      <c r="N132" s="521"/>
      <c r="O132" s="521"/>
      <c r="S132" s="73"/>
    </row>
    <row r="133" spans="2:19" ht="49.5" customHeight="1" x14ac:dyDescent="0.2">
      <c r="B133" s="49"/>
      <c r="C133" s="49"/>
      <c r="G133" s="5"/>
      <c r="H133" s="133"/>
      <c r="I133" s="133"/>
      <c r="J133" s="133"/>
      <c r="K133" s="133"/>
      <c r="L133" s="133"/>
      <c r="M133" s="133"/>
      <c r="N133" s="133"/>
      <c r="O133" s="133"/>
      <c r="S133" s="73"/>
    </row>
    <row r="134" spans="2:19" x14ac:dyDescent="0.2">
      <c r="G134" s="69"/>
      <c r="H134" s="134"/>
      <c r="I134" s="134"/>
      <c r="J134" s="135"/>
      <c r="K134" s="136"/>
      <c r="L134" s="134"/>
      <c r="M134" s="134"/>
      <c r="N134" s="135"/>
      <c r="O134" s="136"/>
    </row>
    <row r="135" spans="2:19" x14ac:dyDescent="0.2">
      <c r="G135" s="4"/>
      <c r="H135" s="137"/>
      <c r="I135" s="137"/>
      <c r="J135" s="137"/>
      <c r="K135" s="138"/>
      <c r="L135" s="137"/>
      <c r="M135" s="137"/>
      <c r="N135" s="137"/>
      <c r="O135" s="138"/>
    </row>
    <row r="136" spans="2:19" x14ac:dyDescent="0.2">
      <c r="G136" s="5"/>
      <c r="H136" s="137"/>
      <c r="I136" s="137"/>
      <c r="J136" s="137"/>
      <c r="K136" s="138"/>
      <c r="L136" s="137"/>
      <c r="M136" s="137"/>
      <c r="N136" s="137"/>
      <c r="O136" s="138"/>
    </row>
    <row r="137" spans="2:19" ht="28.5" customHeight="1" x14ac:dyDescent="0.2">
      <c r="D137" s="51"/>
      <c r="G137" s="4"/>
      <c r="H137" s="137"/>
      <c r="I137" s="137"/>
      <c r="J137" s="137"/>
      <c r="K137" s="138"/>
      <c r="L137" s="137"/>
      <c r="M137" s="137"/>
      <c r="N137" s="137"/>
      <c r="O137" s="138"/>
    </row>
    <row r="138" spans="2:19" x14ac:dyDescent="0.2">
      <c r="D138" s="48"/>
      <c r="G138" s="4"/>
      <c r="H138" s="137"/>
      <c r="I138" s="137"/>
      <c r="J138" s="137"/>
      <c r="K138" s="138"/>
      <c r="L138" s="137"/>
      <c r="M138" s="137"/>
      <c r="N138" s="137"/>
      <c r="O138" s="138"/>
    </row>
    <row r="139" spans="2:19" ht="31.5" customHeight="1" x14ac:dyDescent="0.2">
      <c r="B139" s="49"/>
      <c r="C139" s="49"/>
      <c r="G139" s="462"/>
      <c r="H139" s="462"/>
      <c r="I139" s="462"/>
      <c r="J139" s="462"/>
      <c r="K139" s="462"/>
      <c r="L139" s="462"/>
      <c r="M139" s="462"/>
      <c r="N139" s="462"/>
      <c r="O139" s="462"/>
    </row>
    <row r="141" spans="2:19" ht="30" customHeight="1" x14ac:dyDescent="0.25">
      <c r="B141" s="52"/>
      <c r="C141" s="52"/>
      <c r="D141" s="53"/>
      <c r="E141" s="50"/>
      <c r="F141" s="50"/>
      <c r="G141" s="50"/>
      <c r="H141" s="50"/>
      <c r="I141" s="50"/>
      <c r="J141" s="50"/>
      <c r="K141" s="50"/>
      <c r="L141" s="50"/>
    </row>
    <row r="142" spans="2:19" ht="15" x14ac:dyDescent="0.2">
      <c r="B142" s="33"/>
      <c r="C142" s="33"/>
      <c r="D142" s="56"/>
      <c r="E142" s="34"/>
      <c r="F142" s="35"/>
    </row>
  </sheetData>
  <mergeCells count="107">
    <mergeCell ref="C2:S2"/>
    <mergeCell ref="C6:F6"/>
    <mergeCell ref="C21:F21"/>
    <mergeCell ref="C22:F22"/>
    <mergeCell ref="C23:F23"/>
    <mergeCell ref="C38:F38"/>
    <mergeCell ref="C5:I5"/>
    <mergeCell ref="C4:S4"/>
    <mergeCell ref="C3:S3"/>
    <mergeCell ref="C37:F37"/>
    <mergeCell ref="C19:F19"/>
    <mergeCell ref="C27:F27"/>
    <mergeCell ref="C28:F28"/>
    <mergeCell ref="C29:F29"/>
    <mergeCell ref="C30:F30"/>
    <mergeCell ref="C31:F31"/>
    <mergeCell ref="C20:F20"/>
    <mergeCell ref="C24:F24"/>
    <mergeCell ref="C25:F25"/>
    <mergeCell ref="C26:F26"/>
    <mergeCell ref="K26:L26"/>
    <mergeCell ref="K29:O30"/>
    <mergeCell ref="P29:P30"/>
    <mergeCell ref="C32:F32"/>
    <mergeCell ref="C7:F7"/>
    <mergeCell ref="C14:F14"/>
    <mergeCell ref="C15:F15"/>
    <mergeCell ref="C16:F16"/>
    <mergeCell ref="C17:F17"/>
    <mergeCell ref="C18:F18"/>
    <mergeCell ref="C8:F8"/>
    <mergeCell ref="C9:F9"/>
    <mergeCell ref="C10:F10"/>
    <mergeCell ref="C12:F12"/>
    <mergeCell ref="C13:F13"/>
    <mergeCell ref="C11:F11"/>
    <mergeCell ref="Q5:S5"/>
    <mergeCell ref="Q6:R6"/>
    <mergeCell ref="K7:L7"/>
    <mergeCell ref="K8:L8"/>
    <mergeCell ref="K12:L12"/>
    <mergeCell ref="K6:L6"/>
    <mergeCell ref="K10:L10"/>
    <mergeCell ref="K11:L11"/>
    <mergeCell ref="K9:L9"/>
    <mergeCell ref="Q12:R12"/>
    <mergeCell ref="K20:L20"/>
    <mergeCell ref="K24:L24"/>
    <mergeCell ref="K14:L14"/>
    <mergeCell ref="K15:L15"/>
    <mergeCell ref="K16:L16"/>
    <mergeCell ref="K5:O5"/>
    <mergeCell ref="K13:L13"/>
    <mergeCell ref="K22:L22"/>
    <mergeCell ref="K23:L23"/>
    <mergeCell ref="K21:L21"/>
    <mergeCell ref="K17:L17"/>
    <mergeCell ref="K18:L18"/>
    <mergeCell ref="K19:L19"/>
    <mergeCell ref="Q14:R14"/>
    <mergeCell ref="Q7:R7"/>
    <mergeCell ref="Q8:R8"/>
    <mergeCell ref="Q9:R9"/>
    <mergeCell ref="Q10:R10"/>
    <mergeCell ref="Q11:R11"/>
    <mergeCell ref="Q13:R13"/>
    <mergeCell ref="Q15:R15"/>
    <mergeCell ref="T22:U22"/>
    <mergeCell ref="Q16:R16"/>
    <mergeCell ref="Q18:R18"/>
    <mergeCell ref="Q19:R19"/>
    <mergeCell ref="Q17:R17"/>
    <mergeCell ref="K25:L25"/>
    <mergeCell ref="E122:G122"/>
    <mergeCell ref="H122:J122"/>
    <mergeCell ref="K122:M122"/>
    <mergeCell ref="C49:S49"/>
    <mergeCell ref="C84:S84"/>
    <mergeCell ref="C121:S121"/>
    <mergeCell ref="C40:F40"/>
    <mergeCell ref="N50:P50"/>
    <mergeCell ref="C122:D122"/>
    <mergeCell ref="C44:F44"/>
    <mergeCell ref="C42:F42"/>
    <mergeCell ref="C43:F43"/>
    <mergeCell ref="C36:F36"/>
    <mergeCell ref="C41:F41"/>
    <mergeCell ref="C33:F33"/>
    <mergeCell ref="C34:F34"/>
    <mergeCell ref="C35:F35"/>
    <mergeCell ref="C39:F39"/>
    <mergeCell ref="G139:O139"/>
    <mergeCell ref="G131:O131"/>
    <mergeCell ref="H132:K132"/>
    <mergeCell ref="C50:D50"/>
    <mergeCell ref="C85:D85"/>
    <mergeCell ref="E85:G85"/>
    <mergeCell ref="H85:J85"/>
    <mergeCell ref="K85:M85"/>
    <mergeCell ref="L132:O132"/>
    <mergeCell ref="N122:P122"/>
    <mergeCell ref="E50:G50"/>
    <mergeCell ref="H50:J50"/>
    <mergeCell ref="B120:S120"/>
    <mergeCell ref="K50:M50"/>
    <mergeCell ref="B83:S83"/>
    <mergeCell ref="N85:P85"/>
  </mergeCells>
  <conditionalFormatting sqref="N123 H123 K86 Q123:S123 N86 H86 K123 D47 E123 Q86:S86 B52:C52 E52:S52 E86 E129:S129 S124:S128 S53:S82 S87:S119 B129:C129 B86:C86 B123:C124 B53:B82 B84:B85 B121:B122 B87:B119 B125:B128">
    <cfRule type="expression" dxfId="90" priority="117" stopIfTrue="1">
      <formula>ISERROR(B47)</formula>
    </cfRule>
  </conditionalFormatting>
  <conditionalFormatting sqref="D52">
    <cfRule type="expression" dxfId="89" priority="94" stopIfTrue="1">
      <formula>ISERROR(D52)</formula>
    </cfRule>
  </conditionalFormatting>
  <conditionalFormatting sqref="D129">
    <cfRule type="expression" dxfId="88" priority="93" stopIfTrue="1">
      <formula>ISERROR(D129)</formula>
    </cfRule>
  </conditionalFormatting>
  <conditionalFormatting sqref="Y29:Y32 I12:I13 O10">
    <cfRule type="expression" dxfId="87" priority="63" stopIfTrue="1">
      <formula>ISERROR(I10)</formula>
    </cfRule>
  </conditionalFormatting>
  <conditionalFormatting sqref="Y34:Y36">
    <cfRule type="expression" dxfId="86" priority="64" stopIfTrue="1">
      <formula>ISERROR(Y34)</formula>
    </cfRule>
  </conditionalFormatting>
  <conditionalFormatting sqref="Y23:Y28">
    <cfRule type="expression" dxfId="85" priority="62" stopIfTrue="1">
      <formula>ISERROR(Y23)</formula>
    </cfRule>
  </conditionalFormatting>
  <conditionalFormatting sqref="Y22">
    <cfRule type="expression" dxfId="84" priority="48" stopIfTrue="1">
      <formula>ISERROR(Y22)</formula>
    </cfRule>
  </conditionalFormatting>
  <conditionalFormatting sqref="Y33">
    <cfRule type="expression" dxfId="83" priority="47" stopIfTrue="1">
      <formula>ISERROR(Y33)</formula>
    </cfRule>
  </conditionalFormatting>
  <conditionalFormatting sqref="I9:I10">
    <cfRule type="expression" dxfId="82" priority="44" stopIfTrue="1">
      <formula>ISERROR(I9)</formula>
    </cfRule>
  </conditionalFormatting>
  <conditionalFormatting sqref="I8">
    <cfRule type="expression" dxfId="81" priority="45" stopIfTrue="1">
      <formula>ISERROR(I8)</formula>
    </cfRule>
  </conditionalFormatting>
  <conditionalFormatting sqref="I15:I17">
    <cfRule type="expression" dxfId="80" priority="43" stopIfTrue="1">
      <formula>ISERROR(I15)</formula>
    </cfRule>
  </conditionalFormatting>
  <conditionalFormatting sqref="I18:I21">
    <cfRule type="expression" dxfId="79" priority="42" stopIfTrue="1">
      <formula>ISERROR(I18)</formula>
    </cfRule>
  </conditionalFormatting>
  <conditionalFormatting sqref="I28">
    <cfRule type="expression" dxfId="78" priority="40" stopIfTrue="1">
      <formula>ISERROR(I28)</formula>
    </cfRule>
  </conditionalFormatting>
  <conditionalFormatting sqref="I23:I27 I29">
    <cfRule type="expression" dxfId="77" priority="41" stopIfTrue="1">
      <formula>ISERROR(I23)</formula>
    </cfRule>
  </conditionalFormatting>
  <conditionalFormatting sqref="I31:I37">
    <cfRule type="expression" dxfId="76" priority="39" stopIfTrue="1">
      <formula>ISERROR(I31)</formula>
    </cfRule>
  </conditionalFormatting>
  <conditionalFormatting sqref="I30">
    <cfRule type="expression" dxfId="75" priority="38" stopIfTrue="1">
      <formula>ISERROR(I30)</formula>
    </cfRule>
  </conditionalFormatting>
  <conditionalFormatting sqref="I39:I44">
    <cfRule type="expression" dxfId="74" priority="37" stopIfTrue="1">
      <formula>ISERROR(I39)</formula>
    </cfRule>
  </conditionalFormatting>
  <conditionalFormatting sqref="I38">
    <cfRule type="expression" dxfId="73" priority="36" stopIfTrue="1">
      <formula>ISERROR(I38)</formula>
    </cfRule>
  </conditionalFormatting>
  <conditionalFormatting sqref="K8">
    <cfRule type="expression" dxfId="72" priority="32" stopIfTrue="1">
      <formula>ISERROR(K8)</formula>
    </cfRule>
  </conditionalFormatting>
  <conditionalFormatting sqref="O8">
    <cfRule type="expression" dxfId="71" priority="33" stopIfTrue="1">
      <formula>ISERROR(O8)</formula>
    </cfRule>
  </conditionalFormatting>
  <conditionalFormatting sqref="O10">
    <cfRule type="expression" dxfId="70" priority="31" stopIfTrue="1">
      <formula>ISERROR(O10)</formula>
    </cfRule>
  </conditionalFormatting>
  <conditionalFormatting sqref="O9">
    <cfRule type="expression" dxfId="69" priority="30" stopIfTrue="1">
      <formula>ISERROR(O9)</formula>
    </cfRule>
  </conditionalFormatting>
  <conditionalFormatting sqref="O9">
    <cfRule type="expression" dxfId="68" priority="29" stopIfTrue="1">
      <formula>ISERROR(O9)</formula>
    </cfRule>
  </conditionalFormatting>
  <conditionalFormatting sqref="K10">
    <cfRule type="expression" dxfId="67" priority="28" stopIfTrue="1">
      <formula>ISERROR(K10)</formula>
    </cfRule>
  </conditionalFormatting>
  <conditionalFormatting sqref="O19:O21">
    <cfRule type="expression" dxfId="66" priority="27" stopIfTrue="1">
      <formula>ISERROR(O19)</formula>
    </cfRule>
  </conditionalFormatting>
  <conditionalFormatting sqref="O12:O17">
    <cfRule type="expression" dxfId="65" priority="26" stopIfTrue="1">
      <formula>ISERROR(O12)</formula>
    </cfRule>
  </conditionalFormatting>
  <conditionalFormatting sqref="O11">
    <cfRule type="expression" dxfId="64" priority="25" stopIfTrue="1">
      <formula>ISERROR(O11)</formula>
    </cfRule>
  </conditionalFormatting>
  <conditionalFormatting sqref="O18">
    <cfRule type="expression" dxfId="63" priority="24" stopIfTrue="1">
      <formula>ISERROR(O18)</formula>
    </cfRule>
  </conditionalFormatting>
  <conditionalFormatting sqref="O23:O25">
    <cfRule type="expression" dxfId="62" priority="23" stopIfTrue="1">
      <formula>ISERROR(O23)</formula>
    </cfRule>
  </conditionalFormatting>
  <conditionalFormatting sqref="O22">
    <cfRule type="expression" dxfId="61" priority="22" stopIfTrue="1">
      <formula>ISERROR(O22)</formula>
    </cfRule>
  </conditionalFormatting>
  <conditionalFormatting sqref="D53:R82">
    <cfRule type="expression" dxfId="60" priority="21" stopIfTrue="1">
      <formula>ISERROR(D53)</formula>
    </cfRule>
  </conditionalFormatting>
  <conditionalFormatting sqref="E87:R119">
    <cfRule type="expression" dxfId="59" priority="20" stopIfTrue="1">
      <formula>ISERROR(E87)</formula>
    </cfRule>
  </conditionalFormatting>
  <conditionalFormatting sqref="D87:D119">
    <cfRule type="expression" dxfId="58" priority="19" stopIfTrue="1">
      <formula>ISERROR(D87)</formula>
    </cfRule>
  </conditionalFormatting>
  <conditionalFormatting sqref="E124:R128">
    <cfRule type="expression" dxfId="57" priority="18" stopIfTrue="1">
      <formula>ISERROR(E124)</formula>
    </cfRule>
  </conditionalFormatting>
  <conditionalFormatting sqref="D124:D128">
    <cfRule type="expression" dxfId="56" priority="17" stopIfTrue="1">
      <formula>ISERROR(D124)</formula>
    </cfRule>
  </conditionalFormatting>
  <conditionalFormatting sqref="C128">
    <cfRule type="expression" dxfId="55" priority="16" stopIfTrue="1">
      <formula>ISERROR(C128)</formula>
    </cfRule>
  </conditionalFormatting>
  <conditionalFormatting sqref="E51">
    <cfRule type="expression" dxfId="54" priority="15" stopIfTrue="1">
      <formula>ISERROR(E51)</formula>
    </cfRule>
  </conditionalFormatting>
  <conditionalFormatting sqref="C51">
    <cfRule type="expression" dxfId="53" priority="14" stopIfTrue="1">
      <formula>ISERROR(C51)</formula>
    </cfRule>
  </conditionalFormatting>
  <conditionalFormatting sqref="H51">
    <cfRule type="expression" dxfId="52" priority="13" stopIfTrue="1">
      <formula>ISERROR(H51)</formula>
    </cfRule>
  </conditionalFormatting>
  <conditionalFormatting sqref="K51">
    <cfRule type="expression" dxfId="51" priority="12" stopIfTrue="1">
      <formula>ISERROR(K51)</formula>
    </cfRule>
  </conditionalFormatting>
  <conditionalFormatting sqref="N51">
    <cfRule type="expression" dxfId="50" priority="11" stopIfTrue="1">
      <formula>ISERROR(N51)</formula>
    </cfRule>
  </conditionalFormatting>
  <conditionalFormatting sqref="Q51">
    <cfRule type="expression" dxfId="49" priority="10" stopIfTrue="1">
      <formula>ISERROR(Q51)</formula>
    </cfRule>
  </conditionalFormatting>
  <conditionalFormatting sqref="R51">
    <cfRule type="expression" dxfId="48" priority="9" stopIfTrue="1">
      <formula>ISERROR(R51)</formula>
    </cfRule>
  </conditionalFormatting>
  <conditionalFormatting sqref="S51">
    <cfRule type="expression" dxfId="47" priority="8" stopIfTrue="1">
      <formula>ISERROR(S51)</formula>
    </cfRule>
  </conditionalFormatting>
  <conditionalFormatting sqref="G6">
    <cfRule type="expression" dxfId="46" priority="7" stopIfTrue="1">
      <formula>ISERROR(G6)</formula>
    </cfRule>
  </conditionalFormatting>
  <conditionalFormatting sqref="M6">
    <cfRule type="expression" dxfId="45" priority="6" stopIfTrue="1">
      <formula>ISERROR(M6)</formula>
    </cfRule>
  </conditionalFormatting>
  <conditionalFormatting sqref="S6">
    <cfRule type="expression" dxfId="44" priority="5" stopIfTrue="1">
      <formula>ISERROR(S6)</formula>
    </cfRule>
  </conditionalFormatting>
  <conditionalFormatting sqref="C53:C82">
    <cfRule type="expression" dxfId="43" priority="4" stopIfTrue="1">
      <formula>ISERROR(C53)</formula>
    </cfRule>
  </conditionalFormatting>
  <conditionalFormatting sqref="C87:C119">
    <cfRule type="expression" dxfId="42" priority="3" stopIfTrue="1">
      <formula>ISERROR(C87)</formula>
    </cfRule>
  </conditionalFormatting>
  <conditionalFormatting sqref="C125:C127">
    <cfRule type="expression" dxfId="41" priority="2" stopIfTrue="1">
      <formula>ISERROR(C125)</formula>
    </cfRule>
  </conditionalFormatting>
  <conditionalFormatting sqref="O26">
    <cfRule type="expression" dxfId="40" priority="1" stopIfTrue="1">
      <formula>ISERROR(O26)</formula>
    </cfRule>
  </conditionalFormatting>
  <printOptions horizontalCentered="1" verticalCentered="1"/>
  <pageMargins left="0.7" right="0.7" top="0.75" bottom="0.75" header="0.3" footer="0.3"/>
  <pageSetup scale="18" orientation="landscape" r:id="rId1"/>
  <headerFooter>
    <oddHeader>&amp;C&amp;14VBA Monday Morning Workload Report</oddHeader>
    <oddFooter>&amp;LPrepared by VBA Office of Performance Analysis &amp;&amp; Integrity</oddFooter>
  </headerFooter>
  <rowBreaks count="2" manualBreakCount="2">
    <brk id="83" max="16383" man="1"/>
    <brk id="13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Z131"/>
  <sheetViews>
    <sheetView zoomScale="70" zoomScaleNormal="70" workbookViewId="0">
      <selection sqref="A1:C1"/>
    </sheetView>
  </sheetViews>
  <sheetFormatPr defaultRowHeight="12.75" x14ac:dyDescent="0.2"/>
  <cols>
    <col min="1" max="1" width="5.85546875" customWidth="1"/>
    <col min="2" max="2" width="11" customWidth="1"/>
    <col min="3" max="3" width="14.42578125" customWidth="1"/>
    <col min="4" max="4" width="14" customWidth="1"/>
    <col min="5" max="5" width="19.28515625" customWidth="1"/>
    <col min="6" max="6" width="11.5703125" customWidth="1"/>
    <col min="7" max="7" width="14.85546875" customWidth="1"/>
    <col min="8" max="8" width="10.140625" customWidth="1"/>
    <col min="9" max="9" width="13.42578125" customWidth="1"/>
    <col min="10" max="10" width="16.42578125" customWidth="1"/>
    <col min="11" max="11" width="20" customWidth="1"/>
    <col min="12" max="12" width="9.7109375" customWidth="1"/>
    <col min="13" max="13" width="13" customWidth="1"/>
    <col min="14" max="14" width="9.7109375" customWidth="1"/>
    <col min="15" max="16" width="10" customWidth="1"/>
    <col min="17" max="17" width="13.5703125" customWidth="1"/>
    <col min="18" max="18" width="7.140625" customWidth="1"/>
    <col min="19" max="19" width="3.7109375" customWidth="1"/>
    <col min="20" max="20" width="33" customWidth="1"/>
    <col min="21" max="21" width="13.140625" customWidth="1"/>
    <col min="22" max="22" width="14.42578125" customWidth="1"/>
    <col min="23" max="23" width="17.7109375" customWidth="1"/>
    <col min="24" max="24" width="14.5703125" customWidth="1"/>
    <col min="25" max="25" width="15.42578125" customWidth="1"/>
    <col min="26" max="26" width="19.7109375" customWidth="1"/>
    <col min="27" max="27" width="20.5703125" customWidth="1"/>
    <col min="28" max="28" width="13" customWidth="1"/>
    <col min="29" max="29" width="14.28515625" customWidth="1"/>
    <col min="30" max="30" width="17.42578125" customWidth="1"/>
    <col min="31" max="31" width="14.42578125" customWidth="1"/>
    <col min="32" max="32" width="15.28515625" customWidth="1"/>
    <col min="33" max="33" width="19.5703125" customWidth="1"/>
    <col min="34" max="34" width="20.28515625" customWidth="1"/>
    <col min="35" max="35" width="3.7109375" customWidth="1"/>
    <col min="36" max="36" width="4.42578125" customWidth="1"/>
    <col min="37" max="37" width="23" customWidth="1"/>
    <col min="38" max="38" width="18.5703125" customWidth="1"/>
    <col min="39" max="39" width="20.28515625" customWidth="1"/>
    <col min="40" max="40" width="18.28515625" customWidth="1"/>
    <col min="41" max="41" width="16" customWidth="1"/>
    <col min="42" max="42" width="17.85546875" customWidth="1"/>
    <col min="43" max="43" width="15.85546875" customWidth="1"/>
    <col min="44" max="44" width="41.7109375" customWidth="1"/>
    <col min="45" max="45" width="17.85546875" customWidth="1"/>
    <col min="46" max="46" width="37.28515625" customWidth="1"/>
    <col min="47" max="47" width="10.7109375" customWidth="1"/>
    <col min="48" max="48" width="21" customWidth="1"/>
    <col min="50" max="50" width="11" customWidth="1"/>
    <col min="51" max="51" width="10.7109375" customWidth="1"/>
    <col min="52" max="52" width="14.5703125" customWidth="1"/>
  </cols>
  <sheetData>
    <row r="1" spans="1:52" x14ac:dyDescent="0.2">
      <c r="A1" s="573" t="s">
        <v>280</v>
      </c>
      <c r="B1" s="573"/>
      <c r="C1" s="573"/>
      <c r="D1" s="38"/>
      <c r="E1" s="575" t="s">
        <v>280</v>
      </c>
      <c r="F1" s="576"/>
      <c r="G1" s="576"/>
      <c r="H1" s="576"/>
      <c r="I1" s="576"/>
      <c r="J1" s="576"/>
      <c r="K1" s="576"/>
      <c r="L1" s="576"/>
      <c r="M1" s="576"/>
      <c r="N1" s="576"/>
      <c r="O1" s="576"/>
      <c r="P1" s="576"/>
      <c r="Q1" s="576"/>
      <c r="R1" s="263"/>
      <c r="T1" s="574" t="s">
        <v>281</v>
      </c>
      <c r="U1" s="574"/>
      <c r="V1" s="574"/>
      <c r="W1" s="574"/>
      <c r="X1" s="574"/>
      <c r="Y1" s="574"/>
      <c r="Z1" s="574"/>
      <c r="AA1" s="574"/>
      <c r="AB1" s="574"/>
      <c r="AC1" s="574"/>
      <c r="AD1" s="574"/>
      <c r="AE1" s="574"/>
      <c r="AF1" s="574"/>
      <c r="AG1" s="574"/>
      <c r="AH1" s="574"/>
      <c r="AI1" s="251"/>
      <c r="AJ1" s="251"/>
      <c r="AK1" s="574" t="s">
        <v>423</v>
      </c>
      <c r="AL1" s="574"/>
      <c r="AM1" s="574"/>
      <c r="AN1" s="574"/>
      <c r="AO1" s="574"/>
      <c r="AP1" s="574"/>
      <c r="AQ1" s="574"/>
      <c r="AR1" s="574"/>
      <c r="AS1" s="574"/>
      <c r="AT1" s="574"/>
      <c r="AU1" s="574"/>
      <c r="AV1" s="574"/>
    </row>
    <row r="2" spans="1:52" x14ac:dyDescent="0.2">
      <c r="A2" t="s">
        <v>2</v>
      </c>
      <c r="B2" t="s">
        <v>102</v>
      </c>
      <c r="C2" t="s">
        <v>103</v>
      </c>
      <c r="E2" t="s">
        <v>146</v>
      </c>
      <c r="F2" t="s">
        <v>268</v>
      </c>
      <c r="G2" t="s">
        <v>269</v>
      </c>
      <c r="H2" t="s">
        <v>270</v>
      </c>
      <c r="I2" t="s">
        <v>271</v>
      </c>
      <c r="J2" t="s">
        <v>272</v>
      </c>
      <c r="K2" t="s">
        <v>273</v>
      </c>
      <c r="L2" t="s">
        <v>274</v>
      </c>
      <c r="M2" t="s">
        <v>275</v>
      </c>
      <c r="N2" t="s">
        <v>276</v>
      </c>
      <c r="O2" t="s">
        <v>277</v>
      </c>
      <c r="P2" t="s">
        <v>153</v>
      </c>
      <c r="Q2" t="s">
        <v>431</v>
      </c>
      <c r="T2" t="s">
        <v>146</v>
      </c>
      <c r="U2" t="s">
        <v>370</v>
      </c>
      <c r="V2" t="s">
        <v>371</v>
      </c>
      <c r="W2" t="s">
        <v>372</v>
      </c>
      <c r="X2" t="s">
        <v>380</v>
      </c>
      <c r="Y2" t="s">
        <v>381</v>
      </c>
      <c r="Z2" t="s">
        <v>382</v>
      </c>
      <c r="AA2" t="s">
        <v>383</v>
      </c>
      <c r="AB2" t="s">
        <v>373</v>
      </c>
      <c r="AC2" t="s">
        <v>374</v>
      </c>
      <c r="AD2" t="s">
        <v>375</v>
      </c>
      <c r="AE2" t="s">
        <v>376</v>
      </c>
      <c r="AF2" t="s">
        <v>377</v>
      </c>
      <c r="AG2" t="s">
        <v>378</v>
      </c>
      <c r="AH2" t="s">
        <v>379</v>
      </c>
      <c r="AK2" t="s">
        <v>400</v>
      </c>
      <c r="AL2" s="241" t="s">
        <v>401</v>
      </c>
      <c r="AM2" s="241" t="s">
        <v>402</v>
      </c>
      <c r="AN2" s="241" t="s">
        <v>403</v>
      </c>
      <c r="AO2" s="241" t="s">
        <v>404</v>
      </c>
      <c r="AP2" s="241" t="s">
        <v>405</v>
      </c>
      <c r="AQ2" s="241" t="s">
        <v>406</v>
      </c>
      <c r="AR2" s="241" t="s">
        <v>407</v>
      </c>
      <c r="AS2" s="241" t="s">
        <v>408</v>
      </c>
      <c r="AT2" s="241" t="s">
        <v>409</v>
      </c>
      <c r="AU2" s="241" t="s">
        <v>410</v>
      </c>
      <c r="AV2" s="241" t="s">
        <v>411</v>
      </c>
      <c r="AX2" t="s">
        <v>463</v>
      </c>
      <c r="AY2" t="s">
        <v>464</v>
      </c>
      <c r="AZ2" t="s">
        <v>465</v>
      </c>
    </row>
    <row r="3" spans="1:52" x14ac:dyDescent="0.2">
      <c r="B3">
        <v>516127</v>
      </c>
      <c r="C3">
        <v>328121</v>
      </c>
      <c r="E3" t="s">
        <v>9</v>
      </c>
      <c r="F3">
        <v>0</v>
      </c>
      <c r="H3">
        <v>0</v>
      </c>
      <c r="J3">
        <v>0</v>
      </c>
      <c r="L3">
        <v>0</v>
      </c>
      <c r="N3">
        <v>0</v>
      </c>
      <c r="O3">
        <v>1</v>
      </c>
      <c r="P3">
        <v>2</v>
      </c>
      <c r="Q3">
        <v>1</v>
      </c>
      <c r="T3" t="s">
        <v>44</v>
      </c>
      <c r="U3">
        <v>3940</v>
      </c>
      <c r="V3">
        <v>127</v>
      </c>
      <c r="W3">
        <v>0.41954000000000002</v>
      </c>
      <c r="X3">
        <v>481</v>
      </c>
      <c r="Y3">
        <v>2410</v>
      </c>
      <c r="Z3">
        <v>192.7</v>
      </c>
      <c r="AA3">
        <v>191.4</v>
      </c>
      <c r="AB3">
        <v>4271</v>
      </c>
      <c r="AC3">
        <v>126.8</v>
      </c>
      <c r="AD3">
        <v>0.41770000000000002</v>
      </c>
      <c r="AE3">
        <v>521</v>
      </c>
      <c r="AF3">
        <v>2525</v>
      </c>
      <c r="AG3">
        <v>192.8</v>
      </c>
      <c r="AH3">
        <v>193.2</v>
      </c>
      <c r="AK3" t="s">
        <v>159</v>
      </c>
      <c r="AV3">
        <v>3965</v>
      </c>
      <c r="AX3">
        <v>12</v>
      </c>
      <c r="AY3">
        <v>23723</v>
      </c>
      <c r="AZ3" s="446">
        <v>41986</v>
      </c>
    </row>
    <row r="4" spans="1:52" x14ac:dyDescent="0.2">
      <c r="A4" t="s">
        <v>114</v>
      </c>
      <c r="B4">
        <v>112410</v>
      </c>
      <c r="C4">
        <v>89581</v>
      </c>
      <c r="E4" t="s">
        <v>278</v>
      </c>
      <c r="F4">
        <v>0</v>
      </c>
      <c r="H4">
        <v>0</v>
      </c>
      <c r="J4">
        <v>0</v>
      </c>
      <c r="L4">
        <v>0</v>
      </c>
      <c r="N4">
        <v>0</v>
      </c>
      <c r="O4">
        <v>1</v>
      </c>
      <c r="P4">
        <v>2</v>
      </c>
      <c r="Q4">
        <v>1</v>
      </c>
      <c r="T4" t="s">
        <v>45</v>
      </c>
      <c r="U4">
        <v>1274</v>
      </c>
      <c r="V4">
        <v>93</v>
      </c>
      <c r="W4">
        <v>0.24490000000000001</v>
      </c>
      <c r="X4">
        <v>176</v>
      </c>
      <c r="Y4">
        <v>975</v>
      </c>
      <c r="Z4">
        <v>160.5</v>
      </c>
      <c r="AA4">
        <v>152.19999999999999</v>
      </c>
      <c r="AB4">
        <v>1259</v>
      </c>
      <c r="AC4">
        <v>94.2</v>
      </c>
      <c r="AD4">
        <v>0.25417000000000001</v>
      </c>
      <c r="AE4">
        <v>185</v>
      </c>
      <c r="AF4">
        <v>996</v>
      </c>
      <c r="AG4">
        <v>160.4</v>
      </c>
      <c r="AH4">
        <v>152.1</v>
      </c>
      <c r="AK4" t="s">
        <v>160</v>
      </c>
      <c r="AV4">
        <v>643</v>
      </c>
    </row>
    <row r="5" spans="1:52" x14ac:dyDescent="0.2">
      <c r="A5" t="s">
        <v>106</v>
      </c>
      <c r="B5">
        <v>6162</v>
      </c>
      <c r="C5">
        <v>983</v>
      </c>
      <c r="E5" t="s">
        <v>9</v>
      </c>
      <c r="F5">
        <v>22</v>
      </c>
      <c r="G5">
        <v>16</v>
      </c>
      <c r="H5">
        <v>70</v>
      </c>
      <c r="I5">
        <v>61</v>
      </c>
      <c r="J5">
        <v>2</v>
      </c>
      <c r="L5">
        <v>5306</v>
      </c>
      <c r="M5">
        <v>827</v>
      </c>
      <c r="N5">
        <v>0</v>
      </c>
      <c r="O5">
        <v>11</v>
      </c>
      <c r="P5">
        <v>541.70000000000005</v>
      </c>
      <c r="Q5">
        <v>73</v>
      </c>
      <c r="T5" t="s">
        <v>34</v>
      </c>
      <c r="U5">
        <v>22413</v>
      </c>
      <c r="V5">
        <v>151.19999999999999</v>
      </c>
      <c r="W5">
        <v>0.48686000000000001</v>
      </c>
      <c r="X5">
        <v>3599</v>
      </c>
      <c r="Y5">
        <v>16564</v>
      </c>
      <c r="Z5">
        <v>205.2</v>
      </c>
      <c r="AA5">
        <v>215.3</v>
      </c>
      <c r="AB5">
        <v>18679</v>
      </c>
      <c r="AC5">
        <v>148.1</v>
      </c>
      <c r="AD5">
        <v>0.51336000000000004</v>
      </c>
      <c r="AE5">
        <v>3104</v>
      </c>
      <c r="AF5">
        <v>14608</v>
      </c>
      <c r="AG5">
        <v>201.2</v>
      </c>
      <c r="AH5">
        <v>203.7</v>
      </c>
      <c r="AK5" t="s">
        <v>161</v>
      </c>
      <c r="AV5">
        <v>3688</v>
      </c>
    </row>
    <row r="6" spans="1:52" x14ac:dyDescent="0.2">
      <c r="A6" t="s">
        <v>107</v>
      </c>
      <c r="B6">
        <v>1429</v>
      </c>
      <c r="C6">
        <v>258</v>
      </c>
      <c r="E6" t="s">
        <v>9</v>
      </c>
      <c r="F6">
        <v>22</v>
      </c>
      <c r="G6">
        <v>16</v>
      </c>
      <c r="H6">
        <v>70</v>
      </c>
      <c r="I6">
        <v>61</v>
      </c>
      <c r="J6">
        <v>2</v>
      </c>
      <c r="L6">
        <v>5306</v>
      </c>
      <c r="M6">
        <v>827</v>
      </c>
      <c r="N6">
        <v>0</v>
      </c>
      <c r="O6">
        <v>11</v>
      </c>
      <c r="P6">
        <v>541.70000000000005</v>
      </c>
      <c r="Q6">
        <v>73</v>
      </c>
      <c r="T6" t="s">
        <v>46</v>
      </c>
      <c r="U6">
        <v>9949</v>
      </c>
      <c r="V6">
        <v>203.6</v>
      </c>
      <c r="W6">
        <v>0.62568999999999997</v>
      </c>
      <c r="X6">
        <v>836</v>
      </c>
      <c r="Y6">
        <v>4571</v>
      </c>
      <c r="Z6">
        <v>289.2</v>
      </c>
      <c r="AA6">
        <v>287.2</v>
      </c>
      <c r="AB6">
        <v>6682</v>
      </c>
      <c r="AC6">
        <v>184.7</v>
      </c>
      <c r="AD6">
        <v>0.54249999999999998</v>
      </c>
      <c r="AE6">
        <v>282</v>
      </c>
      <c r="AF6">
        <v>1397</v>
      </c>
      <c r="AG6">
        <v>348.5</v>
      </c>
      <c r="AH6">
        <v>369.8</v>
      </c>
      <c r="AK6" t="s">
        <v>162</v>
      </c>
      <c r="AV6">
        <v>1467</v>
      </c>
    </row>
    <row r="7" spans="1:52" x14ac:dyDescent="0.2">
      <c r="A7" t="s">
        <v>116</v>
      </c>
      <c r="B7">
        <v>247</v>
      </c>
      <c r="C7">
        <v>174</v>
      </c>
      <c r="E7" t="s">
        <v>93</v>
      </c>
      <c r="F7">
        <v>24343</v>
      </c>
      <c r="G7">
        <v>11809</v>
      </c>
      <c r="H7">
        <v>17246</v>
      </c>
      <c r="I7">
        <v>11439</v>
      </c>
      <c r="J7">
        <v>1489</v>
      </c>
      <c r="K7">
        <v>1082</v>
      </c>
      <c r="L7">
        <v>5219</v>
      </c>
      <c r="M7">
        <v>2882</v>
      </c>
      <c r="N7">
        <v>5</v>
      </c>
      <c r="O7">
        <v>195</v>
      </c>
      <c r="P7">
        <v>292.2</v>
      </c>
      <c r="Q7">
        <v>15598</v>
      </c>
      <c r="T7" t="s">
        <v>47</v>
      </c>
      <c r="U7">
        <v>1629</v>
      </c>
      <c r="V7">
        <v>98.3</v>
      </c>
      <c r="W7">
        <v>0.27317000000000002</v>
      </c>
      <c r="X7">
        <v>344</v>
      </c>
      <c r="Y7">
        <v>1603</v>
      </c>
      <c r="Z7">
        <v>155.5</v>
      </c>
      <c r="AA7">
        <v>161</v>
      </c>
      <c r="AB7">
        <v>1906</v>
      </c>
      <c r="AC7">
        <v>114.8</v>
      </c>
      <c r="AD7">
        <v>0.36201</v>
      </c>
      <c r="AE7">
        <v>408</v>
      </c>
      <c r="AF7">
        <v>1937</v>
      </c>
      <c r="AG7">
        <v>167.1</v>
      </c>
      <c r="AH7">
        <v>169.2</v>
      </c>
      <c r="AK7" t="s">
        <v>163</v>
      </c>
      <c r="AV7">
        <v>909</v>
      </c>
    </row>
    <row r="8" spans="1:52" x14ac:dyDescent="0.2">
      <c r="A8" t="s">
        <v>108</v>
      </c>
      <c r="B8">
        <v>203</v>
      </c>
      <c r="C8">
        <v>149</v>
      </c>
      <c r="E8" t="s">
        <v>56</v>
      </c>
      <c r="F8">
        <v>1114</v>
      </c>
      <c r="G8">
        <v>414</v>
      </c>
      <c r="H8">
        <v>528</v>
      </c>
      <c r="I8">
        <v>137</v>
      </c>
      <c r="J8">
        <v>51</v>
      </c>
      <c r="K8">
        <v>24</v>
      </c>
      <c r="L8">
        <v>88</v>
      </c>
      <c r="M8">
        <v>40</v>
      </c>
      <c r="N8">
        <v>0</v>
      </c>
      <c r="O8">
        <v>1</v>
      </c>
      <c r="P8">
        <v>100.9</v>
      </c>
      <c r="Q8">
        <v>351</v>
      </c>
      <c r="T8" t="s">
        <v>48</v>
      </c>
      <c r="U8">
        <v>5859</v>
      </c>
      <c r="V8">
        <v>165.1</v>
      </c>
      <c r="W8">
        <v>0.53490000000000004</v>
      </c>
      <c r="X8">
        <v>1003</v>
      </c>
      <c r="Y8">
        <v>2995</v>
      </c>
      <c r="Z8">
        <v>238.7</v>
      </c>
      <c r="AA8">
        <v>254.6</v>
      </c>
      <c r="AB8">
        <v>5141</v>
      </c>
      <c r="AC8">
        <v>151.9</v>
      </c>
      <c r="AD8">
        <v>0.48083999999999999</v>
      </c>
      <c r="AE8">
        <v>865</v>
      </c>
      <c r="AF8">
        <v>2547</v>
      </c>
      <c r="AG8">
        <v>236.9</v>
      </c>
      <c r="AH8">
        <v>253.3</v>
      </c>
      <c r="AK8" t="s">
        <v>164</v>
      </c>
      <c r="AV8">
        <v>2590</v>
      </c>
    </row>
    <row r="9" spans="1:52" x14ac:dyDescent="0.2">
      <c r="A9" t="s">
        <v>466</v>
      </c>
      <c r="B9">
        <v>1</v>
      </c>
      <c r="C9">
        <v>1</v>
      </c>
      <c r="E9" t="s">
        <v>50</v>
      </c>
      <c r="F9">
        <v>11789</v>
      </c>
      <c r="G9">
        <v>6852</v>
      </c>
      <c r="H9">
        <v>7965</v>
      </c>
      <c r="I9">
        <v>6151</v>
      </c>
      <c r="J9">
        <v>1485</v>
      </c>
      <c r="K9">
        <v>1426</v>
      </c>
      <c r="L9">
        <v>3767</v>
      </c>
      <c r="M9">
        <v>3080</v>
      </c>
      <c r="N9">
        <v>9</v>
      </c>
      <c r="O9">
        <v>264</v>
      </c>
      <c r="P9">
        <v>499.5</v>
      </c>
      <c r="Q9">
        <v>6441</v>
      </c>
      <c r="T9" t="s">
        <v>33</v>
      </c>
      <c r="U9">
        <v>6350</v>
      </c>
      <c r="V9">
        <v>148.80000000000001</v>
      </c>
      <c r="W9">
        <v>0.52471999999999996</v>
      </c>
      <c r="X9">
        <v>786</v>
      </c>
      <c r="Y9">
        <v>3420</v>
      </c>
      <c r="Z9">
        <v>223.1</v>
      </c>
      <c r="AA9">
        <v>242.3</v>
      </c>
      <c r="AB9">
        <v>6255</v>
      </c>
      <c r="AC9">
        <v>146.69999999999999</v>
      </c>
      <c r="AD9">
        <v>0.51463000000000003</v>
      </c>
      <c r="AE9">
        <v>726</v>
      </c>
      <c r="AF9">
        <v>3302</v>
      </c>
      <c r="AG9">
        <v>222.8</v>
      </c>
      <c r="AH9">
        <v>241.3</v>
      </c>
      <c r="AK9" t="s">
        <v>115</v>
      </c>
      <c r="AV9">
        <v>3922</v>
      </c>
    </row>
    <row r="10" spans="1:52" x14ac:dyDescent="0.2">
      <c r="A10" t="s">
        <v>113</v>
      </c>
      <c r="B10">
        <v>316</v>
      </c>
      <c r="C10">
        <v>199</v>
      </c>
      <c r="E10" t="s">
        <v>60</v>
      </c>
      <c r="F10">
        <v>24665</v>
      </c>
      <c r="G10">
        <v>13728</v>
      </c>
      <c r="H10">
        <v>16431</v>
      </c>
      <c r="I10">
        <v>11652</v>
      </c>
      <c r="J10">
        <v>1612</v>
      </c>
      <c r="K10">
        <v>1226</v>
      </c>
      <c r="L10">
        <v>6833</v>
      </c>
      <c r="M10">
        <v>5478</v>
      </c>
      <c r="N10">
        <v>0</v>
      </c>
      <c r="O10">
        <v>217</v>
      </c>
      <c r="P10">
        <v>328.9</v>
      </c>
      <c r="Q10">
        <v>12349</v>
      </c>
      <c r="T10" t="s">
        <v>151</v>
      </c>
      <c r="U10">
        <v>116802</v>
      </c>
      <c r="V10">
        <v>146.4</v>
      </c>
      <c r="W10">
        <v>0.47281000000000001</v>
      </c>
      <c r="X10">
        <v>15420</v>
      </c>
      <c r="Y10">
        <v>75159</v>
      </c>
      <c r="Z10">
        <v>204.1</v>
      </c>
      <c r="AA10">
        <v>198.6</v>
      </c>
      <c r="AB10">
        <v>125199</v>
      </c>
      <c r="AC10">
        <v>148.80000000000001</v>
      </c>
      <c r="AD10">
        <v>0.47481000000000001</v>
      </c>
      <c r="AE10">
        <v>17025</v>
      </c>
      <c r="AF10">
        <v>82444</v>
      </c>
      <c r="AG10">
        <v>209.8</v>
      </c>
      <c r="AH10">
        <v>206.2</v>
      </c>
      <c r="AK10" t="s">
        <v>165</v>
      </c>
      <c r="AV10">
        <v>2816</v>
      </c>
    </row>
    <row r="11" spans="1:52" x14ac:dyDescent="0.2">
      <c r="A11" t="s">
        <v>140</v>
      </c>
      <c r="B11">
        <v>456</v>
      </c>
      <c r="C11">
        <v>211</v>
      </c>
      <c r="E11" t="s">
        <v>64</v>
      </c>
      <c r="F11">
        <v>1844</v>
      </c>
      <c r="G11">
        <v>364</v>
      </c>
      <c r="H11">
        <v>4453</v>
      </c>
      <c r="I11">
        <v>1289</v>
      </c>
      <c r="J11">
        <v>582</v>
      </c>
      <c r="K11">
        <v>429</v>
      </c>
      <c r="L11">
        <v>765</v>
      </c>
      <c r="M11">
        <v>586</v>
      </c>
      <c r="N11">
        <v>0</v>
      </c>
      <c r="O11">
        <v>11</v>
      </c>
      <c r="P11">
        <v>124.4</v>
      </c>
      <c r="Q11">
        <v>2323</v>
      </c>
      <c r="T11" t="s">
        <v>49</v>
      </c>
      <c r="U11">
        <v>1045</v>
      </c>
      <c r="V11">
        <v>97.2</v>
      </c>
      <c r="W11">
        <v>0.24593000000000001</v>
      </c>
      <c r="X11">
        <v>171</v>
      </c>
      <c r="Y11">
        <v>821</v>
      </c>
      <c r="Z11">
        <v>162.6</v>
      </c>
      <c r="AA11">
        <v>149</v>
      </c>
      <c r="AB11">
        <v>1270</v>
      </c>
      <c r="AC11">
        <v>109.3</v>
      </c>
      <c r="AD11">
        <v>0.28582999999999997</v>
      </c>
      <c r="AE11">
        <v>185</v>
      </c>
      <c r="AF11">
        <v>1000</v>
      </c>
      <c r="AG11">
        <v>175.6</v>
      </c>
      <c r="AH11">
        <v>173.2</v>
      </c>
      <c r="AK11" t="s">
        <v>166</v>
      </c>
      <c r="AV11">
        <v>4486</v>
      </c>
    </row>
    <row r="12" spans="1:52" x14ac:dyDescent="0.2">
      <c r="A12" t="s">
        <v>130</v>
      </c>
      <c r="B12">
        <v>6163</v>
      </c>
      <c r="C12">
        <v>347</v>
      </c>
      <c r="E12" t="s">
        <v>95</v>
      </c>
      <c r="F12">
        <v>3407</v>
      </c>
      <c r="G12">
        <v>1459</v>
      </c>
      <c r="H12">
        <v>2674</v>
      </c>
      <c r="I12">
        <v>1287</v>
      </c>
      <c r="J12">
        <v>147</v>
      </c>
      <c r="K12">
        <v>64</v>
      </c>
      <c r="L12">
        <v>1679</v>
      </c>
      <c r="M12">
        <v>218</v>
      </c>
      <c r="N12">
        <v>0</v>
      </c>
      <c r="O12">
        <v>19</v>
      </c>
      <c r="P12">
        <v>180.5</v>
      </c>
      <c r="Q12">
        <v>1622</v>
      </c>
      <c r="T12" t="s">
        <v>50</v>
      </c>
      <c r="U12">
        <v>11870</v>
      </c>
      <c r="V12">
        <v>174.9</v>
      </c>
      <c r="W12">
        <v>0.58543000000000001</v>
      </c>
      <c r="X12">
        <v>1350</v>
      </c>
      <c r="Y12">
        <v>6462</v>
      </c>
      <c r="Z12">
        <v>244.8</v>
      </c>
      <c r="AA12">
        <v>261.5</v>
      </c>
      <c r="AB12">
        <v>7568</v>
      </c>
      <c r="AC12">
        <v>204.9</v>
      </c>
      <c r="AD12">
        <v>0.70982999999999996</v>
      </c>
      <c r="AE12">
        <v>933</v>
      </c>
      <c r="AF12">
        <v>5061</v>
      </c>
      <c r="AG12">
        <v>272.3</v>
      </c>
      <c r="AH12">
        <v>279.39999999999998</v>
      </c>
      <c r="AK12" t="s">
        <v>175</v>
      </c>
      <c r="AV12">
        <v>12974</v>
      </c>
    </row>
    <row r="13" spans="1:52" x14ac:dyDescent="0.2">
      <c r="A13" t="s">
        <v>148</v>
      </c>
      <c r="B13">
        <v>499</v>
      </c>
      <c r="C13">
        <v>30</v>
      </c>
      <c r="E13" t="s">
        <v>36</v>
      </c>
      <c r="F13">
        <v>9203</v>
      </c>
      <c r="G13">
        <v>3567</v>
      </c>
      <c r="H13">
        <v>8096</v>
      </c>
      <c r="I13">
        <v>3081</v>
      </c>
      <c r="J13">
        <v>1546</v>
      </c>
      <c r="K13">
        <v>688</v>
      </c>
      <c r="L13">
        <v>1077</v>
      </c>
      <c r="M13">
        <v>455</v>
      </c>
      <c r="N13">
        <v>0</v>
      </c>
      <c r="O13">
        <v>77</v>
      </c>
      <c r="P13">
        <v>227.3</v>
      </c>
      <c r="Q13">
        <v>4858</v>
      </c>
      <c r="T13" t="s">
        <v>51</v>
      </c>
      <c r="U13">
        <v>10082</v>
      </c>
      <c r="V13">
        <v>134.69999999999999</v>
      </c>
      <c r="W13">
        <v>0.38921</v>
      </c>
      <c r="X13">
        <v>1867</v>
      </c>
      <c r="Y13">
        <v>9460</v>
      </c>
      <c r="Z13">
        <v>169</v>
      </c>
      <c r="AA13">
        <v>177.6</v>
      </c>
      <c r="AB13">
        <v>11368</v>
      </c>
      <c r="AC13">
        <v>139</v>
      </c>
      <c r="AD13">
        <v>0.39743000000000001</v>
      </c>
      <c r="AE13">
        <v>2079</v>
      </c>
      <c r="AF13">
        <v>10208</v>
      </c>
      <c r="AG13">
        <v>173.4</v>
      </c>
      <c r="AH13">
        <v>182.1</v>
      </c>
      <c r="AK13" t="s">
        <v>176</v>
      </c>
      <c r="AV13">
        <v>7246</v>
      </c>
    </row>
    <row r="14" spans="1:52" x14ac:dyDescent="0.2">
      <c r="A14" t="s">
        <v>137</v>
      </c>
      <c r="B14">
        <v>5</v>
      </c>
      <c r="C14">
        <v>3</v>
      </c>
      <c r="E14" t="s">
        <v>90</v>
      </c>
      <c r="F14">
        <v>11071</v>
      </c>
      <c r="G14">
        <v>3436</v>
      </c>
      <c r="H14">
        <v>4764</v>
      </c>
      <c r="I14">
        <v>1704</v>
      </c>
      <c r="J14">
        <v>564</v>
      </c>
      <c r="K14">
        <v>347</v>
      </c>
      <c r="L14">
        <v>1988</v>
      </c>
      <c r="M14">
        <v>993</v>
      </c>
      <c r="N14">
        <v>12</v>
      </c>
      <c r="O14">
        <v>0</v>
      </c>
      <c r="P14">
        <v>168.1</v>
      </c>
      <c r="Q14">
        <v>1772</v>
      </c>
      <c r="T14" t="s">
        <v>52</v>
      </c>
      <c r="U14">
        <v>13489</v>
      </c>
      <c r="V14">
        <v>148.6</v>
      </c>
      <c r="W14">
        <v>0.49425000000000002</v>
      </c>
      <c r="X14">
        <v>2334</v>
      </c>
      <c r="Y14">
        <v>10081</v>
      </c>
      <c r="Z14">
        <v>194.8</v>
      </c>
      <c r="AA14">
        <v>220.3</v>
      </c>
      <c r="AB14">
        <v>11223</v>
      </c>
      <c r="AC14">
        <v>153.30000000000001</v>
      </c>
      <c r="AD14">
        <v>0.53007000000000004</v>
      </c>
      <c r="AE14">
        <v>2104</v>
      </c>
      <c r="AF14">
        <v>8987</v>
      </c>
      <c r="AG14">
        <v>195.8</v>
      </c>
      <c r="AH14">
        <v>218.3</v>
      </c>
      <c r="AK14" t="s">
        <v>179</v>
      </c>
      <c r="AV14">
        <v>5957</v>
      </c>
    </row>
    <row r="15" spans="1:52" x14ac:dyDescent="0.2">
      <c r="A15" t="s">
        <v>467</v>
      </c>
      <c r="B15">
        <v>1</v>
      </c>
      <c r="E15" t="s">
        <v>70</v>
      </c>
      <c r="F15">
        <v>6789</v>
      </c>
      <c r="G15">
        <v>2222</v>
      </c>
      <c r="H15">
        <v>6717</v>
      </c>
      <c r="I15">
        <v>3331</v>
      </c>
      <c r="J15">
        <v>318</v>
      </c>
      <c r="K15">
        <v>153</v>
      </c>
      <c r="L15">
        <v>766</v>
      </c>
      <c r="M15">
        <v>379</v>
      </c>
      <c r="N15">
        <v>2379</v>
      </c>
      <c r="O15">
        <v>0</v>
      </c>
      <c r="P15">
        <v>203.3</v>
      </c>
      <c r="Q15">
        <v>3872</v>
      </c>
      <c r="T15" t="s">
        <v>53</v>
      </c>
      <c r="U15">
        <v>9475</v>
      </c>
      <c r="V15">
        <v>154.19999999999999</v>
      </c>
      <c r="W15">
        <v>0.51134999999999997</v>
      </c>
      <c r="X15">
        <v>1246</v>
      </c>
      <c r="Y15">
        <v>5436</v>
      </c>
      <c r="Z15">
        <v>232.3</v>
      </c>
      <c r="AA15">
        <v>232.7</v>
      </c>
      <c r="AB15">
        <v>9449</v>
      </c>
      <c r="AC15">
        <v>155.9</v>
      </c>
      <c r="AD15">
        <v>0.51190999999999998</v>
      </c>
      <c r="AE15">
        <v>1265</v>
      </c>
      <c r="AF15">
        <v>5775</v>
      </c>
      <c r="AG15">
        <v>236.3</v>
      </c>
      <c r="AH15">
        <v>238.2</v>
      </c>
      <c r="AK15" t="s">
        <v>412</v>
      </c>
      <c r="AV15">
        <v>1453</v>
      </c>
    </row>
    <row r="16" spans="1:52" x14ac:dyDescent="0.2">
      <c r="A16" t="s">
        <v>138</v>
      </c>
      <c r="B16">
        <v>400</v>
      </c>
      <c r="C16">
        <v>73</v>
      </c>
      <c r="E16" t="s">
        <v>89</v>
      </c>
      <c r="F16">
        <v>8958</v>
      </c>
      <c r="G16">
        <v>4338</v>
      </c>
      <c r="H16">
        <v>8657</v>
      </c>
      <c r="I16">
        <v>6100</v>
      </c>
      <c r="J16">
        <v>3007</v>
      </c>
      <c r="K16">
        <v>2855</v>
      </c>
      <c r="L16">
        <v>5113</v>
      </c>
      <c r="M16">
        <v>3293</v>
      </c>
      <c r="N16">
        <v>45</v>
      </c>
      <c r="O16">
        <v>224</v>
      </c>
      <c r="P16">
        <v>308</v>
      </c>
      <c r="Q16">
        <v>5217</v>
      </c>
      <c r="T16" t="s">
        <v>54</v>
      </c>
      <c r="U16">
        <v>2597</v>
      </c>
      <c r="V16">
        <v>112.3</v>
      </c>
      <c r="W16">
        <v>0.30958999999999998</v>
      </c>
      <c r="X16">
        <v>498</v>
      </c>
      <c r="Y16">
        <v>2705</v>
      </c>
      <c r="Z16">
        <v>166.7</v>
      </c>
      <c r="AA16">
        <v>159.69999999999999</v>
      </c>
      <c r="AB16">
        <v>3957</v>
      </c>
      <c r="AC16">
        <v>146.1</v>
      </c>
      <c r="AD16">
        <v>0.39121</v>
      </c>
      <c r="AE16">
        <v>676</v>
      </c>
      <c r="AF16">
        <v>3329</v>
      </c>
      <c r="AG16">
        <v>190.5</v>
      </c>
      <c r="AH16">
        <v>177.8</v>
      </c>
      <c r="AK16" t="s">
        <v>201</v>
      </c>
      <c r="AV16">
        <v>743</v>
      </c>
    </row>
    <row r="17" spans="1:48" x14ac:dyDescent="0.2">
      <c r="A17" t="s">
        <v>110</v>
      </c>
      <c r="B17">
        <v>30</v>
      </c>
      <c r="C17">
        <v>30</v>
      </c>
      <c r="E17" t="s">
        <v>54</v>
      </c>
      <c r="F17">
        <v>2525</v>
      </c>
      <c r="G17">
        <v>794</v>
      </c>
      <c r="H17">
        <v>2402</v>
      </c>
      <c r="I17">
        <v>868</v>
      </c>
      <c r="J17">
        <v>357</v>
      </c>
      <c r="K17">
        <v>188</v>
      </c>
      <c r="L17">
        <v>1864</v>
      </c>
      <c r="M17">
        <v>273</v>
      </c>
      <c r="N17">
        <v>0</v>
      </c>
      <c r="O17">
        <v>18</v>
      </c>
      <c r="P17">
        <v>148.5</v>
      </c>
      <c r="Q17">
        <v>1566</v>
      </c>
      <c r="T17" t="s">
        <v>55</v>
      </c>
      <c r="U17">
        <v>9765</v>
      </c>
      <c r="V17">
        <v>133.5</v>
      </c>
      <c r="W17">
        <v>0.43052000000000001</v>
      </c>
      <c r="X17">
        <v>1800</v>
      </c>
      <c r="Y17">
        <v>7462</v>
      </c>
      <c r="Z17">
        <v>186.2</v>
      </c>
      <c r="AA17">
        <v>187.5</v>
      </c>
      <c r="AB17">
        <v>10075</v>
      </c>
      <c r="AC17">
        <v>133.80000000000001</v>
      </c>
      <c r="AD17">
        <v>0.43681999999999999</v>
      </c>
      <c r="AE17">
        <v>1883</v>
      </c>
      <c r="AF17">
        <v>7942</v>
      </c>
      <c r="AG17">
        <v>186.3</v>
      </c>
      <c r="AH17">
        <v>186.6</v>
      </c>
      <c r="AK17" t="s">
        <v>203</v>
      </c>
      <c r="AV17">
        <v>374</v>
      </c>
    </row>
    <row r="18" spans="1:48" x14ac:dyDescent="0.2">
      <c r="A18" t="s">
        <v>142</v>
      </c>
      <c r="B18">
        <v>36</v>
      </c>
      <c r="C18">
        <v>19</v>
      </c>
      <c r="E18" t="s">
        <v>65</v>
      </c>
      <c r="F18">
        <v>4854</v>
      </c>
      <c r="G18">
        <v>1994</v>
      </c>
      <c r="H18">
        <v>7324</v>
      </c>
      <c r="I18">
        <v>3560</v>
      </c>
      <c r="J18">
        <v>2810</v>
      </c>
      <c r="K18">
        <v>2642</v>
      </c>
      <c r="L18">
        <v>24408</v>
      </c>
      <c r="M18">
        <v>2093</v>
      </c>
      <c r="N18">
        <v>0</v>
      </c>
      <c r="O18">
        <v>152</v>
      </c>
      <c r="P18">
        <v>353.8</v>
      </c>
      <c r="Q18">
        <v>3963</v>
      </c>
      <c r="T18" t="s">
        <v>149</v>
      </c>
      <c r="U18">
        <v>91273</v>
      </c>
      <c r="V18">
        <v>155.19999999999999</v>
      </c>
      <c r="W18">
        <v>0.49983</v>
      </c>
      <c r="X18">
        <v>14654</v>
      </c>
      <c r="Y18">
        <v>65011</v>
      </c>
      <c r="Z18">
        <v>198</v>
      </c>
      <c r="AA18">
        <v>200.5</v>
      </c>
      <c r="AB18">
        <v>96273</v>
      </c>
      <c r="AC18">
        <v>153.80000000000001</v>
      </c>
      <c r="AD18">
        <v>0.49209999999999998</v>
      </c>
      <c r="AE18">
        <v>15271</v>
      </c>
      <c r="AF18">
        <v>67211</v>
      </c>
      <c r="AG18">
        <v>196.6</v>
      </c>
      <c r="AH18">
        <v>199.4</v>
      </c>
      <c r="AK18" t="s">
        <v>413</v>
      </c>
      <c r="AV18">
        <v>16</v>
      </c>
    </row>
    <row r="19" spans="1:48" x14ac:dyDescent="0.2">
      <c r="A19" t="s">
        <v>135</v>
      </c>
      <c r="B19">
        <v>16116</v>
      </c>
      <c r="C19">
        <v>999</v>
      </c>
      <c r="E19" t="s">
        <v>73</v>
      </c>
      <c r="F19">
        <v>8205</v>
      </c>
      <c r="G19">
        <v>3970</v>
      </c>
      <c r="H19">
        <v>7503</v>
      </c>
      <c r="I19">
        <v>6042</v>
      </c>
      <c r="J19">
        <v>788</v>
      </c>
      <c r="K19">
        <v>404</v>
      </c>
      <c r="L19">
        <v>1531</v>
      </c>
      <c r="M19">
        <v>652</v>
      </c>
      <c r="N19">
        <v>3</v>
      </c>
      <c r="O19">
        <v>289</v>
      </c>
      <c r="P19">
        <v>470.8</v>
      </c>
      <c r="Q19">
        <v>6488</v>
      </c>
      <c r="T19" t="s">
        <v>56</v>
      </c>
      <c r="U19">
        <v>1178</v>
      </c>
      <c r="V19">
        <v>113.3</v>
      </c>
      <c r="W19">
        <v>0.35822999999999999</v>
      </c>
      <c r="X19">
        <v>179</v>
      </c>
      <c r="Y19">
        <v>933</v>
      </c>
      <c r="Z19">
        <v>149.19999999999999</v>
      </c>
      <c r="AA19">
        <v>143.6</v>
      </c>
      <c r="AB19">
        <v>1482</v>
      </c>
      <c r="AC19">
        <v>128.80000000000001</v>
      </c>
      <c r="AD19">
        <v>0.41227999999999998</v>
      </c>
      <c r="AE19">
        <v>219</v>
      </c>
      <c r="AF19">
        <v>1122</v>
      </c>
      <c r="AG19">
        <v>167.7</v>
      </c>
      <c r="AH19">
        <v>164.6</v>
      </c>
      <c r="AK19" t="s">
        <v>105</v>
      </c>
      <c r="AV19">
        <v>99</v>
      </c>
    </row>
    <row r="20" spans="1:48" x14ac:dyDescent="0.2">
      <c r="A20" t="s">
        <v>468</v>
      </c>
      <c r="B20">
        <v>1</v>
      </c>
      <c r="E20" t="s">
        <v>88</v>
      </c>
      <c r="F20">
        <v>1021</v>
      </c>
      <c r="G20">
        <v>312</v>
      </c>
      <c r="H20">
        <v>435</v>
      </c>
      <c r="I20">
        <v>56</v>
      </c>
      <c r="J20">
        <v>307</v>
      </c>
      <c r="K20">
        <v>116</v>
      </c>
      <c r="L20">
        <v>207</v>
      </c>
      <c r="M20">
        <v>85</v>
      </c>
      <c r="N20">
        <v>0</v>
      </c>
      <c r="O20">
        <v>4</v>
      </c>
      <c r="P20">
        <v>68.599999999999994</v>
      </c>
      <c r="Q20">
        <v>234</v>
      </c>
      <c r="T20" t="s">
        <v>205</v>
      </c>
      <c r="U20">
        <v>817</v>
      </c>
      <c r="V20">
        <v>75.7</v>
      </c>
      <c r="W20">
        <v>0.13586000000000001</v>
      </c>
      <c r="X20">
        <v>272</v>
      </c>
      <c r="Y20">
        <v>1177</v>
      </c>
      <c r="Z20">
        <v>105.5</v>
      </c>
      <c r="AA20">
        <v>106.6</v>
      </c>
      <c r="AB20">
        <v>1453</v>
      </c>
      <c r="AC20">
        <v>112.2</v>
      </c>
      <c r="AD20">
        <v>0.34066999999999997</v>
      </c>
      <c r="AE20">
        <v>400</v>
      </c>
      <c r="AF20">
        <v>1719</v>
      </c>
      <c r="AG20">
        <v>136.80000000000001</v>
      </c>
      <c r="AH20">
        <v>149.30000000000001</v>
      </c>
      <c r="AK20" t="s">
        <v>212</v>
      </c>
      <c r="AV20">
        <v>252</v>
      </c>
    </row>
    <row r="21" spans="1:48" x14ac:dyDescent="0.2">
      <c r="A21" t="s">
        <v>123</v>
      </c>
      <c r="B21">
        <v>51</v>
      </c>
      <c r="C21">
        <v>44</v>
      </c>
      <c r="E21" t="s">
        <v>151</v>
      </c>
      <c r="F21">
        <v>119788</v>
      </c>
      <c r="G21">
        <v>55259</v>
      </c>
      <c r="H21">
        <v>95195</v>
      </c>
      <c r="I21">
        <v>56697</v>
      </c>
      <c r="J21">
        <v>15063</v>
      </c>
      <c r="K21">
        <v>11644</v>
      </c>
      <c r="L21">
        <v>55305</v>
      </c>
      <c r="M21">
        <v>20507</v>
      </c>
      <c r="N21">
        <v>2453</v>
      </c>
      <c r="O21">
        <v>1471</v>
      </c>
      <c r="P21">
        <v>314.39999999999998</v>
      </c>
      <c r="Q21">
        <v>66654</v>
      </c>
      <c r="T21" t="s">
        <v>58</v>
      </c>
      <c r="U21">
        <v>2175</v>
      </c>
      <c r="V21">
        <v>110.8</v>
      </c>
      <c r="W21">
        <v>0.33562999999999998</v>
      </c>
      <c r="X21">
        <v>333</v>
      </c>
      <c r="Y21">
        <v>2122</v>
      </c>
      <c r="Z21">
        <v>160.19999999999999</v>
      </c>
      <c r="AA21">
        <v>159.5</v>
      </c>
      <c r="AB21">
        <v>3908</v>
      </c>
      <c r="AC21">
        <v>132.4</v>
      </c>
      <c r="AD21">
        <v>0.43986999999999998</v>
      </c>
      <c r="AE21">
        <v>532</v>
      </c>
      <c r="AF21">
        <v>2714</v>
      </c>
      <c r="AG21">
        <v>182.7</v>
      </c>
      <c r="AH21">
        <v>170.1</v>
      </c>
      <c r="AK21" t="s">
        <v>414</v>
      </c>
      <c r="AV21">
        <v>2019</v>
      </c>
    </row>
    <row r="22" spans="1:48" x14ac:dyDescent="0.2">
      <c r="A22" t="s">
        <v>121</v>
      </c>
      <c r="B22">
        <v>76</v>
      </c>
      <c r="C22">
        <v>62</v>
      </c>
      <c r="E22" t="s">
        <v>92</v>
      </c>
      <c r="F22">
        <v>1071</v>
      </c>
      <c r="G22">
        <v>275</v>
      </c>
      <c r="H22">
        <v>1770</v>
      </c>
      <c r="I22">
        <v>908</v>
      </c>
      <c r="J22">
        <v>618</v>
      </c>
      <c r="K22">
        <v>427</v>
      </c>
      <c r="L22">
        <v>5304</v>
      </c>
      <c r="M22">
        <v>1047</v>
      </c>
      <c r="N22">
        <v>0</v>
      </c>
      <c r="O22">
        <v>0</v>
      </c>
      <c r="P22">
        <v>224.4</v>
      </c>
      <c r="Q22">
        <v>1154</v>
      </c>
      <c r="T22" t="s">
        <v>59</v>
      </c>
      <c r="U22">
        <v>3684</v>
      </c>
      <c r="V22">
        <v>157.19999999999999</v>
      </c>
      <c r="W22">
        <v>0.52795999999999998</v>
      </c>
      <c r="X22">
        <v>434</v>
      </c>
      <c r="Y22">
        <v>2240</v>
      </c>
      <c r="Z22">
        <v>231.3</v>
      </c>
      <c r="AA22">
        <v>225.8</v>
      </c>
      <c r="AB22">
        <v>3337</v>
      </c>
      <c r="AC22">
        <v>149.1</v>
      </c>
      <c r="AD22">
        <v>0.48965999999999998</v>
      </c>
      <c r="AE22">
        <v>369</v>
      </c>
      <c r="AF22">
        <v>1961</v>
      </c>
      <c r="AG22">
        <v>223.2</v>
      </c>
      <c r="AH22">
        <v>223.2</v>
      </c>
      <c r="AK22" t="s">
        <v>415</v>
      </c>
      <c r="AV22">
        <v>55619</v>
      </c>
    </row>
    <row r="23" spans="1:48" x14ac:dyDescent="0.2">
      <c r="A23" t="s">
        <v>112</v>
      </c>
      <c r="B23">
        <v>100137</v>
      </c>
      <c r="C23">
        <v>46545</v>
      </c>
      <c r="E23" t="s">
        <v>48</v>
      </c>
      <c r="F23">
        <v>5601</v>
      </c>
      <c r="G23">
        <v>3090</v>
      </c>
      <c r="H23">
        <v>6373</v>
      </c>
      <c r="I23">
        <v>4850</v>
      </c>
      <c r="J23">
        <v>2263</v>
      </c>
      <c r="K23">
        <v>1687</v>
      </c>
      <c r="L23">
        <v>964</v>
      </c>
      <c r="M23">
        <v>868</v>
      </c>
      <c r="N23">
        <v>1</v>
      </c>
      <c r="O23">
        <v>5</v>
      </c>
      <c r="P23">
        <v>478.2</v>
      </c>
      <c r="Q23">
        <v>4877</v>
      </c>
      <c r="T23" t="s">
        <v>60</v>
      </c>
      <c r="U23">
        <v>24900</v>
      </c>
      <c r="V23">
        <v>171.9</v>
      </c>
      <c r="W23">
        <v>0.55369000000000002</v>
      </c>
      <c r="X23">
        <v>2660</v>
      </c>
      <c r="Y23">
        <v>13657</v>
      </c>
      <c r="Z23">
        <v>229.9</v>
      </c>
      <c r="AA23">
        <v>222.6</v>
      </c>
      <c r="AB23">
        <v>19115</v>
      </c>
      <c r="AC23">
        <v>178</v>
      </c>
      <c r="AD23">
        <v>0.55883000000000005</v>
      </c>
      <c r="AE23">
        <v>1963</v>
      </c>
      <c r="AF23">
        <v>11372</v>
      </c>
      <c r="AG23">
        <v>245.6</v>
      </c>
      <c r="AH23">
        <v>232.9</v>
      </c>
      <c r="AK23" t="s">
        <v>121</v>
      </c>
      <c r="AV23">
        <v>11491</v>
      </c>
    </row>
    <row r="24" spans="1:48" x14ac:dyDescent="0.2">
      <c r="A24" t="s">
        <v>28</v>
      </c>
      <c r="B24">
        <v>602</v>
      </c>
      <c r="C24">
        <v>468</v>
      </c>
      <c r="E24" t="s">
        <v>75</v>
      </c>
      <c r="F24">
        <v>3182</v>
      </c>
      <c r="G24">
        <v>1325</v>
      </c>
      <c r="H24">
        <v>1256</v>
      </c>
      <c r="I24">
        <v>588</v>
      </c>
      <c r="J24">
        <v>95</v>
      </c>
      <c r="K24">
        <v>89</v>
      </c>
      <c r="L24">
        <v>1631</v>
      </c>
      <c r="M24">
        <v>471</v>
      </c>
      <c r="N24">
        <v>2</v>
      </c>
      <c r="O24">
        <v>3</v>
      </c>
      <c r="P24">
        <v>155.30000000000001</v>
      </c>
      <c r="Q24">
        <v>728</v>
      </c>
      <c r="T24" t="s">
        <v>61</v>
      </c>
      <c r="U24">
        <v>2623</v>
      </c>
      <c r="V24">
        <v>99.4</v>
      </c>
      <c r="W24">
        <v>0.23599000000000001</v>
      </c>
      <c r="X24">
        <v>533</v>
      </c>
      <c r="Y24">
        <v>3096</v>
      </c>
      <c r="Z24">
        <v>149</v>
      </c>
      <c r="AA24">
        <v>154.80000000000001</v>
      </c>
      <c r="AB24">
        <v>6318</v>
      </c>
      <c r="AC24">
        <v>110.9</v>
      </c>
      <c r="AD24">
        <v>0.25040000000000001</v>
      </c>
      <c r="AE24">
        <v>1114</v>
      </c>
      <c r="AF24">
        <v>4936</v>
      </c>
      <c r="AG24">
        <v>157</v>
      </c>
      <c r="AH24">
        <v>170.7</v>
      </c>
      <c r="AK24" t="s">
        <v>167</v>
      </c>
      <c r="AV24">
        <v>2462</v>
      </c>
    </row>
    <row r="25" spans="1:48" x14ac:dyDescent="0.2">
      <c r="A25" t="s">
        <v>104</v>
      </c>
      <c r="B25">
        <v>118748</v>
      </c>
      <c r="C25">
        <v>59461</v>
      </c>
      <c r="E25" t="s">
        <v>33</v>
      </c>
      <c r="F25">
        <v>6314</v>
      </c>
      <c r="G25">
        <v>3307</v>
      </c>
      <c r="H25">
        <v>2829</v>
      </c>
      <c r="I25">
        <v>1419</v>
      </c>
      <c r="J25">
        <v>82</v>
      </c>
      <c r="K25">
        <v>43</v>
      </c>
      <c r="L25">
        <v>704</v>
      </c>
      <c r="M25">
        <v>493</v>
      </c>
      <c r="N25">
        <v>3</v>
      </c>
      <c r="O25">
        <v>6</v>
      </c>
      <c r="P25">
        <v>182.4</v>
      </c>
      <c r="Q25">
        <v>1941</v>
      </c>
      <c r="T25" t="s">
        <v>62</v>
      </c>
      <c r="U25">
        <v>9268</v>
      </c>
      <c r="V25">
        <v>177.1</v>
      </c>
      <c r="W25">
        <v>0.57779000000000003</v>
      </c>
      <c r="X25">
        <v>1186</v>
      </c>
      <c r="Y25">
        <v>4938</v>
      </c>
      <c r="Z25">
        <v>237.9</v>
      </c>
      <c r="AA25">
        <v>239.5</v>
      </c>
      <c r="AB25">
        <v>7153</v>
      </c>
      <c r="AC25">
        <v>182.3</v>
      </c>
      <c r="AD25">
        <v>0.60365999999999997</v>
      </c>
      <c r="AE25">
        <v>927</v>
      </c>
      <c r="AF25">
        <v>4260</v>
      </c>
      <c r="AG25">
        <v>248</v>
      </c>
      <c r="AH25">
        <v>243.3</v>
      </c>
      <c r="AK25" t="s">
        <v>168</v>
      </c>
      <c r="AV25">
        <v>15051</v>
      </c>
    </row>
    <row r="26" spans="1:48" x14ac:dyDescent="0.2">
      <c r="A26" t="s">
        <v>133</v>
      </c>
      <c r="B26">
        <v>17814</v>
      </c>
      <c r="C26">
        <v>1305</v>
      </c>
      <c r="E26" t="s">
        <v>55</v>
      </c>
      <c r="F26">
        <v>9487</v>
      </c>
      <c r="G26">
        <v>4108</v>
      </c>
      <c r="H26">
        <v>6487</v>
      </c>
      <c r="I26">
        <v>4120</v>
      </c>
      <c r="J26">
        <v>1133</v>
      </c>
      <c r="K26">
        <v>1073</v>
      </c>
      <c r="L26">
        <v>5247</v>
      </c>
      <c r="M26">
        <v>829</v>
      </c>
      <c r="N26">
        <v>2</v>
      </c>
      <c r="O26">
        <v>173</v>
      </c>
      <c r="P26">
        <v>212.7</v>
      </c>
      <c r="Q26">
        <v>4169</v>
      </c>
      <c r="T26" t="s">
        <v>63</v>
      </c>
      <c r="U26">
        <v>7389</v>
      </c>
      <c r="V26">
        <v>206.3</v>
      </c>
      <c r="W26">
        <v>0.63175000000000003</v>
      </c>
      <c r="X26">
        <v>1010</v>
      </c>
      <c r="Y26">
        <v>3950</v>
      </c>
      <c r="Z26">
        <v>274.3</v>
      </c>
      <c r="AA26">
        <v>282.8</v>
      </c>
      <c r="AB26">
        <v>6366</v>
      </c>
      <c r="AC26">
        <v>217.2</v>
      </c>
      <c r="AD26">
        <v>0.69572999999999996</v>
      </c>
      <c r="AE26">
        <v>962</v>
      </c>
      <c r="AF26">
        <v>3852</v>
      </c>
      <c r="AG26">
        <v>281.5</v>
      </c>
      <c r="AH26">
        <v>285.2</v>
      </c>
      <c r="AK26" t="s">
        <v>169</v>
      </c>
      <c r="AV26">
        <v>25739</v>
      </c>
    </row>
    <row r="27" spans="1:48" x14ac:dyDescent="0.2">
      <c r="A27" t="s">
        <v>141</v>
      </c>
      <c r="B27">
        <v>255</v>
      </c>
      <c r="C27">
        <v>12</v>
      </c>
      <c r="E27" t="s">
        <v>58</v>
      </c>
      <c r="F27">
        <v>2064</v>
      </c>
      <c r="G27">
        <v>721</v>
      </c>
      <c r="H27">
        <v>2812</v>
      </c>
      <c r="I27">
        <v>1578</v>
      </c>
      <c r="J27">
        <v>204</v>
      </c>
      <c r="K27">
        <v>164</v>
      </c>
      <c r="L27">
        <v>1626</v>
      </c>
      <c r="M27">
        <v>602</v>
      </c>
      <c r="N27">
        <v>0</v>
      </c>
      <c r="O27">
        <v>5</v>
      </c>
      <c r="P27">
        <v>252.2</v>
      </c>
      <c r="Q27">
        <v>1633</v>
      </c>
      <c r="T27" t="s">
        <v>64</v>
      </c>
      <c r="U27">
        <v>1902</v>
      </c>
      <c r="V27">
        <v>84.8</v>
      </c>
      <c r="W27">
        <v>0.19348000000000001</v>
      </c>
      <c r="X27">
        <v>466</v>
      </c>
      <c r="Y27">
        <v>2354</v>
      </c>
      <c r="Z27">
        <v>118.9</v>
      </c>
      <c r="AA27">
        <v>117.1</v>
      </c>
      <c r="AB27">
        <v>5478</v>
      </c>
      <c r="AC27">
        <v>140.5</v>
      </c>
      <c r="AD27">
        <v>0.44378000000000001</v>
      </c>
      <c r="AE27">
        <v>1225</v>
      </c>
      <c r="AF27">
        <v>5443</v>
      </c>
      <c r="AG27">
        <v>180.2</v>
      </c>
      <c r="AH27">
        <v>175</v>
      </c>
      <c r="AK27" t="s">
        <v>170</v>
      </c>
      <c r="AV27">
        <v>9015</v>
      </c>
    </row>
    <row r="28" spans="1:48" x14ac:dyDescent="0.2">
      <c r="A28" t="s">
        <v>109</v>
      </c>
      <c r="B28">
        <v>107</v>
      </c>
      <c r="C28">
        <v>102</v>
      </c>
      <c r="E28" t="s">
        <v>74</v>
      </c>
      <c r="F28">
        <v>7585</v>
      </c>
      <c r="G28">
        <v>4246</v>
      </c>
      <c r="H28">
        <v>4615</v>
      </c>
      <c r="I28">
        <v>2606</v>
      </c>
      <c r="J28">
        <v>679</v>
      </c>
      <c r="K28">
        <v>349</v>
      </c>
      <c r="L28">
        <v>515</v>
      </c>
      <c r="M28">
        <v>396</v>
      </c>
      <c r="N28">
        <v>3</v>
      </c>
      <c r="O28">
        <v>10</v>
      </c>
      <c r="P28">
        <v>229.4</v>
      </c>
      <c r="Q28">
        <v>3184</v>
      </c>
      <c r="T28" t="s">
        <v>65</v>
      </c>
      <c r="U28">
        <v>5046</v>
      </c>
      <c r="V28">
        <v>126.3</v>
      </c>
      <c r="W28">
        <v>0.39992</v>
      </c>
      <c r="X28">
        <v>1039</v>
      </c>
      <c r="Y28">
        <v>3915</v>
      </c>
      <c r="Z28">
        <v>189.2</v>
      </c>
      <c r="AA28">
        <v>195.3</v>
      </c>
      <c r="AB28">
        <v>5949</v>
      </c>
      <c r="AC28">
        <v>124.3</v>
      </c>
      <c r="AD28">
        <v>0.39552999999999999</v>
      </c>
      <c r="AE28">
        <v>1120</v>
      </c>
      <c r="AF28">
        <v>4100</v>
      </c>
      <c r="AG28">
        <v>187.3</v>
      </c>
      <c r="AH28">
        <v>198.4</v>
      </c>
      <c r="AK28" t="s">
        <v>171</v>
      </c>
      <c r="AV28">
        <v>9713</v>
      </c>
    </row>
    <row r="29" spans="1:48" x14ac:dyDescent="0.2">
      <c r="A29" t="s">
        <v>30</v>
      </c>
      <c r="B29">
        <v>305603</v>
      </c>
      <c r="C29">
        <v>150986</v>
      </c>
      <c r="E29" t="s">
        <v>46</v>
      </c>
      <c r="F29">
        <v>9808</v>
      </c>
      <c r="G29">
        <v>6081</v>
      </c>
      <c r="H29">
        <v>9026</v>
      </c>
      <c r="I29">
        <v>7593</v>
      </c>
      <c r="J29">
        <v>1098</v>
      </c>
      <c r="K29">
        <v>961</v>
      </c>
      <c r="L29">
        <v>9001</v>
      </c>
      <c r="M29">
        <v>5279</v>
      </c>
      <c r="N29">
        <v>31</v>
      </c>
      <c r="O29">
        <v>7</v>
      </c>
      <c r="P29">
        <v>546.4</v>
      </c>
      <c r="Q29">
        <v>7665</v>
      </c>
      <c r="T29" t="s">
        <v>66</v>
      </c>
      <c r="U29">
        <v>16021</v>
      </c>
      <c r="V29">
        <v>171.5</v>
      </c>
      <c r="W29">
        <v>0.60607999999999995</v>
      </c>
      <c r="X29">
        <v>1770</v>
      </c>
      <c r="Y29">
        <v>8328</v>
      </c>
      <c r="Z29">
        <v>258.7</v>
      </c>
      <c r="AA29">
        <v>259.89999999999998</v>
      </c>
      <c r="AB29">
        <v>13092</v>
      </c>
      <c r="AC29">
        <v>176.6</v>
      </c>
      <c r="AD29">
        <v>0.63053999999999999</v>
      </c>
      <c r="AE29">
        <v>1372</v>
      </c>
      <c r="AF29">
        <v>6708</v>
      </c>
      <c r="AG29">
        <v>273.89999999999998</v>
      </c>
      <c r="AH29">
        <v>269.10000000000002</v>
      </c>
      <c r="AK29" t="s">
        <v>107</v>
      </c>
      <c r="AV29">
        <v>5347</v>
      </c>
    </row>
    <row r="30" spans="1:48" x14ac:dyDescent="0.2">
      <c r="A30" t="s">
        <v>105</v>
      </c>
      <c r="B30">
        <v>11</v>
      </c>
      <c r="C30">
        <v>1</v>
      </c>
      <c r="E30" t="s">
        <v>51</v>
      </c>
      <c r="F30">
        <v>9867</v>
      </c>
      <c r="G30">
        <v>3872</v>
      </c>
      <c r="H30">
        <v>11623</v>
      </c>
      <c r="I30">
        <v>9201</v>
      </c>
      <c r="J30">
        <v>1175</v>
      </c>
      <c r="K30">
        <v>1091</v>
      </c>
      <c r="L30">
        <v>11632</v>
      </c>
      <c r="M30">
        <v>4023</v>
      </c>
      <c r="N30">
        <v>13</v>
      </c>
      <c r="O30">
        <v>303</v>
      </c>
      <c r="P30">
        <v>485.8</v>
      </c>
      <c r="Q30">
        <v>9503</v>
      </c>
      <c r="T30" t="s">
        <v>67</v>
      </c>
      <c r="U30">
        <v>8852</v>
      </c>
      <c r="V30">
        <v>201</v>
      </c>
      <c r="W30">
        <v>0.62641000000000002</v>
      </c>
      <c r="X30">
        <v>1306</v>
      </c>
      <c r="Y30">
        <v>6311</v>
      </c>
      <c r="Z30">
        <v>220.6</v>
      </c>
      <c r="AA30">
        <v>217.2</v>
      </c>
      <c r="AB30">
        <v>9254</v>
      </c>
      <c r="AC30">
        <v>202</v>
      </c>
      <c r="AD30">
        <v>0.62934999999999997</v>
      </c>
      <c r="AE30">
        <v>1329</v>
      </c>
      <c r="AF30">
        <v>6378</v>
      </c>
      <c r="AG30">
        <v>220</v>
      </c>
      <c r="AH30">
        <v>218.5</v>
      </c>
      <c r="AK30" t="s">
        <v>173</v>
      </c>
      <c r="AV30">
        <v>10155</v>
      </c>
    </row>
    <row r="31" spans="1:48" x14ac:dyDescent="0.2">
      <c r="A31" t="s">
        <v>118</v>
      </c>
      <c r="B31">
        <v>557</v>
      </c>
      <c r="C31">
        <v>523</v>
      </c>
      <c r="E31" t="s">
        <v>68</v>
      </c>
      <c r="F31">
        <v>1537</v>
      </c>
      <c r="G31">
        <v>693</v>
      </c>
      <c r="H31">
        <v>2444</v>
      </c>
      <c r="I31">
        <v>1814</v>
      </c>
      <c r="J31">
        <v>962</v>
      </c>
      <c r="K31">
        <v>885</v>
      </c>
      <c r="L31">
        <v>227</v>
      </c>
      <c r="M31">
        <v>174</v>
      </c>
      <c r="N31">
        <v>0</v>
      </c>
      <c r="O31">
        <v>3</v>
      </c>
      <c r="P31">
        <v>378.3</v>
      </c>
      <c r="Q31">
        <v>2040</v>
      </c>
      <c r="T31" t="s">
        <v>68</v>
      </c>
      <c r="U31">
        <v>1635</v>
      </c>
      <c r="V31">
        <v>135.9</v>
      </c>
      <c r="W31">
        <v>0.44036999999999998</v>
      </c>
      <c r="X31">
        <v>301</v>
      </c>
      <c r="Y31">
        <v>1102</v>
      </c>
      <c r="Z31">
        <v>175.5</v>
      </c>
      <c r="AA31">
        <v>194.6</v>
      </c>
      <c r="AB31">
        <v>1740</v>
      </c>
      <c r="AC31">
        <v>146.19999999999999</v>
      </c>
      <c r="AD31">
        <v>0.47931000000000001</v>
      </c>
      <c r="AE31">
        <v>357</v>
      </c>
      <c r="AF31">
        <v>1311</v>
      </c>
      <c r="AG31">
        <v>192</v>
      </c>
      <c r="AH31">
        <v>212</v>
      </c>
      <c r="AK31" t="s">
        <v>174</v>
      </c>
      <c r="AV31">
        <v>3841</v>
      </c>
    </row>
    <row r="32" spans="1:48" x14ac:dyDescent="0.2">
      <c r="A32" t="s">
        <v>111</v>
      </c>
      <c r="B32">
        <v>549</v>
      </c>
      <c r="C32">
        <v>531</v>
      </c>
      <c r="E32" t="s">
        <v>79</v>
      </c>
      <c r="F32">
        <v>5938</v>
      </c>
      <c r="G32">
        <v>3109</v>
      </c>
      <c r="H32">
        <v>5606</v>
      </c>
      <c r="I32">
        <v>4509</v>
      </c>
      <c r="J32">
        <v>377</v>
      </c>
      <c r="K32">
        <v>275</v>
      </c>
      <c r="L32">
        <v>3258</v>
      </c>
      <c r="M32">
        <v>1695</v>
      </c>
      <c r="N32">
        <v>0</v>
      </c>
      <c r="O32">
        <v>3</v>
      </c>
      <c r="P32">
        <v>400.9</v>
      </c>
      <c r="Q32">
        <v>4321</v>
      </c>
      <c r="T32" t="s">
        <v>69</v>
      </c>
      <c r="U32">
        <v>1476</v>
      </c>
      <c r="V32">
        <v>146.19999999999999</v>
      </c>
      <c r="W32">
        <v>0.46206000000000003</v>
      </c>
      <c r="X32">
        <v>225</v>
      </c>
      <c r="Y32">
        <v>1109</v>
      </c>
      <c r="Z32">
        <v>191.3</v>
      </c>
      <c r="AA32">
        <v>176.5</v>
      </c>
      <c r="AB32">
        <v>2736</v>
      </c>
      <c r="AC32">
        <v>183.2</v>
      </c>
      <c r="AD32">
        <v>0.58662000000000003</v>
      </c>
      <c r="AE32">
        <v>416</v>
      </c>
      <c r="AF32">
        <v>2011</v>
      </c>
      <c r="AG32">
        <v>251</v>
      </c>
      <c r="AH32">
        <v>232.5</v>
      </c>
      <c r="AK32" t="s">
        <v>177</v>
      </c>
      <c r="AV32">
        <v>4283</v>
      </c>
    </row>
    <row r="33" spans="1:48" x14ac:dyDescent="0.2">
      <c r="A33" t="s">
        <v>134</v>
      </c>
      <c r="B33">
        <v>4772</v>
      </c>
      <c r="C33">
        <v>1700</v>
      </c>
      <c r="E33" t="s">
        <v>81</v>
      </c>
      <c r="F33">
        <v>2718</v>
      </c>
      <c r="G33">
        <v>602</v>
      </c>
      <c r="H33">
        <v>1926</v>
      </c>
      <c r="I33">
        <v>795</v>
      </c>
      <c r="J33">
        <v>566</v>
      </c>
      <c r="K33">
        <v>544</v>
      </c>
      <c r="L33">
        <v>580</v>
      </c>
      <c r="M33">
        <v>345</v>
      </c>
      <c r="N33">
        <v>0</v>
      </c>
      <c r="O33">
        <v>3</v>
      </c>
      <c r="P33">
        <v>163.80000000000001</v>
      </c>
      <c r="Q33">
        <v>832</v>
      </c>
      <c r="T33" t="s">
        <v>242</v>
      </c>
      <c r="U33">
        <v>5119</v>
      </c>
      <c r="V33">
        <v>128.1</v>
      </c>
      <c r="W33">
        <v>0.38894000000000001</v>
      </c>
      <c r="X33">
        <v>771</v>
      </c>
      <c r="Y33">
        <v>4153</v>
      </c>
      <c r="Z33">
        <v>179.1</v>
      </c>
      <c r="AA33">
        <v>173.8</v>
      </c>
      <c r="AB33">
        <v>6798</v>
      </c>
      <c r="AC33">
        <v>124.8</v>
      </c>
      <c r="AD33">
        <v>0.35598999999999997</v>
      </c>
      <c r="AE33">
        <v>936</v>
      </c>
      <c r="AF33">
        <v>4703</v>
      </c>
      <c r="AG33">
        <v>181.1</v>
      </c>
      <c r="AH33">
        <v>182.8</v>
      </c>
      <c r="AK33" t="s">
        <v>198</v>
      </c>
      <c r="AV33">
        <v>5594</v>
      </c>
    </row>
    <row r="34" spans="1:48" x14ac:dyDescent="0.2">
      <c r="A34" t="s">
        <v>115</v>
      </c>
      <c r="B34">
        <v>15311</v>
      </c>
      <c r="C34">
        <v>5206</v>
      </c>
      <c r="E34" t="s">
        <v>96</v>
      </c>
      <c r="F34">
        <v>1306</v>
      </c>
      <c r="G34">
        <v>682</v>
      </c>
      <c r="H34">
        <v>672</v>
      </c>
      <c r="I34">
        <v>499</v>
      </c>
      <c r="J34">
        <v>10</v>
      </c>
      <c r="K34">
        <v>8</v>
      </c>
      <c r="L34">
        <v>545</v>
      </c>
      <c r="M34">
        <v>160</v>
      </c>
      <c r="N34">
        <v>0</v>
      </c>
      <c r="O34">
        <v>0</v>
      </c>
      <c r="P34">
        <v>441.2</v>
      </c>
      <c r="Q34">
        <v>575</v>
      </c>
      <c r="T34" t="s">
        <v>243</v>
      </c>
      <c r="U34">
        <v>4903</v>
      </c>
      <c r="V34">
        <v>56.5</v>
      </c>
      <c r="W34">
        <v>9.9529999999999993E-2</v>
      </c>
      <c r="X34">
        <v>2753</v>
      </c>
      <c r="Y34">
        <v>12624</v>
      </c>
      <c r="Z34">
        <v>61.9</v>
      </c>
      <c r="AA34">
        <v>56.9</v>
      </c>
      <c r="AB34">
        <v>4912</v>
      </c>
      <c r="AC34">
        <v>56.8</v>
      </c>
      <c r="AD34">
        <v>0.10057000000000001</v>
      </c>
      <c r="AE34">
        <v>2758</v>
      </c>
      <c r="AF34">
        <v>12637</v>
      </c>
      <c r="AG34">
        <v>62.1</v>
      </c>
      <c r="AH34">
        <v>57.1</v>
      </c>
      <c r="AK34" t="s">
        <v>416</v>
      </c>
      <c r="AV34">
        <v>58</v>
      </c>
    </row>
    <row r="35" spans="1:48" x14ac:dyDescent="0.2">
      <c r="A35" t="s">
        <v>143</v>
      </c>
      <c r="B35">
        <v>2352</v>
      </c>
      <c r="C35">
        <v>233</v>
      </c>
      <c r="E35" t="s">
        <v>62</v>
      </c>
      <c r="F35">
        <v>8912</v>
      </c>
      <c r="G35">
        <v>5189</v>
      </c>
      <c r="H35">
        <v>11702</v>
      </c>
      <c r="I35">
        <v>7075</v>
      </c>
      <c r="J35">
        <v>1572</v>
      </c>
      <c r="K35">
        <v>1288</v>
      </c>
      <c r="L35">
        <v>1954</v>
      </c>
      <c r="M35">
        <v>1415</v>
      </c>
      <c r="N35">
        <v>3</v>
      </c>
      <c r="O35">
        <v>195</v>
      </c>
      <c r="P35">
        <v>448.6</v>
      </c>
      <c r="Q35">
        <v>8203</v>
      </c>
      <c r="T35" t="s">
        <v>71</v>
      </c>
      <c r="U35">
        <v>9074</v>
      </c>
      <c r="V35">
        <v>162.4</v>
      </c>
      <c r="W35">
        <v>0.58398000000000005</v>
      </c>
      <c r="X35">
        <v>1236</v>
      </c>
      <c r="Y35">
        <v>6573</v>
      </c>
      <c r="Z35">
        <v>227.7</v>
      </c>
      <c r="AA35">
        <v>218.5</v>
      </c>
      <c r="AB35">
        <v>9734</v>
      </c>
      <c r="AC35">
        <v>164.8</v>
      </c>
      <c r="AD35">
        <v>0.60375999999999996</v>
      </c>
      <c r="AE35">
        <v>1347</v>
      </c>
      <c r="AF35">
        <v>6882</v>
      </c>
      <c r="AG35">
        <v>224.6</v>
      </c>
      <c r="AH35">
        <v>213.7</v>
      </c>
      <c r="AK35" t="s">
        <v>415</v>
      </c>
      <c r="AV35">
        <v>102749</v>
      </c>
    </row>
    <row r="36" spans="1:48" x14ac:dyDescent="0.2">
      <c r="A36" t="s">
        <v>132</v>
      </c>
      <c r="B36">
        <v>8833</v>
      </c>
      <c r="C36">
        <v>915</v>
      </c>
      <c r="E36" t="s">
        <v>77</v>
      </c>
      <c r="F36">
        <v>15111</v>
      </c>
      <c r="G36">
        <v>7330</v>
      </c>
      <c r="H36">
        <v>9730</v>
      </c>
      <c r="I36">
        <v>6753</v>
      </c>
      <c r="J36">
        <v>608</v>
      </c>
      <c r="K36">
        <v>388</v>
      </c>
      <c r="L36">
        <v>10138</v>
      </c>
      <c r="M36">
        <v>4921</v>
      </c>
      <c r="N36">
        <v>5344</v>
      </c>
      <c r="O36">
        <v>0</v>
      </c>
      <c r="P36">
        <v>426.6</v>
      </c>
      <c r="Q36">
        <v>7404</v>
      </c>
      <c r="T36" t="s">
        <v>36</v>
      </c>
      <c r="U36">
        <v>9296</v>
      </c>
      <c r="V36">
        <v>119.4</v>
      </c>
      <c r="W36">
        <v>0.38296000000000002</v>
      </c>
      <c r="X36">
        <v>1100</v>
      </c>
      <c r="Y36">
        <v>5961</v>
      </c>
      <c r="Z36">
        <v>187.2</v>
      </c>
      <c r="AA36">
        <v>170.8</v>
      </c>
      <c r="AB36">
        <v>14393</v>
      </c>
      <c r="AC36">
        <v>129</v>
      </c>
      <c r="AD36">
        <v>0.40734999999999999</v>
      </c>
      <c r="AE36">
        <v>1728</v>
      </c>
      <c r="AF36">
        <v>8182</v>
      </c>
      <c r="AG36">
        <v>205.6</v>
      </c>
      <c r="AH36">
        <v>194.2</v>
      </c>
      <c r="AK36" t="s">
        <v>172</v>
      </c>
      <c r="AV36">
        <v>4936</v>
      </c>
    </row>
    <row r="37" spans="1:48" x14ac:dyDescent="0.2">
      <c r="A37" t="s">
        <v>131</v>
      </c>
      <c r="B37">
        <v>4670</v>
      </c>
      <c r="C37">
        <v>375</v>
      </c>
      <c r="E37" t="s">
        <v>155</v>
      </c>
      <c r="F37">
        <v>594</v>
      </c>
      <c r="G37">
        <v>323</v>
      </c>
      <c r="H37">
        <v>780</v>
      </c>
      <c r="I37">
        <v>569</v>
      </c>
      <c r="J37">
        <v>68</v>
      </c>
      <c r="K37">
        <v>58</v>
      </c>
      <c r="L37">
        <v>98</v>
      </c>
      <c r="M37">
        <v>78</v>
      </c>
      <c r="N37">
        <v>0</v>
      </c>
      <c r="O37">
        <v>0</v>
      </c>
      <c r="P37">
        <v>398.4</v>
      </c>
      <c r="Q37">
        <v>516</v>
      </c>
      <c r="T37" t="s">
        <v>72</v>
      </c>
      <c r="U37">
        <v>11838</v>
      </c>
      <c r="V37">
        <v>115.8</v>
      </c>
      <c r="W37">
        <v>0.33443000000000001</v>
      </c>
      <c r="X37">
        <v>2108</v>
      </c>
      <c r="Y37">
        <v>8907</v>
      </c>
      <c r="Z37">
        <v>180.2</v>
      </c>
      <c r="AA37">
        <v>173.7</v>
      </c>
      <c r="AB37">
        <v>12253</v>
      </c>
      <c r="AC37">
        <v>121.2</v>
      </c>
      <c r="AD37">
        <v>0.36685000000000001</v>
      </c>
      <c r="AE37">
        <v>2322</v>
      </c>
      <c r="AF37">
        <v>9794</v>
      </c>
      <c r="AG37">
        <v>185.6</v>
      </c>
      <c r="AH37">
        <v>179.7</v>
      </c>
      <c r="AK37" t="s">
        <v>178</v>
      </c>
      <c r="AV37">
        <v>6926</v>
      </c>
    </row>
    <row r="38" spans="1:48" x14ac:dyDescent="0.2">
      <c r="A38" t="s">
        <v>147</v>
      </c>
      <c r="B38">
        <v>52495</v>
      </c>
      <c r="C38">
        <v>45920</v>
      </c>
      <c r="E38" t="s">
        <v>149</v>
      </c>
      <c r="F38">
        <v>91095</v>
      </c>
      <c r="G38">
        <v>44953</v>
      </c>
      <c r="H38">
        <v>79651</v>
      </c>
      <c r="I38">
        <v>54877</v>
      </c>
      <c r="J38">
        <v>11510</v>
      </c>
      <c r="K38">
        <v>9330</v>
      </c>
      <c r="L38">
        <v>53424</v>
      </c>
      <c r="M38">
        <v>22796</v>
      </c>
      <c r="N38">
        <v>5402</v>
      </c>
      <c r="O38">
        <v>716</v>
      </c>
      <c r="P38">
        <v>405.6</v>
      </c>
      <c r="Q38">
        <v>58745</v>
      </c>
      <c r="T38" t="s">
        <v>73</v>
      </c>
      <c r="U38">
        <v>8511</v>
      </c>
      <c r="V38">
        <v>132.80000000000001</v>
      </c>
      <c r="W38">
        <v>0.46904000000000001</v>
      </c>
      <c r="X38">
        <v>928</v>
      </c>
      <c r="Y38">
        <v>4023</v>
      </c>
      <c r="Z38">
        <v>208.9</v>
      </c>
      <c r="AA38">
        <v>213.3</v>
      </c>
      <c r="AB38">
        <v>7974</v>
      </c>
      <c r="AC38">
        <v>129.80000000000001</v>
      </c>
      <c r="AD38">
        <v>0.47077999999999998</v>
      </c>
      <c r="AE38">
        <v>855</v>
      </c>
      <c r="AF38">
        <v>3690</v>
      </c>
      <c r="AG38">
        <v>204.9</v>
      </c>
      <c r="AH38">
        <v>213.4</v>
      </c>
      <c r="AK38" t="s">
        <v>180</v>
      </c>
      <c r="AV38">
        <v>2732</v>
      </c>
    </row>
    <row r="39" spans="1:48" x14ac:dyDescent="0.2">
      <c r="A39" t="s">
        <v>145</v>
      </c>
      <c r="B39">
        <v>7731</v>
      </c>
      <c r="C39">
        <v>4768</v>
      </c>
      <c r="E39" t="s">
        <v>82</v>
      </c>
      <c r="F39">
        <v>6248</v>
      </c>
      <c r="G39">
        <v>3863</v>
      </c>
      <c r="H39">
        <v>4254</v>
      </c>
      <c r="I39">
        <v>3412</v>
      </c>
      <c r="J39">
        <v>400</v>
      </c>
      <c r="K39">
        <v>380</v>
      </c>
      <c r="L39">
        <v>3439</v>
      </c>
      <c r="M39">
        <v>1540</v>
      </c>
      <c r="N39">
        <v>1</v>
      </c>
      <c r="O39">
        <v>80</v>
      </c>
      <c r="P39">
        <v>459.4</v>
      </c>
      <c r="Q39">
        <v>3763</v>
      </c>
      <c r="T39" t="s">
        <v>74</v>
      </c>
      <c r="U39">
        <v>7837</v>
      </c>
      <c r="V39">
        <v>154.9</v>
      </c>
      <c r="W39">
        <v>0.54944000000000004</v>
      </c>
      <c r="X39">
        <v>1011</v>
      </c>
      <c r="Y39">
        <v>4063</v>
      </c>
      <c r="Z39">
        <v>214.6</v>
      </c>
      <c r="AA39">
        <v>240.7</v>
      </c>
      <c r="AB39">
        <v>7592</v>
      </c>
      <c r="AC39">
        <v>152.30000000000001</v>
      </c>
      <c r="AD39">
        <v>0.53319000000000005</v>
      </c>
      <c r="AE39">
        <v>928</v>
      </c>
      <c r="AF39">
        <v>3944</v>
      </c>
      <c r="AG39">
        <v>210.4</v>
      </c>
      <c r="AH39">
        <v>239.1</v>
      </c>
      <c r="AK39" t="s">
        <v>181</v>
      </c>
      <c r="AV39">
        <v>5951</v>
      </c>
    </row>
    <row r="40" spans="1:48" x14ac:dyDescent="0.2">
      <c r="A40" t="s">
        <v>119</v>
      </c>
      <c r="B40">
        <v>215</v>
      </c>
      <c r="C40">
        <v>214</v>
      </c>
      <c r="E40" t="s">
        <v>47</v>
      </c>
      <c r="F40">
        <v>1557</v>
      </c>
      <c r="G40">
        <v>441</v>
      </c>
      <c r="H40">
        <v>1080</v>
      </c>
      <c r="I40">
        <v>203</v>
      </c>
      <c r="J40">
        <v>204</v>
      </c>
      <c r="K40">
        <v>127</v>
      </c>
      <c r="L40">
        <v>363</v>
      </c>
      <c r="M40">
        <v>242</v>
      </c>
      <c r="N40">
        <v>0</v>
      </c>
      <c r="O40">
        <v>8</v>
      </c>
      <c r="P40">
        <v>112.2</v>
      </c>
      <c r="Q40">
        <v>676</v>
      </c>
      <c r="T40" t="s">
        <v>75</v>
      </c>
      <c r="U40">
        <v>3287</v>
      </c>
      <c r="V40">
        <v>123</v>
      </c>
      <c r="W40">
        <v>0.40371000000000001</v>
      </c>
      <c r="X40">
        <v>376</v>
      </c>
      <c r="Y40">
        <v>1965</v>
      </c>
      <c r="Z40">
        <v>171.8</v>
      </c>
      <c r="AA40">
        <v>170.9</v>
      </c>
      <c r="AB40">
        <v>3478</v>
      </c>
      <c r="AC40">
        <v>126.6</v>
      </c>
      <c r="AD40">
        <v>0.43702999999999997</v>
      </c>
      <c r="AE40">
        <v>418</v>
      </c>
      <c r="AF40">
        <v>2190</v>
      </c>
      <c r="AG40">
        <v>175.2</v>
      </c>
      <c r="AH40">
        <v>173.1</v>
      </c>
      <c r="AK40" t="s">
        <v>182</v>
      </c>
      <c r="AV40">
        <v>1087</v>
      </c>
    </row>
    <row r="41" spans="1:48" x14ac:dyDescent="0.2">
      <c r="A41" t="s">
        <v>120</v>
      </c>
      <c r="B41">
        <v>15663</v>
      </c>
      <c r="C41">
        <v>12250</v>
      </c>
      <c r="E41" t="s">
        <v>53</v>
      </c>
      <c r="F41">
        <v>9836</v>
      </c>
      <c r="G41">
        <v>5233</v>
      </c>
      <c r="H41">
        <v>9672</v>
      </c>
      <c r="I41">
        <v>7460</v>
      </c>
      <c r="J41">
        <v>2101</v>
      </c>
      <c r="K41">
        <v>1787</v>
      </c>
      <c r="L41">
        <v>5841</v>
      </c>
      <c r="M41">
        <v>2760</v>
      </c>
      <c r="N41">
        <v>2</v>
      </c>
      <c r="O41">
        <v>43</v>
      </c>
      <c r="P41">
        <v>456</v>
      </c>
      <c r="Q41">
        <v>7499</v>
      </c>
      <c r="T41" t="s">
        <v>76</v>
      </c>
      <c r="U41">
        <v>17785</v>
      </c>
      <c r="V41">
        <v>172</v>
      </c>
      <c r="W41">
        <v>0.55647999999999997</v>
      </c>
      <c r="X41">
        <v>2260</v>
      </c>
      <c r="Y41">
        <v>10212</v>
      </c>
      <c r="Z41">
        <v>242.3</v>
      </c>
      <c r="AA41">
        <v>245.7</v>
      </c>
      <c r="AB41">
        <v>14216</v>
      </c>
      <c r="AC41">
        <v>170.4</v>
      </c>
      <c r="AD41">
        <v>0.54615000000000002</v>
      </c>
      <c r="AE41">
        <v>1427</v>
      </c>
      <c r="AF41">
        <v>6858</v>
      </c>
      <c r="AG41">
        <v>248.7</v>
      </c>
      <c r="AH41">
        <v>257.8</v>
      </c>
      <c r="AK41" t="s">
        <v>183</v>
      </c>
      <c r="AV41">
        <v>1418</v>
      </c>
    </row>
    <row r="42" spans="1:48" x14ac:dyDescent="0.2">
      <c r="A42" t="s">
        <v>136</v>
      </c>
      <c r="B42">
        <v>4758</v>
      </c>
      <c r="C42">
        <v>1127</v>
      </c>
      <c r="E42" t="s">
        <v>69</v>
      </c>
      <c r="F42">
        <v>1587</v>
      </c>
      <c r="G42">
        <v>720</v>
      </c>
      <c r="H42">
        <v>924</v>
      </c>
      <c r="I42">
        <v>396</v>
      </c>
      <c r="J42">
        <v>204</v>
      </c>
      <c r="K42">
        <v>148</v>
      </c>
      <c r="L42">
        <v>1067</v>
      </c>
      <c r="M42">
        <v>446</v>
      </c>
      <c r="N42">
        <v>294</v>
      </c>
      <c r="O42">
        <v>126</v>
      </c>
      <c r="P42">
        <v>157.5</v>
      </c>
      <c r="Q42">
        <v>833</v>
      </c>
      <c r="T42" t="s">
        <v>9</v>
      </c>
      <c r="U42">
        <v>841</v>
      </c>
      <c r="V42">
        <v>138.1</v>
      </c>
      <c r="W42">
        <v>0.35553000000000001</v>
      </c>
      <c r="X42">
        <v>19</v>
      </c>
      <c r="Y42">
        <v>131</v>
      </c>
      <c r="Z42">
        <v>267.60000000000002</v>
      </c>
      <c r="AA42">
        <v>248.6</v>
      </c>
      <c r="AB42">
        <v>2159</v>
      </c>
      <c r="AC42">
        <v>208.7</v>
      </c>
      <c r="AD42">
        <v>0.65864</v>
      </c>
      <c r="AE42">
        <v>5</v>
      </c>
      <c r="AF42">
        <v>74</v>
      </c>
      <c r="AG42">
        <v>363.8</v>
      </c>
      <c r="AH42">
        <v>246.9</v>
      </c>
      <c r="AK42" t="s">
        <v>184</v>
      </c>
      <c r="AV42">
        <v>1536</v>
      </c>
    </row>
    <row r="43" spans="1:48" x14ac:dyDescent="0.2">
      <c r="A43" t="s">
        <v>29</v>
      </c>
      <c r="B43">
        <v>51721</v>
      </c>
      <c r="C43">
        <v>24564</v>
      </c>
      <c r="E43" t="s">
        <v>76</v>
      </c>
      <c r="F43">
        <v>17704</v>
      </c>
      <c r="G43">
        <v>9756</v>
      </c>
      <c r="H43">
        <v>12319</v>
      </c>
      <c r="I43">
        <v>9940</v>
      </c>
      <c r="J43">
        <v>1609</v>
      </c>
      <c r="K43">
        <v>1502</v>
      </c>
      <c r="L43">
        <v>13901</v>
      </c>
      <c r="M43">
        <v>9061</v>
      </c>
      <c r="N43">
        <v>0</v>
      </c>
      <c r="O43">
        <v>27</v>
      </c>
      <c r="P43">
        <v>442.4</v>
      </c>
      <c r="Q43">
        <v>9414</v>
      </c>
      <c r="T43" t="s">
        <v>434</v>
      </c>
      <c r="U43">
        <v>1864</v>
      </c>
      <c r="V43">
        <v>85.1</v>
      </c>
      <c r="W43">
        <v>0.2044</v>
      </c>
      <c r="X43">
        <v>157</v>
      </c>
      <c r="Y43">
        <v>624</v>
      </c>
      <c r="Z43">
        <v>182.9</v>
      </c>
      <c r="AA43">
        <v>166.7</v>
      </c>
      <c r="AB43">
        <v>1381</v>
      </c>
      <c r="AC43">
        <v>101.7</v>
      </c>
      <c r="AD43">
        <v>0.27082000000000001</v>
      </c>
      <c r="AE43">
        <v>151</v>
      </c>
      <c r="AF43">
        <v>641</v>
      </c>
      <c r="AG43">
        <v>185.7</v>
      </c>
      <c r="AH43">
        <v>166.8</v>
      </c>
      <c r="AK43" t="s">
        <v>194</v>
      </c>
      <c r="AV43">
        <v>18749</v>
      </c>
    </row>
    <row r="44" spans="1:48" x14ac:dyDescent="0.2">
      <c r="A44" t="s">
        <v>117</v>
      </c>
      <c r="B44">
        <v>260469</v>
      </c>
      <c r="C44">
        <v>197951</v>
      </c>
      <c r="E44" t="s">
        <v>78</v>
      </c>
      <c r="F44">
        <v>6001</v>
      </c>
      <c r="G44">
        <v>2636</v>
      </c>
      <c r="H44">
        <v>7143</v>
      </c>
      <c r="I44">
        <v>5318</v>
      </c>
      <c r="J44">
        <v>440</v>
      </c>
      <c r="K44">
        <v>352</v>
      </c>
      <c r="L44">
        <v>5674</v>
      </c>
      <c r="M44">
        <v>3073</v>
      </c>
      <c r="N44">
        <v>1</v>
      </c>
      <c r="O44">
        <v>47</v>
      </c>
      <c r="P44">
        <v>380.8</v>
      </c>
      <c r="Q44">
        <v>5727</v>
      </c>
      <c r="T44" t="s">
        <v>433</v>
      </c>
      <c r="U44">
        <v>667</v>
      </c>
      <c r="V44">
        <v>175.3</v>
      </c>
      <c r="W44">
        <v>0.53822999999999999</v>
      </c>
      <c r="X44">
        <v>381</v>
      </c>
      <c r="Y44">
        <v>1830</v>
      </c>
      <c r="Z44">
        <v>56.8</v>
      </c>
      <c r="AA44">
        <v>57.1</v>
      </c>
      <c r="AB44">
        <v>648</v>
      </c>
      <c r="AC44">
        <v>175.6</v>
      </c>
      <c r="AD44">
        <v>0.53857999999999995</v>
      </c>
      <c r="AE44">
        <v>368</v>
      </c>
      <c r="AF44">
        <v>1786</v>
      </c>
      <c r="AG44">
        <v>51.4</v>
      </c>
      <c r="AH44">
        <v>52.2</v>
      </c>
      <c r="AK44" t="s">
        <v>195</v>
      </c>
      <c r="AV44">
        <v>4520</v>
      </c>
    </row>
    <row r="45" spans="1:48" x14ac:dyDescent="0.2">
      <c r="A45" t="s">
        <v>144</v>
      </c>
      <c r="B45">
        <v>14727</v>
      </c>
      <c r="C45">
        <v>2023</v>
      </c>
      <c r="E45" t="s">
        <v>87</v>
      </c>
      <c r="F45">
        <v>15986</v>
      </c>
      <c r="G45">
        <v>8582</v>
      </c>
      <c r="H45">
        <v>19382</v>
      </c>
      <c r="I45">
        <v>14134</v>
      </c>
      <c r="J45">
        <v>4149</v>
      </c>
      <c r="K45">
        <v>3920</v>
      </c>
      <c r="L45">
        <v>10410</v>
      </c>
      <c r="M45">
        <v>6956</v>
      </c>
      <c r="N45">
        <v>14</v>
      </c>
      <c r="O45">
        <v>147</v>
      </c>
      <c r="P45">
        <v>435.1</v>
      </c>
      <c r="Q45">
        <v>13968</v>
      </c>
      <c r="T45" s="17" t="s">
        <v>432</v>
      </c>
      <c r="U45">
        <v>2762</v>
      </c>
      <c r="V45">
        <v>74.599999999999994</v>
      </c>
      <c r="W45">
        <v>0.15459999999999999</v>
      </c>
      <c r="X45">
        <v>230</v>
      </c>
      <c r="Y45">
        <v>735</v>
      </c>
      <c r="Z45">
        <v>130.5</v>
      </c>
      <c r="AA45">
        <v>132.69999999999999</v>
      </c>
      <c r="AB45">
        <v>880</v>
      </c>
      <c r="AC45">
        <v>94.5</v>
      </c>
      <c r="AD45">
        <v>0.29204999999999998</v>
      </c>
      <c r="AE45">
        <v>47</v>
      </c>
      <c r="AF45">
        <v>271</v>
      </c>
      <c r="AG45">
        <v>215</v>
      </c>
      <c r="AH45">
        <v>207.4</v>
      </c>
      <c r="AK45" t="s">
        <v>196</v>
      </c>
      <c r="AV45">
        <v>3580</v>
      </c>
    </row>
    <row r="46" spans="1:48" x14ac:dyDescent="0.2">
      <c r="A46" t="s">
        <v>139</v>
      </c>
      <c r="B46">
        <v>8304</v>
      </c>
      <c r="C46">
        <v>8288</v>
      </c>
      <c r="E46" t="s">
        <v>49</v>
      </c>
      <c r="F46">
        <v>987</v>
      </c>
      <c r="G46">
        <v>255</v>
      </c>
      <c r="H46">
        <v>835</v>
      </c>
      <c r="I46">
        <v>463</v>
      </c>
      <c r="J46">
        <v>60</v>
      </c>
      <c r="K46">
        <v>35</v>
      </c>
      <c r="L46">
        <v>1343</v>
      </c>
      <c r="M46">
        <v>504</v>
      </c>
      <c r="N46">
        <v>15</v>
      </c>
      <c r="O46">
        <v>6</v>
      </c>
      <c r="P46">
        <v>316.89999999999998</v>
      </c>
      <c r="Q46">
        <v>506</v>
      </c>
      <c r="T46" t="s">
        <v>244</v>
      </c>
      <c r="U46">
        <v>12902</v>
      </c>
      <c r="V46">
        <v>166.2</v>
      </c>
      <c r="W46">
        <v>0.55750999999999995</v>
      </c>
      <c r="X46">
        <v>2224</v>
      </c>
      <c r="Y46">
        <v>8715</v>
      </c>
      <c r="Z46">
        <v>238.4</v>
      </c>
      <c r="AA46">
        <v>257</v>
      </c>
      <c r="AB46">
        <v>12630</v>
      </c>
      <c r="AC46">
        <v>166.4</v>
      </c>
      <c r="AD46">
        <v>0.55937999999999999</v>
      </c>
      <c r="AE46">
        <v>2199</v>
      </c>
      <c r="AF46">
        <v>8617</v>
      </c>
      <c r="AG46">
        <v>238.4</v>
      </c>
      <c r="AH46">
        <v>258.2</v>
      </c>
      <c r="AK46" t="s">
        <v>417</v>
      </c>
      <c r="AV46">
        <v>27</v>
      </c>
    </row>
    <row r="47" spans="1:48" x14ac:dyDescent="0.2">
      <c r="A47" t="s">
        <v>122</v>
      </c>
      <c r="B47">
        <v>1285</v>
      </c>
      <c r="C47">
        <v>525</v>
      </c>
      <c r="E47" t="s">
        <v>59</v>
      </c>
      <c r="F47">
        <v>3764</v>
      </c>
      <c r="G47">
        <v>1962</v>
      </c>
      <c r="H47">
        <v>2160</v>
      </c>
      <c r="I47">
        <v>1558</v>
      </c>
      <c r="J47">
        <v>430</v>
      </c>
      <c r="K47">
        <v>389</v>
      </c>
      <c r="L47">
        <v>1106</v>
      </c>
      <c r="M47">
        <v>588</v>
      </c>
      <c r="N47">
        <v>0</v>
      </c>
      <c r="O47">
        <v>3</v>
      </c>
      <c r="P47">
        <v>228.6</v>
      </c>
      <c r="Q47">
        <v>1550</v>
      </c>
      <c r="T47" t="s">
        <v>245</v>
      </c>
      <c r="U47">
        <v>6702</v>
      </c>
      <c r="V47">
        <v>67.2</v>
      </c>
      <c r="W47">
        <v>0.10503999999999999</v>
      </c>
      <c r="X47">
        <v>3257</v>
      </c>
      <c r="Y47">
        <v>13834</v>
      </c>
      <c r="Z47">
        <v>82.5</v>
      </c>
      <c r="AA47">
        <v>73.8</v>
      </c>
      <c r="AB47">
        <v>6710</v>
      </c>
      <c r="AC47">
        <v>67.3</v>
      </c>
      <c r="AD47">
        <v>0.10537000000000001</v>
      </c>
      <c r="AE47">
        <v>3262</v>
      </c>
      <c r="AF47">
        <v>13855</v>
      </c>
      <c r="AG47">
        <v>82.8</v>
      </c>
      <c r="AH47">
        <v>74</v>
      </c>
      <c r="AK47" t="s">
        <v>200</v>
      </c>
      <c r="AV47">
        <v>17423</v>
      </c>
    </row>
    <row r="48" spans="1:48" x14ac:dyDescent="0.2">
      <c r="A48" t="s">
        <v>125</v>
      </c>
      <c r="B48">
        <v>31147</v>
      </c>
      <c r="C48">
        <v>20052</v>
      </c>
      <c r="E48" t="s">
        <v>80</v>
      </c>
      <c r="F48">
        <v>7416</v>
      </c>
      <c r="G48">
        <v>3610</v>
      </c>
      <c r="H48">
        <v>10393</v>
      </c>
      <c r="I48">
        <v>7742</v>
      </c>
      <c r="J48">
        <v>3399</v>
      </c>
      <c r="K48">
        <v>2942</v>
      </c>
      <c r="L48">
        <v>1698</v>
      </c>
      <c r="M48">
        <v>1318</v>
      </c>
      <c r="N48">
        <v>3</v>
      </c>
      <c r="O48">
        <v>57</v>
      </c>
      <c r="P48">
        <v>439.7</v>
      </c>
      <c r="Q48">
        <v>8280</v>
      </c>
      <c r="T48" t="s">
        <v>78</v>
      </c>
      <c r="U48">
        <v>6203</v>
      </c>
      <c r="V48">
        <v>134</v>
      </c>
      <c r="W48">
        <v>0.44397999999999999</v>
      </c>
      <c r="X48">
        <v>1502</v>
      </c>
      <c r="Y48">
        <v>6538</v>
      </c>
      <c r="Z48">
        <v>179.9</v>
      </c>
      <c r="AA48">
        <v>184.1</v>
      </c>
      <c r="AB48">
        <v>7605</v>
      </c>
      <c r="AC48">
        <v>140.80000000000001</v>
      </c>
      <c r="AD48">
        <v>0.49730000000000002</v>
      </c>
      <c r="AE48">
        <v>1818</v>
      </c>
      <c r="AF48">
        <v>7788</v>
      </c>
      <c r="AG48">
        <v>185.4</v>
      </c>
      <c r="AH48">
        <v>190.3</v>
      </c>
      <c r="AK48" t="s">
        <v>207</v>
      </c>
      <c r="AV48">
        <v>426</v>
      </c>
    </row>
    <row r="49" spans="1:48" x14ac:dyDescent="0.2">
      <c r="A49" t="s">
        <v>124</v>
      </c>
      <c r="B49">
        <v>5287</v>
      </c>
      <c r="C49">
        <v>3957</v>
      </c>
      <c r="E49" t="s">
        <v>45</v>
      </c>
      <c r="F49">
        <v>1192</v>
      </c>
      <c r="G49">
        <v>307</v>
      </c>
      <c r="H49">
        <v>3094</v>
      </c>
      <c r="I49">
        <v>2511</v>
      </c>
      <c r="J49">
        <v>1745</v>
      </c>
      <c r="K49">
        <v>1622</v>
      </c>
      <c r="L49">
        <v>207</v>
      </c>
      <c r="M49">
        <v>163</v>
      </c>
      <c r="N49">
        <v>0</v>
      </c>
      <c r="O49">
        <v>4</v>
      </c>
      <c r="P49">
        <v>528.1</v>
      </c>
      <c r="Q49">
        <v>2494</v>
      </c>
      <c r="T49" t="s">
        <v>79</v>
      </c>
      <c r="U49">
        <v>6090</v>
      </c>
      <c r="V49">
        <v>171.6</v>
      </c>
      <c r="W49">
        <v>0.54007000000000005</v>
      </c>
      <c r="X49">
        <v>921</v>
      </c>
      <c r="Y49">
        <v>3667</v>
      </c>
      <c r="Z49">
        <v>237.2</v>
      </c>
      <c r="AA49">
        <v>229.6</v>
      </c>
      <c r="AB49">
        <v>5746</v>
      </c>
      <c r="AC49">
        <v>167.2</v>
      </c>
      <c r="AD49">
        <v>0.52036000000000004</v>
      </c>
      <c r="AE49">
        <v>840</v>
      </c>
      <c r="AF49">
        <v>3387</v>
      </c>
      <c r="AG49">
        <v>234.5</v>
      </c>
      <c r="AH49">
        <v>230.3</v>
      </c>
      <c r="AK49" t="s">
        <v>208</v>
      </c>
      <c r="AV49">
        <v>194</v>
      </c>
    </row>
    <row r="50" spans="1:48" x14ac:dyDescent="0.2">
      <c r="A50" t="s">
        <v>126</v>
      </c>
      <c r="B50">
        <v>166391</v>
      </c>
      <c r="C50">
        <v>57023</v>
      </c>
      <c r="E50" t="s">
        <v>85</v>
      </c>
      <c r="F50">
        <v>12793</v>
      </c>
      <c r="G50">
        <v>4026</v>
      </c>
      <c r="H50">
        <v>13807</v>
      </c>
      <c r="I50">
        <v>7702</v>
      </c>
      <c r="J50">
        <v>1460</v>
      </c>
      <c r="K50">
        <v>1121</v>
      </c>
      <c r="L50">
        <v>1920</v>
      </c>
      <c r="M50">
        <v>1144</v>
      </c>
      <c r="N50">
        <v>0</v>
      </c>
      <c r="O50">
        <v>61</v>
      </c>
      <c r="P50">
        <v>326.60000000000002</v>
      </c>
      <c r="Q50">
        <v>9605</v>
      </c>
      <c r="T50" t="s">
        <v>80</v>
      </c>
      <c r="U50">
        <v>7956</v>
      </c>
      <c r="V50">
        <v>150.9</v>
      </c>
      <c r="W50">
        <v>0.46040999999999999</v>
      </c>
      <c r="X50">
        <v>972</v>
      </c>
      <c r="Y50">
        <v>5046</v>
      </c>
      <c r="Z50">
        <v>233.4</v>
      </c>
      <c r="AA50">
        <v>211.4</v>
      </c>
      <c r="AB50">
        <v>7876</v>
      </c>
      <c r="AC50">
        <v>150.6</v>
      </c>
      <c r="AD50">
        <v>0.45950000000000002</v>
      </c>
      <c r="AE50">
        <v>968</v>
      </c>
      <c r="AF50">
        <v>5039</v>
      </c>
      <c r="AG50">
        <v>232.8</v>
      </c>
      <c r="AH50">
        <v>211.4</v>
      </c>
      <c r="AK50" t="s">
        <v>209</v>
      </c>
      <c r="AV50">
        <v>1523</v>
      </c>
    </row>
    <row r="51" spans="1:48" x14ac:dyDescent="0.2">
      <c r="A51" t="s">
        <v>127</v>
      </c>
      <c r="B51">
        <v>756</v>
      </c>
      <c r="C51">
        <v>649</v>
      </c>
      <c r="E51" t="s">
        <v>44</v>
      </c>
      <c r="F51">
        <v>3897</v>
      </c>
      <c r="G51">
        <v>1675</v>
      </c>
      <c r="H51">
        <v>2835</v>
      </c>
      <c r="I51">
        <v>1514</v>
      </c>
      <c r="J51">
        <v>120</v>
      </c>
      <c r="K51">
        <v>40</v>
      </c>
      <c r="L51">
        <v>465</v>
      </c>
      <c r="M51">
        <v>362</v>
      </c>
      <c r="N51">
        <v>0</v>
      </c>
      <c r="O51">
        <v>10</v>
      </c>
      <c r="P51">
        <v>276.89999999999998</v>
      </c>
      <c r="Q51">
        <v>1804</v>
      </c>
      <c r="T51" t="s">
        <v>81</v>
      </c>
      <c r="U51">
        <v>2970</v>
      </c>
      <c r="V51">
        <v>82.8</v>
      </c>
      <c r="W51">
        <v>0.20100999999999999</v>
      </c>
      <c r="X51">
        <v>1558</v>
      </c>
      <c r="Y51">
        <v>7875</v>
      </c>
      <c r="Z51">
        <v>61.7</v>
      </c>
      <c r="AA51">
        <v>63</v>
      </c>
      <c r="AB51">
        <v>4563</v>
      </c>
      <c r="AC51">
        <v>109.8</v>
      </c>
      <c r="AD51">
        <v>0.30177999999999999</v>
      </c>
      <c r="AE51">
        <v>1879</v>
      </c>
      <c r="AF51">
        <v>8658</v>
      </c>
      <c r="AG51">
        <v>85.9</v>
      </c>
      <c r="AH51">
        <v>71.900000000000006</v>
      </c>
      <c r="AK51" t="s">
        <v>418</v>
      </c>
      <c r="AV51">
        <v>2196</v>
      </c>
    </row>
    <row r="52" spans="1:48" x14ac:dyDescent="0.2">
      <c r="A52" t="s">
        <v>128</v>
      </c>
      <c r="B52">
        <v>35068</v>
      </c>
      <c r="C52">
        <v>30932</v>
      </c>
      <c r="E52" t="s">
        <v>66</v>
      </c>
      <c r="F52">
        <v>15659</v>
      </c>
      <c r="G52">
        <v>9551</v>
      </c>
      <c r="H52">
        <v>7968</v>
      </c>
      <c r="I52">
        <v>6135</v>
      </c>
      <c r="J52">
        <v>1279</v>
      </c>
      <c r="K52">
        <v>1195</v>
      </c>
      <c r="L52">
        <v>4387</v>
      </c>
      <c r="M52">
        <v>2836</v>
      </c>
      <c r="N52">
        <v>2</v>
      </c>
      <c r="O52">
        <v>34</v>
      </c>
      <c r="P52">
        <v>442.7</v>
      </c>
      <c r="Q52">
        <v>6101</v>
      </c>
      <c r="T52" t="s">
        <v>82</v>
      </c>
      <c r="U52">
        <v>6293</v>
      </c>
      <c r="V52">
        <v>197</v>
      </c>
      <c r="W52">
        <v>0.62228000000000006</v>
      </c>
      <c r="X52">
        <v>530</v>
      </c>
      <c r="Y52">
        <v>2733</v>
      </c>
      <c r="Z52">
        <v>269.60000000000002</v>
      </c>
      <c r="AA52">
        <v>252.8</v>
      </c>
      <c r="AB52">
        <v>4963</v>
      </c>
      <c r="AC52">
        <v>197.7</v>
      </c>
      <c r="AD52">
        <v>0.61011000000000004</v>
      </c>
      <c r="AE52">
        <v>315</v>
      </c>
      <c r="AF52">
        <v>1667</v>
      </c>
      <c r="AG52">
        <v>321.2</v>
      </c>
      <c r="AH52">
        <v>282.8</v>
      </c>
      <c r="AK52" t="s">
        <v>419</v>
      </c>
      <c r="AV52">
        <v>1969</v>
      </c>
    </row>
    <row r="53" spans="1:48" x14ac:dyDescent="0.2">
      <c r="A53" t="s">
        <v>129</v>
      </c>
      <c r="B53">
        <v>1327</v>
      </c>
      <c r="C53">
        <v>517</v>
      </c>
      <c r="E53" t="s">
        <v>57</v>
      </c>
      <c r="F53">
        <v>794</v>
      </c>
      <c r="G53">
        <v>111</v>
      </c>
      <c r="H53">
        <v>1223</v>
      </c>
      <c r="I53">
        <v>636</v>
      </c>
      <c r="J53">
        <v>297</v>
      </c>
      <c r="K53">
        <v>186</v>
      </c>
      <c r="L53">
        <v>687</v>
      </c>
      <c r="M53">
        <v>101</v>
      </c>
      <c r="N53">
        <v>0</v>
      </c>
      <c r="O53">
        <v>4</v>
      </c>
      <c r="P53">
        <v>282.7</v>
      </c>
      <c r="Q53">
        <v>801</v>
      </c>
      <c r="T53" t="s">
        <v>83</v>
      </c>
      <c r="U53">
        <v>16528</v>
      </c>
      <c r="V53">
        <v>158</v>
      </c>
      <c r="W53">
        <v>0.51971999999999996</v>
      </c>
      <c r="X53">
        <v>2704</v>
      </c>
      <c r="Y53">
        <v>11189</v>
      </c>
      <c r="Z53">
        <v>227.5</v>
      </c>
      <c r="AA53">
        <v>239.9</v>
      </c>
      <c r="AB53">
        <v>16173</v>
      </c>
      <c r="AC53">
        <v>151.30000000000001</v>
      </c>
      <c r="AD53">
        <v>0.49965999999999999</v>
      </c>
      <c r="AE53">
        <v>2448</v>
      </c>
      <c r="AF53">
        <v>10286</v>
      </c>
      <c r="AG53">
        <v>217.4</v>
      </c>
      <c r="AH53">
        <v>230</v>
      </c>
      <c r="AK53" t="s">
        <v>415</v>
      </c>
      <c r="AV53">
        <v>75193</v>
      </c>
    </row>
    <row r="54" spans="1:48" x14ac:dyDescent="0.2">
      <c r="E54" t="s">
        <v>84</v>
      </c>
      <c r="F54">
        <v>6619</v>
      </c>
      <c r="G54">
        <v>2261</v>
      </c>
      <c r="H54">
        <v>15739</v>
      </c>
      <c r="I54">
        <v>9626</v>
      </c>
      <c r="J54">
        <v>1487</v>
      </c>
      <c r="K54">
        <v>1343</v>
      </c>
      <c r="L54">
        <v>404</v>
      </c>
      <c r="M54">
        <v>253</v>
      </c>
      <c r="N54">
        <v>0</v>
      </c>
      <c r="O54">
        <v>6</v>
      </c>
      <c r="P54">
        <v>462.1</v>
      </c>
      <c r="Q54">
        <v>10982</v>
      </c>
      <c r="T54" t="s">
        <v>246</v>
      </c>
      <c r="U54">
        <v>1607</v>
      </c>
      <c r="V54">
        <v>102.5</v>
      </c>
      <c r="W54">
        <v>0.23957999999999999</v>
      </c>
      <c r="X54">
        <v>287</v>
      </c>
      <c r="Y54">
        <v>1799</v>
      </c>
      <c r="Z54">
        <v>145.9</v>
      </c>
      <c r="AA54">
        <v>153</v>
      </c>
      <c r="AB54">
        <v>5236</v>
      </c>
      <c r="AC54">
        <v>137.6</v>
      </c>
      <c r="AD54">
        <v>0.37261</v>
      </c>
      <c r="AE54">
        <v>488</v>
      </c>
      <c r="AF54">
        <v>2149</v>
      </c>
      <c r="AG54">
        <v>148.69999999999999</v>
      </c>
      <c r="AH54">
        <v>155</v>
      </c>
      <c r="AK54" t="s">
        <v>185</v>
      </c>
      <c r="AV54">
        <v>4888</v>
      </c>
    </row>
    <row r="55" spans="1:48" x14ac:dyDescent="0.2">
      <c r="E55" t="s">
        <v>152</v>
      </c>
      <c r="F55">
        <v>112040</v>
      </c>
      <c r="G55">
        <v>54989</v>
      </c>
      <c r="H55">
        <v>112828</v>
      </c>
      <c r="I55">
        <v>78750</v>
      </c>
      <c r="J55">
        <v>19384</v>
      </c>
      <c r="K55">
        <v>17089</v>
      </c>
      <c r="L55">
        <v>52912</v>
      </c>
      <c r="M55">
        <v>31347</v>
      </c>
      <c r="N55">
        <v>332</v>
      </c>
      <c r="O55">
        <v>663</v>
      </c>
      <c r="P55">
        <v>415.3</v>
      </c>
      <c r="Q55">
        <v>84003</v>
      </c>
      <c r="T55" t="s">
        <v>247</v>
      </c>
      <c r="U55">
        <v>5059</v>
      </c>
      <c r="V55">
        <v>113.8</v>
      </c>
      <c r="W55">
        <v>0.37201000000000001</v>
      </c>
      <c r="X55">
        <v>856</v>
      </c>
      <c r="Y55">
        <v>4164</v>
      </c>
      <c r="Z55">
        <v>179.1</v>
      </c>
      <c r="AA55">
        <v>183.9</v>
      </c>
      <c r="AB55">
        <v>5136</v>
      </c>
      <c r="AC55">
        <v>113.1</v>
      </c>
      <c r="AD55">
        <v>0.36780000000000002</v>
      </c>
      <c r="AE55">
        <v>860</v>
      </c>
      <c r="AF55">
        <v>4149</v>
      </c>
      <c r="AG55">
        <v>178.8</v>
      </c>
      <c r="AH55">
        <v>183.9</v>
      </c>
      <c r="AK55" t="s">
        <v>186</v>
      </c>
      <c r="AV55">
        <v>1973</v>
      </c>
    </row>
    <row r="56" spans="1:48" x14ac:dyDescent="0.2">
      <c r="E56" t="s">
        <v>34</v>
      </c>
      <c r="F56">
        <v>22096</v>
      </c>
      <c r="G56">
        <v>10706</v>
      </c>
      <c r="H56">
        <v>20844</v>
      </c>
      <c r="I56">
        <v>14200</v>
      </c>
      <c r="J56">
        <v>3444</v>
      </c>
      <c r="K56">
        <v>2774</v>
      </c>
      <c r="L56">
        <v>8888</v>
      </c>
      <c r="M56">
        <v>4279</v>
      </c>
      <c r="N56">
        <v>48</v>
      </c>
      <c r="O56">
        <v>23</v>
      </c>
      <c r="P56">
        <v>377.3</v>
      </c>
      <c r="Q56">
        <v>15929</v>
      </c>
      <c r="T56" t="s">
        <v>248</v>
      </c>
      <c r="U56">
        <v>10213</v>
      </c>
      <c r="V56">
        <v>112.7</v>
      </c>
      <c r="W56">
        <v>0.31519000000000003</v>
      </c>
      <c r="X56">
        <v>2018</v>
      </c>
      <c r="Y56">
        <v>10470</v>
      </c>
      <c r="Z56">
        <v>182.1</v>
      </c>
      <c r="AA56">
        <v>174.2</v>
      </c>
      <c r="AB56">
        <v>11339</v>
      </c>
      <c r="AC56">
        <v>116.1</v>
      </c>
      <c r="AD56">
        <v>0.32303999999999999</v>
      </c>
      <c r="AE56">
        <v>2269</v>
      </c>
      <c r="AF56">
        <v>11616</v>
      </c>
      <c r="AG56">
        <v>185.2</v>
      </c>
      <c r="AH56">
        <v>179.7</v>
      </c>
      <c r="AK56" t="s">
        <v>187</v>
      </c>
      <c r="AV56">
        <v>415</v>
      </c>
    </row>
    <row r="57" spans="1:48" x14ac:dyDescent="0.2">
      <c r="E57" t="s">
        <v>63</v>
      </c>
      <c r="F57">
        <v>7422</v>
      </c>
      <c r="G57">
        <v>4698</v>
      </c>
      <c r="H57">
        <v>5313</v>
      </c>
      <c r="I57">
        <v>4052</v>
      </c>
      <c r="J57">
        <v>1122</v>
      </c>
      <c r="K57">
        <v>1044</v>
      </c>
      <c r="L57">
        <v>3270</v>
      </c>
      <c r="M57">
        <v>2218</v>
      </c>
      <c r="N57">
        <v>73</v>
      </c>
      <c r="O57">
        <v>148</v>
      </c>
      <c r="P57">
        <v>391.2</v>
      </c>
      <c r="Q57">
        <v>4495</v>
      </c>
      <c r="T57" t="s">
        <v>249</v>
      </c>
      <c r="U57">
        <v>2848</v>
      </c>
      <c r="V57">
        <v>96</v>
      </c>
      <c r="W57">
        <v>0.29565000000000002</v>
      </c>
      <c r="X57">
        <v>731</v>
      </c>
      <c r="Y57">
        <v>3561</v>
      </c>
      <c r="Z57">
        <v>138.6</v>
      </c>
      <c r="AA57">
        <v>115.2</v>
      </c>
      <c r="AB57">
        <v>4225</v>
      </c>
      <c r="AC57">
        <v>88.4</v>
      </c>
      <c r="AD57">
        <v>0.23432</v>
      </c>
      <c r="AE57">
        <v>910</v>
      </c>
      <c r="AF57">
        <v>4014</v>
      </c>
      <c r="AG57">
        <v>132.6</v>
      </c>
      <c r="AH57">
        <v>112.4</v>
      </c>
      <c r="AK57" t="s">
        <v>188</v>
      </c>
      <c r="AV57">
        <v>8505</v>
      </c>
    </row>
    <row r="58" spans="1:48" x14ac:dyDescent="0.2">
      <c r="E58" t="s">
        <v>83</v>
      </c>
      <c r="F58">
        <v>16439</v>
      </c>
      <c r="G58">
        <v>8421</v>
      </c>
      <c r="H58">
        <v>17563</v>
      </c>
      <c r="I58">
        <v>13455</v>
      </c>
      <c r="J58">
        <v>2804</v>
      </c>
      <c r="K58">
        <v>2417</v>
      </c>
      <c r="L58">
        <v>6982</v>
      </c>
      <c r="M58">
        <v>5201</v>
      </c>
      <c r="N58">
        <v>6</v>
      </c>
      <c r="O58">
        <v>24</v>
      </c>
      <c r="P58">
        <v>417.9</v>
      </c>
      <c r="Q58">
        <v>14997</v>
      </c>
      <c r="T58" t="s">
        <v>86</v>
      </c>
      <c r="U58">
        <v>3478</v>
      </c>
      <c r="V58">
        <v>128.19999999999999</v>
      </c>
      <c r="W58">
        <v>0.39246999999999999</v>
      </c>
      <c r="X58">
        <v>564</v>
      </c>
      <c r="Y58">
        <v>2914</v>
      </c>
      <c r="Z58">
        <v>186.6</v>
      </c>
      <c r="AA58">
        <v>179.1</v>
      </c>
      <c r="AB58">
        <v>3799</v>
      </c>
      <c r="AC58">
        <v>129</v>
      </c>
      <c r="AD58">
        <v>0.40983999999999998</v>
      </c>
      <c r="AE58">
        <v>640</v>
      </c>
      <c r="AF58">
        <v>3267</v>
      </c>
      <c r="AG58">
        <v>180.3</v>
      </c>
      <c r="AH58">
        <v>174.2</v>
      </c>
      <c r="AK58" t="s">
        <v>189</v>
      </c>
      <c r="AV58">
        <v>4585</v>
      </c>
    </row>
    <row r="59" spans="1:48" x14ac:dyDescent="0.2">
      <c r="E59" t="s">
        <v>52</v>
      </c>
      <c r="F59">
        <v>13107</v>
      </c>
      <c r="G59">
        <v>6535</v>
      </c>
      <c r="H59">
        <v>19368</v>
      </c>
      <c r="I59">
        <v>11684</v>
      </c>
      <c r="J59">
        <v>1352</v>
      </c>
      <c r="K59">
        <v>1181</v>
      </c>
      <c r="L59">
        <v>2823</v>
      </c>
      <c r="M59">
        <v>2067</v>
      </c>
      <c r="N59">
        <v>3</v>
      </c>
      <c r="O59">
        <v>49</v>
      </c>
      <c r="P59">
        <v>290.5</v>
      </c>
      <c r="Q59">
        <v>13169</v>
      </c>
      <c r="T59" t="s">
        <v>87</v>
      </c>
      <c r="U59">
        <v>16282</v>
      </c>
      <c r="V59">
        <v>175.3</v>
      </c>
      <c r="W59">
        <v>0.54796999999999996</v>
      </c>
      <c r="X59">
        <v>4494</v>
      </c>
      <c r="Y59">
        <v>21262</v>
      </c>
      <c r="Z59">
        <v>149.4</v>
      </c>
      <c r="AA59">
        <v>146.19999999999999</v>
      </c>
      <c r="AB59">
        <v>13957</v>
      </c>
      <c r="AC59">
        <v>169.2</v>
      </c>
      <c r="AD59">
        <v>0.52510999999999997</v>
      </c>
      <c r="AE59">
        <v>4094</v>
      </c>
      <c r="AF59">
        <v>19645</v>
      </c>
      <c r="AG59">
        <v>138.9</v>
      </c>
      <c r="AH59">
        <v>136.6</v>
      </c>
      <c r="AK59" t="s">
        <v>190</v>
      </c>
      <c r="AV59">
        <v>6275</v>
      </c>
    </row>
    <row r="60" spans="1:48" x14ac:dyDescent="0.2">
      <c r="E60" t="s">
        <v>86</v>
      </c>
      <c r="F60">
        <v>3481</v>
      </c>
      <c r="G60">
        <v>1387</v>
      </c>
      <c r="H60">
        <v>3974</v>
      </c>
      <c r="I60">
        <v>2892</v>
      </c>
      <c r="J60">
        <v>694</v>
      </c>
      <c r="K60">
        <v>616</v>
      </c>
      <c r="L60">
        <v>2497</v>
      </c>
      <c r="M60">
        <v>1727</v>
      </c>
      <c r="N60">
        <v>1</v>
      </c>
      <c r="O60">
        <v>4</v>
      </c>
      <c r="P60">
        <v>329.6</v>
      </c>
      <c r="Q60">
        <v>2720</v>
      </c>
      <c r="T60" t="s">
        <v>88</v>
      </c>
      <c r="U60">
        <v>1087</v>
      </c>
      <c r="V60">
        <v>105.3</v>
      </c>
      <c r="W60">
        <v>0.28978999999999999</v>
      </c>
      <c r="X60">
        <v>194</v>
      </c>
      <c r="Y60">
        <v>1145</v>
      </c>
      <c r="Z60">
        <v>156.1</v>
      </c>
      <c r="AA60">
        <v>151.5</v>
      </c>
      <c r="AB60">
        <v>2057</v>
      </c>
      <c r="AC60">
        <v>123.2</v>
      </c>
      <c r="AD60">
        <v>0.36169000000000001</v>
      </c>
      <c r="AE60">
        <v>335</v>
      </c>
      <c r="AF60">
        <v>1709</v>
      </c>
      <c r="AG60">
        <v>185.1</v>
      </c>
      <c r="AH60">
        <v>181.5</v>
      </c>
      <c r="AK60" t="s">
        <v>191</v>
      </c>
      <c r="AV60">
        <v>3655</v>
      </c>
    </row>
    <row r="61" spans="1:48" x14ac:dyDescent="0.2">
      <c r="E61" t="s">
        <v>72</v>
      </c>
      <c r="F61">
        <v>11337</v>
      </c>
      <c r="G61">
        <v>3967</v>
      </c>
      <c r="H61">
        <v>8080</v>
      </c>
      <c r="I61">
        <v>4325</v>
      </c>
      <c r="J61">
        <v>1674</v>
      </c>
      <c r="K61">
        <v>1424</v>
      </c>
      <c r="L61">
        <v>2424</v>
      </c>
      <c r="M61">
        <v>1987</v>
      </c>
      <c r="N61">
        <v>3</v>
      </c>
      <c r="O61">
        <v>211</v>
      </c>
      <c r="P61">
        <v>240.8</v>
      </c>
      <c r="Q61">
        <v>5672</v>
      </c>
      <c r="T61" t="s">
        <v>150</v>
      </c>
      <c r="U61">
        <v>156039</v>
      </c>
      <c r="V61">
        <v>159.30000000000001</v>
      </c>
      <c r="W61">
        <v>0.51844999999999997</v>
      </c>
      <c r="X61">
        <v>23231</v>
      </c>
      <c r="Y61">
        <v>106725</v>
      </c>
      <c r="Z61">
        <v>218.1</v>
      </c>
      <c r="AA61">
        <v>221.4</v>
      </c>
      <c r="AB61">
        <v>143059</v>
      </c>
      <c r="AC61">
        <v>159.30000000000001</v>
      </c>
      <c r="AD61">
        <v>0.52703</v>
      </c>
      <c r="AE61">
        <v>21705</v>
      </c>
      <c r="AF61">
        <v>100062</v>
      </c>
      <c r="AG61">
        <v>216.8</v>
      </c>
      <c r="AH61">
        <v>217.4</v>
      </c>
      <c r="AK61" t="s">
        <v>192</v>
      </c>
      <c r="AV61">
        <v>995</v>
      </c>
    </row>
    <row r="62" spans="1:48" x14ac:dyDescent="0.2">
      <c r="E62" t="s">
        <v>61</v>
      </c>
      <c r="F62">
        <v>2476</v>
      </c>
      <c r="G62">
        <v>619</v>
      </c>
      <c r="H62">
        <v>2478</v>
      </c>
      <c r="I62">
        <v>1488</v>
      </c>
      <c r="J62">
        <v>188</v>
      </c>
      <c r="K62">
        <v>171</v>
      </c>
      <c r="L62">
        <v>2016</v>
      </c>
      <c r="M62">
        <v>849</v>
      </c>
      <c r="N62">
        <v>2</v>
      </c>
      <c r="O62">
        <v>14</v>
      </c>
      <c r="P62">
        <v>241.3</v>
      </c>
      <c r="Q62">
        <v>1739</v>
      </c>
      <c r="T62" t="s">
        <v>89</v>
      </c>
      <c r="U62">
        <v>9047</v>
      </c>
      <c r="V62">
        <v>145.19999999999999</v>
      </c>
      <c r="W62">
        <v>0.49308999999999997</v>
      </c>
      <c r="X62">
        <v>1514</v>
      </c>
      <c r="Y62">
        <v>6220</v>
      </c>
      <c r="Z62">
        <v>202.6</v>
      </c>
      <c r="AA62">
        <v>204.4</v>
      </c>
      <c r="AB62">
        <v>9489</v>
      </c>
      <c r="AC62">
        <v>142.80000000000001</v>
      </c>
      <c r="AD62">
        <v>0.47349999999999998</v>
      </c>
      <c r="AE62">
        <v>1584</v>
      </c>
      <c r="AF62">
        <v>6665</v>
      </c>
      <c r="AG62">
        <v>205.3</v>
      </c>
      <c r="AH62">
        <v>208.4</v>
      </c>
      <c r="AK62" t="s">
        <v>193</v>
      </c>
      <c r="AV62">
        <v>5358</v>
      </c>
    </row>
    <row r="63" spans="1:48" x14ac:dyDescent="0.2">
      <c r="E63" t="s">
        <v>67</v>
      </c>
      <c r="F63">
        <v>8797</v>
      </c>
      <c r="G63">
        <v>5650</v>
      </c>
      <c r="H63">
        <v>11249</v>
      </c>
      <c r="I63">
        <v>7968</v>
      </c>
      <c r="J63">
        <v>1493</v>
      </c>
      <c r="K63">
        <v>1391</v>
      </c>
      <c r="L63">
        <v>2731</v>
      </c>
      <c r="M63">
        <v>1533</v>
      </c>
      <c r="N63">
        <v>69</v>
      </c>
      <c r="O63">
        <v>212</v>
      </c>
      <c r="P63">
        <v>450.4</v>
      </c>
      <c r="Q63">
        <v>8646</v>
      </c>
      <c r="T63" t="s">
        <v>250</v>
      </c>
      <c r="U63">
        <v>8495</v>
      </c>
      <c r="V63">
        <v>124.7</v>
      </c>
      <c r="W63">
        <v>0.38199</v>
      </c>
      <c r="X63">
        <v>1358</v>
      </c>
      <c r="Y63">
        <v>6150</v>
      </c>
      <c r="Z63">
        <v>172.5</v>
      </c>
      <c r="AA63">
        <v>152.6</v>
      </c>
      <c r="AB63">
        <v>14001</v>
      </c>
      <c r="AC63">
        <v>143.19999999999999</v>
      </c>
      <c r="AD63">
        <v>0.43068000000000001</v>
      </c>
      <c r="AE63">
        <v>2077</v>
      </c>
      <c r="AF63">
        <v>9138</v>
      </c>
      <c r="AG63">
        <v>196.3</v>
      </c>
      <c r="AH63">
        <v>185.7</v>
      </c>
      <c r="AK63" t="s">
        <v>197</v>
      </c>
      <c r="AV63">
        <v>1445</v>
      </c>
    </row>
    <row r="64" spans="1:48" x14ac:dyDescent="0.2">
      <c r="E64" t="s">
        <v>71</v>
      </c>
      <c r="F64">
        <v>9088</v>
      </c>
      <c r="G64">
        <v>5309</v>
      </c>
      <c r="H64">
        <v>12007</v>
      </c>
      <c r="I64">
        <v>9259</v>
      </c>
      <c r="J64">
        <v>4527</v>
      </c>
      <c r="K64">
        <v>4260</v>
      </c>
      <c r="L64">
        <v>3032</v>
      </c>
      <c r="M64">
        <v>2451</v>
      </c>
      <c r="N64">
        <v>1</v>
      </c>
      <c r="O64">
        <v>276</v>
      </c>
      <c r="P64">
        <v>385.3</v>
      </c>
      <c r="Q64">
        <v>11011</v>
      </c>
      <c r="T64" t="s">
        <v>251</v>
      </c>
      <c r="U64">
        <v>6573</v>
      </c>
      <c r="V64">
        <v>55.5</v>
      </c>
      <c r="W64">
        <v>6.8010000000000001E-2</v>
      </c>
      <c r="X64">
        <v>3624</v>
      </c>
      <c r="Y64">
        <v>17568</v>
      </c>
      <c r="Z64">
        <v>68.8</v>
      </c>
      <c r="AA64">
        <v>63.9</v>
      </c>
      <c r="AB64">
        <v>6575</v>
      </c>
      <c r="AC64">
        <v>55.5</v>
      </c>
      <c r="AD64">
        <v>6.8140000000000006E-2</v>
      </c>
      <c r="AE64">
        <v>3627</v>
      </c>
      <c r="AF64">
        <v>17578</v>
      </c>
      <c r="AG64">
        <v>68.900000000000006</v>
      </c>
      <c r="AH64">
        <v>64</v>
      </c>
      <c r="AK64" t="s">
        <v>199</v>
      </c>
      <c r="AV64">
        <v>1086</v>
      </c>
    </row>
    <row r="65" spans="5:48" x14ac:dyDescent="0.2">
      <c r="E65" t="s">
        <v>94</v>
      </c>
      <c r="F65">
        <v>1088</v>
      </c>
      <c r="G65">
        <v>360</v>
      </c>
      <c r="H65">
        <v>48775</v>
      </c>
      <c r="I65">
        <v>44454</v>
      </c>
      <c r="J65">
        <v>129</v>
      </c>
      <c r="K65">
        <v>127</v>
      </c>
      <c r="L65">
        <v>771</v>
      </c>
      <c r="M65">
        <v>639</v>
      </c>
      <c r="N65">
        <v>0</v>
      </c>
      <c r="O65">
        <v>2</v>
      </c>
      <c r="P65">
        <v>304.60000000000002</v>
      </c>
      <c r="Q65">
        <v>48163</v>
      </c>
      <c r="T65" t="s">
        <v>91</v>
      </c>
      <c r="U65">
        <v>34059</v>
      </c>
      <c r="V65">
        <v>171.8</v>
      </c>
      <c r="W65">
        <v>0.57521</v>
      </c>
      <c r="X65">
        <v>4472</v>
      </c>
      <c r="Y65">
        <v>21721</v>
      </c>
      <c r="Z65">
        <v>242.2</v>
      </c>
      <c r="AA65">
        <v>240.7</v>
      </c>
      <c r="AB65">
        <v>28165</v>
      </c>
      <c r="AC65">
        <v>177.8</v>
      </c>
      <c r="AD65">
        <v>0.61385000000000001</v>
      </c>
      <c r="AE65">
        <v>3700</v>
      </c>
      <c r="AF65">
        <v>18560</v>
      </c>
      <c r="AG65">
        <v>250.6</v>
      </c>
      <c r="AH65">
        <v>241.2</v>
      </c>
      <c r="AK65" t="s">
        <v>420</v>
      </c>
      <c r="AV65">
        <v>250</v>
      </c>
    </row>
    <row r="66" spans="5:48" x14ac:dyDescent="0.2">
      <c r="E66" t="s">
        <v>97</v>
      </c>
      <c r="F66">
        <v>33240</v>
      </c>
      <c r="G66">
        <v>15501</v>
      </c>
      <c r="H66">
        <v>28493</v>
      </c>
      <c r="I66">
        <v>19006</v>
      </c>
      <c r="J66">
        <v>4430</v>
      </c>
      <c r="K66">
        <v>4163</v>
      </c>
      <c r="L66">
        <v>9686</v>
      </c>
      <c r="M66">
        <v>5772</v>
      </c>
      <c r="N66">
        <v>0</v>
      </c>
      <c r="O66">
        <v>11</v>
      </c>
      <c r="P66">
        <v>379</v>
      </c>
      <c r="Q66">
        <v>22727</v>
      </c>
      <c r="T66" t="s">
        <v>92</v>
      </c>
      <c r="U66">
        <v>1157</v>
      </c>
      <c r="V66">
        <v>101.4</v>
      </c>
      <c r="W66">
        <v>0.24113999999999999</v>
      </c>
      <c r="X66">
        <v>191</v>
      </c>
      <c r="Y66">
        <v>1489</v>
      </c>
      <c r="Z66">
        <v>135.9</v>
      </c>
      <c r="AA66">
        <v>119.5</v>
      </c>
      <c r="AB66">
        <v>7805</v>
      </c>
      <c r="AC66">
        <v>174.9</v>
      </c>
      <c r="AD66">
        <v>0.52273999999999998</v>
      </c>
      <c r="AE66">
        <v>1054</v>
      </c>
      <c r="AF66">
        <v>5434</v>
      </c>
      <c r="AG66">
        <v>203.2</v>
      </c>
      <c r="AH66">
        <v>202</v>
      </c>
      <c r="AK66" t="s">
        <v>202</v>
      </c>
      <c r="AV66">
        <v>3367</v>
      </c>
    </row>
    <row r="67" spans="5:48" x14ac:dyDescent="0.2">
      <c r="E67" t="s">
        <v>91</v>
      </c>
      <c r="F67">
        <v>33621</v>
      </c>
      <c r="G67">
        <v>19134</v>
      </c>
      <c r="H67">
        <v>23032</v>
      </c>
      <c r="I67">
        <v>16518</v>
      </c>
      <c r="J67">
        <v>2526</v>
      </c>
      <c r="K67">
        <v>1907</v>
      </c>
      <c r="L67">
        <v>27909</v>
      </c>
      <c r="M67">
        <v>8930</v>
      </c>
      <c r="N67">
        <v>13</v>
      </c>
      <c r="O67">
        <v>179</v>
      </c>
      <c r="P67">
        <v>340.9</v>
      </c>
      <c r="Q67">
        <v>19139</v>
      </c>
      <c r="T67" t="s">
        <v>7</v>
      </c>
      <c r="U67">
        <v>510023</v>
      </c>
      <c r="V67">
        <v>148.80000000000001</v>
      </c>
      <c r="W67">
        <v>0.47514000000000001</v>
      </c>
      <c r="X67">
        <v>83677</v>
      </c>
      <c r="Y67">
        <v>390480</v>
      </c>
      <c r="Z67">
        <v>187.6</v>
      </c>
      <c r="AA67">
        <v>186.1</v>
      </c>
      <c r="AB67">
        <v>510023</v>
      </c>
      <c r="AC67">
        <v>148.80000000000001</v>
      </c>
      <c r="AD67">
        <v>0.47514000000000001</v>
      </c>
      <c r="AE67">
        <v>83677</v>
      </c>
      <c r="AF67">
        <v>390480</v>
      </c>
      <c r="AG67">
        <v>187.6</v>
      </c>
      <c r="AH67">
        <v>186.1</v>
      </c>
      <c r="AK67" t="s">
        <v>206</v>
      </c>
      <c r="AV67">
        <v>284</v>
      </c>
    </row>
    <row r="68" spans="5:48" x14ac:dyDescent="0.2">
      <c r="E68" t="s">
        <v>150</v>
      </c>
      <c r="F68">
        <v>162192</v>
      </c>
      <c r="G68">
        <v>82287</v>
      </c>
      <c r="H68">
        <v>201176</v>
      </c>
      <c r="I68">
        <v>149301</v>
      </c>
      <c r="J68">
        <v>24383</v>
      </c>
      <c r="K68">
        <v>21475</v>
      </c>
      <c r="L68">
        <v>73029</v>
      </c>
      <c r="M68">
        <v>37653</v>
      </c>
      <c r="N68">
        <v>219</v>
      </c>
      <c r="O68">
        <v>1153</v>
      </c>
      <c r="P68">
        <v>347.3</v>
      </c>
      <c r="Q68">
        <v>168407</v>
      </c>
      <c r="T68" t="s">
        <v>252</v>
      </c>
      <c r="U68">
        <v>10680</v>
      </c>
      <c r="V68">
        <v>99.4</v>
      </c>
      <c r="W68">
        <v>0.27696999999999999</v>
      </c>
      <c r="X68">
        <v>1503</v>
      </c>
      <c r="Y68">
        <v>7704</v>
      </c>
      <c r="Z68">
        <v>159.30000000000001</v>
      </c>
      <c r="AA68">
        <v>149.5</v>
      </c>
      <c r="AB68">
        <v>10680</v>
      </c>
      <c r="AC68">
        <v>99.4</v>
      </c>
      <c r="AD68">
        <v>0.27696999999999999</v>
      </c>
      <c r="AE68">
        <v>1503</v>
      </c>
      <c r="AF68">
        <v>7704</v>
      </c>
      <c r="AG68">
        <v>159.30000000000001</v>
      </c>
      <c r="AH68">
        <v>149.5</v>
      </c>
      <c r="AK68" t="s">
        <v>421</v>
      </c>
      <c r="AV68">
        <v>277</v>
      </c>
    </row>
    <row r="69" spans="5:48" x14ac:dyDescent="0.2">
      <c r="E69" t="s">
        <v>278</v>
      </c>
      <c r="F69">
        <v>485137</v>
      </c>
      <c r="G69">
        <v>237504</v>
      </c>
      <c r="H69">
        <v>488920</v>
      </c>
      <c r="I69">
        <v>339686</v>
      </c>
      <c r="J69">
        <v>70342</v>
      </c>
      <c r="K69">
        <v>59538</v>
      </c>
      <c r="L69">
        <v>239976</v>
      </c>
      <c r="M69">
        <v>113130</v>
      </c>
      <c r="N69">
        <v>8406</v>
      </c>
      <c r="O69">
        <v>4015</v>
      </c>
      <c r="P69">
        <v>365.7</v>
      </c>
      <c r="Q69">
        <v>377883</v>
      </c>
      <c r="T69" t="s">
        <v>253</v>
      </c>
      <c r="U69">
        <v>18845</v>
      </c>
      <c r="V69">
        <v>64.2</v>
      </c>
      <c r="W69">
        <v>0.10602</v>
      </c>
      <c r="X69">
        <v>10015</v>
      </c>
      <c r="Y69">
        <v>45856</v>
      </c>
      <c r="Z69">
        <v>70.900000000000006</v>
      </c>
      <c r="AA69">
        <v>64.7</v>
      </c>
      <c r="AB69">
        <v>18845</v>
      </c>
      <c r="AC69">
        <v>64.2</v>
      </c>
      <c r="AD69">
        <v>0.10602</v>
      </c>
      <c r="AE69">
        <v>10015</v>
      </c>
      <c r="AF69">
        <v>45856</v>
      </c>
      <c r="AG69">
        <v>70.900000000000006</v>
      </c>
      <c r="AH69">
        <v>64.7</v>
      </c>
      <c r="AK69" t="s">
        <v>210</v>
      </c>
      <c r="AV69">
        <v>939</v>
      </c>
    </row>
    <row r="70" spans="5:48" x14ac:dyDescent="0.2">
      <c r="E70" t="s">
        <v>243</v>
      </c>
      <c r="F70">
        <v>5342</v>
      </c>
      <c r="G70">
        <v>441</v>
      </c>
      <c r="H70">
        <v>9779</v>
      </c>
      <c r="I70">
        <v>443</v>
      </c>
      <c r="J70">
        <v>222</v>
      </c>
      <c r="K70">
        <v>1</v>
      </c>
      <c r="L70">
        <v>410</v>
      </c>
      <c r="M70">
        <v>97</v>
      </c>
      <c r="N70">
        <v>602</v>
      </c>
      <c r="O70">
        <v>379</v>
      </c>
      <c r="P70">
        <v>47.5</v>
      </c>
      <c r="Q70">
        <v>5651</v>
      </c>
      <c r="T70" t="s">
        <v>254</v>
      </c>
      <c r="U70">
        <v>9843</v>
      </c>
      <c r="V70">
        <v>94</v>
      </c>
      <c r="W70">
        <v>0.26577000000000001</v>
      </c>
      <c r="X70">
        <v>1653</v>
      </c>
      <c r="Y70">
        <v>7735</v>
      </c>
      <c r="Z70">
        <v>145.4</v>
      </c>
      <c r="AA70">
        <v>127.9</v>
      </c>
      <c r="AB70">
        <v>9843</v>
      </c>
      <c r="AC70">
        <v>94</v>
      </c>
      <c r="AD70">
        <v>0.26577000000000001</v>
      </c>
      <c r="AE70">
        <v>1653</v>
      </c>
      <c r="AF70">
        <v>7735</v>
      </c>
      <c r="AG70">
        <v>145.4</v>
      </c>
      <c r="AH70">
        <v>127.9</v>
      </c>
      <c r="AK70" t="s">
        <v>415</v>
      </c>
      <c r="AV70">
        <v>44297</v>
      </c>
    </row>
    <row r="71" spans="5:48" x14ac:dyDescent="0.2">
      <c r="E71" t="s">
        <v>279</v>
      </c>
      <c r="F71">
        <v>260</v>
      </c>
      <c r="G71">
        <v>127</v>
      </c>
      <c r="H71">
        <v>2175</v>
      </c>
      <c r="I71">
        <v>1955</v>
      </c>
      <c r="J71">
        <v>332</v>
      </c>
      <c r="K71">
        <v>309</v>
      </c>
      <c r="L71">
        <v>207</v>
      </c>
      <c r="M71">
        <v>187</v>
      </c>
      <c r="N71">
        <v>105</v>
      </c>
      <c r="O71">
        <v>0</v>
      </c>
      <c r="Q71">
        <v>0</v>
      </c>
      <c r="T71" t="s">
        <v>255</v>
      </c>
      <c r="U71">
        <v>470655</v>
      </c>
      <c r="V71">
        <v>154.5</v>
      </c>
      <c r="W71">
        <v>0.49879000000000001</v>
      </c>
      <c r="X71">
        <v>70506</v>
      </c>
      <c r="Y71">
        <v>329185</v>
      </c>
      <c r="Z71">
        <v>205.8</v>
      </c>
      <c r="AA71">
        <v>205.2</v>
      </c>
      <c r="AB71">
        <v>470655</v>
      </c>
      <c r="AC71">
        <v>154.5</v>
      </c>
      <c r="AD71">
        <v>0.49879000000000001</v>
      </c>
      <c r="AE71">
        <v>70506</v>
      </c>
      <c r="AF71">
        <v>329185</v>
      </c>
      <c r="AG71">
        <v>205.8</v>
      </c>
      <c r="AH71">
        <v>205.2</v>
      </c>
      <c r="AK71" t="s">
        <v>7</v>
      </c>
      <c r="AL71">
        <v>195752</v>
      </c>
      <c r="AM71">
        <v>408.8</v>
      </c>
      <c r="AN71">
        <v>19364</v>
      </c>
      <c r="AO71">
        <v>60399</v>
      </c>
      <c r="AP71">
        <v>630</v>
      </c>
      <c r="AQ71">
        <v>21288</v>
      </c>
      <c r="AR71">
        <v>546.9</v>
      </c>
      <c r="AS71">
        <v>12617</v>
      </c>
      <c r="AT71">
        <v>170.4</v>
      </c>
      <c r="AU71">
        <v>419</v>
      </c>
      <c r="AV71">
        <v>290475</v>
      </c>
    </row>
    <row r="72" spans="5:48" x14ac:dyDescent="0.2">
      <c r="E72" t="s">
        <v>245</v>
      </c>
      <c r="F72">
        <v>8590</v>
      </c>
      <c r="G72">
        <v>775</v>
      </c>
      <c r="H72">
        <v>17846</v>
      </c>
      <c r="I72">
        <v>2445</v>
      </c>
      <c r="J72">
        <v>8012</v>
      </c>
      <c r="K72">
        <v>7922</v>
      </c>
      <c r="L72">
        <v>2372</v>
      </c>
      <c r="M72">
        <v>148</v>
      </c>
      <c r="N72">
        <v>1254</v>
      </c>
      <c r="O72">
        <v>1661</v>
      </c>
      <c r="P72">
        <v>81.3</v>
      </c>
      <c r="Q72">
        <v>11373</v>
      </c>
      <c r="T72" t="s">
        <v>93</v>
      </c>
      <c r="U72">
        <v>24362</v>
      </c>
      <c r="V72">
        <v>151.69999999999999</v>
      </c>
      <c r="W72">
        <v>0.48686000000000001</v>
      </c>
      <c r="X72">
        <v>2879</v>
      </c>
      <c r="Y72">
        <v>15320</v>
      </c>
      <c r="Z72">
        <v>219.5</v>
      </c>
      <c r="AA72">
        <v>207.6</v>
      </c>
      <c r="AB72">
        <v>23667</v>
      </c>
      <c r="AC72">
        <v>153.1</v>
      </c>
      <c r="AD72">
        <v>0.49553999999999998</v>
      </c>
      <c r="AE72">
        <v>2886</v>
      </c>
      <c r="AF72">
        <v>15751</v>
      </c>
      <c r="AG72">
        <v>221.7</v>
      </c>
      <c r="AH72">
        <v>211.5</v>
      </c>
    </row>
    <row r="73" spans="5:48" x14ac:dyDescent="0.2">
      <c r="E73" t="s">
        <v>251</v>
      </c>
      <c r="F73">
        <v>5474</v>
      </c>
      <c r="G73">
        <v>294</v>
      </c>
      <c r="H73">
        <v>14160</v>
      </c>
      <c r="I73">
        <v>318</v>
      </c>
      <c r="J73">
        <v>143</v>
      </c>
      <c r="K73">
        <v>132</v>
      </c>
      <c r="L73">
        <v>110</v>
      </c>
      <c r="M73">
        <v>43</v>
      </c>
      <c r="N73">
        <v>4360</v>
      </c>
      <c r="O73">
        <v>1676</v>
      </c>
      <c r="P73">
        <v>56.3</v>
      </c>
      <c r="Q73">
        <v>7373</v>
      </c>
      <c r="T73" t="s">
        <v>430</v>
      </c>
      <c r="U73">
        <v>841</v>
      </c>
      <c r="V73">
        <v>138.1</v>
      </c>
      <c r="W73">
        <v>0.35553000000000001</v>
      </c>
      <c r="X73">
        <v>19</v>
      </c>
      <c r="Y73">
        <v>131</v>
      </c>
      <c r="Z73">
        <v>267.60000000000002</v>
      </c>
      <c r="AA73">
        <v>248.6</v>
      </c>
      <c r="AB73">
        <v>2159</v>
      </c>
      <c r="AC73">
        <v>208.7</v>
      </c>
      <c r="AD73">
        <v>0.65864</v>
      </c>
      <c r="AE73">
        <v>5</v>
      </c>
      <c r="AF73">
        <v>74</v>
      </c>
      <c r="AG73">
        <v>363.8</v>
      </c>
      <c r="AH73">
        <v>246.9</v>
      </c>
    </row>
    <row r="74" spans="5:48" x14ac:dyDescent="0.2">
      <c r="E74" t="s">
        <v>253</v>
      </c>
      <c r="F74">
        <v>19666</v>
      </c>
      <c r="G74">
        <v>1637</v>
      </c>
      <c r="H74">
        <v>43960</v>
      </c>
      <c r="I74">
        <v>5161</v>
      </c>
      <c r="J74">
        <v>8709</v>
      </c>
      <c r="K74">
        <v>8364</v>
      </c>
      <c r="L74">
        <v>3099</v>
      </c>
      <c r="M74">
        <v>475</v>
      </c>
      <c r="N74">
        <v>6321</v>
      </c>
      <c r="O74">
        <v>3716</v>
      </c>
      <c r="P74">
        <v>65.900000000000006</v>
      </c>
      <c r="Q74">
        <v>24397</v>
      </c>
      <c r="T74" t="s">
        <v>152</v>
      </c>
      <c r="U74">
        <v>105700</v>
      </c>
      <c r="V74">
        <v>155.6</v>
      </c>
      <c r="W74">
        <v>0.49873000000000001</v>
      </c>
      <c r="X74">
        <v>17182</v>
      </c>
      <c r="Y74">
        <v>82159</v>
      </c>
      <c r="Z74">
        <v>197.3</v>
      </c>
      <c r="AA74">
        <v>193.8</v>
      </c>
      <c r="AB74">
        <v>103965</v>
      </c>
      <c r="AC74">
        <v>154.1</v>
      </c>
      <c r="AD74">
        <v>0.49169000000000002</v>
      </c>
      <c r="AE74">
        <v>16500</v>
      </c>
      <c r="AF74">
        <v>79394</v>
      </c>
      <c r="AG74">
        <v>195.6</v>
      </c>
      <c r="AH74">
        <v>193.6</v>
      </c>
    </row>
    <row r="75" spans="5:48" x14ac:dyDescent="0.2">
      <c r="T75" t="s">
        <v>256</v>
      </c>
      <c r="U75">
        <v>619</v>
      </c>
      <c r="V75">
        <v>147.6</v>
      </c>
      <c r="W75">
        <v>0.52019000000000004</v>
      </c>
      <c r="X75">
        <v>121</v>
      </c>
      <c r="Y75">
        <v>416</v>
      </c>
      <c r="Z75">
        <v>169.5</v>
      </c>
      <c r="AA75">
        <v>157.9</v>
      </c>
      <c r="AB75">
        <v>855</v>
      </c>
      <c r="AC75">
        <v>178.1</v>
      </c>
      <c r="AD75">
        <v>0.64678000000000002</v>
      </c>
      <c r="AE75">
        <v>177</v>
      </c>
      <c r="AF75">
        <v>628</v>
      </c>
      <c r="AG75">
        <v>201.3</v>
      </c>
      <c r="AH75">
        <v>195.1</v>
      </c>
    </row>
    <row r="76" spans="5:48" x14ac:dyDescent="0.2">
      <c r="T76" t="s">
        <v>95</v>
      </c>
      <c r="U76">
        <v>3392</v>
      </c>
      <c r="V76">
        <v>130.9</v>
      </c>
      <c r="W76">
        <v>0.42807000000000001</v>
      </c>
      <c r="X76">
        <v>484</v>
      </c>
      <c r="Y76">
        <v>2161</v>
      </c>
      <c r="Z76">
        <v>212.5</v>
      </c>
      <c r="AA76">
        <v>198.5</v>
      </c>
      <c r="AB76">
        <v>3271</v>
      </c>
      <c r="AC76">
        <v>130.5</v>
      </c>
      <c r="AD76">
        <v>0.43319999999999997</v>
      </c>
      <c r="AE76">
        <v>488</v>
      </c>
      <c r="AF76">
        <v>2179</v>
      </c>
      <c r="AG76">
        <v>216.1</v>
      </c>
      <c r="AH76">
        <v>200</v>
      </c>
    </row>
    <row r="77" spans="5:48" x14ac:dyDescent="0.2">
      <c r="R77" s="17"/>
      <c r="S77" s="17"/>
      <c r="T77" t="s">
        <v>96</v>
      </c>
      <c r="U77">
        <v>1328</v>
      </c>
      <c r="V77">
        <v>152.5</v>
      </c>
      <c r="W77">
        <v>0.51505999999999996</v>
      </c>
      <c r="X77">
        <v>140</v>
      </c>
      <c r="Y77">
        <v>751</v>
      </c>
      <c r="Z77">
        <v>236.8</v>
      </c>
      <c r="AA77">
        <v>244</v>
      </c>
      <c r="AB77">
        <v>1282</v>
      </c>
      <c r="AC77">
        <v>148.1</v>
      </c>
      <c r="AD77">
        <v>0.49687999999999999</v>
      </c>
      <c r="AE77">
        <v>125</v>
      </c>
      <c r="AF77">
        <v>672</v>
      </c>
      <c r="AG77">
        <v>234</v>
      </c>
      <c r="AH77">
        <v>230.3</v>
      </c>
    </row>
    <row r="78" spans="5:48" x14ac:dyDescent="0.2">
      <c r="T78" t="s">
        <v>257</v>
      </c>
      <c r="U78">
        <v>26296</v>
      </c>
      <c r="V78">
        <v>157.9</v>
      </c>
      <c r="W78">
        <v>0.52034999999999998</v>
      </c>
      <c r="X78">
        <v>3365</v>
      </c>
      <c r="Y78">
        <v>15419</v>
      </c>
      <c r="Z78">
        <v>226.7</v>
      </c>
      <c r="AA78">
        <v>224.4</v>
      </c>
      <c r="AB78">
        <v>21095</v>
      </c>
      <c r="AC78">
        <v>157.19999999999999</v>
      </c>
      <c r="AD78">
        <v>0.50836999999999999</v>
      </c>
      <c r="AE78">
        <v>2635</v>
      </c>
      <c r="AF78">
        <v>12512</v>
      </c>
      <c r="AG78">
        <v>236.7</v>
      </c>
      <c r="AH78">
        <v>226.8</v>
      </c>
    </row>
    <row r="79" spans="5:48" x14ac:dyDescent="0.2">
      <c r="P79" s="17"/>
      <c r="Q79" s="17"/>
      <c r="T79" t="s">
        <v>258</v>
      </c>
      <c r="U79">
        <v>3757</v>
      </c>
      <c r="V79">
        <v>87</v>
      </c>
      <c r="W79">
        <v>0.18498999999999999</v>
      </c>
      <c r="X79">
        <v>490</v>
      </c>
      <c r="Y79">
        <v>2916</v>
      </c>
      <c r="Z79">
        <v>117.2</v>
      </c>
      <c r="AA79">
        <v>96.8</v>
      </c>
      <c r="AB79">
        <v>4163</v>
      </c>
      <c r="AC79">
        <v>81.7</v>
      </c>
      <c r="AD79">
        <v>0.16694999999999999</v>
      </c>
      <c r="AE79">
        <v>492</v>
      </c>
      <c r="AF79">
        <v>2914</v>
      </c>
      <c r="AG79">
        <v>117</v>
      </c>
      <c r="AH79">
        <v>96.8</v>
      </c>
    </row>
    <row r="80" spans="5:48" x14ac:dyDescent="0.2">
      <c r="T80" t="s">
        <v>259</v>
      </c>
      <c r="U80">
        <v>4233</v>
      </c>
      <c r="V80">
        <v>105.3</v>
      </c>
      <c r="W80">
        <v>0.31820999999999999</v>
      </c>
      <c r="X80">
        <v>692</v>
      </c>
      <c r="Y80">
        <v>3439</v>
      </c>
      <c r="Z80">
        <v>157.6</v>
      </c>
      <c r="AA80">
        <v>139.9</v>
      </c>
      <c r="AB80">
        <v>4738</v>
      </c>
      <c r="AC80">
        <v>98.8</v>
      </c>
      <c r="AD80">
        <v>0.28893999999999997</v>
      </c>
      <c r="AE80">
        <v>696</v>
      </c>
      <c r="AF80">
        <v>3450</v>
      </c>
      <c r="AG80">
        <v>157.5</v>
      </c>
      <c r="AH80">
        <v>139.6</v>
      </c>
      <c r="AI80" s="17"/>
      <c r="AJ80" s="17"/>
    </row>
    <row r="81" spans="3:34" x14ac:dyDescent="0.2">
      <c r="T81" s="17"/>
      <c r="U81" s="17"/>
      <c r="V81" s="17"/>
      <c r="W81" s="17"/>
      <c r="X81" s="17"/>
      <c r="Y81" s="17"/>
      <c r="Z81" s="17"/>
      <c r="AA81" s="17"/>
      <c r="AB81" s="17"/>
      <c r="AC81" s="17"/>
      <c r="AD81" s="17"/>
      <c r="AE81" s="17"/>
      <c r="AF81" s="17"/>
      <c r="AG81" s="17"/>
      <c r="AH81" s="17"/>
    </row>
    <row r="83" spans="3:34" x14ac:dyDescent="0.2">
      <c r="C83" s="17"/>
      <c r="D83" s="17"/>
    </row>
    <row r="85" spans="3:34" x14ac:dyDescent="0.2">
      <c r="E85" s="17"/>
      <c r="F85" s="17"/>
      <c r="G85" s="17"/>
      <c r="H85" s="17"/>
      <c r="I85" s="17"/>
      <c r="J85" s="17"/>
      <c r="K85" s="17"/>
      <c r="L85" s="17"/>
      <c r="M85" s="17"/>
      <c r="N85" s="17"/>
      <c r="O85" s="17"/>
    </row>
    <row r="113" spans="1:37" x14ac:dyDescent="0.2">
      <c r="D113" s="300"/>
    </row>
    <row r="114" spans="1:37" x14ac:dyDescent="0.2">
      <c r="A114" s="299" t="s">
        <v>454</v>
      </c>
      <c r="B114" s="300"/>
      <c r="C114" s="300"/>
      <c r="D114" s="300"/>
    </row>
    <row r="115" spans="1:37" ht="13.5" thickBot="1" x14ac:dyDescent="0.25">
      <c r="A115" s="298" t="s">
        <v>449</v>
      </c>
      <c r="B115" s="298" t="s">
        <v>450</v>
      </c>
      <c r="C115" s="298" t="s">
        <v>451</v>
      </c>
      <c r="D115" s="298" t="s">
        <v>452</v>
      </c>
      <c r="E115" s="298" t="s">
        <v>453</v>
      </c>
    </row>
    <row r="116" spans="1:37" ht="13.5" thickBot="1" x14ac:dyDescent="0.25">
      <c r="A116" s="296" t="s">
        <v>264</v>
      </c>
      <c r="B116" s="297"/>
      <c r="C116" s="297"/>
      <c r="D116" s="79"/>
      <c r="E116" s="79"/>
      <c r="F116" s="79"/>
      <c r="G116" s="79"/>
      <c r="H116" s="79"/>
      <c r="I116" s="79"/>
      <c r="J116" s="79"/>
      <c r="K116" s="79"/>
      <c r="L116" s="79"/>
      <c r="M116" s="79"/>
      <c r="N116" s="79"/>
      <c r="O116" s="79"/>
      <c r="P116" s="79"/>
      <c r="Q116" s="79"/>
      <c r="R116" s="79"/>
      <c r="S116" s="79"/>
    </row>
    <row r="117" spans="1:37" x14ac:dyDescent="0.2">
      <c r="A117" s="39" t="s">
        <v>149</v>
      </c>
      <c r="B117" s="36" t="s">
        <v>46</v>
      </c>
      <c r="C117" s="36" t="s">
        <v>48</v>
      </c>
      <c r="D117" s="36" t="s">
        <v>33</v>
      </c>
      <c r="E117" s="36" t="s">
        <v>51</v>
      </c>
      <c r="F117" s="36" t="s">
        <v>55</v>
      </c>
      <c r="G117" s="36" t="s">
        <v>58</v>
      </c>
      <c r="H117" s="36" t="s">
        <v>62</v>
      </c>
      <c r="I117" s="36" t="s">
        <v>68</v>
      </c>
      <c r="J117" s="36" t="s">
        <v>74</v>
      </c>
      <c r="K117" s="36" t="s">
        <v>75</v>
      </c>
      <c r="L117" s="78" t="s">
        <v>261</v>
      </c>
      <c r="M117" s="36" t="s">
        <v>79</v>
      </c>
      <c r="N117" s="36" t="s">
        <v>81</v>
      </c>
      <c r="O117" s="36" t="s">
        <v>92</v>
      </c>
      <c r="P117" s="36" t="s">
        <v>256</v>
      </c>
      <c r="Q117" s="40" t="s">
        <v>96</v>
      </c>
      <c r="R117" s="36"/>
      <c r="T117" s="58"/>
      <c r="U117" s="58"/>
      <c r="V117" s="58"/>
      <c r="W117" s="58"/>
      <c r="X117" s="58"/>
      <c r="Y117" s="58"/>
      <c r="Z117" s="58"/>
      <c r="AA117" s="58"/>
      <c r="AB117" s="58"/>
      <c r="AC117" s="58"/>
      <c r="AD117" s="58"/>
      <c r="AE117" s="58"/>
      <c r="AF117" s="58"/>
      <c r="AG117" s="58"/>
      <c r="AH117" s="58"/>
      <c r="AI117" s="36"/>
      <c r="AJ117" s="36"/>
      <c r="AK117" s="36"/>
    </row>
    <row r="118" spans="1:37" x14ac:dyDescent="0.2">
      <c r="A118" s="39" t="s">
        <v>150</v>
      </c>
      <c r="B118" s="36" t="s">
        <v>34</v>
      </c>
      <c r="C118" s="36" t="s">
        <v>52</v>
      </c>
      <c r="D118" s="36" t="s">
        <v>61</v>
      </c>
      <c r="E118" s="5" t="s">
        <v>63</v>
      </c>
      <c r="F118" s="36" t="s">
        <v>67</v>
      </c>
      <c r="G118" s="36" t="s">
        <v>71</v>
      </c>
      <c r="H118" s="36" t="s">
        <v>72</v>
      </c>
      <c r="I118" s="36" t="s">
        <v>83</v>
      </c>
      <c r="J118" s="36" t="s">
        <v>86</v>
      </c>
      <c r="K118" s="36" t="s">
        <v>91</v>
      </c>
      <c r="L118" s="75" t="s">
        <v>260</v>
      </c>
      <c r="N118" s="36"/>
      <c r="O118" s="36"/>
      <c r="P118" s="36"/>
      <c r="Q118" s="40"/>
      <c r="R118" s="36"/>
      <c r="T118" s="36"/>
      <c r="U118" s="36"/>
      <c r="V118" s="36"/>
      <c r="W118" s="36"/>
      <c r="X118" s="36"/>
      <c r="Y118" s="36"/>
      <c r="Z118" s="36"/>
      <c r="AA118" s="36"/>
      <c r="AB118" s="36"/>
      <c r="AC118" s="36"/>
      <c r="AD118" s="36"/>
      <c r="AE118" s="36"/>
      <c r="AF118" s="36"/>
      <c r="AG118" s="36"/>
      <c r="AH118" s="36"/>
      <c r="AI118" s="36"/>
      <c r="AJ118" s="36"/>
      <c r="AK118" s="36"/>
    </row>
    <row r="119" spans="1:37" x14ac:dyDescent="0.2">
      <c r="A119" s="39" t="s">
        <v>151</v>
      </c>
      <c r="B119" s="36" t="s">
        <v>50</v>
      </c>
      <c r="C119" s="36" t="s">
        <v>54</v>
      </c>
      <c r="D119" s="36" t="s">
        <v>56</v>
      </c>
      <c r="E119" s="36" t="s">
        <v>60</v>
      </c>
      <c r="F119" s="36" t="s">
        <v>64</v>
      </c>
      <c r="G119" s="36" t="s">
        <v>65</v>
      </c>
      <c r="H119" s="5" t="s">
        <v>265</v>
      </c>
      <c r="I119" s="36" t="s">
        <v>36</v>
      </c>
      <c r="J119" s="36" t="s">
        <v>73</v>
      </c>
      <c r="K119" s="36" t="s">
        <v>88</v>
      </c>
      <c r="L119" s="36" t="s">
        <v>89</v>
      </c>
      <c r="M119" s="74" t="s">
        <v>266</v>
      </c>
      <c r="N119" s="36" t="s">
        <v>93</v>
      </c>
      <c r="O119" s="36" t="s">
        <v>95</v>
      </c>
      <c r="P119" s="36"/>
      <c r="Q119" s="40"/>
      <c r="R119" s="36"/>
      <c r="T119" s="36"/>
      <c r="U119" s="36"/>
      <c r="V119" s="36"/>
      <c r="W119" s="36"/>
      <c r="X119" s="36"/>
      <c r="Y119" s="36"/>
      <c r="Z119" s="36"/>
      <c r="AA119" s="36"/>
      <c r="AB119" s="36"/>
      <c r="AC119" s="36"/>
      <c r="AD119" s="36"/>
      <c r="AE119" s="36"/>
      <c r="AF119" s="36"/>
      <c r="AG119" s="36"/>
      <c r="AH119" s="36"/>
      <c r="AI119" s="36"/>
      <c r="AJ119" s="36"/>
      <c r="AK119" s="36"/>
    </row>
    <row r="120" spans="1:37" x14ac:dyDescent="0.2">
      <c r="A120" s="39" t="s">
        <v>152</v>
      </c>
      <c r="B120" s="36" t="s">
        <v>44</v>
      </c>
      <c r="C120" s="36" t="s">
        <v>45</v>
      </c>
      <c r="D120" s="36" t="s">
        <v>47</v>
      </c>
      <c r="E120" s="5" t="s">
        <v>49</v>
      </c>
      <c r="F120" s="5" t="s">
        <v>53</v>
      </c>
      <c r="G120" s="5" t="s">
        <v>205</v>
      </c>
      <c r="H120" s="36" t="s">
        <v>59</v>
      </c>
      <c r="I120" s="36" t="s">
        <v>66</v>
      </c>
      <c r="J120" s="36" t="s">
        <v>69</v>
      </c>
      <c r="K120" s="36" t="s">
        <v>76</v>
      </c>
      <c r="L120" s="36" t="s">
        <v>78</v>
      </c>
      <c r="M120" s="36" t="s">
        <v>80</v>
      </c>
      <c r="N120" s="36" t="s">
        <v>82</v>
      </c>
      <c r="O120" s="5" t="s">
        <v>263</v>
      </c>
      <c r="P120" s="5" t="s">
        <v>262</v>
      </c>
      <c r="Q120" s="40" t="s">
        <v>87</v>
      </c>
      <c r="R120" s="5"/>
      <c r="T120" s="36"/>
      <c r="U120" s="36"/>
      <c r="V120" s="36"/>
      <c r="W120" s="36"/>
      <c r="X120" s="36"/>
      <c r="Y120" s="36"/>
      <c r="Z120" s="36"/>
      <c r="AA120" s="36"/>
      <c r="AB120" s="36"/>
      <c r="AC120" s="36"/>
      <c r="AD120" s="36"/>
      <c r="AE120" s="36"/>
      <c r="AF120" s="36"/>
      <c r="AG120" s="36"/>
      <c r="AH120" s="36"/>
      <c r="AI120" s="36"/>
      <c r="AJ120" s="36"/>
      <c r="AK120" s="36"/>
    </row>
    <row r="121" spans="1:37" ht="13.5" thickBot="1" x14ac:dyDescent="0.25">
      <c r="A121" s="71" t="s">
        <v>9</v>
      </c>
      <c r="B121" s="72"/>
      <c r="C121" s="77"/>
      <c r="D121" s="77"/>
      <c r="E121" s="77"/>
      <c r="F121" s="77"/>
      <c r="G121" s="77"/>
      <c r="H121" s="77"/>
      <c r="I121" s="77"/>
      <c r="J121" s="77"/>
      <c r="K121" s="77"/>
      <c r="L121" s="77"/>
      <c r="M121" s="77"/>
      <c r="N121" s="77"/>
      <c r="O121" s="77"/>
      <c r="P121" s="77"/>
      <c r="Q121" s="77"/>
      <c r="R121" s="77"/>
      <c r="S121" s="77"/>
      <c r="T121" s="36"/>
      <c r="U121" s="36"/>
      <c r="V121" s="36"/>
      <c r="W121" s="36"/>
      <c r="X121" s="36"/>
      <c r="Y121" s="36"/>
      <c r="Z121" s="36"/>
      <c r="AA121" s="36"/>
      <c r="AB121" s="36"/>
      <c r="AC121" s="36"/>
      <c r="AD121" s="36"/>
      <c r="AE121" s="36"/>
      <c r="AF121" s="36"/>
      <c r="AG121" s="36"/>
      <c r="AH121" s="36"/>
      <c r="AI121" s="36"/>
      <c r="AJ121" s="36"/>
      <c r="AK121" s="36"/>
    </row>
    <row r="122" spans="1:37" x14ac:dyDescent="0.2">
      <c r="T122" s="36"/>
      <c r="U122" s="36"/>
      <c r="V122" s="36"/>
      <c r="W122" s="36"/>
      <c r="X122" s="36"/>
      <c r="Y122" s="36"/>
      <c r="Z122" s="36"/>
      <c r="AA122" s="36"/>
      <c r="AB122" s="36"/>
      <c r="AC122" s="36"/>
      <c r="AD122" s="36"/>
      <c r="AE122" s="36"/>
      <c r="AF122" s="36"/>
      <c r="AG122" s="36"/>
      <c r="AH122" s="36"/>
    </row>
    <row r="123" spans="1:37" x14ac:dyDescent="0.2">
      <c r="R123" s="37"/>
      <c r="S123" s="37"/>
    </row>
    <row r="124" spans="1:37" x14ac:dyDescent="0.2">
      <c r="R124" s="37"/>
      <c r="S124" s="37"/>
    </row>
    <row r="125" spans="1:37" ht="21" customHeight="1" x14ac:dyDescent="0.2">
      <c r="A125" s="37"/>
      <c r="B125" s="37"/>
      <c r="C125" s="37"/>
      <c r="H125" s="37"/>
      <c r="I125" s="37"/>
      <c r="J125" s="37"/>
      <c r="K125" s="37"/>
      <c r="L125" s="37"/>
      <c r="M125" s="37"/>
      <c r="N125" s="37"/>
      <c r="O125" s="37"/>
      <c r="P125" s="37"/>
      <c r="Q125" s="37"/>
      <c r="R125" s="37"/>
      <c r="S125" s="37"/>
    </row>
    <row r="126" spans="1:37" x14ac:dyDescent="0.2">
      <c r="H126" s="37"/>
      <c r="I126" s="37"/>
      <c r="J126" s="37"/>
      <c r="K126" s="37"/>
      <c r="L126" s="37"/>
      <c r="M126" s="37"/>
      <c r="N126" s="37"/>
      <c r="O126" s="37"/>
      <c r="P126" s="37"/>
      <c r="Q126" s="37"/>
      <c r="R126" s="37"/>
      <c r="S126" s="37"/>
    </row>
    <row r="127" spans="1:37" x14ac:dyDescent="0.2">
      <c r="H127" s="37"/>
      <c r="I127" s="37"/>
      <c r="J127" s="37"/>
      <c r="K127" s="37"/>
      <c r="L127" s="37"/>
      <c r="M127" s="37"/>
      <c r="N127" s="37"/>
      <c r="O127" s="37"/>
      <c r="P127" s="37"/>
      <c r="Q127" s="37"/>
      <c r="R127" s="37"/>
      <c r="S127" s="37"/>
    </row>
    <row r="128" spans="1:37" x14ac:dyDescent="0.2">
      <c r="H128" s="37"/>
      <c r="I128" s="37"/>
      <c r="J128" s="37"/>
      <c r="K128" s="37"/>
      <c r="L128" s="37"/>
      <c r="M128" s="37"/>
      <c r="N128" s="37"/>
      <c r="O128" s="37"/>
      <c r="P128" s="37"/>
      <c r="Q128" s="37"/>
      <c r="R128" s="37"/>
      <c r="S128" s="37"/>
    </row>
    <row r="129" spans="8:19" x14ac:dyDescent="0.2">
      <c r="H129" s="13"/>
      <c r="I129" s="13"/>
      <c r="J129" s="13"/>
      <c r="K129" s="13"/>
      <c r="L129" s="13"/>
      <c r="M129" s="13"/>
      <c r="N129" s="13"/>
      <c r="O129" s="13"/>
      <c r="P129" s="37"/>
      <c r="Q129" s="37"/>
      <c r="R129" s="37"/>
      <c r="S129" s="37"/>
    </row>
    <row r="130" spans="8:19" x14ac:dyDescent="0.2">
      <c r="H130" s="37"/>
      <c r="I130" s="37"/>
      <c r="J130" s="37"/>
      <c r="K130" s="37"/>
      <c r="L130" s="37"/>
      <c r="M130" s="37"/>
      <c r="N130" s="37"/>
      <c r="O130" s="37"/>
      <c r="P130" s="37"/>
      <c r="Q130" s="37"/>
    </row>
    <row r="131" spans="8:19" x14ac:dyDescent="0.2">
      <c r="H131" s="37"/>
      <c r="I131" s="37"/>
      <c r="J131" s="37"/>
      <c r="K131" s="37"/>
      <c r="L131" s="37"/>
      <c r="M131" s="37"/>
      <c r="N131" s="37"/>
      <c r="O131" s="37"/>
      <c r="P131" s="37"/>
      <c r="Q131" s="37"/>
    </row>
  </sheetData>
  <mergeCells count="4">
    <mergeCell ref="A1:C1"/>
    <mergeCell ref="AK1:AV1"/>
    <mergeCell ref="T1:AH1"/>
    <mergeCell ref="E1:Q1"/>
  </mergeCells>
  <pageMargins left="0.7" right="0.7" top="0.75" bottom="0.75" header="0.3" footer="0.3"/>
  <pageSetup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AQ89"/>
  <sheetViews>
    <sheetView zoomScale="70" zoomScaleNormal="70" workbookViewId="0"/>
  </sheetViews>
  <sheetFormatPr defaultRowHeight="12.75" x14ac:dyDescent="0.2"/>
  <cols>
    <col min="1" max="1" width="1.42578125" customWidth="1"/>
    <col min="2" max="2" width="1.5703125" customWidth="1"/>
    <col min="3" max="3" width="14.42578125" bestFit="1" customWidth="1"/>
    <col min="4" max="4" width="4.42578125" bestFit="1" customWidth="1"/>
    <col min="5" max="5" width="11.42578125" bestFit="1" customWidth="1"/>
    <col min="6" max="6" width="7.85546875" bestFit="1" customWidth="1"/>
    <col min="7" max="7" width="12.140625" bestFit="1" customWidth="1"/>
    <col min="8" max="8" width="2.42578125" customWidth="1"/>
    <col min="9" max="9" width="14.42578125" bestFit="1" customWidth="1"/>
    <col min="10" max="10" width="4.42578125" bestFit="1" customWidth="1"/>
    <col min="11" max="11" width="11.42578125" bestFit="1" customWidth="1"/>
    <col min="12" max="12" width="7.85546875" bestFit="1" customWidth="1"/>
    <col min="13" max="13" width="12.85546875" customWidth="1"/>
    <col min="14" max="16" width="2.5703125" customWidth="1"/>
    <col min="17" max="17" width="14.42578125" bestFit="1" customWidth="1"/>
    <col min="18" max="18" width="4.42578125" bestFit="1" customWidth="1"/>
    <col min="19" max="19" width="11.42578125" bestFit="1" customWidth="1"/>
    <col min="20" max="20" width="7.85546875" bestFit="1" customWidth="1"/>
    <col min="21" max="21" width="12.140625" bestFit="1" customWidth="1"/>
    <col min="22" max="22" width="2.28515625" customWidth="1"/>
    <col min="23" max="23" width="14.42578125" bestFit="1" customWidth="1"/>
    <col min="24" max="24" width="4.42578125" bestFit="1" customWidth="1"/>
    <col min="25" max="25" width="11.42578125" bestFit="1" customWidth="1"/>
    <col min="26" max="26" width="7.85546875" bestFit="1" customWidth="1"/>
    <col min="27" max="27" width="12.140625" bestFit="1" customWidth="1"/>
    <col min="28" max="28" width="2.7109375" customWidth="1"/>
    <col min="29" max="29" width="9.140625" customWidth="1"/>
    <col min="30" max="30" width="36.42578125" bestFit="1" customWidth="1"/>
    <col min="31" max="31" width="10.28515625" customWidth="1"/>
    <col min="32" max="32" width="14.5703125" bestFit="1" customWidth="1"/>
    <col min="33" max="33" width="12.5703125" bestFit="1" customWidth="1"/>
    <col min="34" max="34" width="10.140625" bestFit="1" customWidth="1"/>
    <col min="35" max="35" width="14.5703125" bestFit="1" customWidth="1"/>
    <col min="36" max="36" width="12.5703125" bestFit="1" customWidth="1"/>
    <col min="37" max="37" width="10.140625" bestFit="1" customWidth="1"/>
    <col min="38" max="38" width="14.5703125" bestFit="1" customWidth="1"/>
    <col min="39" max="39" width="12.5703125" bestFit="1" customWidth="1"/>
    <col min="40" max="40" width="10.140625" bestFit="1" customWidth="1"/>
    <col min="41" max="41" width="14.5703125" bestFit="1" customWidth="1"/>
    <col min="42" max="42" width="12.5703125" bestFit="1" customWidth="1"/>
    <col min="43" max="43" width="10.140625" bestFit="1" customWidth="1"/>
  </cols>
  <sheetData>
    <row r="1" spans="1:43" ht="12.75" customHeight="1" x14ac:dyDescent="0.2">
      <c r="A1" s="37"/>
      <c r="B1" s="618" t="s">
        <v>455</v>
      </c>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41"/>
      <c r="AC1" s="37"/>
      <c r="AD1" s="622" t="s">
        <v>456</v>
      </c>
      <c r="AE1" s="622"/>
      <c r="AF1" s="622"/>
      <c r="AG1" s="622"/>
      <c r="AH1" s="622"/>
      <c r="AI1" s="622"/>
      <c r="AJ1" s="622"/>
      <c r="AK1" s="622"/>
      <c r="AL1" s="622"/>
      <c r="AM1" s="622"/>
      <c r="AN1" s="622"/>
      <c r="AO1" s="622"/>
      <c r="AP1" s="622"/>
      <c r="AQ1" s="622"/>
    </row>
    <row r="2" spans="1:43" ht="13.5" customHeight="1" thickBot="1" x14ac:dyDescent="0.25">
      <c r="A2" s="37"/>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41"/>
      <c r="AC2" s="37"/>
      <c r="AD2" s="622"/>
      <c r="AE2" s="622"/>
      <c r="AF2" s="622"/>
      <c r="AG2" s="622"/>
      <c r="AH2" s="622"/>
      <c r="AI2" s="622"/>
      <c r="AJ2" s="622"/>
      <c r="AK2" s="622"/>
      <c r="AL2" s="622"/>
      <c r="AM2" s="622"/>
      <c r="AN2" s="622"/>
      <c r="AO2" s="622"/>
      <c r="AP2" s="622"/>
      <c r="AQ2" s="622"/>
    </row>
    <row r="3" spans="1:43" ht="21" thickTop="1" x14ac:dyDescent="0.2">
      <c r="A3" s="37"/>
      <c r="B3" s="616" t="s">
        <v>458</v>
      </c>
      <c r="C3" s="617"/>
      <c r="D3" s="617"/>
      <c r="E3" s="617"/>
      <c r="F3" s="605" t="s">
        <v>436</v>
      </c>
      <c r="G3" s="605"/>
      <c r="H3" s="605"/>
      <c r="I3" s="605"/>
      <c r="J3" s="605"/>
      <c r="K3" s="605"/>
      <c r="L3" s="605"/>
      <c r="M3" s="605"/>
      <c r="N3" s="621"/>
      <c r="O3" s="41"/>
      <c r="P3" s="616" t="s">
        <v>458</v>
      </c>
      <c r="Q3" s="617"/>
      <c r="R3" s="617"/>
      <c r="S3" s="617"/>
      <c r="T3" s="605" t="s">
        <v>437</v>
      </c>
      <c r="U3" s="605"/>
      <c r="V3" s="605"/>
      <c r="W3" s="605"/>
      <c r="X3" s="605"/>
      <c r="Y3" s="605"/>
      <c r="Z3" s="605"/>
      <c r="AA3" s="605"/>
      <c r="AB3" s="621"/>
      <c r="AC3" s="37"/>
      <c r="AF3" s="623" t="s">
        <v>220</v>
      </c>
      <c r="AG3" s="624"/>
      <c r="AH3" s="625"/>
      <c r="AI3" s="623" t="s">
        <v>221</v>
      </c>
      <c r="AJ3" s="624"/>
      <c r="AK3" s="625"/>
      <c r="AL3" s="623" t="s">
        <v>219</v>
      </c>
      <c r="AM3" s="624"/>
      <c r="AN3" s="625"/>
      <c r="AO3" s="623" t="s">
        <v>218</v>
      </c>
      <c r="AP3" s="624"/>
      <c r="AQ3" s="629"/>
    </row>
    <row r="4" spans="1:43" ht="13.5" customHeight="1" thickBot="1" x14ac:dyDescent="0.25">
      <c r="A4" s="37"/>
      <c r="B4" s="319"/>
      <c r="C4" s="614" t="s">
        <v>459</v>
      </c>
      <c r="D4" s="615"/>
      <c r="E4" s="599" t="s">
        <v>439</v>
      </c>
      <c r="F4" s="599"/>
      <c r="G4" s="599"/>
      <c r="H4" s="326"/>
      <c r="I4" s="326"/>
      <c r="J4" s="326"/>
      <c r="K4" s="599" t="s">
        <v>438</v>
      </c>
      <c r="L4" s="599"/>
      <c r="M4" s="600"/>
      <c r="N4" s="320"/>
      <c r="O4" s="41"/>
      <c r="P4" s="319"/>
      <c r="Q4" s="614" t="s">
        <v>459</v>
      </c>
      <c r="R4" s="615"/>
      <c r="S4" s="599" t="s">
        <v>439</v>
      </c>
      <c r="T4" s="599"/>
      <c r="U4" s="599"/>
      <c r="V4" s="326"/>
      <c r="W4" s="326"/>
      <c r="X4" s="326"/>
      <c r="Y4" s="599" t="s">
        <v>217</v>
      </c>
      <c r="Z4" s="599"/>
      <c r="AA4" s="600"/>
      <c r="AB4" s="320"/>
      <c r="AC4" s="37"/>
      <c r="AD4" s="631"/>
      <c r="AE4" s="631"/>
      <c r="AF4" s="626"/>
      <c r="AG4" s="627"/>
      <c r="AH4" s="628"/>
      <c r="AI4" s="626"/>
      <c r="AJ4" s="627"/>
      <c r="AK4" s="628"/>
      <c r="AL4" s="626"/>
      <c r="AM4" s="627"/>
      <c r="AN4" s="628"/>
      <c r="AO4" s="626"/>
      <c r="AP4" s="627"/>
      <c r="AQ4" s="630"/>
    </row>
    <row r="5" spans="1:43" ht="12.75" customHeight="1" thickBot="1" x14ac:dyDescent="0.25">
      <c r="A5" s="37"/>
      <c r="B5" s="316"/>
      <c r="C5" s="588" t="s">
        <v>460</v>
      </c>
      <c r="D5" s="589"/>
      <c r="E5" s="592" t="s">
        <v>221</v>
      </c>
      <c r="F5" s="592"/>
      <c r="G5" s="592"/>
      <c r="H5" s="327"/>
      <c r="I5" s="327"/>
      <c r="J5" s="327"/>
      <c r="K5" s="592" t="s">
        <v>220</v>
      </c>
      <c r="L5" s="592"/>
      <c r="M5" s="594"/>
      <c r="N5" s="312"/>
      <c r="O5" s="37"/>
      <c r="P5" s="316"/>
      <c r="Q5" s="619" t="s">
        <v>460</v>
      </c>
      <c r="R5" s="620"/>
      <c r="S5" s="592" t="s">
        <v>219</v>
      </c>
      <c r="T5" s="592"/>
      <c r="U5" s="592"/>
      <c r="V5" s="327"/>
      <c r="W5" s="327"/>
      <c r="X5" s="327"/>
      <c r="Y5" s="592" t="s">
        <v>218</v>
      </c>
      <c r="Z5" s="592"/>
      <c r="AA5" s="594"/>
      <c r="AB5" s="312"/>
      <c r="AC5" s="37"/>
      <c r="AD5" s="307"/>
      <c r="AE5" s="307"/>
      <c r="AF5" s="374"/>
      <c r="AG5" s="330"/>
      <c r="AH5" s="375"/>
      <c r="AI5" s="330"/>
      <c r="AJ5" s="330"/>
      <c r="AK5" s="330"/>
      <c r="AL5" s="374"/>
      <c r="AM5" s="330"/>
      <c r="AN5" s="375"/>
      <c r="AO5" s="330"/>
      <c r="AP5" s="330"/>
      <c r="AQ5" s="331"/>
    </row>
    <row r="6" spans="1:43" ht="13.5" thickTop="1" x14ac:dyDescent="0.2">
      <c r="A6" s="37"/>
      <c r="B6" s="316"/>
      <c r="C6" s="590"/>
      <c r="D6" s="591"/>
      <c r="E6" s="593"/>
      <c r="F6" s="593"/>
      <c r="G6" s="593"/>
      <c r="H6" s="329"/>
      <c r="I6" s="329"/>
      <c r="J6" s="329"/>
      <c r="K6" s="593"/>
      <c r="L6" s="593"/>
      <c r="M6" s="595"/>
      <c r="N6" s="312"/>
      <c r="O6" s="37"/>
      <c r="P6" s="316"/>
      <c r="Q6" s="328"/>
      <c r="R6" s="329"/>
      <c r="S6" s="593"/>
      <c r="T6" s="593"/>
      <c r="U6" s="593"/>
      <c r="V6" s="329"/>
      <c r="W6" s="329"/>
      <c r="X6" s="329"/>
      <c r="Y6" s="593"/>
      <c r="Z6" s="593"/>
      <c r="AA6" s="595"/>
      <c r="AB6" s="312"/>
      <c r="AC6" s="37"/>
      <c r="AD6" s="341"/>
      <c r="AE6" s="366"/>
      <c r="AF6" s="376" t="s">
        <v>158</v>
      </c>
      <c r="AG6" s="343" t="s">
        <v>156</v>
      </c>
      <c r="AH6" s="377" t="s">
        <v>157</v>
      </c>
      <c r="AI6" s="342" t="s">
        <v>158</v>
      </c>
      <c r="AJ6" s="343" t="s">
        <v>156</v>
      </c>
      <c r="AK6" s="393" t="s">
        <v>157</v>
      </c>
      <c r="AL6" s="376" t="s">
        <v>158</v>
      </c>
      <c r="AM6" s="343" t="s">
        <v>156</v>
      </c>
      <c r="AN6" s="377" t="s">
        <v>157</v>
      </c>
      <c r="AO6" s="342" t="s">
        <v>158</v>
      </c>
      <c r="AP6" s="343" t="s">
        <v>156</v>
      </c>
      <c r="AQ6" s="344" t="s">
        <v>157</v>
      </c>
    </row>
    <row r="7" spans="1:43" ht="13.5" thickBot="1" x14ac:dyDescent="0.25">
      <c r="A7" s="37"/>
      <c r="B7" s="316"/>
      <c r="C7" s="596" t="s">
        <v>461</v>
      </c>
      <c r="D7" s="606"/>
      <c r="E7" s="606"/>
      <c r="F7" s="606"/>
      <c r="G7" s="606"/>
      <c r="H7" s="37"/>
      <c r="I7" s="596" t="s">
        <v>461</v>
      </c>
      <c r="J7" s="606"/>
      <c r="K7" s="606"/>
      <c r="L7" s="606"/>
      <c r="M7" s="606"/>
      <c r="N7" s="312"/>
      <c r="O7" s="37"/>
      <c r="P7" s="316"/>
      <c r="Q7" s="596" t="s">
        <v>461</v>
      </c>
      <c r="R7" s="606"/>
      <c r="S7" s="606"/>
      <c r="T7" s="606"/>
      <c r="U7" s="606"/>
      <c r="V7" s="37"/>
      <c r="W7" s="596" t="s">
        <v>461</v>
      </c>
      <c r="X7" s="606"/>
      <c r="Y7" s="606"/>
      <c r="Z7" s="606"/>
      <c r="AA7" s="606"/>
      <c r="AB7" s="312"/>
      <c r="AC7" s="37"/>
      <c r="AD7" s="345" t="s">
        <v>7</v>
      </c>
      <c r="AE7" s="367" t="s">
        <v>214</v>
      </c>
      <c r="AF7" s="378">
        <v>0.96</v>
      </c>
      <c r="AG7" s="278">
        <v>606</v>
      </c>
      <c r="AH7" s="379">
        <v>15165</v>
      </c>
      <c r="AI7" s="304">
        <v>0.91500000000000004</v>
      </c>
      <c r="AJ7" s="278">
        <v>304</v>
      </c>
      <c r="AK7" s="394">
        <v>3578</v>
      </c>
      <c r="AL7" s="378">
        <v>0.90990000000000004</v>
      </c>
      <c r="AM7" s="278">
        <v>1302</v>
      </c>
      <c r="AN7" s="379">
        <v>14448</v>
      </c>
      <c r="AO7" s="304">
        <v>0.92330000000000001</v>
      </c>
      <c r="AP7" s="278">
        <v>1066</v>
      </c>
      <c r="AQ7" s="346">
        <v>13899</v>
      </c>
    </row>
    <row r="8" spans="1:43" ht="13.5" thickTop="1" x14ac:dyDescent="0.2">
      <c r="A8" s="37"/>
      <c r="B8" s="316"/>
      <c r="C8" s="407"/>
      <c r="D8" s="408"/>
      <c r="E8" s="409" t="s">
        <v>156</v>
      </c>
      <c r="F8" s="410" t="s">
        <v>157</v>
      </c>
      <c r="G8" s="411" t="s">
        <v>158</v>
      </c>
      <c r="H8" s="37"/>
      <c r="I8" s="420"/>
      <c r="J8" s="421"/>
      <c r="K8" s="422" t="s">
        <v>156</v>
      </c>
      <c r="L8" s="421" t="s">
        <v>157</v>
      </c>
      <c r="M8" s="423" t="s">
        <v>158</v>
      </c>
      <c r="N8" s="313"/>
      <c r="O8" s="37"/>
      <c r="P8" s="316"/>
      <c r="Q8" s="420"/>
      <c r="R8" s="421"/>
      <c r="S8" s="422" t="s">
        <v>156</v>
      </c>
      <c r="T8" s="421" t="s">
        <v>157</v>
      </c>
      <c r="U8" s="423" t="s">
        <v>158</v>
      </c>
      <c r="V8" s="37"/>
      <c r="W8" s="420"/>
      <c r="X8" s="421"/>
      <c r="Y8" s="422" t="s">
        <v>156</v>
      </c>
      <c r="Z8" s="421" t="s">
        <v>157</v>
      </c>
      <c r="AA8" s="423" t="s">
        <v>158</v>
      </c>
      <c r="AB8" s="313"/>
      <c r="AC8" s="37"/>
      <c r="AD8" s="347" t="s">
        <v>19</v>
      </c>
      <c r="AE8" s="280"/>
      <c r="AF8" s="380">
        <v>0.95125235658497176</v>
      </c>
      <c r="AG8" s="281">
        <v>181</v>
      </c>
      <c r="AH8" s="381">
        <v>3713</v>
      </c>
      <c r="AI8" s="368">
        <v>0.90900000000000003</v>
      </c>
      <c r="AJ8" s="281">
        <v>91</v>
      </c>
      <c r="AK8" s="395">
        <v>1000</v>
      </c>
      <c r="AL8" s="380">
        <v>0.90007401924500374</v>
      </c>
      <c r="AM8" s="281">
        <v>405</v>
      </c>
      <c r="AN8" s="381">
        <v>4053</v>
      </c>
      <c r="AO8" s="368">
        <v>0.90227507755946224</v>
      </c>
      <c r="AP8" s="281">
        <v>378</v>
      </c>
      <c r="AQ8" s="348">
        <v>3868</v>
      </c>
    </row>
    <row r="9" spans="1:43" x14ac:dyDescent="0.2">
      <c r="A9" s="37"/>
      <c r="B9" s="316"/>
      <c r="C9" s="412" t="s">
        <v>48</v>
      </c>
      <c r="D9" s="413" t="s">
        <v>159</v>
      </c>
      <c r="E9" s="414">
        <v>7</v>
      </c>
      <c r="F9" s="414">
        <v>63</v>
      </c>
      <c r="G9" s="415">
        <v>0.88890000000000002</v>
      </c>
      <c r="H9" s="37"/>
      <c r="I9" s="412" t="s">
        <v>48</v>
      </c>
      <c r="J9" s="413" t="s">
        <v>159</v>
      </c>
      <c r="K9" s="424">
        <v>9</v>
      </c>
      <c r="L9" s="424">
        <v>209</v>
      </c>
      <c r="M9" s="425">
        <v>0.95689999999999997</v>
      </c>
      <c r="N9" s="314"/>
      <c r="O9" s="37"/>
      <c r="P9" s="316"/>
      <c r="Q9" s="412" t="s">
        <v>48</v>
      </c>
      <c r="R9" s="413" t="s">
        <v>159</v>
      </c>
      <c r="S9" s="424">
        <v>15</v>
      </c>
      <c r="T9" s="424">
        <v>252</v>
      </c>
      <c r="U9" s="425">
        <v>0.9405</v>
      </c>
      <c r="V9" s="37"/>
      <c r="W9" s="412" t="s">
        <v>48</v>
      </c>
      <c r="X9" s="413" t="s">
        <v>159</v>
      </c>
      <c r="Y9" s="424">
        <v>25</v>
      </c>
      <c r="Z9" s="424">
        <v>249</v>
      </c>
      <c r="AA9" s="425">
        <v>0.89959999999999996</v>
      </c>
      <c r="AB9" s="314"/>
      <c r="AC9" s="37"/>
      <c r="AD9" s="349" t="s">
        <v>46</v>
      </c>
      <c r="AE9" s="282" t="s">
        <v>166</v>
      </c>
      <c r="AF9" s="382">
        <v>0.91869999999999996</v>
      </c>
      <c r="AG9" s="283">
        <v>17</v>
      </c>
      <c r="AH9" s="383">
        <v>209</v>
      </c>
      <c r="AI9" s="369">
        <v>0.85450000000000004</v>
      </c>
      <c r="AJ9" s="283">
        <v>8</v>
      </c>
      <c r="AK9" s="396">
        <v>55</v>
      </c>
      <c r="AL9" s="382">
        <v>0.82330000000000003</v>
      </c>
      <c r="AM9" s="283">
        <v>44</v>
      </c>
      <c r="AN9" s="383">
        <v>249</v>
      </c>
      <c r="AO9" s="369">
        <v>0.86160000000000003</v>
      </c>
      <c r="AP9" s="283">
        <v>31</v>
      </c>
      <c r="AQ9" s="350">
        <v>224</v>
      </c>
    </row>
    <row r="10" spans="1:43" x14ac:dyDescent="0.2">
      <c r="A10" s="37"/>
      <c r="B10" s="316"/>
      <c r="C10" s="412" t="s">
        <v>81</v>
      </c>
      <c r="D10" s="413" t="s">
        <v>160</v>
      </c>
      <c r="E10" s="414">
        <v>4</v>
      </c>
      <c r="F10" s="414">
        <v>65</v>
      </c>
      <c r="G10" s="415">
        <v>0.9385</v>
      </c>
      <c r="H10" s="37"/>
      <c r="I10" s="412" t="s">
        <v>81</v>
      </c>
      <c r="J10" s="413" t="s">
        <v>160</v>
      </c>
      <c r="K10" s="424">
        <v>9</v>
      </c>
      <c r="L10" s="424">
        <v>252</v>
      </c>
      <c r="M10" s="425">
        <v>0.96430000000000005</v>
      </c>
      <c r="N10" s="314"/>
      <c r="O10" s="37"/>
      <c r="P10" s="316"/>
      <c r="Q10" s="412" t="s">
        <v>81</v>
      </c>
      <c r="R10" s="413" t="s">
        <v>160</v>
      </c>
      <c r="S10" s="424">
        <v>15</v>
      </c>
      <c r="T10" s="424">
        <v>273</v>
      </c>
      <c r="U10" s="425">
        <v>0.94510000000000005</v>
      </c>
      <c r="V10" s="37"/>
      <c r="W10" s="412" t="s">
        <v>81</v>
      </c>
      <c r="X10" s="413" t="s">
        <v>160</v>
      </c>
      <c r="Y10" s="424">
        <v>25</v>
      </c>
      <c r="Z10" s="424">
        <v>264</v>
      </c>
      <c r="AA10" s="425">
        <v>0.90529999999999999</v>
      </c>
      <c r="AB10" s="314"/>
      <c r="AC10" s="37"/>
      <c r="AD10" s="349" t="s">
        <v>48</v>
      </c>
      <c r="AE10" s="282" t="s">
        <v>159</v>
      </c>
      <c r="AF10" s="382">
        <v>0.95689999999999997</v>
      </c>
      <c r="AG10" s="283">
        <v>9</v>
      </c>
      <c r="AH10" s="383">
        <v>209</v>
      </c>
      <c r="AI10" s="369">
        <v>0.88890000000000002</v>
      </c>
      <c r="AJ10" s="283">
        <v>7</v>
      </c>
      <c r="AK10" s="396">
        <v>63</v>
      </c>
      <c r="AL10" s="382">
        <v>0.9405</v>
      </c>
      <c r="AM10" s="283">
        <v>15</v>
      </c>
      <c r="AN10" s="383">
        <v>252</v>
      </c>
      <c r="AO10" s="369">
        <v>0.89959999999999996</v>
      </c>
      <c r="AP10" s="283">
        <v>25</v>
      </c>
      <c r="AQ10" s="350">
        <v>249</v>
      </c>
    </row>
    <row r="11" spans="1:43" x14ac:dyDescent="0.2">
      <c r="A11" s="37"/>
      <c r="B11" s="316"/>
      <c r="C11" s="412" t="s">
        <v>74</v>
      </c>
      <c r="D11" s="413" t="s">
        <v>161</v>
      </c>
      <c r="E11" s="414">
        <v>4</v>
      </c>
      <c r="F11" s="414">
        <v>61</v>
      </c>
      <c r="G11" s="415">
        <v>0.93440000000000001</v>
      </c>
      <c r="H11" s="37"/>
      <c r="I11" s="412" t="s">
        <v>74</v>
      </c>
      <c r="J11" s="413" t="s">
        <v>161</v>
      </c>
      <c r="K11" s="424">
        <v>14</v>
      </c>
      <c r="L11" s="424">
        <v>231</v>
      </c>
      <c r="M11" s="425">
        <v>0.93940000000000001</v>
      </c>
      <c r="N11" s="314"/>
      <c r="O11" s="37"/>
      <c r="P11" s="316"/>
      <c r="Q11" s="412" t="s">
        <v>74</v>
      </c>
      <c r="R11" s="413" t="s">
        <v>161</v>
      </c>
      <c r="S11" s="424">
        <v>18</v>
      </c>
      <c r="T11" s="424">
        <v>251</v>
      </c>
      <c r="U11" s="425">
        <v>0.92830000000000001</v>
      </c>
      <c r="V11" s="37"/>
      <c r="W11" s="412" t="s">
        <v>74</v>
      </c>
      <c r="X11" s="413" t="s">
        <v>161</v>
      </c>
      <c r="Y11" s="424">
        <v>23</v>
      </c>
      <c r="Z11" s="424">
        <v>239</v>
      </c>
      <c r="AA11" s="425">
        <v>0.90380000000000005</v>
      </c>
      <c r="AB11" s="314"/>
      <c r="AC11" s="37"/>
      <c r="AD11" s="349" t="s">
        <v>33</v>
      </c>
      <c r="AE11" s="282" t="s">
        <v>162</v>
      </c>
      <c r="AF11" s="382">
        <v>0.95099999999999996</v>
      </c>
      <c r="AG11" s="283">
        <v>10</v>
      </c>
      <c r="AH11" s="383">
        <v>204</v>
      </c>
      <c r="AI11" s="369">
        <v>0.91039999999999999</v>
      </c>
      <c r="AJ11" s="283">
        <v>6</v>
      </c>
      <c r="AK11" s="396">
        <v>67</v>
      </c>
      <c r="AL11" s="382">
        <v>0.90159999999999996</v>
      </c>
      <c r="AM11" s="283">
        <v>25</v>
      </c>
      <c r="AN11" s="383">
        <v>254</v>
      </c>
      <c r="AO11" s="369">
        <v>0.876</v>
      </c>
      <c r="AP11" s="283">
        <v>30</v>
      </c>
      <c r="AQ11" s="350">
        <v>242</v>
      </c>
    </row>
    <row r="12" spans="1:43" x14ac:dyDescent="0.2">
      <c r="A12" s="37"/>
      <c r="B12" s="316"/>
      <c r="C12" s="412" t="s">
        <v>33</v>
      </c>
      <c r="D12" s="413" t="s">
        <v>162</v>
      </c>
      <c r="E12" s="414">
        <v>6</v>
      </c>
      <c r="F12" s="414">
        <v>67</v>
      </c>
      <c r="G12" s="415">
        <v>0.91039999999999999</v>
      </c>
      <c r="H12" s="37"/>
      <c r="I12" s="412" t="s">
        <v>33</v>
      </c>
      <c r="J12" s="413" t="s">
        <v>162</v>
      </c>
      <c r="K12" s="424">
        <v>10</v>
      </c>
      <c r="L12" s="424">
        <v>204</v>
      </c>
      <c r="M12" s="425">
        <v>0.95099999999999996</v>
      </c>
      <c r="N12" s="314"/>
      <c r="O12" s="37"/>
      <c r="P12" s="316"/>
      <c r="Q12" s="412" t="s">
        <v>33</v>
      </c>
      <c r="R12" s="413" t="s">
        <v>162</v>
      </c>
      <c r="S12" s="424">
        <v>25</v>
      </c>
      <c r="T12" s="424">
        <v>254</v>
      </c>
      <c r="U12" s="425">
        <v>0.90159999999999996</v>
      </c>
      <c r="V12" s="37"/>
      <c r="W12" s="412" t="s">
        <v>33</v>
      </c>
      <c r="X12" s="413" t="s">
        <v>162</v>
      </c>
      <c r="Y12" s="424">
        <v>30</v>
      </c>
      <c r="Z12" s="424">
        <v>242</v>
      </c>
      <c r="AA12" s="425">
        <v>0.876</v>
      </c>
      <c r="AB12" s="314"/>
      <c r="AC12" s="37"/>
      <c r="AD12" s="349" t="s">
        <v>51</v>
      </c>
      <c r="AE12" s="282" t="s">
        <v>175</v>
      </c>
      <c r="AF12" s="382">
        <v>0.96240000000000003</v>
      </c>
      <c r="AG12" s="283">
        <v>10</v>
      </c>
      <c r="AH12" s="383">
        <v>266</v>
      </c>
      <c r="AI12" s="369">
        <v>0.9375</v>
      </c>
      <c r="AJ12" s="283">
        <v>4</v>
      </c>
      <c r="AK12" s="396">
        <v>64</v>
      </c>
      <c r="AL12" s="382">
        <v>0.90869999999999995</v>
      </c>
      <c r="AM12" s="283">
        <v>23</v>
      </c>
      <c r="AN12" s="383">
        <v>252</v>
      </c>
      <c r="AO12" s="369">
        <v>0.9234</v>
      </c>
      <c r="AP12" s="283">
        <v>19</v>
      </c>
      <c r="AQ12" s="350">
        <v>248</v>
      </c>
    </row>
    <row r="13" spans="1:43" x14ac:dyDescent="0.2">
      <c r="A13" s="37"/>
      <c r="B13" s="316"/>
      <c r="C13" s="412" t="s">
        <v>58</v>
      </c>
      <c r="D13" s="413" t="s">
        <v>163</v>
      </c>
      <c r="E13" s="414">
        <v>2</v>
      </c>
      <c r="F13" s="414">
        <v>69</v>
      </c>
      <c r="G13" s="415">
        <v>0.97099999999999997</v>
      </c>
      <c r="H13" s="37"/>
      <c r="I13" s="412" t="s">
        <v>58</v>
      </c>
      <c r="J13" s="413" t="s">
        <v>163</v>
      </c>
      <c r="K13" s="424">
        <v>4</v>
      </c>
      <c r="L13" s="424">
        <v>250</v>
      </c>
      <c r="M13" s="425">
        <v>0.98399999999999999</v>
      </c>
      <c r="N13" s="314"/>
      <c r="O13" s="37"/>
      <c r="P13" s="316"/>
      <c r="Q13" s="412" t="s">
        <v>58</v>
      </c>
      <c r="R13" s="413" t="s">
        <v>163</v>
      </c>
      <c r="S13" s="424">
        <v>10</v>
      </c>
      <c r="T13" s="424">
        <v>256</v>
      </c>
      <c r="U13" s="425">
        <v>0.96089999999999998</v>
      </c>
      <c r="V13" s="37"/>
      <c r="W13" s="412" t="s">
        <v>58</v>
      </c>
      <c r="X13" s="413" t="s">
        <v>163</v>
      </c>
      <c r="Y13" s="424">
        <v>12</v>
      </c>
      <c r="Z13" s="424">
        <v>237</v>
      </c>
      <c r="AA13" s="425">
        <v>0.94940000000000002</v>
      </c>
      <c r="AB13" s="314"/>
      <c r="AC13" s="37"/>
      <c r="AD13" s="349" t="s">
        <v>55</v>
      </c>
      <c r="AE13" s="282" t="s">
        <v>179</v>
      </c>
      <c r="AF13" s="382">
        <v>0.90710000000000002</v>
      </c>
      <c r="AG13" s="283">
        <v>21</v>
      </c>
      <c r="AH13" s="383">
        <v>226</v>
      </c>
      <c r="AI13" s="369">
        <v>0.8841</v>
      </c>
      <c r="AJ13" s="283">
        <v>8</v>
      </c>
      <c r="AK13" s="396">
        <v>69</v>
      </c>
      <c r="AL13" s="382">
        <v>0.88719999999999999</v>
      </c>
      <c r="AM13" s="283">
        <v>29</v>
      </c>
      <c r="AN13" s="383">
        <v>257</v>
      </c>
      <c r="AO13" s="369">
        <v>0.9</v>
      </c>
      <c r="AP13" s="283">
        <v>25</v>
      </c>
      <c r="AQ13" s="350">
        <v>250</v>
      </c>
    </row>
    <row r="14" spans="1:43" x14ac:dyDescent="0.2">
      <c r="A14" s="37"/>
      <c r="B14" s="316"/>
      <c r="C14" s="412" t="s">
        <v>75</v>
      </c>
      <c r="D14" s="413" t="s">
        <v>164</v>
      </c>
      <c r="E14" s="414">
        <v>6</v>
      </c>
      <c r="F14" s="414">
        <v>59</v>
      </c>
      <c r="G14" s="415">
        <v>0.89829999999999999</v>
      </c>
      <c r="H14" s="37"/>
      <c r="I14" s="412" t="s">
        <v>75</v>
      </c>
      <c r="J14" s="413" t="s">
        <v>164</v>
      </c>
      <c r="K14" s="424">
        <v>15</v>
      </c>
      <c r="L14" s="424">
        <v>204</v>
      </c>
      <c r="M14" s="425">
        <v>0.92649999999999999</v>
      </c>
      <c r="N14" s="314"/>
      <c r="O14" s="37"/>
      <c r="P14" s="316"/>
      <c r="Q14" s="412" t="s">
        <v>75</v>
      </c>
      <c r="R14" s="413" t="s">
        <v>164</v>
      </c>
      <c r="S14" s="424">
        <v>44</v>
      </c>
      <c r="T14" s="424">
        <v>248</v>
      </c>
      <c r="U14" s="425">
        <v>0.8226</v>
      </c>
      <c r="V14" s="37"/>
      <c r="W14" s="412" t="s">
        <v>75</v>
      </c>
      <c r="X14" s="413" t="s">
        <v>164</v>
      </c>
      <c r="Y14" s="424">
        <v>42</v>
      </c>
      <c r="Z14" s="424">
        <v>247</v>
      </c>
      <c r="AA14" s="425">
        <v>0.83</v>
      </c>
      <c r="AB14" s="314"/>
      <c r="AC14" s="37"/>
      <c r="AD14" s="349" t="s">
        <v>58</v>
      </c>
      <c r="AE14" s="282" t="s">
        <v>163</v>
      </c>
      <c r="AF14" s="382">
        <v>0.98399999999999999</v>
      </c>
      <c r="AG14" s="283">
        <v>4</v>
      </c>
      <c r="AH14" s="383">
        <v>250</v>
      </c>
      <c r="AI14" s="369">
        <v>0.97099999999999997</v>
      </c>
      <c r="AJ14" s="283">
        <v>2</v>
      </c>
      <c r="AK14" s="396">
        <v>69</v>
      </c>
      <c r="AL14" s="382">
        <v>0.96089999999999998</v>
      </c>
      <c r="AM14" s="283">
        <v>10</v>
      </c>
      <c r="AN14" s="383">
        <v>256</v>
      </c>
      <c r="AO14" s="369">
        <v>0.94940000000000002</v>
      </c>
      <c r="AP14" s="283">
        <v>12</v>
      </c>
      <c r="AQ14" s="350">
        <v>237</v>
      </c>
    </row>
    <row r="15" spans="1:43" x14ac:dyDescent="0.2">
      <c r="A15" s="37"/>
      <c r="B15" s="316"/>
      <c r="C15" s="412" t="s">
        <v>77</v>
      </c>
      <c r="D15" s="413" t="s">
        <v>115</v>
      </c>
      <c r="E15" s="414">
        <v>4</v>
      </c>
      <c r="F15" s="414">
        <v>69</v>
      </c>
      <c r="G15" s="415">
        <v>0.94199999999999995</v>
      </c>
      <c r="H15" s="37"/>
      <c r="I15" s="412" t="s">
        <v>77</v>
      </c>
      <c r="J15" s="413" t="s">
        <v>115</v>
      </c>
      <c r="K15" s="424">
        <v>6</v>
      </c>
      <c r="L15" s="424">
        <v>266</v>
      </c>
      <c r="M15" s="425">
        <v>0.97740000000000005</v>
      </c>
      <c r="N15" s="314"/>
      <c r="O15" s="37"/>
      <c r="P15" s="316"/>
      <c r="Q15" s="412" t="s">
        <v>77</v>
      </c>
      <c r="R15" s="413" t="s">
        <v>115</v>
      </c>
      <c r="S15" s="424">
        <v>28</v>
      </c>
      <c r="T15" s="424">
        <v>253</v>
      </c>
      <c r="U15" s="425">
        <v>0.88929999999999998</v>
      </c>
      <c r="V15" s="37"/>
      <c r="W15" s="412" t="s">
        <v>77</v>
      </c>
      <c r="X15" s="413" t="s">
        <v>115</v>
      </c>
      <c r="Y15" s="424">
        <v>19</v>
      </c>
      <c r="Z15" s="424">
        <v>230</v>
      </c>
      <c r="AA15" s="425">
        <v>0.91739999999999999</v>
      </c>
      <c r="AB15" s="314"/>
      <c r="AC15" s="37"/>
      <c r="AD15" s="349" t="s">
        <v>62</v>
      </c>
      <c r="AE15" s="282" t="s">
        <v>176</v>
      </c>
      <c r="AF15" s="382">
        <v>0.94669999999999999</v>
      </c>
      <c r="AG15" s="283">
        <v>12</v>
      </c>
      <c r="AH15" s="383">
        <v>225</v>
      </c>
      <c r="AI15" s="369">
        <v>0.88890000000000002</v>
      </c>
      <c r="AJ15" s="283">
        <v>7</v>
      </c>
      <c r="AK15" s="396">
        <v>63</v>
      </c>
      <c r="AL15" s="382">
        <v>0.92</v>
      </c>
      <c r="AM15" s="283">
        <v>20</v>
      </c>
      <c r="AN15" s="383">
        <v>250</v>
      </c>
      <c r="AO15" s="369">
        <v>0.90720000000000001</v>
      </c>
      <c r="AP15" s="283">
        <v>22</v>
      </c>
      <c r="AQ15" s="350">
        <v>237</v>
      </c>
    </row>
    <row r="16" spans="1:43" x14ac:dyDescent="0.2">
      <c r="A16" s="37"/>
      <c r="B16" s="316"/>
      <c r="C16" s="412" t="s">
        <v>79</v>
      </c>
      <c r="D16" s="413" t="s">
        <v>165</v>
      </c>
      <c r="E16" s="414">
        <v>5</v>
      </c>
      <c r="F16" s="414">
        <v>60</v>
      </c>
      <c r="G16" s="415">
        <v>0.91669999999999996</v>
      </c>
      <c r="H16" s="37"/>
      <c r="I16" s="412" t="s">
        <v>79</v>
      </c>
      <c r="J16" s="413" t="s">
        <v>165</v>
      </c>
      <c r="K16" s="424">
        <v>10</v>
      </c>
      <c r="L16" s="424">
        <v>263</v>
      </c>
      <c r="M16" s="425">
        <v>0.96199999999999997</v>
      </c>
      <c r="N16" s="314"/>
      <c r="O16" s="37"/>
      <c r="P16" s="316"/>
      <c r="Q16" s="412" t="s">
        <v>79</v>
      </c>
      <c r="R16" s="413" t="s">
        <v>165</v>
      </c>
      <c r="S16" s="424">
        <v>29</v>
      </c>
      <c r="T16" s="424">
        <v>249</v>
      </c>
      <c r="U16" s="425">
        <v>0.88349999999999995</v>
      </c>
      <c r="V16" s="37"/>
      <c r="W16" s="412" t="s">
        <v>79</v>
      </c>
      <c r="X16" s="413" t="s">
        <v>165</v>
      </c>
      <c r="Y16" s="424">
        <v>21</v>
      </c>
      <c r="Z16" s="424">
        <v>241</v>
      </c>
      <c r="AA16" s="425">
        <v>0.91290000000000004</v>
      </c>
      <c r="AB16" s="314"/>
      <c r="AC16" s="37"/>
      <c r="AD16" s="349" t="s">
        <v>68</v>
      </c>
      <c r="AE16" s="282" t="s">
        <v>201</v>
      </c>
      <c r="AF16" s="382">
        <v>0.95850000000000002</v>
      </c>
      <c r="AG16" s="283">
        <v>8</v>
      </c>
      <c r="AH16" s="383">
        <v>193</v>
      </c>
      <c r="AI16" s="369">
        <v>0.92979999999999996</v>
      </c>
      <c r="AJ16" s="283">
        <v>4</v>
      </c>
      <c r="AK16" s="396">
        <v>57</v>
      </c>
      <c r="AL16" s="382">
        <v>0.9073</v>
      </c>
      <c r="AM16" s="283">
        <v>23</v>
      </c>
      <c r="AN16" s="383">
        <v>248</v>
      </c>
      <c r="AO16" s="369">
        <v>0.91320000000000001</v>
      </c>
      <c r="AP16" s="283">
        <v>21</v>
      </c>
      <c r="AQ16" s="350">
        <v>242</v>
      </c>
    </row>
    <row r="17" spans="1:43" x14ac:dyDescent="0.2">
      <c r="A17" s="37"/>
      <c r="B17" s="316"/>
      <c r="C17" s="412" t="s">
        <v>46</v>
      </c>
      <c r="D17" s="413" t="s">
        <v>166</v>
      </c>
      <c r="E17" s="414">
        <v>8</v>
      </c>
      <c r="F17" s="414">
        <v>55</v>
      </c>
      <c r="G17" s="415">
        <v>0.85450000000000004</v>
      </c>
      <c r="H17" s="37"/>
      <c r="I17" s="412" t="s">
        <v>46</v>
      </c>
      <c r="J17" s="413" t="s">
        <v>166</v>
      </c>
      <c r="K17" s="424">
        <v>17</v>
      </c>
      <c r="L17" s="424">
        <v>209</v>
      </c>
      <c r="M17" s="425">
        <v>0.91869999999999996</v>
      </c>
      <c r="N17" s="314"/>
      <c r="O17" s="37"/>
      <c r="P17" s="316"/>
      <c r="Q17" s="412" t="s">
        <v>46</v>
      </c>
      <c r="R17" s="413" t="s">
        <v>166</v>
      </c>
      <c r="S17" s="424">
        <v>44</v>
      </c>
      <c r="T17" s="424">
        <v>249</v>
      </c>
      <c r="U17" s="425">
        <v>0.82330000000000003</v>
      </c>
      <c r="V17" s="37"/>
      <c r="W17" s="412" t="s">
        <v>46</v>
      </c>
      <c r="X17" s="413" t="s">
        <v>166</v>
      </c>
      <c r="Y17" s="424">
        <v>31</v>
      </c>
      <c r="Z17" s="424">
        <v>224</v>
      </c>
      <c r="AA17" s="425">
        <v>0.86160000000000003</v>
      </c>
      <c r="AB17" s="314"/>
      <c r="AC17" s="37"/>
      <c r="AD17" s="349" t="s">
        <v>74</v>
      </c>
      <c r="AE17" s="282" t="s">
        <v>161</v>
      </c>
      <c r="AF17" s="382">
        <v>0.93940000000000001</v>
      </c>
      <c r="AG17" s="283">
        <v>14</v>
      </c>
      <c r="AH17" s="383">
        <v>231</v>
      </c>
      <c r="AI17" s="369">
        <v>0.93440000000000001</v>
      </c>
      <c r="AJ17" s="283">
        <v>4</v>
      </c>
      <c r="AK17" s="396">
        <v>61</v>
      </c>
      <c r="AL17" s="382">
        <v>0.92830000000000001</v>
      </c>
      <c r="AM17" s="283">
        <v>18</v>
      </c>
      <c r="AN17" s="383">
        <v>251</v>
      </c>
      <c r="AO17" s="369">
        <v>0.90380000000000005</v>
      </c>
      <c r="AP17" s="283">
        <v>23</v>
      </c>
      <c r="AQ17" s="350">
        <v>239</v>
      </c>
    </row>
    <row r="18" spans="1:43" x14ac:dyDescent="0.2">
      <c r="A18" s="37"/>
      <c r="B18" s="316"/>
      <c r="C18" s="412" t="s">
        <v>83</v>
      </c>
      <c r="D18" s="413" t="s">
        <v>121</v>
      </c>
      <c r="E18" s="414">
        <v>5</v>
      </c>
      <c r="F18" s="414">
        <v>63</v>
      </c>
      <c r="G18" s="415">
        <v>0.92059999999999997</v>
      </c>
      <c r="H18" s="37"/>
      <c r="I18" s="412" t="s">
        <v>83</v>
      </c>
      <c r="J18" s="413" t="s">
        <v>121</v>
      </c>
      <c r="K18" s="424">
        <v>7</v>
      </c>
      <c r="L18" s="424">
        <v>315</v>
      </c>
      <c r="M18" s="425">
        <v>0.9778</v>
      </c>
      <c r="N18" s="314"/>
      <c r="O18" s="37"/>
      <c r="P18" s="316"/>
      <c r="Q18" s="412" t="s">
        <v>83</v>
      </c>
      <c r="R18" s="413" t="s">
        <v>121</v>
      </c>
      <c r="S18" s="424">
        <v>19</v>
      </c>
      <c r="T18" s="424">
        <v>254</v>
      </c>
      <c r="U18" s="425">
        <v>0.92520000000000002</v>
      </c>
      <c r="V18" s="37"/>
      <c r="W18" s="412" t="s">
        <v>83</v>
      </c>
      <c r="X18" s="413" t="s">
        <v>121</v>
      </c>
      <c r="Y18" s="424">
        <v>7</v>
      </c>
      <c r="Z18" s="424">
        <v>250</v>
      </c>
      <c r="AA18" s="425">
        <v>0.97199999999999998</v>
      </c>
      <c r="AB18" s="314"/>
      <c r="AC18" s="37"/>
      <c r="AD18" s="349" t="s">
        <v>75</v>
      </c>
      <c r="AE18" s="282" t="s">
        <v>164</v>
      </c>
      <c r="AF18" s="382">
        <v>0.92649999999999999</v>
      </c>
      <c r="AG18" s="283">
        <v>15</v>
      </c>
      <c r="AH18" s="383">
        <v>204</v>
      </c>
      <c r="AI18" s="369">
        <v>0.89829999999999999</v>
      </c>
      <c r="AJ18" s="283">
        <v>6</v>
      </c>
      <c r="AK18" s="396">
        <v>59</v>
      </c>
      <c r="AL18" s="382">
        <v>0.8226</v>
      </c>
      <c r="AM18" s="283">
        <v>44</v>
      </c>
      <c r="AN18" s="383">
        <v>248</v>
      </c>
      <c r="AO18" s="369">
        <v>0.83</v>
      </c>
      <c r="AP18" s="283">
        <v>42</v>
      </c>
      <c r="AQ18" s="350">
        <v>247</v>
      </c>
    </row>
    <row r="19" spans="1:43" x14ac:dyDescent="0.2">
      <c r="A19" s="37"/>
      <c r="B19" s="316"/>
      <c r="C19" s="412" t="s">
        <v>61</v>
      </c>
      <c r="D19" s="413" t="s">
        <v>167</v>
      </c>
      <c r="E19" s="414">
        <v>6</v>
      </c>
      <c r="F19" s="414">
        <v>64</v>
      </c>
      <c r="G19" s="415">
        <v>0.90629999999999999</v>
      </c>
      <c r="H19" s="37"/>
      <c r="I19" s="412" t="s">
        <v>61</v>
      </c>
      <c r="J19" s="413" t="s">
        <v>167</v>
      </c>
      <c r="K19" s="424">
        <v>11</v>
      </c>
      <c r="L19" s="424">
        <v>262</v>
      </c>
      <c r="M19" s="425">
        <v>0.95799999999999996</v>
      </c>
      <c r="N19" s="314"/>
      <c r="O19" s="37"/>
      <c r="P19" s="316"/>
      <c r="Q19" s="412" t="s">
        <v>61</v>
      </c>
      <c r="R19" s="413" t="s">
        <v>167</v>
      </c>
      <c r="S19" s="424">
        <v>24</v>
      </c>
      <c r="T19" s="424">
        <v>265</v>
      </c>
      <c r="U19" s="425">
        <v>0.90939999999999999</v>
      </c>
      <c r="V19" s="37"/>
      <c r="W19" s="412" t="s">
        <v>61</v>
      </c>
      <c r="X19" s="413" t="s">
        <v>167</v>
      </c>
      <c r="Y19" s="424">
        <v>15</v>
      </c>
      <c r="Z19" s="424">
        <v>258</v>
      </c>
      <c r="AA19" s="425">
        <v>0.94189999999999996</v>
      </c>
      <c r="AB19" s="314"/>
      <c r="AC19" s="37"/>
      <c r="AD19" s="349" t="s">
        <v>244</v>
      </c>
      <c r="AE19" s="282" t="s">
        <v>115</v>
      </c>
      <c r="AF19" s="382">
        <v>0.97740000000000005</v>
      </c>
      <c r="AG19" s="283">
        <v>6</v>
      </c>
      <c r="AH19" s="383">
        <v>266</v>
      </c>
      <c r="AI19" s="369">
        <v>0.94199999999999995</v>
      </c>
      <c r="AJ19" s="283">
        <v>4</v>
      </c>
      <c r="AK19" s="396">
        <v>69</v>
      </c>
      <c r="AL19" s="382">
        <v>0.88929999999999998</v>
      </c>
      <c r="AM19" s="283">
        <v>28</v>
      </c>
      <c r="AN19" s="383">
        <v>253</v>
      </c>
      <c r="AO19" s="369">
        <v>0.91739999999999999</v>
      </c>
      <c r="AP19" s="283">
        <v>19</v>
      </c>
      <c r="AQ19" s="350">
        <v>230</v>
      </c>
    </row>
    <row r="20" spans="1:43" x14ac:dyDescent="0.2">
      <c r="A20" s="37"/>
      <c r="B20" s="316"/>
      <c r="C20" s="412" t="s">
        <v>34</v>
      </c>
      <c r="D20" s="413" t="s">
        <v>168</v>
      </c>
      <c r="E20" s="414">
        <v>5</v>
      </c>
      <c r="F20" s="414">
        <v>62</v>
      </c>
      <c r="G20" s="415">
        <v>0.9194</v>
      </c>
      <c r="H20" s="37"/>
      <c r="I20" s="412" t="s">
        <v>34</v>
      </c>
      <c r="J20" s="413" t="s">
        <v>168</v>
      </c>
      <c r="K20" s="426">
        <v>19</v>
      </c>
      <c r="L20" s="426">
        <v>249</v>
      </c>
      <c r="M20" s="427">
        <v>0.92369999999999997</v>
      </c>
      <c r="N20" s="311"/>
      <c r="O20" s="37"/>
      <c r="P20" s="316"/>
      <c r="Q20" s="412" t="s">
        <v>34</v>
      </c>
      <c r="R20" s="413" t="s">
        <v>168</v>
      </c>
      <c r="S20" s="426">
        <v>22</v>
      </c>
      <c r="T20" s="426">
        <v>252</v>
      </c>
      <c r="U20" s="427">
        <v>0.91269999999999996</v>
      </c>
      <c r="V20" s="37"/>
      <c r="W20" s="412" t="s">
        <v>34</v>
      </c>
      <c r="X20" s="413" t="s">
        <v>168</v>
      </c>
      <c r="Y20" s="426">
        <v>33</v>
      </c>
      <c r="Z20" s="426">
        <v>247</v>
      </c>
      <c r="AA20" s="427">
        <v>0.86639999999999995</v>
      </c>
      <c r="AB20" s="311"/>
      <c r="AC20" s="37"/>
      <c r="AD20" s="349" t="s">
        <v>79</v>
      </c>
      <c r="AE20" s="282" t="s">
        <v>165</v>
      </c>
      <c r="AF20" s="382">
        <v>0.96199999999999997</v>
      </c>
      <c r="AG20" s="283">
        <v>10</v>
      </c>
      <c r="AH20" s="383">
        <v>263</v>
      </c>
      <c r="AI20" s="369">
        <v>0.91669999999999996</v>
      </c>
      <c r="AJ20" s="283">
        <v>5</v>
      </c>
      <c r="AK20" s="396">
        <v>60</v>
      </c>
      <c r="AL20" s="382">
        <v>0.88349999999999995</v>
      </c>
      <c r="AM20" s="283">
        <v>29</v>
      </c>
      <c r="AN20" s="383">
        <v>249</v>
      </c>
      <c r="AO20" s="369">
        <v>0.91290000000000004</v>
      </c>
      <c r="AP20" s="283">
        <v>21</v>
      </c>
      <c r="AQ20" s="350">
        <v>241</v>
      </c>
    </row>
    <row r="21" spans="1:43" x14ac:dyDescent="0.2">
      <c r="A21" s="37"/>
      <c r="B21" s="316"/>
      <c r="C21" s="412" t="s">
        <v>91</v>
      </c>
      <c r="D21" s="413" t="s">
        <v>169</v>
      </c>
      <c r="E21" s="414">
        <v>6</v>
      </c>
      <c r="F21" s="414">
        <v>62</v>
      </c>
      <c r="G21" s="415">
        <v>0.9032</v>
      </c>
      <c r="H21" s="37"/>
      <c r="I21" s="412" t="s">
        <v>91</v>
      </c>
      <c r="J21" s="413" t="s">
        <v>169</v>
      </c>
      <c r="K21" s="424">
        <v>9</v>
      </c>
      <c r="L21" s="424">
        <v>245</v>
      </c>
      <c r="M21" s="425">
        <v>0.96330000000000005</v>
      </c>
      <c r="N21" s="314"/>
      <c r="O21" s="37"/>
      <c r="P21" s="316"/>
      <c r="Q21" s="412" t="s">
        <v>91</v>
      </c>
      <c r="R21" s="413" t="s">
        <v>169</v>
      </c>
      <c r="S21" s="424">
        <v>22</v>
      </c>
      <c r="T21" s="424">
        <v>247</v>
      </c>
      <c r="U21" s="425">
        <v>0.91090000000000004</v>
      </c>
      <c r="V21" s="37"/>
      <c r="W21" s="412" t="s">
        <v>91</v>
      </c>
      <c r="X21" s="413" t="s">
        <v>169</v>
      </c>
      <c r="Y21" s="424">
        <v>19</v>
      </c>
      <c r="Z21" s="424">
        <v>248</v>
      </c>
      <c r="AA21" s="425">
        <v>0.9234</v>
      </c>
      <c r="AB21" s="314"/>
      <c r="AC21" s="37"/>
      <c r="AD21" s="349" t="s">
        <v>81</v>
      </c>
      <c r="AE21" s="282" t="s">
        <v>160</v>
      </c>
      <c r="AF21" s="382">
        <v>0.96430000000000005</v>
      </c>
      <c r="AG21" s="283">
        <v>9</v>
      </c>
      <c r="AH21" s="383">
        <v>252</v>
      </c>
      <c r="AI21" s="369">
        <v>0.9385</v>
      </c>
      <c r="AJ21" s="283">
        <v>4</v>
      </c>
      <c r="AK21" s="396">
        <v>65</v>
      </c>
      <c r="AL21" s="382">
        <v>0.94510000000000005</v>
      </c>
      <c r="AM21" s="283">
        <v>15</v>
      </c>
      <c r="AN21" s="383">
        <v>273</v>
      </c>
      <c r="AO21" s="369">
        <v>0.90529999999999999</v>
      </c>
      <c r="AP21" s="283">
        <v>25</v>
      </c>
      <c r="AQ21" s="350">
        <v>264</v>
      </c>
    </row>
    <row r="22" spans="1:43" x14ac:dyDescent="0.2">
      <c r="A22" s="37"/>
      <c r="B22" s="316"/>
      <c r="C22" s="412" t="s">
        <v>97</v>
      </c>
      <c r="D22" s="413" t="s">
        <v>170</v>
      </c>
      <c r="E22" s="414">
        <v>7</v>
      </c>
      <c r="F22" s="414">
        <v>67</v>
      </c>
      <c r="G22" s="415">
        <v>0.89549999999999996</v>
      </c>
      <c r="H22" s="37"/>
      <c r="I22" s="412" t="s">
        <v>97</v>
      </c>
      <c r="J22" s="413" t="s">
        <v>170</v>
      </c>
      <c r="K22" s="424">
        <v>19</v>
      </c>
      <c r="L22" s="424">
        <v>544</v>
      </c>
      <c r="M22" s="425">
        <v>0.96509999999999996</v>
      </c>
      <c r="N22" s="314"/>
      <c r="O22" s="37"/>
      <c r="P22" s="316"/>
      <c r="Q22" s="412" t="s">
        <v>97</v>
      </c>
      <c r="R22" s="413" t="s">
        <v>170</v>
      </c>
      <c r="S22" s="424">
        <v>23</v>
      </c>
      <c r="T22" s="424">
        <v>252</v>
      </c>
      <c r="U22" s="425">
        <v>0.90869999999999995</v>
      </c>
      <c r="V22" s="37"/>
      <c r="W22" s="412" t="s">
        <v>97</v>
      </c>
      <c r="X22" s="413" t="s">
        <v>170</v>
      </c>
      <c r="Y22" s="424">
        <v>20</v>
      </c>
      <c r="Z22" s="424">
        <v>244</v>
      </c>
      <c r="AA22" s="425">
        <v>0.91800000000000004</v>
      </c>
      <c r="AB22" s="314"/>
      <c r="AC22" s="37"/>
      <c r="AD22" s="351" t="s">
        <v>92</v>
      </c>
      <c r="AE22" s="282" t="s">
        <v>203</v>
      </c>
      <c r="AF22" s="382">
        <v>0.97089999999999999</v>
      </c>
      <c r="AG22" s="283">
        <v>9</v>
      </c>
      <c r="AH22" s="383">
        <v>309</v>
      </c>
      <c r="AI22" s="369">
        <v>0.875</v>
      </c>
      <c r="AJ22" s="283">
        <v>8</v>
      </c>
      <c r="AK22" s="396">
        <v>64</v>
      </c>
      <c r="AL22" s="382">
        <v>0.93020000000000003</v>
      </c>
      <c r="AM22" s="283">
        <v>18</v>
      </c>
      <c r="AN22" s="383">
        <v>258</v>
      </c>
      <c r="AO22" s="369">
        <v>0.98019999999999996</v>
      </c>
      <c r="AP22" s="283">
        <v>5</v>
      </c>
      <c r="AQ22" s="350">
        <v>252</v>
      </c>
    </row>
    <row r="23" spans="1:43" x14ac:dyDescent="0.2">
      <c r="A23" s="37"/>
      <c r="B23" s="316"/>
      <c r="C23" s="412" t="s">
        <v>52</v>
      </c>
      <c r="D23" s="413" t="s">
        <v>171</v>
      </c>
      <c r="E23" s="414">
        <v>2</v>
      </c>
      <c r="F23" s="414">
        <v>63</v>
      </c>
      <c r="G23" s="415">
        <v>0.96830000000000005</v>
      </c>
      <c r="H23" s="37"/>
      <c r="I23" s="412" t="s">
        <v>52</v>
      </c>
      <c r="J23" s="413" t="s">
        <v>171</v>
      </c>
      <c r="K23" s="424">
        <v>8</v>
      </c>
      <c r="L23" s="424">
        <v>284</v>
      </c>
      <c r="M23" s="425">
        <v>0.9718</v>
      </c>
      <c r="N23" s="314"/>
      <c r="O23" s="37"/>
      <c r="P23" s="316"/>
      <c r="Q23" s="412" t="s">
        <v>52</v>
      </c>
      <c r="R23" s="413" t="s">
        <v>171</v>
      </c>
      <c r="S23" s="424">
        <v>15</v>
      </c>
      <c r="T23" s="424">
        <v>257</v>
      </c>
      <c r="U23" s="425">
        <v>0.94159999999999999</v>
      </c>
      <c r="V23" s="37"/>
      <c r="W23" s="412" t="s">
        <v>52</v>
      </c>
      <c r="X23" s="413" t="s">
        <v>171</v>
      </c>
      <c r="Y23" s="424">
        <v>12</v>
      </c>
      <c r="Z23" s="424">
        <v>246</v>
      </c>
      <c r="AA23" s="425">
        <v>0.95120000000000005</v>
      </c>
      <c r="AB23" s="314"/>
      <c r="AC23" s="37"/>
      <c r="AD23" s="349" t="s">
        <v>256</v>
      </c>
      <c r="AE23" s="282" t="s">
        <v>105</v>
      </c>
      <c r="AF23" s="382">
        <v>0.93530000000000002</v>
      </c>
      <c r="AG23" s="283">
        <v>11</v>
      </c>
      <c r="AH23" s="383">
        <v>170</v>
      </c>
      <c r="AI23" s="369">
        <v>0.89090000000000003</v>
      </c>
      <c r="AJ23" s="283">
        <v>6</v>
      </c>
      <c r="AK23" s="396">
        <v>55</v>
      </c>
      <c r="AL23" s="382">
        <v>0.86799999999999999</v>
      </c>
      <c r="AM23" s="283">
        <v>33</v>
      </c>
      <c r="AN23" s="383">
        <v>250</v>
      </c>
      <c r="AO23" s="369">
        <v>0.85250000000000004</v>
      </c>
      <c r="AP23" s="283">
        <v>36</v>
      </c>
      <c r="AQ23" s="350">
        <v>244</v>
      </c>
    </row>
    <row r="24" spans="1:43" ht="13.5" thickBot="1" x14ac:dyDescent="0.25">
      <c r="A24" s="37"/>
      <c r="B24" s="316"/>
      <c r="C24" s="412" t="s">
        <v>72</v>
      </c>
      <c r="D24" s="413" t="s">
        <v>107</v>
      </c>
      <c r="E24" s="414">
        <v>7</v>
      </c>
      <c r="F24" s="414">
        <v>62</v>
      </c>
      <c r="G24" s="415">
        <v>0.8871</v>
      </c>
      <c r="H24" s="37"/>
      <c r="I24" s="412" t="s">
        <v>72</v>
      </c>
      <c r="J24" s="413" t="s">
        <v>107</v>
      </c>
      <c r="K24" s="424">
        <v>11</v>
      </c>
      <c r="L24" s="424">
        <v>272</v>
      </c>
      <c r="M24" s="425">
        <v>0.95960000000000001</v>
      </c>
      <c r="N24" s="314"/>
      <c r="O24" s="37"/>
      <c r="P24" s="316"/>
      <c r="Q24" s="412" t="s">
        <v>72</v>
      </c>
      <c r="R24" s="413" t="s">
        <v>107</v>
      </c>
      <c r="S24" s="424">
        <v>26</v>
      </c>
      <c r="T24" s="424">
        <v>252</v>
      </c>
      <c r="U24" s="425">
        <v>0.89680000000000004</v>
      </c>
      <c r="V24" s="37"/>
      <c r="W24" s="412" t="s">
        <v>72</v>
      </c>
      <c r="X24" s="413" t="s">
        <v>107</v>
      </c>
      <c r="Y24" s="424">
        <v>12</v>
      </c>
      <c r="Z24" s="424">
        <v>242</v>
      </c>
      <c r="AA24" s="425">
        <v>0.95040000000000002</v>
      </c>
      <c r="AB24" s="314"/>
      <c r="AC24" s="37"/>
      <c r="AD24" s="352" t="s">
        <v>96</v>
      </c>
      <c r="AE24" s="284" t="s">
        <v>212</v>
      </c>
      <c r="AF24" s="384">
        <v>0.93220000000000003</v>
      </c>
      <c r="AG24" s="285">
        <v>16</v>
      </c>
      <c r="AH24" s="385">
        <v>236</v>
      </c>
      <c r="AI24" s="370">
        <v>0.86670000000000003</v>
      </c>
      <c r="AJ24" s="285">
        <v>8</v>
      </c>
      <c r="AK24" s="397">
        <v>60</v>
      </c>
      <c r="AL24" s="384">
        <v>0.87749999999999995</v>
      </c>
      <c r="AM24" s="285">
        <v>31</v>
      </c>
      <c r="AN24" s="385">
        <v>253</v>
      </c>
      <c r="AO24" s="370">
        <v>0.90090000000000003</v>
      </c>
      <c r="AP24" s="285">
        <v>22</v>
      </c>
      <c r="AQ24" s="353">
        <v>222</v>
      </c>
    </row>
    <row r="25" spans="1:43" x14ac:dyDescent="0.2">
      <c r="A25" s="37"/>
      <c r="B25" s="316"/>
      <c r="C25" s="412" t="s">
        <v>73</v>
      </c>
      <c r="D25" s="413" t="s">
        <v>172</v>
      </c>
      <c r="E25" s="414">
        <v>4</v>
      </c>
      <c r="F25" s="414">
        <v>60</v>
      </c>
      <c r="G25" s="415">
        <v>0.93330000000000002</v>
      </c>
      <c r="H25" s="37"/>
      <c r="I25" s="412" t="s">
        <v>73</v>
      </c>
      <c r="J25" s="413" t="s">
        <v>172</v>
      </c>
      <c r="K25" s="424">
        <v>7</v>
      </c>
      <c r="L25" s="424">
        <v>215</v>
      </c>
      <c r="M25" s="425">
        <v>0.96740000000000004</v>
      </c>
      <c r="N25" s="314"/>
      <c r="O25" s="37"/>
      <c r="P25" s="316"/>
      <c r="Q25" s="412" t="s">
        <v>73</v>
      </c>
      <c r="R25" s="413" t="s">
        <v>172</v>
      </c>
      <c r="S25" s="424">
        <v>24</v>
      </c>
      <c r="T25" s="424">
        <v>251</v>
      </c>
      <c r="U25" s="425">
        <v>0.90439999999999998</v>
      </c>
      <c r="V25" s="37"/>
      <c r="W25" s="412" t="s">
        <v>73</v>
      </c>
      <c r="X25" s="413" t="s">
        <v>172</v>
      </c>
      <c r="Y25" s="424">
        <v>19</v>
      </c>
      <c r="Z25" s="424">
        <v>252</v>
      </c>
      <c r="AA25" s="425">
        <v>0.92459999999999998</v>
      </c>
      <c r="AB25" s="314"/>
      <c r="AC25" s="37"/>
      <c r="AD25" s="347" t="s">
        <v>20</v>
      </c>
      <c r="AE25" s="280"/>
      <c r="AF25" s="380">
        <v>0.95585996955859964</v>
      </c>
      <c r="AG25" s="281">
        <v>145</v>
      </c>
      <c r="AH25" s="381">
        <v>3285</v>
      </c>
      <c r="AI25" s="368">
        <v>0.90620490620490624</v>
      </c>
      <c r="AJ25" s="281">
        <v>65</v>
      </c>
      <c r="AK25" s="395">
        <v>693</v>
      </c>
      <c r="AL25" s="380">
        <v>0.9097421203438395</v>
      </c>
      <c r="AM25" s="281">
        <v>252</v>
      </c>
      <c r="AN25" s="381">
        <v>2792</v>
      </c>
      <c r="AO25" s="368">
        <v>0.91980783444198078</v>
      </c>
      <c r="AP25" s="281">
        <v>217</v>
      </c>
      <c r="AQ25" s="348">
        <v>2706</v>
      </c>
    </row>
    <row r="26" spans="1:43" x14ac:dyDescent="0.2">
      <c r="A26" s="37"/>
      <c r="B26" s="316"/>
      <c r="C26" s="412" t="s">
        <v>71</v>
      </c>
      <c r="D26" s="413" t="s">
        <v>173</v>
      </c>
      <c r="E26" s="414">
        <v>8</v>
      </c>
      <c r="F26" s="414">
        <v>61</v>
      </c>
      <c r="G26" s="415">
        <v>0.86890000000000001</v>
      </c>
      <c r="H26" s="37"/>
      <c r="I26" s="412" t="s">
        <v>71</v>
      </c>
      <c r="J26" s="413" t="s">
        <v>173</v>
      </c>
      <c r="K26" s="424">
        <v>24</v>
      </c>
      <c r="L26" s="424">
        <v>310</v>
      </c>
      <c r="M26" s="425">
        <v>0.92259999999999998</v>
      </c>
      <c r="N26" s="314"/>
      <c r="O26" s="37"/>
      <c r="P26" s="316"/>
      <c r="Q26" s="412" t="s">
        <v>71</v>
      </c>
      <c r="R26" s="413" t="s">
        <v>173</v>
      </c>
      <c r="S26" s="424">
        <v>26</v>
      </c>
      <c r="T26" s="424">
        <v>249</v>
      </c>
      <c r="U26" s="425">
        <v>0.89559999999999995</v>
      </c>
      <c r="V26" s="37"/>
      <c r="W26" s="412" t="s">
        <v>71</v>
      </c>
      <c r="X26" s="413" t="s">
        <v>173</v>
      </c>
      <c r="Y26" s="424">
        <v>14</v>
      </c>
      <c r="Z26" s="424">
        <v>236</v>
      </c>
      <c r="AA26" s="425">
        <v>0.94069999999999998</v>
      </c>
      <c r="AB26" s="314"/>
      <c r="AC26" s="37"/>
      <c r="AD26" s="349" t="s">
        <v>34</v>
      </c>
      <c r="AE26" s="282" t="s">
        <v>168</v>
      </c>
      <c r="AF26" s="382">
        <v>0.92369999999999997</v>
      </c>
      <c r="AG26" s="283">
        <v>19</v>
      </c>
      <c r="AH26" s="383">
        <v>249</v>
      </c>
      <c r="AI26" s="369">
        <v>0.9194</v>
      </c>
      <c r="AJ26" s="283">
        <v>5</v>
      </c>
      <c r="AK26" s="396">
        <v>62</v>
      </c>
      <c r="AL26" s="382">
        <v>0.91269999999999996</v>
      </c>
      <c r="AM26" s="283">
        <v>22</v>
      </c>
      <c r="AN26" s="383">
        <v>252</v>
      </c>
      <c r="AO26" s="369">
        <v>0.86639999999999995</v>
      </c>
      <c r="AP26" s="283">
        <v>33</v>
      </c>
      <c r="AQ26" s="350">
        <v>247</v>
      </c>
    </row>
    <row r="27" spans="1:43" x14ac:dyDescent="0.2">
      <c r="A27" s="37"/>
      <c r="B27" s="316"/>
      <c r="C27" s="412" t="s">
        <v>63</v>
      </c>
      <c r="D27" s="413" t="s">
        <v>174</v>
      </c>
      <c r="E27" s="414">
        <v>8</v>
      </c>
      <c r="F27" s="414">
        <v>62</v>
      </c>
      <c r="G27" s="415">
        <v>0.871</v>
      </c>
      <c r="H27" s="37"/>
      <c r="I27" s="412" t="s">
        <v>63</v>
      </c>
      <c r="J27" s="413" t="s">
        <v>174</v>
      </c>
      <c r="K27" s="424">
        <v>19</v>
      </c>
      <c r="L27" s="424">
        <v>256</v>
      </c>
      <c r="M27" s="425">
        <v>0.92579999999999996</v>
      </c>
      <c r="N27" s="314"/>
      <c r="O27" s="37"/>
      <c r="P27" s="316"/>
      <c r="Q27" s="412" t="s">
        <v>63</v>
      </c>
      <c r="R27" s="413" t="s">
        <v>174</v>
      </c>
      <c r="S27" s="424">
        <v>17</v>
      </c>
      <c r="T27" s="424">
        <v>252</v>
      </c>
      <c r="U27" s="425">
        <v>0.9325</v>
      </c>
      <c r="V27" s="37"/>
      <c r="W27" s="412" t="s">
        <v>63</v>
      </c>
      <c r="X27" s="413" t="s">
        <v>174</v>
      </c>
      <c r="Y27" s="424">
        <v>33</v>
      </c>
      <c r="Z27" s="424">
        <v>254</v>
      </c>
      <c r="AA27" s="425">
        <v>0.87009999999999998</v>
      </c>
      <c r="AB27" s="314"/>
      <c r="AC27" s="37"/>
      <c r="AD27" s="349" t="s">
        <v>52</v>
      </c>
      <c r="AE27" s="282" t="s">
        <v>171</v>
      </c>
      <c r="AF27" s="382">
        <v>0.9718</v>
      </c>
      <c r="AG27" s="283">
        <v>8</v>
      </c>
      <c r="AH27" s="383">
        <v>284</v>
      </c>
      <c r="AI27" s="369">
        <v>0.96830000000000005</v>
      </c>
      <c r="AJ27" s="283">
        <v>2</v>
      </c>
      <c r="AK27" s="396">
        <v>63</v>
      </c>
      <c r="AL27" s="382">
        <v>0.94159999999999999</v>
      </c>
      <c r="AM27" s="283">
        <v>15</v>
      </c>
      <c r="AN27" s="383">
        <v>257</v>
      </c>
      <c r="AO27" s="369">
        <v>0.95120000000000005</v>
      </c>
      <c r="AP27" s="283">
        <v>12</v>
      </c>
      <c r="AQ27" s="350">
        <v>246</v>
      </c>
    </row>
    <row r="28" spans="1:43" x14ac:dyDescent="0.2">
      <c r="A28" s="37"/>
      <c r="B28" s="316"/>
      <c r="C28" s="412" t="s">
        <v>51</v>
      </c>
      <c r="D28" s="413" t="s">
        <v>175</v>
      </c>
      <c r="E28" s="414">
        <v>4</v>
      </c>
      <c r="F28" s="414">
        <v>64</v>
      </c>
      <c r="G28" s="415">
        <v>0.9375</v>
      </c>
      <c r="H28" s="37"/>
      <c r="I28" s="412" t="s">
        <v>51</v>
      </c>
      <c r="J28" s="413" t="s">
        <v>175</v>
      </c>
      <c r="K28" s="424">
        <v>10</v>
      </c>
      <c r="L28" s="424">
        <v>266</v>
      </c>
      <c r="M28" s="425">
        <v>0.96240000000000003</v>
      </c>
      <c r="N28" s="314"/>
      <c r="O28" s="37"/>
      <c r="P28" s="316"/>
      <c r="Q28" s="412" t="s">
        <v>51</v>
      </c>
      <c r="R28" s="413" t="s">
        <v>175</v>
      </c>
      <c r="S28" s="424">
        <v>23</v>
      </c>
      <c r="T28" s="424">
        <v>252</v>
      </c>
      <c r="U28" s="425">
        <v>0.90869999999999995</v>
      </c>
      <c r="V28" s="37"/>
      <c r="W28" s="412" t="s">
        <v>51</v>
      </c>
      <c r="X28" s="413" t="s">
        <v>175</v>
      </c>
      <c r="Y28" s="424">
        <v>19</v>
      </c>
      <c r="Z28" s="424">
        <v>248</v>
      </c>
      <c r="AA28" s="425">
        <v>0.9234</v>
      </c>
      <c r="AB28" s="314"/>
      <c r="AC28" s="37"/>
      <c r="AD28" s="349" t="s">
        <v>61</v>
      </c>
      <c r="AE28" s="282" t="s">
        <v>167</v>
      </c>
      <c r="AF28" s="382">
        <v>0.95799999999999996</v>
      </c>
      <c r="AG28" s="283">
        <v>11</v>
      </c>
      <c r="AH28" s="383">
        <v>262</v>
      </c>
      <c r="AI28" s="369">
        <v>0.90629999999999999</v>
      </c>
      <c r="AJ28" s="283">
        <v>6</v>
      </c>
      <c r="AK28" s="396">
        <v>64</v>
      </c>
      <c r="AL28" s="382">
        <v>0.90939999999999999</v>
      </c>
      <c r="AM28" s="283">
        <v>24</v>
      </c>
      <c r="AN28" s="383">
        <v>265</v>
      </c>
      <c r="AO28" s="369">
        <v>0.94189999999999996</v>
      </c>
      <c r="AP28" s="283">
        <v>15</v>
      </c>
      <c r="AQ28" s="350">
        <v>258</v>
      </c>
    </row>
    <row r="29" spans="1:43" x14ac:dyDescent="0.2">
      <c r="A29" s="37"/>
      <c r="B29" s="316"/>
      <c r="C29" s="412" t="s">
        <v>62</v>
      </c>
      <c r="D29" s="413" t="s">
        <v>176</v>
      </c>
      <c r="E29" s="414">
        <v>7</v>
      </c>
      <c r="F29" s="414">
        <v>63</v>
      </c>
      <c r="G29" s="415">
        <v>0.88890000000000002</v>
      </c>
      <c r="H29" s="37"/>
      <c r="I29" s="412" t="s">
        <v>62</v>
      </c>
      <c r="J29" s="413" t="s">
        <v>176</v>
      </c>
      <c r="K29" s="424">
        <v>12</v>
      </c>
      <c r="L29" s="424">
        <v>225</v>
      </c>
      <c r="M29" s="425">
        <v>0.94669999999999999</v>
      </c>
      <c r="N29" s="314"/>
      <c r="O29" s="37"/>
      <c r="P29" s="316"/>
      <c r="Q29" s="412" t="s">
        <v>62</v>
      </c>
      <c r="R29" s="413" t="s">
        <v>176</v>
      </c>
      <c r="S29" s="424">
        <v>20</v>
      </c>
      <c r="T29" s="424">
        <v>250</v>
      </c>
      <c r="U29" s="425">
        <v>0.92</v>
      </c>
      <c r="V29" s="37"/>
      <c r="W29" s="412" t="s">
        <v>62</v>
      </c>
      <c r="X29" s="413" t="s">
        <v>176</v>
      </c>
      <c r="Y29" s="424">
        <v>22</v>
      </c>
      <c r="Z29" s="424">
        <v>237</v>
      </c>
      <c r="AA29" s="425">
        <v>0.90720000000000001</v>
      </c>
      <c r="AB29" s="314"/>
      <c r="AC29" s="37"/>
      <c r="AD29" s="349" t="s">
        <v>63</v>
      </c>
      <c r="AE29" s="282" t="s">
        <v>174</v>
      </c>
      <c r="AF29" s="382">
        <v>0.92579999999999996</v>
      </c>
      <c r="AG29" s="283">
        <v>19</v>
      </c>
      <c r="AH29" s="383">
        <v>256</v>
      </c>
      <c r="AI29" s="369">
        <v>0.871</v>
      </c>
      <c r="AJ29" s="283">
        <v>8</v>
      </c>
      <c r="AK29" s="396">
        <v>62</v>
      </c>
      <c r="AL29" s="382">
        <v>0.9325</v>
      </c>
      <c r="AM29" s="283">
        <v>17</v>
      </c>
      <c r="AN29" s="383">
        <v>252</v>
      </c>
      <c r="AO29" s="369">
        <v>0.87009999999999998</v>
      </c>
      <c r="AP29" s="283">
        <v>33</v>
      </c>
      <c r="AQ29" s="350">
        <v>254</v>
      </c>
    </row>
    <row r="30" spans="1:43" x14ac:dyDescent="0.2">
      <c r="A30" s="37"/>
      <c r="B30" s="316"/>
      <c r="C30" s="412" t="s">
        <v>67</v>
      </c>
      <c r="D30" s="413" t="s">
        <v>177</v>
      </c>
      <c r="E30" s="414">
        <v>5</v>
      </c>
      <c r="F30" s="414">
        <v>63</v>
      </c>
      <c r="G30" s="415">
        <v>0.92059999999999997</v>
      </c>
      <c r="H30" s="37"/>
      <c r="I30" s="412" t="s">
        <v>67</v>
      </c>
      <c r="J30" s="413" t="s">
        <v>177</v>
      </c>
      <c r="K30" s="424">
        <v>11</v>
      </c>
      <c r="L30" s="424">
        <v>208</v>
      </c>
      <c r="M30" s="425">
        <v>0.94710000000000005</v>
      </c>
      <c r="N30" s="314"/>
      <c r="O30" s="37"/>
      <c r="P30" s="316"/>
      <c r="Q30" s="412" t="s">
        <v>67</v>
      </c>
      <c r="R30" s="413" t="s">
        <v>177</v>
      </c>
      <c r="S30" s="424">
        <v>28</v>
      </c>
      <c r="T30" s="424">
        <v>258</v>
      </c>
      <c r="U30" s="425">
        <v>0.89149999999999996</v>
      </c>
      <c r="V30" s="37"/>
      <c r="W30" s="412" t="s">
        <v>67</v>
      </c>
      <c r="X30" s="413" t="s">
        <v>177</v>
      </c>
      <c r="Y30" s="424">
        <v>28</v>
      </c>
      <c r="Z30" s="424">
        <v>230</v>
      </c>
      <c r="AA30" s="425">
        <v>0.87829999999999997</v>
      </c>
      <c r="AB30" s="314"/>
      <c r="AC30" s="37"/>
      <c r="AD30" s="349" t="s">
        <v>67</v>
      </c>
      <c r="AE30" s="282" t="s">
        <v>177</v>
      </c>
      <c r="AF30" s="382">
        <v>0.94710000000000005</v>
      </c>
      <c r="AG30" s="283">
        <v>11</v>
      </c>
      <c r="AH30" s="383">
        <v>208</v>
      </c>
      <c r="AI30" s="369">
        <v>0.92059999999999997</v>
      </c>
      <c r="AJ30" s="283">
        <v>5</v>
      </c>
      <c r="AK30" s="396">
        <v>63</v>
      </c>
      <c r="AL30" s="382">
        <v>0.89149999999999996</v>
      </c>
      <c r="AM30" s="283">
        <v>28</v>
      </c>
      <c r="AN30" s="383">
        <v>258</v>
      </c>
      <c r="AO30" s="369">
        <v>0.87829999999999997</v>
      </c>
      <c r="AP30" s="283">
        <v>28</v>
      </c>
      <c r="AQ30" s="350">
        <v>230</v>
      </c>
    </row>
    <row r="31" spans="1:43" x14ac:dyDescent="0.2">
      <c r="A31" s="37"/>
      <c r="B31" s="316"/>
      <c r="C31" s="412" t="s">
        <v>50</v>
      </c>
      <c r="D31" s="413" t="s">
        <v>178</v>
      </c>
      <c r="E31" s="414">
        <v>9</v>
      </c>
      <c r="F31" s="414">
        <v>58</v>
      </c>
      <c r="G31" s="415">
        <v>0.8448</v>
      </c>
      <c r="H31" s="37"/>
      <c r="I31" s="412" t="s">
        <v>50</v>
      </c>
      <c r="J31" s="413" t="s">
        <v>178</v>
      </c>
      <c r="K31" s="424">
        <v>20</v>
      </c>
      <c r="L31" s="424">
        <v>206</v>
      </c>
      <c r="M31" s="425">
        <v>0.90290000000000004</v>
      </c>
      <c r="N31" s="314"/>
      <c r="O31" s="37"/>
      <c r="P31" s="316"/>
      <c r="Q31" s="412" t="s">
        <v>50</v>
      </c>
      <c r="R31" s="413" t="s">
        <v>178</v>
      </c>
      <c r="S31" s="424">
        <v>24</v>
      </c>
      <c r="T31" s="424">
        <v>246</v>
      </c>
      <c r="U31" s="425">
        <v>0.90239999999999998</v>
      </c>
      <c r="V31" s="37"/>
      <c r="W31" s="412" t="s">
        <v>50</v>
      </c>
      <c r="X31" s="413" t="s">
        <v>178</v>
      </c>
      <c r="Y31" s="424">
        <v>26</v>
      </c>
      <c r="Z31" s="424">
        <v>230</v>
      </c>
      <c r="AA31" s="425">
        <v>0.88700000000000001</v>
      </c>
      <c r="AB31" s="314"/>
      <c r="AC31" s="37"/>
      <c r="AD31" s="349" t="s">
        <v>71</v>
      </c>
      <c r="AE31" s="282" t="s">
        <v>173</v>
      </c>
      <c r="AF31" s="382">
        <v>0.92259999999999998</v>
      </c>
      <c r="AG31" s="283">
        <v>24</v>
      </c>
      <c r="AH31" s="383">
        <v>310</v>
      </c>
      <c r="AI31" s="369">
        <v>0.86890000000000001</v>
      </c>
      <c r="AJ31" s="283">
        <v>8</v>
      </c>
      <c r="AK31" s="396">
        <v>61</v>
      </c>
      <c r="AL31" s="382">
        <v>0.89559999999999995</v>
      </c>
      <c r="AM31" s="283">
        <v>26</v>
      </c>
      <c r="AN31" s="383">
        <v>249</v>
      </c>
      <c r="AO31" s="369">
        <v>0.94069999999999998</v>
      </c>
      <c r="AP31" s="283">
        <v>14</v>
      </c>
      <c r="AQ31" s="350">
        <v>236</v>
      </c>
    </row>
    <row r="32" spans="1:43" x14ac:dyDescent="0.2">
      <c r="A32" s="37"/>
      <c r="B32" s="316"/>
      <c r="C32" s="412" t="s">
        <v>55</v>
      </c>
      <c r="D32" s="413" t="s">
        <v>179</v>
      </c>
      <c r="E32" s="414">
        <v>8</v>
      </c>
      <c r="F32" s="414">
        <v>69</v>
      </c>
      <c r="G32" s="415">
        <v>0.8841</v>
      </c>
      <c r="H32" s="37"/>
      <c r="I32" s="412" t="s">
        <v>55</v>
      </c>
      <c r="J32" s="413" t="s">
        <v>179</v>
      </c>
      <c r="K32" s="424">
        <v>21</v>
      </c>
      <c r="L32" s="424">
        <v>226</v>
      </c>
      <c r="M32" s="425">
        <v>0.90710000000000002</v>
      </c>
      <c r="N32" s="314"/>
      <c r="O32" s="37"/>
      <c r="P32" s="316"/>
      <c r="Q32" s="412" t="s">
        <v>55</v>
      </c>
      <c r="R32" s="413" t="s">
        <v>179</v>
      </c>
      <c r="S32" s="424">
        <v>29</v>
      </c>
      <c r="T32" s="424">
        <v>257</v>
      </c>
      <c r="U32" s="425">
        <v>0.88719999999999999</v>
      </c>
      <c r="V32" s="37"/>
      <c r="W32" s="412" t="s">
        <v>55</v>
      </c>
      <c r="X32" s="413" t="s">
        <v>179</v>
      </c>
      <c r="Y32" s="424">
        <v>25</v>
      </c>
      <c r="Z32" s="424">
        <v>250</v>
      </c>
      <c r="AA32" s="425">
        <v>0.9</v>
      </c>
      <c r="AB32" s="314"/>
      <c r="AC32" s="37"/>
      <c r="AD32" s="349" t="s">
        <v>72</v>
      </c>
      <c r="AE32" s="282" t="s">
        <v>107</v>
      </c>
      <c r="AF32" s="382">
        <v>0.95960000000000001</v>
      </c>
      <c r="AG32" s="283">
        <v>11</v>
      </c>
      <c r="AH32" s="383">
        <v>272</v>
      </c>
      <c r="AI32" s="369">
        <v>0.8871</v>
      </c>
      <c r="AJ32" s="283">
        <v>7</v>
      </c>
      <c r="AK32" s="396">
        <v>62</v>
      </c>
      <c r="AL32" s="382">
        <v>0.89680000000000004</v>
      </c>
      <c r="AM32" s="283">
        <v>26</v>
      </c>
      <c r="AN32" s="383">
        <v>252</v>
      </c>
      <c r="AO32" s="369">
        <v>0.95040000000000002</v>
      </c>
      <c r="AP32" s="283">
        <v>12</v>
      </c>
      <c r="AQ32" s="350">
        <v>242</v>
      </c>
    </row>
    <row r="33" spans="1:43" x14ac:dyDescent="0.2">
      <c r="A33" s="37"/>
      <c r="B33" s="316"/>
      <c r="C33" s="412" t="s">
        <v>70</v>
      </c>
      <c r="D33" s="413" t="s">
        <v>180</v>
      </c>
      <c r="E33" s="414">
        <v>4</v>
      </c>
      <c r="F33" s="414">
        <v>62</v>
      </c>
      <c r="G33" s="415">
        <v>0.9355</v>
      </c>
      <c r="H33" s="37"/>
      <c r="I33" s="412" t="s">
        <v>70</v>
      </c>
      <c r="J33" s="413" t="s">
        <v>180</v>
      </c>
      <c r="K33" s="424">
        <v>9</v>
      </c>
      <c r="L33" s="424">
        <v>254</v>
      </c>
      <c r="M33" s="425">
        <v>0.96460000000000001</v>
      </c>
      <c r="N33" s="314"/>
      <c r="O33" s="37"/>
      <c r="P33" s="316"/>
      <c r="Q33" s="412" t="s">
        <v>70</v>
      </c>
      <c r="R33" s="413" t="s">
        <v>180</v>
      </c>
      <c r="S33" s="424">
        <v>12</v>
      </c>
      <c r="T33" s="424">
        <v>256</v>
      </c>
      <c r="U33" s="425">
        <v>0.95309999999999995</v>
      </c>
      <c r="V33" s="37"/>
      <c r="W33" s="412" t="s">
        <v>70</v>
      </c>
      <c r="X33" s="413" t="s">
        <v>180</v>
      </c>
      <c r="Y33" s="424">
        <v>9</v>
      </c>
      <c r="Z33" s="424">
        <v>249</v>
      </c>
      <c r="AA33" s="425">
        <v>0.96389999999999998</v>
      </c>
      <c r="AB33" s="314"/>
      <c r="AC33" s="37"/>
      <c r="AD33" s="349" t="s">
        <v>83</v>
      </c>
      <c r="AE33" s="282" t="s">
        <v>121</v>
      </c>
      <c r="AF33" s="382">
        <v>0.9778</v>
      </c>
      <c r="AG33" s="283">
        <v>7</v>
      </c>
      <c r="AH33" s="383">
        <v>315</v>
      </c>
      <c r="AI33" s="369">
        <v>0.92059999999999997</v>
      </c>
      <c r="AJ33" s="283">
        <v>5</v>
      </c>
      <c r="AK33" s="396">
        <v>63</v>
      </c>
      <c r="AL33" s="382">
        <v>0.92520000000000002</v>
      </c>
      <c r="AM33" s="283">
        <v>19</v>
      </c>
      <c r="AN33" s="383">
        <v>254</v>
      </c>
      <c r="AO33" s="369">
        <v>0.97199999999999998</v>
      </c>
      <c r="AP33" s="283">
        <v>7</v>
      </c>
      <c r="AQ33" s="350">
        <v>250</v>
      </c>
    </row>
    <row r="34" spans="1:43" x14ac:dyDescent="0.2">
      <c r="A34" s="37"/>
      <c r="B34" s="316"/>
      <c r="C34" s="412" t="s">
        <v>89</v>
      </c>
      <c r="D34" s="413" t="s">
        <v>181</v>
      </c>
      <c r="E34" s="414">
        <v>3</v>
      </c>
      <c r="F34" s="414">
        <v>65</v>
      </c>
      <c r="G34" s="415">
        <v>0.95379999999999998</v>
      </c>
      <c r="H34" s="37"/>
      <c r="I34" s="412" t="s">
        <v>89</v>
      </c>
      <c r="J34" s="413" t="s">
        <v>181</v>
      </c>
      <c r="K34" s="424">
        <v>4</v>
      </c>
      <c r="L34" s="424">
        <v>219</v>
      </c>
      <c r="M34" s="425">
        <v>0.98170000000000002</v>
      </c>
      <c r="N34" s="314"/>
      <c r="O34" s="37"/>
      <c r="P34" s="316"/>
      <c r="Q34" s="412" t="s">
        <v>89</v>
      </c>
      <c r="R34" s="413" t="s">
        <v>181</v>
      </c>
      <c r="S34" s="424">
        <v>21</v>
      </c>
      <c r="T34" s="424">
        <v>251</v>
      </c>
      <c r="U34" s="425">
        <v>0.9163</v>
      </c>
      <c r="V34" s="37"/>
      <c r="W34" s="412" t="s">
        <v>89</v>
      </c>
      <c r="X34" s="413" t="s">
        <v>181</v>
      </c>
      <c r="Y34" s="424">
        <v>19</v>
      </c>
      <c r="Z34" s="424">
        <v>229</v>
      </c>
      <c r="AA34" s="425">
        <v>0.91700000000000004</v>
      </c>
      <c r="AB34" s="314"/>
      <c r="AC34" s="37"/>
      <c r="AD34" s="349" t="s">
        <v>86</v>
      </c>
      <c r="AE34" s="282" t="s">
        <v>198</v>
      </c>
      <c r="AF34" s="382">
        <v>0.97940000000000005</v>
      </c>
      <c r="AG34" s="283">
        <v>7</v>
      </c>
      <c r="AH34" s="383">
        <v>340</v>
      </c>
      <c r="AI34" s="369">
        <v>0.90629999999999999</v>
      </c>
      <c r="AJ34" s="283">
        <v>6</v>
      </c>
      <c r="AK34" s="396">
        <v>64</v>
      </c>
      <c r="AL34" s="382">
        <v>0.88190000000000002</v>
      </c>
      <c r="AM34" s="283">
        <v>30</v>
      </c>
      <c r="AN34" s="383">
        <v>254</v>
      </c>
      <c r="AO34" s="369">
        <v>0.90439999999999998</v>
      </c>
      <c r="AP34" s="283">
        <v>24</v>
      </c>
      <c r="AQ34" s="350">
        <v>251</v>
      </c>
    </row>
    <row r="35" spans="1:43" x14ac:dyDescent="0.2">
      <c r="A35" s="37"/>
      <c r="B35" s="316"/>
      <c r="C35" s="412" t="s">
        <v>54</v>
      </c>
      <c r="D35" s="413" t="s">
        <v>182</v>
      </c>
      <c r="E35" s="414">
        <v>3</v>
      </c>
      <c r="F35" s="414">
        <v>61</v>
      </c>
      <c r="G35" s="415">
        <v>0.95079999999999998</v>
      </c>
      <c r="H35" s="37"/>
      <c r="I35" s="412" t="s">
        <v>54</v>
      </c>
      <c r="J35" s="413" t="s">
        <v>182</v>
      </c>
      <c r="K35" s="424">
        <v>5</v>
      </c>
      <c r="L35" s="424">
        <v>268</v>
      </c>
      <c r="M35" s="425">
        <v>0.98129999999999995</v>
      </c>
      <c r="N35" s="314"/>
      <c r="O35" s="37"/>
      <c r="P35" s="316"/>
      <c r="Q35" s="412" t="s">
        <v>54</v>
      </c>
      <c r="R35" s="413" t="s">
        <v>182</v>
      </c>
      <c r="S35" s="424">
        <v>9</v>
      </c>
      <c r="T35" s="424">
        <v>250</v>
      </c>
      <c r="U35" s="425">
        <v>0.96399999999999997</v>
      </c>
      <c r="V35" s="37"/>
      <c r="W35" s="412" t="s">
        <v>54</v>
      </c>
      <c r="X35" s="413" t="s">
        <v>182</v>
      </c>
      <c r="Y35" s="424">
        <v>18</v>
      </c>
      <c r="Z35" s="424">
        <v>250</v>
      </c>
      <c r="AA35" s="425">
        <v>0.92800000000000005</v>
      </c>
      <c r="AB35" s="314"/>
      <c r="AC35" s="37"/>
      <c r="AD35" s="349" t="s">
        <v>91</v>
      </c>
      <c r="AE35" s="282" t="s">
        <v>169</v>
      </c>
      <c r="AF35" s="382">
        <v>0.96330000000000005</v>
      </c>
      <c r="AG35" s="283">
        <v>9</v>
      </c>
      <c r="AH35" s="386">
        <v>245</v>
      </c>
      <c r="AI35" s="369">
        <v>0.9032</v>
      </c>
      <c r="AJ35" s="283">
        <v>6</v>
      </c>
      <c r="AK35" s="398">
        <v>62</v>
      </c>
      <c r="AL35" s="382">
        <v>0.91090000000000004</v>
      </c>
      <c r="AM35" s="283">
        <v>22</v>
      </c>
      <c r="AN35" s="386">
        <v>247</v>
      </c>
      <c r="AO35" s="369">
        <v>0.9234</v>
      </c>
      <c r="AP35" s="283">
        <v>19</v>
      </c>
      <c r="AQ35" s="354">
        <v>248</v>
      </c>
    </row>
    <row r="36" spans="1:43" x14ac:dyDescent="0.2">
      <c r="A36" s="37"/>
      <c r="B36" s="316"/>
      <c r="C36" s="412" t="s">
        <v>64</v>
      </c>
      <c r="D36" s="413" t="s">
        <v>183</v>
      </c>
      <c r="E36" s="414">
        <v>2</v>
      </c>
      <c r="F36" s="414">
        <v>63</v>
      </c>
      <c r="G36" s="415">
        <v>0.96830000000000005</v>
      </c>
      <c r="H36" s="37"/>
      <c r="I36" s="412" t="s">
        <v>64</v>
      </c>
      <c r="J36" s="413" t="s">
        <v>183</v>
      </c>
      <c r="K36" s="424">
        <v>4</v>
      </c>
      <c r="L36" s="424">
        <v>226</v>
      </c>
      <c r="M36" s="425">
        <v>0.98229999999999995</v>
      </c>
      <c r="N36" s="314"/>
      <c r="O36" s="37"/>
      <c r="P36" s="316"/>
      <c r="Q36" s="412" t="s">
        <v>64</v>
      </c>
      <c r="R36" s="413" t="s">
        <v>183</v>
      </c>
      <c r="S36" s="424">
        <v>11</v>
      </c>
      <c r="T36" s="424">
        <v>251</v>
      </c>
      <c r="U36" s="425">
        <v>0.95620000000000005</v>
      </c>
      <c r="V36" s="37"/>
      <c r="W36" s="412" t="s">
        <v>64</v>
      </c>
      <c r="X36" s="413" t="s">
        <v>183</v>
      </c>
      <c r="Y36" s="424">
        <v>0</v>
      </c>
      <c r="Z36" s="424">
        <v>248</v>
      </c>
      <c r="AA36" s="425">
        <v>1</v>
      </c>
      <c r="AB36" s="314"/>
      <c r="AC36" s="37"/>
      <c r="AD36" s="349" t="s">
        <v>94</v>
      </c>
      <c r="AE36" s="282">
        <v>372</v>
      </c>
      <c r="AF36" s="382" t="s">
        <v>31</v>
      </c>
      <c r="AG36" s="283"/>
      <c r="AH36" s="383"/>
      <c r="AI36" s="369" t="s">
        <v>31</v>
      </c>
      <c r="AJ36" s="283"/>
      <c r="AK36" s="396"/>
      <c r="AL36" s="382" t="s">
        <v>31</v>
      </c>
      <c r="AM36" s="283"/>
      <c r="AN36" s="383"/>
      <c r="AO36" s="369" t="s">
        <v>31</v>
      </c>
      <c r="AP36" s="283"/>
      <c r="AQ36" s="350"/>
    </row>
    <row r="37" spans="1:43" ht="13.5" thickBot="1" x14ac:dyDescent="0.25">
      <c r="A37" s="37"/>
      <c r="B37" s="316"/>
      <c r="C37" s="412" t="s">
        <v>90</v>
      </c>
      <c r="D37" s="413" t="s">
        <v>184</v>
      </c>
      <c r="E37" s="414">
        <v>7</v>
      </c>
      <c r="F37" s="414">
        <v>62</v>
      </c>
      <c r="G37" s="415">
        <v>0.8871</v>
      </c>
      <c r="H37" s="37"/>
      <c r="I37" s="412" t="s">
        <v>90</v>
      </c>
      <c r="J37" s="413" t="s">
        <v>184</v>
      </c>
      <c r="K37" s="424">
        <v>9</v>
      </c>
      <c r="L37" s="424">
        <v>203</v>
      </c>
      <c r="M37" s="425">
        <v>0.95569999999999999</v>
      </c>
      <c r="N37" s="314"/>
      <c r="O37" s="37"/>
      <c r="P37" s="316"/>
      <c r="Q37" s="412" t="s">
        <v>90</v>
      </c>
      <c r="R37" s="413" t="s">
        <v>184</v>
      </c>
      <c r="S37" s="424">
        <v>15</v>
      </c>
      <c r="T37" s="424">
        <v>256</v>
      </c>
      <c r="U37" s="425">
        <v>0.94140000000000001</v>
      </c>
      <c r="V37" s="37"/>
      <c r="W37" s="412" t="s">
        <v>90</v>
      </c>
      <c r="X37" s="413" t="s">
        <v>184</v>
      </c>
      <c r="Y37" s="424">
        <v>14</v>
      </c>
      <c r="Z37" s="424">
        <v>247</v>
      </c>
      <c r="AA37" s="425">
        <v>0.94330000000000003</v>
      </c>
      <c r="AB37" s="314"/>
      <c r="AC37" s="37"/>
      <c r="AD37" s="352" t="s">
        <v>257</v>
      </c>
      <c r="AE37" s="284" t="s">
        <v>170</v>
      </c>
      <c r="AF37" s="384">
        <v>0.96509999999999996</v>
      </c>
      <c r="AG37" s="285">
        <v>19</v>
      </c>
      <c r="AH37" s="385">
        <v>544</v>
      </c>
      <c r="AI37" s="370">
        <v>0.89549999999999996</v>
      </c>
      <c r="AJ37" s="285">
        <v>7</v>
      </c>
      <c r="AK37" s="397">
        <v>67</v>
      </c>
      <c r="AL37" s="384">
        <v>0.90869999999999995</v>
      </c>
      <c r="AM37" s="285">
        <v>23</v>
      </c>
      <c r="AN37" s="385">
        <v>252</v>
      </c>
      <c r="AO37" s="370">
        <v>0.91800000000000004</v>
      </c>
      <c r="AP37" s="285">
        <v>20</v>
      </c>
      <c r="AQ37" s="353">
        <v>244</v>
      </c>
    </row>
    <row r="38" spans="1:43" x14ac:dyDescent="0.2">
      <c r="A38" s="37"/>
      <c r="B38" s="316"/>
      <c r="C38" s="412" t="s">
        <v>53</v>
      </c>
      <c r="D38" s="413" t="s">
        <v>185</v>
      </c>
      <c r="E38" s="414">
        <v>5</v>
      </c>
      <c r="F38" s="414">
        <v>64</v>
      </c>
      <c r="G38" s="415">
        <v>0.92190000000000005</v>
      </c>
      <c r="H38" s="37"/>
      <c r="I38" s="412" t="s">
        <v>53</v>
      </c>
      <c r="J38" s="413" t="s">
        <v>185</v>
      </c>
      <c r="K38" s="424">
        <v>12</v>
      </c>
      <c r="L38" s="424">
        <v>278</v>
      </c>
      <c r="M38" s="425">
        <v>0.95679999999999998</v>
      </c>
      <c r="N38" s="314"/>
      <c r="O38" s="37"/>
      <c r="P38" s="316"/>
      <c r="Q38" s="412" t="s">
        <v>53</v>
      </c>
      <c r="R38" s="413" t="s">
        <v>185</v>
      </c>
      <c r="S38" s="424">
        <v>31</v>
      </c>
      <c r="T38" s="424">
        <v>252</v>
      </c>
      <c r="U38" s="425">
        <v>0.877</v>
      </c>
      <c r="V38" s="37"/>
      <c r="W38" s="412" t="s">
        <v>53</v>
      </c>
      <c r="X38" s="413" t="s">
        <v>185</v>
      </c>
      <c r="Y38" s="424">
        <v>24</v>
      </c>
      <c r="Z38" s="424">
        <v>245</v>
      </c>
      <c r="AA38" s="425">
        <v>0.90200000000000002</v>
      </c>
      <c r="AB38" s="314"/>
      <c r="AC38" s="37"/>
      <c r="AD38" s="347" t="s">
        <v>21</v>
      </c>
      <c r="AE38" s="280"/>
      <c r="AF38" s="380">
        <v>0.96391600118308196</v>
      </c>
      <c r="AG38" s="281">
        <v>122</v>
      </c>
      <c r="AH38" s="381">
        <v>3381</v>
      </c>
      <c r="AI38" s="368">
        <v>0.93103448275862066</v>
      </c>
      <c r="AJ38" s="281">
        <v>60</v>
      </c>
      <c r="AK38" s="395">
        <v>870</v>
      </c>
      <c r="AL38" s="380">
        <v>0.92303338992642892</v>
      </c>
      <c r="AM38" s="281">
        <v>272</v>
      </c>
      <c r="AN38" s="381">
        <v>3534</v>
      </c>
      <c r="AO38" s="368">
        <v>0.94368252115552964</v>
      </c>
      <c r="AP38" s="281">
        <v>193</v>
      </c>
      <c r="AQ38" s="348">
        <v>3427</v>
      </c>
    </row>
    <row r="39" spans="1:43" x14ac:dyDescent="0.2">
      <c r="A39" s="37"/>
      <c r="B39" s="316"/>
      <c r="C39" s="412" t="s">
        <v>44</v>
      </c>
      <c r="D39" s="413" t="s">
        <v>186</v>
      </c>
      <c r="E39" s="414">
        <v>3</v>
      </c>
      <c r="F39" s="414">
        <v>66</v>
      </c>
      <c r="G39" s="415">
        <v>0.95450000000000002</v>
      </c>
      <c r="H39" s="37"/>
      <c r="I39" s="412" t="s">
        <v>44</v>
      </c>
      <c r="J39" s="413" t="s">
        <v>186</v>
      </c>
      <c r="K39" s="424">
        <v>5</v>
      </c>
      <c r="L39" s="424">
        <v>287</v>
      </c>
      <c r="M39" s="425">
        <v>0.98260000000000003</v>
      </c>
      <c r="N39" s="314"/>
      <c r="O39" s="37"/>
      <c r="P39" s="316"/>
      <c r="Q39" s="412" t="s">
        <v>44</v>
      </c>
      <c r="R39" s="413" t="s">
        <v>186</v>
      </c>
      <c r="S39" s="424">
        <v>23</v>
      </c>
      <c r="T39" s="424">
        <v>252</v>
      </c>
      <c r="U39" s="425">
        <v>0.90869999999999995</v>
      </c>
      <c r="V39" s="37"/>
      <c r="W39" s="412" t="s">
        <v>44</v>
      </c>
      <c r="X39" s="413" t="s">
        <v>186</v>
      </c>
      <c r="Y39" s="424">
        <v>19</v>
      </c>
      <c r="Z39" s="424">
        <v>243</v>
      </c>
      <c r="AA39" s="425">
        <v>0.92179999999999995</v>
      </c>
      <c r="AB39" s="314"/>
      <c r="AC39" s="37"/>
      <c r="AD39" s="349" t="s">
        <v>50</v>
      </c>
      <c r="AE39" s="282" t="s">
        <v>178</v>
      </c>
      <c r="AF39" s="382">
        <v>0.90290000000000004</v>
      </c>
      <c r="AG39" s="283">
        <v>20</v>
      </c>
      <c r="AH39" s="383">
        <v>206</v>
      </c>
      <c r="AI39" s="369">
        <v>0.8448</v>
      </c>
      <c r="AJ39" s="283">
        <v>9</v>
      </c>
      <c r="AK39" s="396">
        <v>58</v>
      </c>
      <c r="AL39" s="382">
        <v>0.90239999999999998</v>
      </c>
      <c r="AM39" s="283">
        <v>24</v>
      </c>
      <c r="AN39" s="383">
        <v>246</v>
      </c>
      <c r="AO39" s="369">
        <v>0.88700000000000001</v>
      </c>
      <c r="AP39" s="283">
        <v>26</v>
      </c>
      <c r="AQ39" s="350">
        <v>230</v>
      </c>
    </row>
    <row r="40" spans="1:43" x14ac:dyDescent="0.2">
      <c r="A40" s="37"/>
      <c r="B40" s="316"/>
      <c r="C40" s="412" t="s">
        <v>84</v>
      </c>
      <c r="D40" s="413" t="s">
        <v>187</v>
      </c>
      <c r="E40" s="414">
        <v>10</v>
      </c>
      <c r="F40" s="414">
        <v>63</v>
      </c>
      <c r="G40" s="415">
        <v>0.84130000000000005</v>
      </c>
      <c r="H40" s="37"/>
      <c r="I40" s="412" t="s">
        <v>84</v>
      </c>
      <c r="J40" s="413" t="s">
        <v>187</v>
      </c>
      <c r="K40" s="424">
        <v>19</v>
      </c>
      <c r="L40" s="424">
        <v>717</v>
      </c>
      <c r="M40" s="425">
        <v>0.97350000000000003</v>
      </c>
      <c r="N40" s="314"/>
      <c r="O40" s="37"/>
      <c r="P40" s="316"/>
      <c r="Q40" s="412" t="s">
        <v>84</v>
      </c>
      <c r="R40" s="413" t="s">
        <v>187</v>
      </c>
      <c r="S40" s="424">
        <v>28</v>
      </c>
      <c r="T40" s="424">
        <v>253</v>
      </c>
      <c r="U40" s="425">
        <v>0.88929999999999998</v>
      </c>
      <c r="V40" s="37"/>
      <c r="W40" s="412" t="s">
        <v>84</v>
      </c>
      <c r="X40" s="413" t="s">
        <v>187</v>
      </c>
      <c r="Y40" s="424">
        <v>13</v>
      </c>
      <c r="Z40" s="424">
        <v>255</v>
      </c>
      <c r="AA40" s="425">
        <v>0.94899999999999995</v>
      </c>
      <c r="AB40" s="314"/>
      <c r="AC40" s="37"/>
      <c r="AD40" s="349" t="s">
        <v>54</v>
      </c>
      <c r="AE40" s="282" t="s">
        <v>182</v>
      </c>
      <c r="AF40" s="382">
        <v>0.98129999999999995</v>
      </c>
      <c r="AG40" s="283">
        <v>5</v>
      </c>
      <c r="AH40" s="383">
        <v>268</v>
      </c>
      <c r="AI40" s="369">
        <v>0.95079999999999998</v>
      </c>
      <c r="AJ40" s="283">
        <v>3</v>
      </c>
      <c r="AK40" s="396">
        <v>61</v>
      </c>
      <c r="AL40" s="382">
        <v>0.96399999999999997</v>
      </c>
      <c r="AM40" s="283">
        <v>9</v>
      </c>
      <c r="AN40" s="383">
        <v>250</v>
      </c>
      <c r="AO40" s="369">
        <v>0.92800000000000005</v>
      </c>
      <c r="AP40" s="283">
        <v>18</v>
      </c>
      <c r="AQ40" s="350">
        <v>250</v>
      </c>
    </row>
    <row r="41" spans="1:43" x14ac:dyDescent="0.2">
      <c r="A41" s="37"/>
      <c r="B41" s="316"/>
      <c r="C41" s="412" t="s">
        <v>76</v>
      </c>
      <c r="D41" s="413" t="s">
        <v>188</v>
      </c>
      <c r="E41" s="414">
        <v>11</v>
      </c>
      <c r="F41" s="414">
        <v>64</v>
      </c>
      <c r="G41" s="415">
        <v>0.82809999999999995</v>
      </c>
      <c r="H41" s="37"/>
      <c r="I41" s="412" t="s">
        <v>76</v>
      </c>
      <c r="J41" s="413" t="s">
        <v>188</v>
      </c>
      <c r="K41" s="424">
        <v>22</v>
      </c>
      <c r="L41" s="424">
        <v>210</v>
      </c>
      <c r="M41" s="425">
        <v>0.8952</v>
      </c>
      <c r="N41" s="314"/>
      <c r="O41" s="37"/>
      <c r="P41" s="316"/>
      <c r="Q41" s="412" t="s">
        <v>76</v>
      </c>
      <c r="R41" s="413" t="s">
        <v>188</v>
      </c>
      <c r="S41" s="424">
        <v>33</v>
      </c>
      <c r="T41" s="424">
        <v>258</v>
      </c>
      <c r="U41" s="425">
        <v>0.87209999999999999</v>
      </c>
      <c r="V41" s="37"/>
      <c r="W41" s="412" t="s">
        <v>76</v>
      </c>
      <c r="X41" s="413" t="s">
        <v>188</v>
      </c>
      <c r="Y41" s="424">
        <v>26</v>
      </c>
      <c r="Z41" s="424">
        <v>247</v>
      </c>
      <c r="AA41" s="425">
        <v>0.89470000000000005</v>
      </c>
      <c r="AB41" s="314"/>
      <c r="AC41" s="37"/>
      <c r="AD41" s="349" t="s">
        <v>56</v>
      </c>
      <c r="AE41" s="282" t="s">
        <v>207</v>
      </c>
      <c r="AF41" s="382">
        <v>0.97840000000000005</v>
      </c>
      <c r="AG41" s="283">
        <v>4</v>
      </c>
      <c r="AH41" s="383">
        <v>185</v>
      </c>
      <c r="AI41" s="369">
        <v>0.96719999999999995</v>
      </c>
      <c r="AJ41" s="283">
        <v>2</v>
      </c>
      <c r="AK41" s="396">
        <v>61</v>
      </c>
      <c r="AL41" s="382">
        <v>0.92969999999999997</v>
      </c>
      <c r="AM41" s="283">
        <v>18</v>
      </c>
      <c r="AN41" s="383">
        <v>256</v>
      </c>
      <c r="AO41" s="369">
        <v>0.96360000000000001</v>
      </c>
      <c r="AP41" s="283">
        <v>9</v>
      </c>
      <c r="AQ41" s="350">
        <v>247</v>
      </c>
    </row>
    <row r="42" spans="1:43" x14ac:dyDescent="0.2">
      <c r="A42" s="37"/>
      <c r="B42" s="316"/>
      <c r="C42" s="412" t="s">
        <v>66</v>
      </c>
      <c r="D42" s="413" t="s">
        <v>189</v>
      </c>
      <c r="E42" s="414">
        <v>6</v>
      </c>
      <c r="F42" s="414">
        <v>60</v>
      </c>
      <c r="G42" s="415">
        <v>0.9</v>
      </c>
      <c r="H42" s="37"/>
      <c r="I42" s="412" t="s">
        <v>66</v>
      </c>
      <c r="J42" s="413" t="s">
        <v>189</v>
      </c>
      <c r="K42" s="424">
        <v>15</v>
      </c>
      <c r="L42" s="424">
        <v>312</v>
      </c>
      <c r="M42" s="425">
        <v>0.95189999999999997</v>
      </c>
      <c r="N42" s="314"/>
      <c r="O42" s="37"/>
      <c r="P42" s="316"/>
      <c r="Q42" s="412" t="s">
        <v>66</v>
      </c>
      <c r="R42" s="413" t="s">
        <v>189</v>
      </c>
      <c r="S42" s="424">
        <v>30</v>
      </c>
      <c r="T42" s="424">
        <v>246</v>
      </c>
      <c r="U42" s="425">
        <v>0.878</v>
      </c>
      <c r="V42" s="37"/>
      <c r="W42" s="412" t="s">
        <v>66</v>
      </c>
      <c r="X42" s="413" t="s">
        <v>189</v>
      </c>
      <c r="Y42" s="424">
        <v>21</v>
      </c>
      <c r="Z42" s="424">
        <v>228</v>
      </c>
      <c r="AA42" s="425">
        <v>0.90790000000000004</v>
      </c>
      <c r="AB42" s="314"/>
      <c r="AC42" s="37"/>
      <c r="AD42" s="349" t="s">
        <v>60</v>
      </c>
      <c r="AE42" s="282" t="s">
        <v>200</v>
      </c>
      <c r="AF42" s="382">
        <v>0.9325</v>
      </c>
      <c r="AG42" s="283">
        <v>17</v>
      </c>
      <c r="AH42" s="383">
        <v>252</v>
      </c>
      <c r="AI42" s="369">
        <v>0.88139999999999996</v>
      </c>
      <c r="AJ42" s="283">
        <v>7</v>
      </c>
      <c r="AK42" s="396">
        <v>59</v>
      </c>
      <c r="AL42" s="382">
        <v>0.8548</v>
      </c>
      <c r="AM42" s="283">
        <v>36</v>
      </c>
      <c r="AN42" s="383">
        <v>248</v>
      </c>
      <c r="AO42" s="369">
        <v>0.91700000000000004</v>
      </c>
      <c r="AP42" s="283">
        <v>20</v>
      </c>
      <c r="AQ42" s="350">
        <v>241</v>
      </c>
    </row>
    <row r="43" spans="1:43" x14ac:dyDescent="0.2">
      <c r="A43" s="37"/>
      <c r="B43" s="316"/>
      <c r="C43" s="412" t="s">
        <v>78</v>
      </c>
      <c r="D43" s="413" t="s">
        <v>190</v>
      </c>
      <c r="E43" s="414">
        <v>5</v>
      </c>
      <c r="F43" s="414">
        <v>66</v>
      </c>
      <c r="G43" s="415">
        <v>0.92420000000000002</v>
      </c>
      <c r="H43" s="37"/>
      <c r="I43" s="412" t="s">
        <v>78</v>
      </c>
      <c r="J43" s="413" t="s">
        <v>190</v>
      </c>
      <c r="K43" s="424">
        <v>13</v>
      </c>
      <c r="L43" s="424">
        <v>273</v>
      </c>
      <c r="M43" s="425">
        <v>0.95240000000000002</v>
      </c>
      <c r="N43" s="314"/>
      <c r="O43" s="37"/>
      <c r="P43" s="316"/>
      <c r="Q43" s="412" t="s">
        <v>78</v>
      </c>
      <c r="R43" s="413" t="s">
        <v>190</v>
      </c>
      <c r="S43" s="424">
        <v>21</v>
      </c>
      <c r="T43" s="424">
        <v>257</v>
      </c>
      <c r="U43" s="425">
        <v>0.91830000000000001</v>
      </c>
      <c r="V43" s="37"/>
      <c r="W43" s="412" t="s">
        <v>78</v>
      </c>
      <c r="X43" s="413" t="s">
        <v>190</v>
      </c>
      <c r="Y43" s="424">
        <v>17</v>
      </c>
      <c r="Z43" s="424">
        <v>245</v>
      </c>
      <c r="AA43" s="425">
        <v>0.93059999999999998</v>
      </c>
      <c r="AB43" s="314"/>
      <c r="AC43" s="37"/>
      <c r="AD43" s="349" t="s">
        <v>64</v>
      </c>
      <c r="AE43" s="282" t="s">
        <v>183</v>
      </c>
      <c r="AF43" s="382">
        <v>0.98229999999999995</v>
      </c>
      <c r="AG43" s="283">
        <v>4</v>
      </c>
      <c r="AH43" s="383">
        <v>226</v>
      </c>
      <c r="AI43" s="369">
        <v>0.96830000000000005</v>
      </c>
      <c r="AJ43" s="283">
        <v>2</v>
      </c>
      <c r="AK43" s="396">
        <v>63</v>
      </c>
      <c r="AL43" s="382">
        <v>0.95620000000000005</v>
      </c>
      <c r="AM43" s="283">
        <v>11</v>
      </c>
      <c r="AN43" s="383">
        <v>251</v>
      </c>
      <c r="AO43" s="369">
        <v>1</v>
      </c>
      <c r="AP43" s="283">
        <v>0</v>
      </c>
      <c r="AQ43" s="350">
        <v>248</v>
      </c>
    </row>
    <row r="44" spans="1:43" x14ac:dyDescent="0.2">
      <c r="A44" s="37"/>
      <c r="B44" s="316"/>
      <c r="C44" s="412" t="s">
        <v>87</v>
      </c>
      <c r="D44" s="413" t="s">
        <v>191</v>
      </c>
      <c r="E44" s="414">
        <v>6</v>
      </c>
      <c r="F44" s="414">
        <v>69</v>
      </c>
      <c r="G44" s="415">
        <v>0.91300000000000003</v>
      </c>
      <c r="H44" s="37"/>
      <c r="I44" s="412" t="s">
        <v>87</v>
      </c>
      <c r="J44" s="413" t="s">
        <v>191</v>
      </c>
      <c r="K44" s="424">
        <v>12</v>
      </c>
      <c r="L44" s="424">
        <v>396</v>
      </c>
      <c r="M44" s="425">
        <v>0.96970000000000001</v>
      </c>
      <c r="N44" s="314"/>
      <c r="O44" s="37"/>
      <c r="P44" s="316"/>
      <c r="Q44" s="412" t="s">
        <v>87</v>
      </c>
      <c r="R44" s="413" t="s">
        <v>191</v>
      </c>
      <c r="S44" s="424">
        <v>28</v>
      </c>
      <c r="T44" s="424">
        <v>264</v>
      </c>
      <c r="U44" s="425">
        <v>0.89390000000000003</v>
      </c>
      <c r="V44" s="37"/>
      <c r="W44" s="412" t="s">
        <v>87</v>
      </c>
      <c r="X44" s="413" t="s">
        <v>191</v>
      </c>
      <c r="Y44" s="424">
        <v>15</v>
      </c>
      <c r="Z44" s="424">
        <v>246</v>
      </c>
      <c r="AA44" s="425">
        <v>0.93899999999999995</v>
      </c>
      <c r="AB44" s="314"/>
      <c r="AC44" s="37"/>
      <c r="AD44" s="349" t="s">
        <v>65</v>
      </c>
      <c r="AE44" s="282" t="s">
        <v>195</v>
      </c>
      <c r="AF44" s="382">
        <v>0.92200000000000004</v>
      </c>
      <c r="AG44" s="283">
        <v>22</v>
      </c>
      <c r="AH44" s="383">
        <v>282</v>
      </c>
      <c r="AI44" s="369">
        <v>0.871</v>
      </c>
      <c r="AJ44" s="283">
        <v>8</v>
      </c>
      <c r="AK44" s="396">
        <v>62</v>
      </c>
      <c r="AL44" s="382">
        <v>0.91569999999999996</v>
      </c>
      <c r="AM44" s="283">
        <v>21</v>
      </c>
      <c r="AN44" s="383">
        <v>249</v>
      </c>
      <c r="AO44" s="369">
        <v>0.94820000000000004</v>
      </c>
      <c r="AP44" s="283">
        <v>13</v>
      </c>
      <c r="AQ44" s="350">
        <v>251</v>
      </c>
    </row>
    <row r="45" spans="1:43" x14ac:dyDescent="0.2">
      <c r="A45" s="37"/>
      <c r="B45" s="316"/>
      <c r="C45" s="412" t="s">
        <v>47</v>
      </c>
      <c r="D45" s="413" t="s">
        <v>192</v>
      </c>
      <c r="E45" s="414">
        <v>6</v>
      </c>
      <c r="F45" s="414">
        <v>64</v>
      </c>
      <c r="G45" s="415">
        <v>0.90629999999999999</v>
      </c>
      <c r="H45" s="37"/>
      <c r="I45" s="412" t="s">
        <v>47</v>
      </c>
      <c r="J45" s="413" t="s">
        <v>192</v>
      </c>
      <c r="K45" s="424">
        <v>6</v>
      </c>
      <c r="L45" s="424">
        <v>221</v>
      </c>
      <c r="M45" s="425">
        <v>0.97289999999999999</v>
      </c>
      <c r="N45" s="314"/>
      <c r="O45" s="37"/>
      <c r="P45" s="316"/>
      <c r="Q45" s="412" t="s">
        <v>47</v>
      </c>
      <c r="R45" s="413" t="s">
        <v>192</v>
      </c>
      <c r="S45" s="424">
        <v>13</v>
      </c>
      <c r="T45" s="424">
        <v>257</v>
      </c>
      <c r="U45" s="425">
        <v>0.94940000000000002</v>
      </c>
      <c r="V45" s="37"/>
      <c r="W45" s="412" t="s">
        <v>47</v>
      </c>
      <c r="X45" s="413" t="s">
        <v>192</v>
      </c>
      <c r="Y45" s="424">
        <v>15</v>
      </c>
      <c r="Z45" s="424">
        <v>249</v>
      </c>
      <c r="AA45" s="425">
        <v>0.93979999999999997</v>
      </c>
      <c r="AB45" s="314"/>
      <c r="AC45" s="37"/>
      <c r="AD45" s="349" t="s">
        <v>242</v>
      </c>
      <c r="AE45" s="282" t="s">
        <v>180</v>
      </c>
      <c r="AF45" s="382">
        <v>0.96460000000000001</v>
      </c>
      <c r="AG45" s="283">
        <v>9</v>
      </c>
      <c r="AH45" s="383">
        <v>254</v>
      </c>
      <c r="AI45" s="369">
        <v>0.9355</v>
      </c>
      <c r="AJ45" s="283">
        <v>4</v>
      </c>
      <c r="AK45" s="396">
        <v>62</v>
      </c>
      <c r="AL45" s="382">
        <v>0.95309999999999995</v>
      </c>
      <c r="AM45" s="283">
        <v>12</v>
      </c>
      <c r="AN45" s="383">
        <v>256</v>
      </c>
      <c r="AO45" s="369">
        <v>0.96389999999999998</v>
      </c>
      <c r="AP45" s="283">
        <v>9</v>
      </c>
      <c r="AQ45" s="350">
        <v>249</v>
      </c>
    </row>
    <row r="46" spans="1:43" x14ac:dyDescent="0.2">
      <c r="A46" s="37"/>
      <c r="B46" s="316"/>
      <c r="C46" s="412" t="s">
        <v>80</v>
      </c>
      <c r="D46" s="413" t="s">
        <v>193</v>
      </c>
      <c r="E46" s="414">
        <v>4</v>
      </c>
      <c r="F46" s="414">
        <v>61</v>
      </c>
      <c r="G46" s="415">
        <v>0.93440000000000001</v>
      </c>
      <c r="H46" s="37"/>
      <c r="I46" s="412" t="s">
        <v>80</v>
      </c>
      <c r="J46" s="413" t="s">
        <v>193</v>
      </c>
      <c r="K46" s="424">
        <v>8</v>
      </c>
      <c r="L46" s="424">
        <v>210</v>
      </c>
      <c r="M46" s="425">
        <v>0.96189999999999998</v>
      </c>
      <c r="N46" s="314"/>
      <c r="O46" s="37"/>
      <c r="P46" s="316"/>
      <c r="Q46" s="412" t="s">
        <v>80</v>
      </c>
      <c r="R46" s="413" t="s">
        <v>193</v>
      </c>
      <c r="S46" s="424">
        <v>13</v>
      </c>
      <c r="T46" s="424">
        <v>250</v>
      </c>
      <c r="U46" s="425">
        <v>0.94799999999999995</v>
      </c>
      <c r="V46" s="37"/>
      <c r="W46" s="412" t="s">
        <v>80</v>
      </c>
      <c r="X46" s="413" t="s">
        <v>193</v>
      </c>
      <c r="Y46" s="424">
        <v>7</v>
      </c>
      <c r="Z46" s="424">
        <v>248</v>
      </c>
      <c r="AA46" s="425">
        <v>0.9718</v>
      </c>
      <c r="AB46" s="314"/>
      <c r="AC46" s="37"/>
      <c r="AD46" s="349" t="s">
        <v>36</v>
      </c>
      <c r="AE46" s="282" t="s">
        <v>196</v>
      </c>
      <c r="AF46" s="382">
        <v>0.98229999999999995</v>
      </c>
      <c r="AG46" s="283">
        <v>6</v>
      </c>
      <c r="AH46" s="383">
        <v>339</v>
      </c>
      <c r="AI46" s="369">
        <v>0.9385</v>
      </c>
      <c r="AJ46" s="283">
        <v>4</v>
      </c>
      <c r="AK46" s="396">
        <v>65</v>
      </c>
      <c r="AL46" s="382">
        <v>0.90269999999999995</v>
      </c>
      <c r="AM46" s="283">
        <v>25</v>
      </c>
      <c r="AN46" s="383">
        <v>257</v>
      </c>
      <c r="AO46" s="369">
        <v>0.96719999999999995</v>
      </c>
      <c r="AP46" s="283">
        <v>8</v>
      </c>
      <c r="AQ46" s="350">
        <v>244</v>
      </c>
    </row>
    <row r="47" spans="1:43" x14ac:dyDescent="0.2">
      <c r="A47" s="37"/>
      <c r="B47" s="316"/>
      <c r="C47" s="412" t="s">
        <v>93</v>
      </c>
      <c r="D47" s="413" t="s">
        <v>194</v>
      </c>
      <c r="E47" s="414">
        <v>3</v>
      </c>
      <c r="F47" s="414">
        <v>67</v>
      </c>
      <c r="G47" s="415">
        <v>0.95520000000000005</v>
      </c>
      <c r="H47" s="37"/>
      <c r="I47" s="412" t="s">
        <v>93</v>
      </c>
      <c r="J47" s="413" t="s">
        <v>194</v>
      </c>
      <c r="K47" s="424">
        <v>5</v>
      </c>
      <c r="L47" s="424">
        <v>215</v>
      </c>
      <c r="M47" s="425">
        <v>0.97670000000000001</v>
      </c>
      <c r="N47" s="314"/>
      <c r="O47" s="37"/>
      <c r="P47" s="316"/>
      <c r="Q47" s="412" t="s">
        <v>93</v>
      </c>
      <c r="R47" s="413" t="s">
        <v>194</v>
      </c>
      <c r="S47" s="424">
        <v>28</v>
      </c>
      <c r="T47" s="424">
        <v>251</v>
      </c>
      <c r="U47" s="425">
        <v>0.88839999999999997</v>
      </c>
      <c r="V47" s="37"/>
      <c r="W47" s="412" t="s">
        <v>93</v>
      </c>
      <c r="X47" s="413" t="s">
        <v>194</v>
      </c>
      <c r="Y47" s="424">
        <v>21</v>
      </c>
      <c r="Z47" s="424">
        <v>244</v>
      </c>
      <c r="AA47" s="425">
        <v>0.91390000000000005</v>
      </c>
      <c r="AB47" s="314"/>
      <c r="AC47" s="37"/>
      <c r="AD47" s="349" t="s">
        <v>73</v>
      </c>
      <c r="AE47" s="282" t="s">
        <v>172</v>
      </c>
      <c r="AF47" s="382">
        <v>0.96740000000000004</v>
      </c>
      <c r="AG47" s="283">
        <v>7</v>
      </c>
      <c r="AH47" s="383">
        <v>215</v>
      </c>
      <c r="AI47" s="369">
        <v>0.93330000000000002</v>
      </c>
      <c r="AJ47" s="283">
        <v>4</v>
      </c>
      <c r="AK47" s="396">
        <v>60</v>
      </c>
      <c r="AL47" s="382">
        <v>0.90439999999999998</v>
      </c>
      <c r="AM47" s="283">
        <v>24</v>
      </c>
      <c r="AN47" s="383">
        <v>251</v>
      </c>
      <c r="AO47" s="369">
        <v>0.92459999999999998</v>
      </c>
      <c r="AP47" s="283">
        <v>19</v>
      </c>
      <c r="AQ47" s="350">
        <v>252</v>
      </c>
    </row>
    <row r="48" spans="1:43" x14ac:dyDescent="0.2">
      <c r="A48" s="37"/>
      <c r="B48" s="316"/>
      <c r="C48" s="412" t="s">
        <v>65</v>
      </c>
      <c r="D48" s="413" t="s">
        <v>195</v>
      </c>
      <c r="E48" s="414">
        <v>8</v>
      </c>
      <c r="F48" s="414">
        <v>62</v>
      </c>
      <c r="G48" s="415">
        <v>0.871</v>
      </c>
      <c r="H48" s="37"/>
      <c r="I48" s="412" t="s">
        <v>65</v>
      </c>
      <c r="J48" s="413" t="s">
        <v>195</v>
      </c>
      <c r="K48" s="424">
        <v>22</v>
      </c>
      <c r="L48" s="424">
        <v>282</v>
      </c>
      <c r="M48" s="425">
        <v>0.92200000000000004</v>
      </c>
      <c r="N48" s="314"/>
      <c r="O48" s="37"/>
      <c r="P48" s="316"/>
      <c r="Q48" s="412" t="s">
        <v>65</v>
      </c>
      <c r="R48" s="413" t="s">
        <v>195</v>
      </c>
      <c r="S48" s="424">
        <v>21</v>
      </c>
      <c r="T48" s="424">
        <v>249</v>
      </c>
      <c r="U48" s="425">
        <v>0.91569999999999996</v>
      </c>
      <c r="V48" s="37"/>
      <c r="W48" s="412" t="s">
        <v>65</v>
      </c>
      <c r="X48" s="413" t="s">
        <v>195</v>
      </c>
      <c r="Y48" s="424">
        <v>13</v>
      </c>
      <c r="Z48" s="424">
        <v>251</v>
      </c>
      <c r="AA48" s="425">
        <v>0.94820000000000004</v>
      </c>
      <c r="AB48" s="314"/>
      <c r="AC48" s="37"/>
      <c r="AD48" s="349" t="s">
        <v>88</v>
      </c>
      <c r="AE48" s="282" t="s">
        <v>208</v>
      </c>
      <c r="AF48" s="382">
        <v>0.97909999999999997</v>
      </c>
      <c r="AG48" s="283">
        <v>6</v>
      </c>
      <c r="AH48" s="383">
        <v>287</v>
      </c>
      <c r="AI48" s="369">
        <v>0.96830000000000005</v>
      </c>
      <c r="AJ48" s="283">
        <v>2</v>
      </c>
      <c r="AK48" s="396">
        <v>63</v>
      </c>
      <c r="AL48" s="382">
        <v>0.95309999999999995</v>
      </c>
      <c r="AM48" s="283">
        <v>12</v>
      </c>
      <c r="AN48" s="383">
        <v>256</v>
      </c>
      <c r="AO48" s="369">
        <v>0.96399999999999997</v>
      </c>
      <c r="AP48" s="283">
        <v>9</v>
      </c>
      <c r="AQ48" s="350">
        <v>250</v>
      </c>
    </row>
    <row r="49" spans="1:43" x14ac:dyDescent="0.2">
      <c r="A49" s="37"/>
      <c r="B49" s="316"/>
      <c r="C49" s="412" t="s">
        <v>36</v>
      </c>
      <c r="D49" s="413" t="s">
        <v>196</v>
      </c>
      <c r="E49" s="414">
        <v>4</v>
      </c>
      <c r="F49" s="414">
        <v>65</v>
      </c>
      <c r="G49" s="415">
        <v>0.9385</v>
      </c>
      <c r="H49" s="37"/>
      <c r="I49" s="412" t="s">
        <v>36</v>
      </c>
      <c r="J49" s="413" t="s">
        <v>196</v>
      </c>
      <c r="K49" s="424">
        <v>6</v>
      </c>
      <c r="L49" s="424">
        <v>339</v>
      </c>
      <c r="M49" s="425">
        <v>0.98229999999999995</v>
      </c>
      <c r="N49" s="314"/>
      <c r="O49" s="37"/>
      <c r="P49" s="316"/>
      <c r="Q49" s="412" t="s">
        <v>36</v>
      </c>
      <c r="R49" s="413" t="s">
        <v>196</v>
      </c>
      <c r="S49" s="424">
        <v>25</v>
      </c>
      <c r="T49" s="424">
        <v>257</v>
      </c>
      <c r="U49" s="425">
        <v>0.90269999999999995</v>
      </c>
      <c r="V49" s="37"/>
      <c r="W49" s="412" t="s">
        <v>36</v>
      </c>
      <c r="X49" s="413" t="s">
        <v>196</v>
      </c>
      <c r="Y49" s="424">
        <v>8</v>
      </c>
      <c r="Z49" s="424">
        <v>244</v>
      </c>
      <c r="AA49" s="425">
        <v>0.96719999999999995</v>
      </c>
      <c r="AB49" s="314"/>
      <c r="AC49" s="37"/>
      <c r="AD49" s="349" t="s">
        <v>89</v>
      </c>
      <c r="AE49" s="282" t="s">
        <v>181</v>
      </c>
      <c r="AF49" s="382">
        <v>0.98170000000000002</v>
      </c>
      <c r="AG49" s="283">
        <v>4</v>
      </c>
      <c r="AH49" s="383">
        <v>219</v>
      </c>
      <c r="AI49" s="369">
        <v>0.95379999999999998</v>
      </c>
      <c r="AJ49" s="283">
        <v>3</v>
      </c>
      <c r="AK49" s="396">
        <v>65</v>
      </c>
      <c r="AL49" s="382">
        <v>0.9163</v>
      </c>
      <c r="AM49" s="283">
        <v>21</v>
      </c>
      <c r="AN49" s="383">
        <v>251</v>
      </c>
      <c r="AO49" s="369">
        <v>0.91700000000000004</v>
      </c>
      <c r="AP49" s="283">
        <v>19</v>
      </c>
      <c r="AQ49" s="350">
        <v>229</v>
      </c>
    </row>
    <row r="50" spans="1:43" x14ac:dyDescent="0.2">
      <c r="A50" s="37"/>
      <c r="B50" s="316"/>
      <c r="C50" s="412" t="s">
        <v>82</v>
      </c>
      <c r="D50" s="413" t="s">
        <v>197</v>
      </c>
      <c r="E50" s="414">
        <v>4</v>
      </c>
      <c r="F50" s="414">
        <v>68</v>
      </c>
      <c r="G50" s="415">
        <v>0.94120000000000004</v>
      </c>
      <c r="H50" s="37"/>
      <c r="I50" s="412" t="s">
        <v>82</v>
      </c>
      <c r="J50" s="413" t="s">
        <v>197</v>
      </c>
      <c r="K50" s="424">
        <v>5</v>
      </c>
      <c r="L50" s="424">
        <v>214</v>
      </c>
      <c r="M50" s="425">
        <v>0.97660000000000002</v>
      </c>
      <c r="N50" s="314"/>
      <c r="O50" s="37"/>
      <c r="P50" s="316"/>
      <c r="Q50" s="412" t="s">
        <v>82</v>
      </c>
      <c r="R50" s="413" t="s">
        <v>197</v>
      </c>
      <c r="S50" s="424">
        <v>19</v>
      </c>
      <c r="T50" s="424">
        <v>253</v>
      </c>
      <c r="U50" s="425">
        <v>0.92490000000000006</v>
      </c>
      <c r="V50" s="37"/>
      <c r="W50" s="412" t="s">
        <v>82</v>
      </c>
      <c r="X50" s="413" t="s">
        <v>197</v>
      </c>
      <c r="Y50" s="424">
        <v>24</v>
      </c>
      <c r="Z50" s="424">
        <v>226</v>
      </c>
      <c r="AA50" s="425">
        <v>0.89380000000000004</v>
      </c>
      <c r="AB50" s="314"/>
      <c r="AC50" s="37"/>
      <c r="AD50" s="349" t="s">
        <v>250</v>
      </c>
      <c r="AE50" s="282" t="s">
        <v>184</v>
      </c>
      <c r="AF50" s="382">
        <v>0.95569999999999999</v>
      </c>
      <c r="AG50" s="283">
        <v>9</v>
      </c>
      <c r="AH50" s="383">
        <v>203</v>
      </c>
      <c r="AI50" s="369">
        <v>0.8871</v>
      </c>
      <c r="AJ50" s="283">
        <v>7</v>
      </c>
      <c r="AK50" s="396">
        <v>62</v>
      </c>
      <c r="AL50" s="382">
        <v>0.94140000000000001</v>
      </c>
      <c r="AM50" s="283">
        <v>15</v>
      </c>
      <c r="AN50" s="383">
        <v>256</v>
      </c>
      <c r="AO50" s="369">
        <v>0.94330000000000003</v>
      </c>
      <c r="AP50" s="283">
        <v>14</v>
      </c>
      <c r="AQ50" s="350">
        <v>247</v>
      </c>
    </row>
    <row r="51" spans="1:43" x14ac:dyDescent="0.2">
      <c r="A51" s="37"/>
      <c r="B51" s="316"/>
      <c r="C51" s="412" t="s">
        <v>86</v>
      </c>
      <c r="D51" s="413" t="s">
        <v>198</v>
      </c>
      <c r="E51" s="414">
        <v>6</v>
      </c>
      <c r="F51" s="414">
        <v>64</v>
      </c>
      <c r="G51" s="415">
        <v>0.90629999999999999</v>
      </c>
      <c r="H51" s="37"/>
      <c r="I51" s="412" t="s">
        <v>86</v>
      </c>
      <c r="J51" s="413" t="s">
        <v>198</v>
      </c>
      <c r="K51" s="424">
        <v>7</v>
      </c>
      <c r="L51" s="424">
        <v>340</v>
      </c>
      <c r="M51" s="425">
        <v>0.97940000000000005</v>
      </c>
      <c r="N51" s="314"/>
      <c r="O51" s="37"/>
      <c r="P51" s="316"/>
      <c r="Q51" s="412" t="s">
        <v>86</v>
      </c>
      <c r="R51" s="413" t="s">
        <v>198</v>
      </c>
      <c r="S51" s="424">
        <v>30</v>
      </c>
      <c r="T51" s="424">
        <v>254</v>
      </c>
      <c r="U51" s="425">
        <v>0.88190000000000002</v>
      </c>
      <c r="V51" s="37"/>
      <c r="W51" s="412" t="s">
        <v>86</v>
      </c>
      <c r="X51" s="413" t="s">
        <v>198</v>
      </c>
      <c r="Y51" s="424">
        <v>24</v>
      </c>
      <c r="Z51" s="424">
        <v>251</v>
      </c>
      <c r="AA51" s="425">
        <v>0.90439999999999998</v>
      </c>
      <c r="AB51" s="314"/>
      <c r="AC51" s="37"/>
      <c r="AD51" s="349" t="s">
        <v>93</v>
      </c>
      <c r="AE51" s="282" t="s">
        <v>194</v>
      </c>
      <c r="AF51" s="382">
        <v>0.97670000000000001</v>
      </c>
      <c r="AG51" s="283">
        <v>5</v>
      </c>
      <c r="AH51" s="383">
        <v>215</v>
      </c>
      <c r="AI51" s="369">
        <v>0.95520000000000005</v>
      </c>
      <c r="AJ51" s="283">
        <v>3</v>
      </c>
      <c r="AK51" s="396">
        <v>67</v>
      </c>
      <c r="AL51" s="382">
        <v>0.88839999999999997</v>
      </c>
      <c r="AM51" s="283">
        <v>28</v>
      </c>
      <c r="AN51" s="383">
        <v>251</v>
      </c>
      <c r="AO51" s="369">
        <v>0.91390000000000005</v>
      </c>
      <c r="AP51" s="283">
        <v>21</v>
      </c>
      <c r="AQ51" s="350">
        <v>244</v>
      </c>
    </row>
    <row r="52" spans="1:43" ht="13.5" thickBot="1" x14ac:dyDescent="0.25">
      <c r="A52" s="37"/>
      <c r="B52" s="316"/>
      <c r="C52" s="412" t="s">
        <v>69</v>
      </c>
      <c r="D52" s="413" t="s">
        <v>199</v>
      </c>
      <c r="E52" s="414">
        <v>1</v>
      </c>
      <c r="F52" s="414">
        <v>63</v>
      </c>
      <c r="G52" s="415">
        <v>0.98409999999999997</v>
      </c>
      <c r="H52" s="37"/>
      <c r="I52" s="412" t="s">
        <v>69</v>
      </c>
      <c r="J52" s="413" t="s">
        <v>199</v>
      </c>
      <c r="K52" s="424">
        <v>3</v>
      </c>
      <c r="L52" s="424">
        <v>293</v>
      </c>
      <c r="M52" s="425">
        <v>0.98980000000000001</v>
      </c>
      <c r="N52" s="314"/>
      <c r="O52" s="37"/>
      <c r="P52" s="316"/>
      <c r="Q52" s="412" t="s">
        <v>69</v>
      </c>
      <c r="R52" s="413" t="s">
        <v>199</v>
      </c>
      <c r="S52" s="424">
        <v>11</v>
      </c>
      <c r="T52" s="424">
        <v>252</v>
      </c>
      <c r="U52" s="425">
        <v>0.95630000000000004</v>
      </c>
      <c r="V52" s="37"/>
      <c r="W52" s="412" t="s">
        <v>69</v>
      </c>
      <c r="X52" s="413" t="s">
        <v>199</v>
      </c>
      <c r="Y52" s="424">
        <v>14</v>
      </c>
      <c r="Z52" s="424">
        <v>240</v>
      </c>
      <c r="AA52" s="425">
        <v>0.94169999999999998</v>
      </c>
      <c r="AB52" s="314"/>
      <c r="AC52" s="37"/>
      <c r="AD52" s="352" t="s">
        <v>95</v>
      </c>
      <c r="AE52" s="284" t="s">
        <v>209</v>
      </c>
      <c r="AF52" s="384">
        <v>0.98260000000000003</v>
      </c>
      <c r="AG52" s="285">
        <v>4</v>
      </c>
      <c r="AH52" s="385">
        <v>230</v>
      </c>
      <c r="AI52" s="370">
        <v>0.9677</v>
      </c>
      <c r="AJ52" s="285">
        <v>2</v>
      </c>
      <c r="AK52" s="397">
        <v>62</v>
      </c>
      <c r="AL52" s="384">
        <v>0.9375</v>
      </c>
      <c r="AM52" s="285">
        <v>16</v>
      </c>
      <c r="AN52" s="385">
        <v>256</v>
      </c>
      <c r="AO52" s="370">
        <v>0.96730000000000005</v>
      </c>
      <c r="AP52" s="285">
        <v>8</v>
      </c>
      <c r="AQ52" s="353">
        <v>245</v>
      </c>
    </row>
    <row r="53" spans="1:43" x14ac:dyDescent="0.2">
      <c r="A53" s="37"/>
      <c r="B53" s="316"/>
      <c r="C53" s="412" t="s">
        <v>60</v>
      </c>
      <c r="D53" s="413" t="s">
        <v>200</v>
      </c>
      <c r="E53" s="414">
        <v>7</v>
      </c>
      <c r="F53" s="414">
        <v>59</v>
      </c>
      <c r="G53" s="415">
        <v>0.88139999999999996</v>
      </c>
      <c r="H53" s="37"/>
      <c r="I53" s="412" t="s">
        <v>60</v>
      </c>
      <c r="J53" s="413" t="s">
        <v>200</v>
      </c>
      <c r="K53" s="424">
        <v>17</v>
      </c>
      <c r="L53" s="424">
        <v>252</v>
      </c>
      <c r="M53" s="425">
        <v>0.9325</v>
      </c>
      <c r="N53" s="314"/>
      <c r="O53" s="37"/>
      <c r="P53" s="316"/>
      <c r="Q53" s="412" t="s">
        <v>60</v>
      </c>
      <c r="R53" s="413" t="s">
        <v>200</v>
      </c>
      <c r="S53" s="424">
        <v>36</v>
      </c>
      <c r="T53" s="424">
        <v>248</v>
      </c>
      <c r="U53" s="425">
        <v>0.8548</v>
      </c>
      <c r="V53" s="37"/>
      <c r="W53" s="412" t="s">
        <v>60</v>
      </c>
      <c r="X53" s="413" t="s">
        <v>200</v>
      </c>
      <c r="Y53" s="424">
        <v>20</v>
      </c>
      <c r="Z53" s="424">
        <v>241</v>
      </c>
      <c r="AA53" s="425">
        <v>0.91700000000000004</v>
      </c>
      <c r="AB53" s="314"/>
      <c r="AC53" s="37"/>
      <c r="AD53" s="347" t="s">
        <v>22</v>
      </c>
      <c r="AE53" s="280"/>
      <c r="AF53" s="380">
        <v>0.96698704554951942</v>
      </c>
      <c r="AG53" s="281">
        <v>158</v>
      </c>
      <c r="AH53" s="381">
        <v>4786</v>
      </c>
      <c r="AI53" s="368">
        <v>0.91330049261083746</v>
      </c>
      <c r="AJ53" s="281">
        <v>88</v>
      </c>
      <c r="AK53" s="395">
        <v>1015</v>
      </c>
      <c r="AL53" s="380">
        <v>0.90833128532809049</v>
      </c>
      <c r="AM53" s="281">
        <v>373</v>
      </c>
      <c r="AN53" s="381">
        <v>4069</v>
      </c>
      <c r="AO53" s="368">
        <v>0.92868137506413539</v>
      </c>
      <c r="AP53" s="281">
        <v>278</v>
      </c>
      <c r="AQ53" s="348">
        <v>3898</v>
      </c>
    </row>
    <row r="54" spans="1:43" x14ac:dyDescent="0.2">
      <c r="A54" s="37"/>
      <c r="B54" s="316"/>
      <c r="C54" s="412" t="s">
        <v>68</v>
      </c>
      <c r="D54" s="413" t="s">
        <v>201</v>
      </c>
      <c r="E54" s="414">
        <v>4</v>
      </c>
      <c r="F54" s="414">
        <v>57</v>
      </c>
      <c r="G54" s="415">
        <v>0.92979999999999996</v>
      </c>
      <c r="H54" s="37"/>
      <c r="I54" s="412" t="s">
        <v>68</v>
      </c>
      <c r="J54" s="413" t="s">
        <v>201</v>
      </c>
      <c r="K54" s="424">
        <v>8</v>
      </c>
      <c r="L54" s="424">
        <v>193</v>
      </c>
      <c r="M54" s="425">
        <v>0.95850000000000002</v>
      </c>
      <c r="N54" s="314"/>
      <c r="O54" s="37"/>
      <c r="P54" s="316"/>
      <c r="Q54" s="412" t="s">
        <v>68</v>
      </c>
      <c r="R54" s="413" t="s">
        <v>201</v>
      </c>
      <c r="S54" s="424">
        <v>23</v>
      </c>
      <c r="T54" s="424">
        <v>248</v>
      </c>
      <c r="U54" s="425">
        <v>0.9073</v>
      </c>
      <c r="V54" s="37"/>
      <c r="W54" s="412" t="s">
        <v>68</v>
      </c>
      <c r="X54" s="413" t="s">
        <v>201</v>
      </c>
      <c r="Y54" s="424">
        <v>21</v>
      </c>
      <c r="Z54" s="424">
        <v>242</v>
      </c>
      <c r="AA54" s="425">
        <v>0.91320000000000001</v>
      </c>
      <c r="AB54" s="314"/>
      <c r="AC54" s="37"/>
      <c r="AD54" s="349" t="s">
        <v>44</v>
      </c>
      <c r="AE54" s="282" t="s">
        <v>186</v>
      </c>
      <c r="AF54" s="382">
        <v>0.98260000000000003</v>
      </c>
      <c r="AG54" s="283">
        <v>5</v>
      </c>
      <c r="AH54" s="383">
        <v>287</v>
      </c>
      <c r="AI54" s="369">
        <v>0.95450000000000002</v>
      </c>
      <c r="AJ54" s="283">
        <v>3</v>
      </c>
      <c r="AK54" s="396">
        <v>66</v>
      </c>
      <c r="AL54" s="382">
        <v>0.90869999999999995</v>
      </c>
      <c r="AM54" s="283">
        <v>23</v>
      </c>
      <c r="AN54" s="383">
        <v>252</v>
      </c>
      <c r="AO54" s="369">
        <v>0.92179999999999995</v>
      </c>
      <c r="AP54" s="283">
        <v>19</v>
      </c>
      <c r="AQ54" s="350">
        <v>243</v>
      </c>
    </row>
    <row r="55" spans="1:43" x14ac:dyDescent="0.2">
      <c r="A55" s="37"/>
      <c r="B55" s="316"/>
      <c r="C55" s="412" t="s">
        <v>85</v>
      </c>
      <c r="D55" s="413" t="s">
        <v>202</v>
      </c>
      <c r="E55" s="414">
        <v>8</v>
      </c>
      <c r="F55" s="414">
        <v>61</v>
      </c>
      <c r="G55" s="415">
        <v>0.86890000000000001</v>
      </c>
      <c r="H55" s="37"/>
      <c r="I55" s="412" t="s">
        <v>85</v>
      </c>
      <c r="J55" s="413" t="s">
        <v>202</v>
      </c>
      <c r="K55" s="424">
        <v>10</v>
      </c>
      <c r="L55" s="424">
        <v>373</v>
      </c>
      <c r="M55" s="425">
        <v>0.97319999999999995</v>
      </c>
      <c r="N55" s="314"/>
      <c r="O55" s="37"/>
      <c r="P55" s="316"/>
      <c r="Q55" s="412" t="s">
        <v>85</v>
      </c>
      <c r="R55" s="413" t="s">
        <v>202</v>
      </c>
      <c r="S55" s="424">
        <v>40</v>
      </c>
      <c r="T55" s="424">
        <v>257</v>
      </c>
      <c r="U55" s="425">
        <v>0.84440000000000004</v>
      </c>
      <c r="V55" s="37"/>
      <c r="W55" s="412" t="s">
        <v>85</v>
      </c>
      <c r="X55" s="413" t="s">
        <v>202</v>
      </c>
      <c r="Y55" s="424">
        <v>23</v>
      </c>
      <c r="Z55" s="424">
        <v>249</v>
      </c>
      <c r="AA55" s="425">
        <v>0.90759999999999996</v>
      </c>
      <c r="AB55" s="314"/>
      <c r="AC55" s="37"/>
      <c r="AD55" s="349" t="s">
        <v>45</v>
      </c>
      <c r="AE55" s="282" t="s">
        <v>213</v>
      </c>
      <c r="AF55" s="382">
        <v>0.9677</v>
      </c>
      <c r="AG55" s="283">
        <v>9</v>
      </c>
      <c r="AH55" s="383">
        <v>279</v>
      </c>
      <c r="AI55" s="369">
        <v>0.93330000000000002</v>
      </c>
      <c r="AJ55" s="283">
        <v>4</v>
      </c>
      <c r="AK55" s="396">
        <v>60</v>
      </c>
      <c r="AL55" s="382">
        <v>0.89959999999999996</v>
      </c>
      <c r="AM55" s="283">
        <v>26</v>
      </c>
      <c r="AN55" s="383">
        <v>259</v>
      </c>
      <c r="AO55" s="369">
        <v>0.91759999999999997</v>
      </c>
      <c r="AP55" s="283">
        <v>21</v>
      </c>
      <c r="AQ55" s="350">
        <v>255</v>
      </c>
    </row>
    <row r="56" spans="1:43" x14ac:dyDescent="0.2">
      <c r="A56" s="37"/>
      <c r="B56" s="316"/>
      <c r="C56" s="412" t="s">
        <v>92</v>
      </c>
      <c r="D56" s="413" t="s">
        <v>203</v>
      </c>
      <c r="E56" s="414">
        <v>8</v>
      </c>
      <c r="F56" s="414">
        <v>64</v>
      </c>
      <c r="G56" s="415">
        <v>0.875</v>
      </c>
      <c r="H56" s="37"/>
      <c r="I56" s="412" t="s">
        <v>92</v>
      </c>
      <c r="J56" s="413" t="s">
        <v>203</v>
      </c>
      <c r="K56" s="424">
        <v>9</v>
      </c>
      <c r="L56" s="424">
        <v>309</v>
      </c>
      <c r="M56" s="425">
        <v>0.97089999999999999</v>
      </c>
      <c r="N56" s="314"/>
      <c r="O56" s="37"/>
      <c r="P56" s="316"/>
      <c r="Q56" s="412" t="s">
        <v>92</v>
      </c>
      <c r="R56" s="413" t="s">
        <v>203</v>
      </c>
      <c r="S56" s="424">
        <v>18</v>
      </c>
      <c r="T56" s="424">
        <v>258</v>
      </c>
      <c r="U56" s="425">
        <v>0.93020000000000003</v>
      </c>
      <c r="V56" s="37"/>
      <c r="W56" s="412" t="s">
        <v>92</v>
      </c>
      <c r="X56" s="413" t="s">
        <v>203</v>
      </c>
      <c r="Y56" s="424">
        <v>5</v>
      </c>
      <c r="Z56" s="424">
        <v>252</v>
      </c>
      <c r="AA56" s="425">
        <v>0.98019999999999996</v>
      </c>
      <c r="AB56" s="314"/>
      <c r="AC56" s="37"/>
      <c r="AD56" s="349" t="s">
        <v>47</v>
      </c>
      <c r="AE56" s="282" t="s">
        <v>192</v>
      </c>
      <c r="AF56" s="382">
        <v>0.97289999999999999</v>
      </c>
      <c r="AG56" s="283">
        <v>6</v>
      </c>
      <c r="AH56" s="383">
        <v>221</v>
      </c>
      <c r="AI56" s="369">
        <v>0.90629999999999999</v>
      </c>
      <c r="AJ56" s="283">
        <v>6</v>
      </c>
      <c r="AK56" s="396">
        <v>64</v>
      </c>
      <c r="AL56" s="382">
        <v>0.94940000000000002</v>
      </c>
      <c r="AM56" s="283">
        <v>13</v>
      </c>
      <c r="AN56" s="383">
        <v>257</v>
      </c>
      <c r="AO56" s="369">
        <v>0.93979999999999997</v>
      </c>
      <c r="AP56" s="283">
        <v>15</v>
      </c>
      <c r="AQ56" s="350">
        <v>249</v>
      </c>
    </row>
    <row r="57" spans="1:43" x14ac:dyDescent="0.2">
      <c r="A57" s="37"/>
      <c r="B57" s="316"/>
      <c r="C57" s="412" t="s">
        <v>204</v>
      </c>
      <c r="D57" s="413" t="s">
        <v>105</v>
      </c>
      <c r="E57" s="414">
        <v>6</v>
      </c>
      <c r="F57" s="414">
        <v>55</v>
      </c>
      <c r="G57" s="415">
        <v>0.89090000000000003</v>
      </c>
      <c r="H57" s="37"/>
      <c r="I57" s="412" t="s">
        <v>204</v>
      </c>
      <c r="J57" s="413" t="s">
        <v>105</v>
      </c>
      <c r="K57" s="424">
        <v>11</v>
      </c>
      <c r="L57" s="424">
        <v>170</v>
      </c>
      <c r="M57" s="425">
        <v>0.93530000000000002</v>
      </c>
      <c r="N57" s="314"/>
      <c r="O57" s="37"/>
      <c r="P57" s="316"/>
      <c r="Q57" s="412" t="s">
        <v>204</v>
      </c>
      <c r="R57" s="413" t="s">
        <v>105</v>
      </c>
      <c r="S57" s="424">
        <v>33</v>
      </c>
      <c r="T57" s="424">
        <v>250</v>
      </c>
      <c r="U57" s="425">
        <v>0.86799999999999999</v>
      </c>
      <c r="V57" s="37"/>
      <c r="W57" s="412" t="s">
        <v>204</v>
      </c>
      <c r="X57" s="413" t="s">
        <v>105</v>
      </c>
      <c r="Y57" s="424">
        <v>36</v>
      </c>
      <c r="Z57" s="424">
        <v>244</v>
      </c>
      <c r="AA57" s="425">
        <v>0.85250000000000004</v>
      </c>
      <c r="AB57" s="314"/>
      <c r="AC57" s="37"/>
      <c r="AD57" s="349" t="s">
        <v>53</v>
      </c>
      <c r="AE57" s="282" t="s">
        <v>185</v>
      </c>
      <c r="AF57" s="382">
        <v>0.95679999999999998</v>
      </c>
      <c r="AG57" s="283">
        <v>12</v>
      </c>
      <c r="AH57" s="383">
        <v>278</v>
      </c>
      <c r="AI57" s="369">
        <v>0.92190000000000005</v>
      </c>
      <c r="AJ57" s="283">
        <v>5</v>
      </c>
      <c r="AK57" s="396">
        <v>64</v>
      </c>
      <c r="AL57" s="382">
        <v>0.877</v>
      </c>
      <c r="AM57" s="283">
        <v>31</v>
      </c>
      <c r="AN57" s="383">
        <v>252</v>
      </c>
      <c r="AO57" s="369">
        <v>0.90200000000000002</v>
      </c>
      <c r="AP57" s="283">
        <v>24</v>
      </c>
      <c r="AQ57" s="350">
        <v>245</v>
      </c>
    </row>
    <row r="58" spans="1:43" x14ac:dyDescent="0.2">
      <c r="A58" s="37"/>
      <c r="B58" s="316"/>
      <c r="C58" s="412" t="s">
        <v>205</v>
      </c>
      <c r="D58" s="413" t="s">
        <v>206</v>
      </c>
      <c r="E58" s="414">
        <v>4</v>
      </c>
      <c r="F58" s="414">
        <v>61</v>
      </c>
      <c r="G58" s="415">
        <v>0.93440000000000001</v>
      </c>
      <c r="H58" s="37"/>
      <c r="I58" s="412" t="s">
        <v>205</v>
      </c>
      <c r="J58" s="413" t="s">
        <v>206</v>
      </c>
      <c r="K58" s="424">
        <v>4</v>
      </c>
      <c r="L58" s="424">
        <v>197</v>
      </c>
      <c r="M58" s="425">
        <v>0.97970000000000002</v>
      </c>
      <c r="N58" s="314"/>
      <c r="O58" s="37"/>
      <c r="P58" s="316"/>
      <c r="Q58" s="412" t="s">
        <v>205</v>
      </c>
      <c r="R58" s="413" t="s">
        <v>206</v>
      </c>
      <c r="S58" s="424">
        <v>9</v>
      </c>
      <c r="T58" s="424">
        <v>254</v>
      </c>
      <c r="U58" s="425">
        <v>0.96460000000000001</v>
      </c>
      <c r="V58" s="37"/>
      <c r="W58" s="412" t="s">
        <v>205</v>
      </c>
      <c r="X58" s="413" t="s">
        <v>206</v>
      </c>
      <c r="Y58" s="424">
        <v>9</v>
      </c>
      <c r="Z58" s="424">
        <v>244</v>
      </c>
      <c r="AA58" s="425">
        <v>0.96309999999999996</v>
      </c>
      <c r="AB58" s="314"/>
      <c r="AC58" s="37"/>
      <c r="AD58" s="349" t="s">
        <v>49</v>
      </c>
      <c r="AE58" s="282">
        <v>442</v>
      </c>
      <c r="AF58" s="382">
        <v>0.97670000000000001</v>
      </c>
      <c r="AG58" s="283">
        <v>5</v>
      </c>
      <c r="AH58" s="383">
        <v>215</v>
      </c>
      <c r="AI58" s="369">
        <v>0.9153</v>
      </c>
      <c r="AJ58" s="283">
        <v>5</v>
      </c>
      <c r="AK58" s="396">
        <v>59</v>
      </c>
      <c r="AL58" s="382">
        <v>0.90759999999999996</v>
      </c>
      <c r="AM58" s="283">
        <v>23</v>
      </c>
      <c r="AN58" s="383">
        <v>249</v>
      </c>
      <c r="AO58" s="369">
        <v>0.90910000000000002</v>
      </c>
      <c r="AP58" s="283">
        <v>21</v>
      </c>
      <c r="AQ58" s="350">
        <v>231</v>
      </c>
    </row>
    <row r="59" spans="1:43" x14ac:dyDescent="0.2">
      <c r="A59" s="37"/>
      <c r="B59" s="316"/>
      <c r="C59" s="412" t="s">
        <v>56</v>
      </c>
      <c r="D59" s="413" t="s">
        <v>207</v>
      </c>
      <c r="E59" s="414">
        <v>2</v>
      </c>
      <c r="F59" s="414">
        <v>61</v>
      </c>
      <c r="G59" s="415">
        <v>0.96719999999999995</v>
      </c>
      <c r="H59" s="37"/>
      <c r="I59" s="412" t="s">
        <v>56</v>
      </c>
      <c r="J59" s="413" t="s">
        <v>207</v>
      </c>
      <c r="K59" s="424">
        <v>4</v>
      </c>
      <c r="L59" s="424">
        <v>185</v>
      </c>
      <c r="M59" s="425">
        <v>0.97840000000000005</v>
      </c>
      <c r="N59" s="314"/>
      <c r="O59" s="37"/>
      <c r="P59" s="316"/>
      <c r="Q59" s="412" t="s">
        <v>56</v>
      </c>
      <c r="R59" s="413" t="s">
        <v>207</v>
      </c>
      <c r="S59" s="424">
        <v>18</v>
      </c>
      <c r="T59" s="424">
        <v>256</v>
      </c>
      <c r="U59" s="425">
        <v>0.92969999999999997</v>
      </c>
      <c r="V59" s="37"/>
      <c r="W59" s="412" t="s">
        <v>56</v>
      </c>
      <c r="X59" s="413" t="s">
        <v>207</v>
      </c>
      <c r="Y59" s="424">
        <v>9</v>
      </c>
      <c r="Z59" s="424">
        <v>247</v>
      </c>
      <c r="AA59" s="425">
        <v>0.96360000000000001</v>
      </c>
      <c r="AB59" s="314"/>
      <c r="AC59" s="37"/>
      <c r="AD59" s="349" t="s">
        <v>205</v>
      </c>
      <c r="AE59" s="282" t="s">
        <v>206</v>
      </c>
      <c r="AF59" s="382">
        <v>0.97970000000000002</v>
      </c>
      <c r="AG59" s="283">
        <v>4</v>
      </c>
      <c r="AH59" s="383">
        <v>197</v>
      </c>
      <c r="AI59" s="369">
        <v>0.93440000000000001</v>
      </c>
      <c r="AJ59" s="283">
        <v>4</v>
      </c>
      <c r="AK59" s="396">
        <v>61</v>
      </c>
      <c r="AL59" s="382">
        <v>0.96460000000000001</v>
      </c>
      <c r="AM59" s="283">
        <v>9</v>
      </c>
      <c r="AN59" s="383">
        <v>254</v>
      </c>
      <c r="AO59" s="369">
        <v>0.96309999999999996</v>
      </c>
      <c r="AP59" s="283">
        <v>9</v>
      </c>
      <c r="AQ59" s="350">
        <v>244</v>
      </c>
    </row>
    <row r="60" spans="1:43" x14ac:dyDescent="0.2">
      <c r="A60" s="37"/>
      <c r="B60" s="316"/>
      <c r="C60" s="412" t="s">
        <v>88</v>
      </c>
      <c r="D60" s="413" t="s">
        <v>208</v>
      </c>
      <c r="E60" s="414">
        <v>2</v>
      </c>
      <c r="F60" s="414">
        <v>63</v>
      </c>
      <c r="G60" s="415">
        <v>0.96830000000000005</v>
      </c>
      <c r="H60" s="37"/>
      <c r="I60" s="412" t="s">
        <v>88</v>
      </c>
      <c r="J60" s="413" t="s">
        <v>208</v>
      </c>
      <c r="K60" s="424">
        <v>6</v>
      </c>
      <c r="L60" s="424">
        <v>287</v>
      </c>
      <c r="M60" s="425">
        <v>0.97909999999999997</v>
      </c>
      <c r="N60" s="314"/>
      <c r="O60" s="37"/>
      <c r="P60" s="316"/>
      <c r="Q60" s="412" t="s">
        <v>88</v>
      </c>
      <c r="R60" s="413" t="s">
        <v>208</v>
      </c>
      <c r="S60" s="424">
        <v>12</v>
      </c>
      <c r="T60" s="424">
        <v>256</v>
      </c>
      <c r="U60" s="425">
        <v>0.95309999999999995</v>
      </c>
      <c r="V60" s="37"/>
      <c r="W60" s="412" t="s">
        <v>88</v>
      </c>
      <c r="X60" s="413" t="s">
        <v>208</v>
      </c>
      <c r="Y60" s="424">
        <v>9</v>
      </c>
      <c r="Z60" s="424">
        <v>250</v>
      </c>
      <c r="AA60" s="425">
        <v>0.96399999999999997</v>
      </c>
      <c r="AB60" s="314"/>
      <c r="AC60" s="37"/>
      <c r="AD60" s="349" t="s">
        <v>59</v>
      </c>
      <c r="AE60" s="282" t="s">
        <v>210</v>
      </c>
      <c r="AF60" s="382">
        <v>0.96779999999999999</v>
      </c>
      <c r="AG60" s="283">
        <v>10</v>
      </c>
      <c r="AH60" s="383">
        <v>311</v>
      </c>
      <c r="AI60" s="369">
        <v>0.90910000000000002</v>
      </c>
      <c r="AJ60" s="283">
        <v>6</v>
      </c>
      <c r="AK60" s="396">
        <v>66</v>
      </c>
      <c r="AL60" s="382">
        <v>0.90229999999999999</v>
      </c>
      <c r="AM60" s="283">
        <v>25</v>
      </c>
      <c r="AN60" s="383">
        <v>256</v>
      </c>
      <c r="AO60" s="369">
        <v>0.96360000000000001</v>
      </c>
      <c r="AP60" s="283">
        <v>9</v>
      </c>
      <c r="AQ60" s="350">
        <v>247</v>
      </c>
    </row>
    <row r="61" spans="1:43" x14ac:dyDescent="0.2">
      <c r="A61" s="37"/>
      <c r="B61" s="316"/>
      <c r="C61" s="412" t="s">
        <v>49</v>
      </c>
      <c r="D61" s="413">
        <v>442</v>
      </c>
      <c r="E61" s="414">
        <v>5</v>
      </c>
      <c r="F61" s="414">
        <v>59</v>
      </c>
      <c r="G61" s="415">
        <v>0.9153</v>
      </c>
      <c r="H61" s="37"/>
      <c r="I61" s="412" t="s">
        <v>49</v>
      </c>
      <c r="J61" s="413">
        <v>442</v>
      </c>
      <c r="K61" s="424">
        <v>5</v>
      </c>
      <c r="L61" s="424">
        <v>215</v>
      </c>
      <c r="M61" s="425">
        <v>0.97670000000000001</v>
      </c>
      <c r="N61" s="314"/>
      <c r="O61" s="37"/>
      <c r="P61" s="316"/>
      <c r="Q61" s="412" t="s">
        <v>49</v>
      </c>
      <c r="R61" s="413">
        <v>442</v>
      </c>
      <c r="S61" s="424">
        <v>23</v>
      </c>
      <c r="T61" s="424">
        <v>249</v>
      </c>
      <c r="U61" s="425">
        <v>0.90759999999999996</v>
      </c>
      <c r="V61" s="37"/>
      <c r="W61" s="412" t="s">
        <v>49</v>
      </c>
      <c r="X61" s="413">
        <v>442</v>
      </c>
      <c r="Y61" s="424">
        <v>21</v>
      </c>
      <c r="Z61" s="424">
        <v>231</v>
      </c>
      <c r="AA61" s="425">
        <v>0.90910000000000002</v>
      </c>
      <c r="AB61" s="314"/>
      <c r="AC61" s="37"/>
      <c r="AD61" s="351" t="s">
        <v>66</v>
      </c>
      <c r="AE61" s="282" t="s">
        <v>189</v>
      </c>
      <c r="AF61" s="382">
        <v>0.95189999999999997</v>
      </c>
      <c r="AG61" s="283">
        <v>15</v>
      </c>
      <c r="AH61" s="383">
        <v>312</v>
      </c>
      <c r="AI61" s="369">
        <v>0.9</v>
      </c>
      <c r="AJ61" s="283">
        <v>6</v>
      </c>
      <c r="AK61" s="396">
        <v>60</v>
      </c>
      <c r="AL61" s="382">
        <v>0.878</v>
      </c>
      <c r="AM61" s="283">
        <v>30</v>
      </c>
      <c r="AN61" s="383">
        <v>246</v>
      </c>
      <c r="AO61" s="369">
        <v>0.90790000000000004</v>
      </c>
      <c r="AP61" s="283">
        <v>21</v>
      </c>
      <c r="AQ61" s="350">
        <v>228</v>
      </c>
    </row>
    <row r="62" spans="1:43" x14ac:dyDescent="0.2">
      <c r="A62" s="37"/>
      <c r="B62" s="316"/>
      <c r="C62" s="412" t="s">
        <v>95</v>
      </c>
      <c r="D62" s="413" t="s">
        <v>209</v>
      </c>
      <c r="E62" s="414">
        <v>2</v>
      </c>
      <c r="F62" s="414">
        <v>62</v>
      </c>
      <c r="G62" s="415">
        <v>0.9677</v>
      </c>
      <c r="H62" s="37"/>
      <c r="I62" s="412" t="s">
        <v>95</v>
      </c>
      <c r="J62" s="413" t="s">
        <v>209</v>
      </c>
      <c r="K62" s="424">
        <v>4</v>
      </c>
      <c r="L62" s="424">
        <v>230</v>
      </c>
      <c r="M62" s="425">
        <v>0.98260000000000003</v>
      </c>
      <c r="N62" s="314"/>
      <c r="O62" s="37"/>
      <c r="P62" s="316"/>
      <c r="Q62" s="412" t="s">
        <v>95</v>
      </c>
      <c r="R62" s="413" t="s">
        <v>209</v>
      </c>
      <c r="S62" s="424">
        <v>16</v>
      </c>
      <c r="T62" s="424">
        <v>256</v>
      </c>
      <c r="U62" s="425">
        <v>0.9375</v>
      </c>
      <c r="V62" s="37"/>
      <c r="W62" s="412" t="s">
        <v>95</v>
      </c>
      <c r="X62" s="413" t="s">
        <v>209</v>
      </c>
      <c r="Y62" s="424">
        <v>8</v>
      </c>
      <c r="Z62" s="424">
        <v>245</v>
      </c>
      <c r="AA62" s="425">
        <v>0.96730000000000005</v>
      </c>
      <c r="AB62" s="314"/>
      <c r="AC62" s="37"/>
      <c r="AD62" s="349" t="s">
        <v>69</v>
      </c>
      <c r="AE62" s="282" t="s">
        <v>199</v>
      </c>
      <c r="AF62" s="382">
        <v>0.98980000000000001</v>
      </c>
      <c r="AG62" s="283">
        <v>3</v>
      </c>
      <c r="AH62" s="383">
        <v>293</v>
      </c>
      <c r="AI62" s="369">
        <v>0.98409999999999997</v>
      </c>
      <c r="AJ62" s="283">
        <v>1</v>
      </c>
      <c r="AK62" s="396">
        <v>63</v>
      </c>
      <c r="AL62" s="382">
        <v>0.95630000000000004</v>
      </c>
      <c r="AM62" s="283">
        <v>11</v>
      </c>
      <c r="AN62" s="383">
        <v>252</v>
      </c>
      <c r="AO62" s="369">
        <v>0.94169999999999998</v>
      </c>
      <c r="AP62" s="283">
        <v>14</v>
      </c>
      <c r="AQ62" s="350">
        <v>240</v>
      </c>
    </row>
    <row r="63" spans="1:43" x14ac:dyDescent="0.2">
      <c r="A63" s="37"/>
      <c r="B63" s="316"/>
      <c r="C63" s="412" t="s">
        <v>59</v>
      </c>
      <c r="D63" s="413" t="s">
        <v>210</v>
      </c>
      <c r="E63" s="414">
        <v>6</v>
      </c>
      <c r="F63" s="414">
        <v>66</v>
      </c>
      <c r="G63" s="415">
        <v>0.90910000000000002</v>
      </c>
      <c r="H63" s="37"/>
      <c r="I63" s="412" t="s">
        <v>59</v>
      </c>
      <c r="J63" s="413" t="s">
        <v>210</v>
      </c>
      <c r="K63" s="424">
        <v>10</v>
      </c>
      <c r="L63" s="424">
        <v>311</v>
      </c>
      <c r="M63" s="425">
        <v>0.96779999999999999</v>
      </c>
      <c r="N63" s="314"/>
      <c r="O63" s="37"/>
      <c r="P63" s="316"/>
      <c r="Q63" s="412" t="s">
        <v>59</v>
      </c>
      <c r="R63" s="413" t="s">
        <v>210</v>
      </c>
      <c r="S63" s="424">
        <v>25</v>
      </c>
      <c r="T63" s="424">
        <v>256</v>
      </c>
      <c r="U63" s="425">
        <v>0.90229999999999999</v>
      </c>
      <c r="V63" s="37"/>
      <c r="W63" s="412" t="s">
        <v>59</v>
      </c>
      <c r="X63" s="413" t="s">
        <v>210</v>
      </c>
      <c r="Y63" s="424">
        <v>9</v>
      </c>
      <c r="Z63" s="424">
        <v>247</v>
      </c>
      <c r="AA63" s="425">
        <v>0.96360000000000001</v>
      </c>
      <c r="AB63" s="314"/>
      <c r="AC63" s="37"/>
      <c r="AD63" s="349" t="s">
        <v>76</v>
      </c>
      <c r="AE63" s="282" t="s">
        <v>188</v>
      </c>
      <c r="AF63" s="382">
        <v>0.8952</v>
      </c>
      <c r="AG63" s="283">
        <v>22</v>
      </c>
      <c r="AH63" s="383">
        <v>210</v>
      </c>
      <c r="AI63" s="369">
        <v>0.82809999999999995</v>
      </c>
      <c r="AJ63" s="283">
        <v>11</v>
      </c>
      <c r="AK63" s="396">
        <v>64</v>
      </c>
      <c r="AL63" s="382">
        <v>0.87209999999999999</v>
      </c>
      <c r="AM63" s="283">
        <v>33</v>
      </c>
      <c r="AN63" s="383">
        <v>258</v>
      </c>
      <c r="AO63" s="369">
        <v>0.89470000000000005</v>
      </c>
      <c r="AP63" s="283">
        <v>26</v>
      </c>
      <c r="AQ63" s="350">
        <v>247</v>
      </c>
    </row>
    <row r="64" spans="1:43" x14ac:dyDescent="0.2">
      <c r="A64" s="37"/>
      <c r="B64" s="316"/>
      <c r="C64" s="412" t="s">
        <v>211</v>
      </c>
      <c r="D64" s="413" t="s">
        <v>212</v>
      </c>
      <c r="E64" s="414">
        <v>8</v>
      </c>
      <c r="F64" s="414">
        <v>60</v>
      </c>
      <c r="G64" s="415">
        <v>0.86670000000000003</v>
      </c>
      <c r="H64" s="37"/>
      <c r="I64" s="412" t="s">
        <v>211</v>
      </c>
      <c r="J64" s="413" t="s">
        <v>212</v>
      </c>
      <c r="K64" s="424">
        <v>16</v>
      </c>
      <c r="L64" s="424">
        <v>236</v>
      </c>
      <c r="M64" s="425">
        <v>0.93220000000000003</v>
      </c>
      <c r="N64" s="314"/>
      <c r="O64" s="37"/>
      <c r="P64" s="316"/>
      <c r="Q64" s="412" t="s">
        <v>211</v>
      </c>
      <c r="R64" s="413" t="s">
        <v>212</v>
      </c>
      <c r="S64" s="424">
        <v>31</v>
      </c>
      <c r="T64" s="424">
        <v>253</v>
      </c>
      <c r="U64" s="425">
        <v>0.87749999999999995</v>
      </c>
      <c r="V64" s="37"/>
      <c r="W64" s="412" t="s">
        <v>211</v>
      </c>
      <c r="X64" s="413" t="s">
        <v>212</v>
      </c>
      <c r="Y64" s="424">
        <v>22</v>
      </c>
      <c r="Z64" s="424">
        <v>222</v>
      </c>
      <c r="AA64" s="425">
        <v>0.90090000000000003</v>
      </c>
      <c r="AB64" s="314"/>
      <c r="AC64" s="37"/>
      <c r="AD64" s="349" t="s">
        <v>78</v>
      </c>
      <c r="AE64" s="282" t="s">
        <v>190</v>
      </c>
      <c r="AF64" s="382">
        <v>0.95240000000000002</v>
      </c>
      <c r="AG64" s="283">
        <v>13</v>
      </c>
      <c r="AH64" s="383">
        <v>273</v>
      </c>
      <c r="AI64" s="369">
        <v>0.92420000000000002</v>
      </c>
      <c r="AJ64" s="283">
        <v>5</v>
      </c>
      <c r="AK64" s="396">
        <v>66</v>
      </c>
      <c r="AL64" s="382">
        <v>0.91830000000000001</v>
      </c>
      <c r="AM64" s="283">
        <v>21</v>
      </c>
      <c r="AN64" s="383">
        <v>257</v>
      </c>
      <c r="AO64" s="369">
        <v>0.93059999999999998</v>
      </c>
      <c r="AP64" s="283">
        <v>17</v>
      </c>
      <c r="AQ64" s="350">
        <v>245</v>
      </c>
    </row>
    <row r="65" spans="1:43" x14ac:dyDescent="0.2">
      <c r="A65" s="37"/>
      <c r="B65" s="316"/>
      <c r="C65" s="412" t="s">
        <v>45</v>
      </c>
      <c r="D65" s="413" t="s">
        <v>213</v>
      </c>
      <c r="E65" s="414">
        <v>4</v>
      </c>
      <c r="F65" s="414">
        <v>60</v>
      </c>
      <c r="G65" s="415">
        <v>0.93330000000000002</v>
      </c>
      <c r="H65" s="37"/>
      <c r="I65" s="412" t="s">
        <v>45</v>
      </c>
      <c r="J65" s="413" t="s">
        <v>213</v>
      </c>
      <c r="K65" s="424">
        <v>9</v>
      </c>
      <c r="L65" s="424">
        <v>279</v>
      </c>
      <c r="M65" s="425">
        <v>0.9677</v>
      </c>
      <c r="N65" s="314"/>
      <c r="O65" s="37"/>
      <c r="P65" s="316"/>
      <c r="Q65" s="412" t="s">
        <v>45</v>
      </c>
      <c r="R65" s="413" t="s">
        <v>213</v>
      </c>
      <c r="S65" s="424">
        <v>26</v>
      </c>
      <c r="T65" s="424">
        <v>259</v>
      </c>
      <c r="U65" s="425">
        <v>0.89959999999999996</v>
      </c>
      <c r="V65" s="37"/>
      <c r="W65" s="412" t="s">
        <v>45</v>
      </c>
      <c r="X65" s="413" t="s">
        <v>213</v>
      </c>
      <c r="Y65" s="424">
        <v>21</v>
      </c>
      <c r="Z65" s="424">
        <v>255</v>
      </c>
      <c r="AA65" s="425">
        <v>0.91759999999999997</v>
      </c>
      <c r="AB65" s="314"/>
      <c r="AC65" s="37"/>
      <c r="AD65" s="349" t="s">
        <v>80</v>
      </c>
      <c r="AE65" s="282" t="s">
        <v>193</v>
      </c>
      <c r="AF65" s="382">
        <v>0.96189999999999998</v>
      </c>
      <c r="AG65" s="283">
        <v>8</v>
      </c>
      <c r="AH65" s="383">
        <v>210</v>
      </c>
      <c r="AI65" s="369">
        <v>0.93440000000000001</v>
      </c>
      <c r="AJ65" s="283">
        <v>4</v>
      </c>
      <c r="AK65" s="396">
        <v>61</v>
      </c>
      <c r="AL65" s="382">
        <v>0.94799999999999995</v>
      </c>
      <c r="AM65" s="283">
        <v>13</v>
      </c>
      <c r="AN65" s="383">
        <v>250</v>
      </c>
      <c r="AO65" s="369">
        <v>0.9718</v>
      </c>
      <c r="AP65" s="283">
        <v>7</v>
      </c>
      <c r="AQ65" s="350">
        <v>248</v>
      </c>
    </row>
    <row r="66" spans="1:43" ht="13.5" thickBot="1" x14ac:dyDescent="0.25">
      <c r="A66" s="37"/>
      <c r="B66" s="316"/>
      <c r="C66" s="416" t="s">
        <v>214</v>
      </c>
      <c r="D66" s="417"/>
      <c r="E66" s="418">
        <v>304</v>
      </c>
      <c r="F66" s="418">
        <v>3578</v>
      </c>
      <c r="G66" s="419">
        <v>0.91500000000000004</v>
      </c>
      <c r="H66" s="37"/>
      <c r="I66" s="416" t="s">
        <v>214</v>
      </c>
      <c r="J66" s="417"/>
      <c r="K66" s="428">
        <v>606</v>
      </c>
      <c r="L66" s="428">
        <v>15165</v>
      </c>
      <c r="M66" s="429">
        <v>0.96</v>
      </c>
      <c r="N66" s="315"/>
      <c r="O66" s="37"/>
      <c r="P66" s="316"/>
      <c r="Q66" s="416" t="s">
        <v>214</v>
      </c>
      <c r="R66" s="417"/>
      <c r="S66" s="428">
        <v>1302</v>
      </c>
      <c r="T66" s="428">
        <v>14448</v>
      </c>
      <c r="U66" s="429">
        <v>0.90990000000000004</v>
      </c>
      <c r="V66" s="37"/>
      <c r="W66" s="416" t="s">
        <v>214</v>
      </c>
      <c r="X66" s="417"/>
      <c r="Y66" s="428">
        <v>1066</v>
      </c>
      <c r="Z66" s="428">
        <v>13899</v>
      </c>
      <c r="AA66" s="429">
        <v>0.92330000000000001</v>
      </c>
      <c r="AB66" s="315"/>
      <c r="AC66" s="37"/>
      <c r="AD66" s="349" t="s">
        <v>82</v>
      </c>
      <c r="AE66" s="282" t="s">
        <v>197</v>
      </c>
      <c r="AF66" s="382">
        <v>0.97660000000000002</v>
      </c>
      <c r="AG66" s="283">
        <v>5</v>
      </c>
      <c r="AH66" s="383">
        <v>214</v>
      </c>
      <c r="AI66" s="369">
        <v>0.94120000000000004</v>
      </c>
      <c r="AJ66" s="283">
        <v>4</v>
      </c>
      <c r="AK66" s="396">
        <v>68</v>
      </c>
      <c r="AL66" s="382">
        <v>0.92490000000000006</v>
      </c>
      <c r="AM66" s="283">
        <v>19</v>
      </c>
      <c r="AN66" s="383">
        <v>253</v>
      </c>
      <c r="AO66" s="369">
        <v>0.89380000000000004</v>
      </c>
      <c r="AP66" s="283">
        <v>24</v>
      </c>
      <c r="AQ66" s="350">
        <v>226</v>
      </c>
    </row>
    <row r="67" spans="1:43" ht="14.25" thickTop="1" thickBot="1" x14ac:dyDescent="0.25">
      <c r="A67" s="37"/>
      <c r="B67" s="321"/>
      <c r="C67" s="322"/>
      <c r="D67" s="323"/>
      <c r="E67" s="323"/>
      <c r="F67" s="323"/>
      <c r="G67" s="323"/>
      <c r="H67" s="324"/>
      <c r="I67" s="322"/>
      <c r="J67" s="323"/>
      <c r="K67" s="323"/>
      <c r="L67" s="323"/>
      <c r="M67" s="323"/>
      <c r="N67" s="325"/>
      <c r="O67" s="37"/>
      <c r="P67" s="321"/>
      <c r="Q67" s="322"/>
      <c r="R67" s="323"/>
      <c r="S67" s="323"/>
      <c r="T67" s="323"/>
      <c r="U67" s="323"/>
      <c r="V67" s="324"/>
      <c r="W67" s="322"/>
      <c r="X67" s="323"/>
      <c r="Y67" s="323"/>
      <c r="Z67" s="323"/>
      <c r="AA67" s="323"/>
      <c r="AB67" s="325"/>
      <c r="AC67" s="37"/>
      <c r="AD67" s="349" t="s">
        <v>246</v>
      </c>
      <c r="AE67" s="282" t="s">
        <v>187</v>
      </c>
      <c r="AF67" s="382">
        <v>0.97350000000000003</v>
      </c>
      <c r="AG67" s="283">
        <v>19</v>
      </c>
      <c r="AH67" s="383">
        <v>717</v>
      </c>
      <c r="AI67" s="369">
        <v>0.84130000000000005</v>
      </c>
      <c r="AJ67" s="283">
        <v>10</v>
      </c>
      <c r="AK67" s="396">
        <v>63</v>
      </c>
      <c r="AL67" s="382">
        <v>0.88929999999999998</v>
      </c>
      <c r="AM67" s="283">
        <v>28</v>
      </c>
      <c r="AN67" s="383">
        <v>253</v>
      </c>
      <c r="AO67" s="369">
        <v>0.94899999999999995</v>
      </c>
      <c r="AP67" s="283">
        <v>13</v>
      </c>
      <c r="AQ67" s="350">
        <v>255</v>
      </c>
    </row>
    <row r="68" spans="1:43" x14ac:dyDescent="0.2">
      <c r="A68" s="37"/>
      <c r="AD68" s="355" t="s">
        <v>248</v>
      </c>
      <c r="AE68" s="282" t="s">
        <v>202</v>
      </c>
      <c r="AF68" s="382">
        <v>0.97319999999999995</v>
      </c>
      <c r="AG68" s="287">
        <v>10</v>
      </c>
      <c r="AH68" s="387">
        <v>373</v>
      </c>
      <c r="AI68" s="369">
        <v>0.86890000000000001</v>
      </c>
      <c r="AJ68" s="287">
        <v>8</v>
      </c>
      <c r="AK68" s="286">
        <v>61</v>
      </c>
      <c r="AL68" s="382">
        <v>0.84440000000000004</v>
      </c>
      <c r="AM68" s="287">
        <v>40</v>
      </c>
      <c r="AN68" s="387">
        <v>257</v>
      </c>
      <c r="AO68" s="369">
        <v>0.90759999999999996</v>
      </c>
      <c r="AP68" s="287">
        <v>23</v>
      </c>
      <c r="AQ68" s="356">
        <v>249</v>
      </c>
    </row>
    <row r="69" spans="1:43" ht="13.5" thickBot="1" x14ac:dyDescent="0.25">
      <c r="A69" s="37"/>
      <c r="B69" s="586" t="s">
        <v>457</v>
      </c>
      <c r="C69" s="586"/>
      <c r="D69" s="586"/>
      <c r="E69" s="586"/>
      <c r="F69" s="586"/>
      <c r="G69" s="586"/>
      <c r="H69" s="586"/>
      <c r="I69" s="586"/>
      <c r="J69" s="586"/>
      <c r="K69" s="586"/>
      <c r="L69" s="586"/>
      <c r="M69" s="586"/>
      <c r="N69" s="586"/>
      <c r="O69" s="586"/>
      <c r="P69" s="586"/>
      <c r="Q69" s="586"/>
      <c r="R69" s="586"/>
      <c r="S69" s="586"/>
      <c r="T69" s="586"/>
      <c r="U69" s="586"/>
      <c r="V69" s="586"/>
      <c r="W69" s="586"/>
      <c r="X69" s="586"/>
      <c r="Y69" s="586"/>
      <c r="Z69" s="586"/>
      <c r="AA69" s="586"/>
      <c r="AB69" s="586"/>
      <c r="AD69" s="352" t="s">
        <v>87</v>
      </c>
      <c r="AE69" s="279" t="s">
        <v>191</v>
      </c>
      <c r="AF69" s="382">
        <v>0.96970000000000001</v>
      </c>
      <c r="AG69" s="288">
        <v>12</v>
      </c>
      <c r="AH69" s="388">
        <v>396</v>
      </c>
      <c r="AI69" s="369">
        <v>0.91300000000000003</v>
      </c>
      <c r="AJ69" s="288">
        <v>6</v>
      </c>
      <c r="AK69" s="399">
        <v>69</v>
      </c>
      <c r="AL69" s="382">
        <v>0.89390000000000003</v>
      </c>
      <c r="AM69" s="288">
        <v>28</v>
      </c>
      <c r="AN69" s="388">
        <v>264</v>
      </c>
      <c r="AO69" s="369">
        <v>0.93899999999999995</v>
      </c>
      <c r="AP69" s="288">
        <v>15</v>
      </c>
      <c r="AQ69" s="357">
        <v>246</v>
      </c>
    </row>
    <row r="70" spans="1:43" ht="13.5" customHeight="1" thickBot="1" x14ac:dyDescent="0.25">
      <c r="A70" s="36"/>
      <c r="B70" s="586"/>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D70" s="358" t="s">
        <v>267</v>
      </c>
      <c r="AE70" s="280">
        <v>1</v>
      </c>
      <c r="AF70" s="380"/>
      <c r="AG70" s="281"/>
      <c r="AH70" s="381"/>
      <c r="AI70" s="371">
        <v>1</v>
      </c>
      <c r="AJ70" s="281">
        <v>0</v>
      </c>
      <c r="AK70" s="395">
        <v>187</v>
      </c>
      <c r="AL70" s="402">
        <v>0.996</v>
      </c>
      <c r="AM70" s="281">
        <v>3</v>
      </c>
      <c r="AN70" s="381">
        <v>747</v>
      </c>
      <c r="AO70" s="371">
        <v>0.99070000000000003</v>
      </c>
      <c r="AP70" s="281">
        <v>7</v>
      </c>
      <c r="AQ70" s="348">
        <v>749</v>
      </c>
    </row>
    <row r="71" spans="1:43" s="17" customFormat="1" ht="20.25" x14ac:dyDescent="0.2">
      <c r="A71" s="5"/>
      <c r="B71" s="308"/>
      <c r="C71" s="587" t="s">
        <v>458</v>
      </c>
      <c r="D71" s="587"/>
      <c r="E71" s="587"/>
      <c r="F71" s="605" t="s">
        <v>440</v>
      </c>
      <c r="G71" s="605"/>
      <c r="H71" s="605"/>
      <c r="I71" s="605"/>
      <c r="J71" s="605"/>
      <c r="K71" s="605"/>
      <c r="L71" s="605"/>
      <c r="M71" s="605"/>
      <c r="N71" s="318"/>
      <c r="P71" s="308"/>
      <c r="Q71" s="587" t="s">
        <v>458</v>
      </c>
      <c r="R71" s="587"/>
      <c r="S71" s="587"/>
      <c r="T71" s="605" t="s">
        <v>441</v>
      </c>
      <c r="U71" s="605"/>
      <c r="V71" s="605"/>
      <c r="W71" s="605"/>
      <c r="X71" s="605"/>
      <c r="Y71" s="605"/>
      <c r="Z71" s="605"/>
      <c r="AA71" s="605"/>
      <c r="AB71" s="318"/>
      <c r="AC71" s="306"/>
      <c r="AD71" s="359" t="s">
        <v>251</v>
      </c>
      <c r="AE71" s="47">
        <v>110</v>
      </c>
      <c r="AF71" s="389"/>
      <c r="AG71" s="289"/>
      <c r="AH71" s="390"/>
      <c r="AI71" s="372">
        <v>1</v>
      </c>
      <c r="AJ71" s="305">
        <v>0</v>
      </c>
      <c r="AK71" s="400">
        <v>63</v>
      </c>
      <c r="AL71" s="403">
        <v>1</v>
      </c>
      <c r="AM71" s="305">
        <v>0</v>
      </c>
      <c r="AN71" s="404">
        <v>253</v>
      </c>
      <c r="AO71" s="372">
        <v>0.996</v>
      </c>
      <c r="AP71" s="305">
        <v>1</v>
      </c>
      <c r="AQ71" s="360">
        <v>251</v>
      </c>
    </row>
    <row r="72" spans="1:43" ht="13.5" customHeight="1" x14ac:dyDescent="0.2">
      <c r="B72" s="309"/>
      <c r="C72" s="577" t="s">
        <v>459</v>
      </c>
      <c r="D72" s="578"/>
      <c r="E72" s="607" t="s">
        <v>442</v>
      </c>
      <c r="F72" s="607"/>
      <c r="G72" s="607"/>
      <c r="H72" s="339"/>
      <c r="I72" s="334"/>
      <c r="J72" s="334"/>
      <c r="K72" s="583"/>
      <c r="L72" s="583"/>
      <c r="M72" s="584"/>
      <c r="N72" s="320"/>
      <c r="O72" s="17"/>
      <c r="P72" s="309"/>
      <c r="Q72" s="577" t="s">
        <v>459</v>
      </c>
      <c r="R72" s="578"/>
      <c r="S72" s="609" t="s">
        <v>462</v>
      </c>
      <c r="T72" s="609"/>
      <c r="U72" s="609"/>
      <c r="V72" s="339"/>
      <c r="W72" s="327"/>
      <c r="X72" s="327"/>
      <c r="Y72" s="609" t="s">
        <v>443</v>
      </c>
      <c r="Z72" s="609"/>
      <c r="AA72" s="611"/>
      <c r="AB72" s="320"/>
      <c r="AC72" s="306"/>
      <c r="AD72" s="359" t="s">
        <v>243</v>
      </c>
      <c r="AE72" s="282">
        <v>111</v>
      </c>
      <c r="AF72" s="389"/>
      <c r="AG72" s="289"/>
      <c r="AH72" s="390"/>
      <c r="AI72" s="372">
        <v>1</v>
      </c>
      <c r="AJ72" s="305">
        <v>0</v>
      </c>
      <c r="AK72" s="400">
        <v>64</v>
      </c>
      <c r="AL72" s="403">
        <v>0.99590000000000001</v>
      </c>
      <c r="AM72" s="305">
        <v>1</v>
      </c>
      <c r="AN72" s="404">
        <v>246</v>
      </c>
      <c r="AO72" s="372">
        <v>0.99199999999999999</v>
      </c>
      <c r="AP72" s="305">
        <v>2</v>
      </c>
      <c r="AQ72" s="360">
        <v>249</v>
      </c>
    </row>
    <row r="73" spans="1:43" ht="12.75" customHeight="1" thickBot="1" x14ac:dyDescent="0.25">
      <c r="B73" s="309"/>
      <c r="C73" s="579"/>
      <c r="D73" s="580"/>
      <c r="E73" s="608"/>
      <c r="F73" s="608"/>
      <c r="G73" s="608"/>
      <c r="H73" s="317"/>
      <c r="I73" s="336"/>
      <c r="J73" s="336"/>
      <c r="K73" s="597"/>
      <c r="L73" s="597"/>
      <c r="M73" s="598"/>
      <c r="N73" s="320"/>
      <c r="P73" s="309"/>
      <c r="Q73" s="579"/>
      <c r="R73" s="580"/>
      <c r="S73" s="610"/>
      <c r="T73" s="610"/>
      <c r="U73" s="610"/>
      <c r="V73" s="340"/>
      <c r="W73" s="329"/>
      <c r="X73" s="329"/>
      <c r="Y73" s="610"/>
      <c r="Z73" s="610"/>
      <c r="AA73" s="612"/>
      <c r="AB73" s="320"/>
      <c r="AC73" s="306"/>
      <c r="AD73" s="361" t="s">
        <v>245</v>
      </c>
      <c r="AE73" s="362">
        <v>112</v>
      </c>
      <c r="AF73" s="391"/>
      <c r="AG73" s="363"/>
      <c r="AH73" s="392"/>
      <c r="AI73" s="373">
        <v>1</v>
      </c>
      <c r="AJ73" s="364">
        <v>0</v>
      </c>
      <c r="AK73" s="401">
        <v>60</v>
      </c>
      <c r="AL73" s="405">
        <v>0.9919</v>
      </c>
      <c r="AM73" s="364">
        <v>2</v>
      </c>
      <c r="AN73" s="406">
        <v>248</v>
      </c>
      <c r="AO73" s="373">
        <v>0.9839</v>
      </c>
      <c r="AP73" s="364">
        <v>4</v>
      </c>
      <c r="AQ73" s="365">
        <v>249</v>
      </c>
    </row>
    <row r="74" spans="1:43" ht="12.75" customHeight="1" thickTop="1" x14ac:dyDescent="0.2">
      <c r="B74" s="309"/>
      <c r="C74" s="581"/>
      <c r="D74" s="582"/>
      <c r="E74" s="443"/>
      <c r="F74" s="443"/>
      <c r="G74" s="443"/>
      <c r="H74" s="340"/>
      <c r="I74" s="335"/>
      <c r="J74" s="335"/>
      <c r="K74" s="444"/>
      <c r="L74" s="444"/>
      <c r="M74" s="445"/>
      <c r="N74" s="320"/>
      <c r="P74" s="309"/>
      <c r="Q74" s="581"/>
      <c r="R74" s="582"/>
      <c r="S74" s="613" t="s">
        <v>444</v>
      </c>
      <c r="T74" s="613"/>
      <c r="U74" s="613"/>
      <c r="V74" s="317"/>
      <c r="W74" s="37"/>
      <c r="X74" s="37"/>
      <c r="Y74" s="599" t="s">
        <v>444</v>
      </c>
      <c r="Z74" s="599"/>
      <c r="AA74" s="600"/>
      <c r="AB74" s="320"/>
      <c r="AC74" s="306"/>
      <c r="AD74" s="36"/>
      <c r="AE74" s="439"/>
      <c r="AF74" s="440"/>
      <c r="AG74" s="440"/>
      <c r="AH74" s="440"/>
      <c r="AI74" s="441"/>
      <c r="AJ74" s="442"/>
      <c r="AK74" s="442"/>
      <c r="AL74" s="441"/>
      <c r="AM74" s="442"/>
      <c r="AN74" s="442"/>
      <c r="AO74" s="441"/>
      <c r="AP74" s="442"/>
      <c r="AQ74" s="442"/>
    </row>
    <row r="75" spans="1:43" ht="12.75" customHeight="1" x14ac:dyDescent="0.2">
      <c r="B75" s="309"/>
      <c r="C75" s="588" t="s">
        <v>460</v>
      </c>
      <c r="D75" s="589"/>
      <c r="E75" s="592" t="s">
        <v>221</v>
      </c>
      <c r="F75" s="592"/>
      <c r="G75" s="592"/>
      <c r="H75" s="327"/>
      <c r="I75" s="334"/>
      <c r="J75" s="334"/>
      <c r="K75" s="601"/>
      <c r="L75" s="601"/>
      <c r="M75" s="602"/>
      <c r="N75" s="312"/>
      <c r="P75" s="309"/>
      <c r="Q75" s="588" t="s">
        <v>460</v>
      </c>
      <c r="R75" s="589"/>
      <c r="S75" s="592" t="s">
        <v>219</v>
      </c>
      <c r="T75" s="592"/>
      <c r="U75" s="592"/>
      <c r="V75" s="327"/>
      <c r="W75" s="327"/>
      <c r="X75" s="327"/>
      <c r="Y75" s="592" t="s">
        <v>218</v>
      </c>
      <c r="Z75" s="592"/>
      <c r="AA75" s="594"/>
      <c r="AB75" s="312"/>
      <c r="AC75" s="306"/>
    </row>
    <row r="76" spans="1:43" ht="13.5" customHeight="1" x14ac:dyDescent="0.2">
      <c r="B76" s="309"/>
      <c r="C76" s="590"/>
      <c r="D76" s="591"/>
      <c r="E76" s="593"/>
      <c r="F76" s="593"/>
      <c r="G76" s="593"/>
      <c r="H76" s="329"/>
      <c r="I76" s="335"/>
      <c r="J76" s="335"/>
      <c r="K76" s="603"/>
      <c r="L76" s="603"/>
      <c r="M76" s="604"/>
      <c r="N76" s="312"/>
      <c r="P76" s="309"/>
      <c r="Q76" s="590"/>
      <c r="R76" s="591"/>
      <c r="S76" s="593"/>
      <c r="T76" s="593"/>
      <c r="U76" s="593"/>
      <c r="V76" s="329"/>
      <c r="W76" s="329"/>
      <c r="X76" s="329"/>
      <c r="Y76" s="593"/>
      <c r="Z76" s="593"/>
      <c r="AA76" s="595"/>
      <c r="AB76" s="312"/>
      <c r="AC76" s="306"/>
    </row>
    <row r="77" spans="1:43" ht="13.5" thickBot="1" x14ac:dyDescent="0.25">
      <c r="B77" s="309"/>
      <c r="C77" s="596" t="s">
        <v>461</v>
      </c>
      <c r="D77" s="596"/>
      <c r="E77" s="596"/>
      <c r="F77" s="596"/>
      <c r="G77" s="596"/>
      <c r="H77" s="37"/>
      <c r="I77" s="336"/>
      <c r="J77" s="336"/>
      <c r="K77" s="336"/>
      <c r="L77" s="336"/>
      <c r="M77" s="336"/>
      <c r="N77" s="312"/>
      <c r="P77" s="309"/>
      <c r="Q77" s="596" t="s">
        <v>461</v>
      </c>
      <c r="R77" s="596"/>
      <c r="S77" s="596"/>
      <c r="T77" s="596"/>
      <c r="U77" s="596"/>
      <c r="V77" s="37"/>
      <c r="W77" s="596" t="s">
        <v>461</v>
      </c>
      <c r="X77" s="596"/>
      <c r="Y77" s="596"/>
      <c r="Z77" s="596"/>
      <c r="AA77" s="596"/>
      <c r="AB77" s="312"/>
      <c r="AC77" s="306"/>
      <c r="AD77" s="76"/>
      <c r="AE77" s="76"/>
    </row>
    <row r="78" spans="1:43" ht="12.75" customHeight="1" thickTop="1" x14ac:dyDescent="0.2">
      <c r="B78" s="309"/>
      <c r="C78" s="430"/>
      <c r="D78" s="431"/>
      <c r="E78" s="431" t="s">
        <v>156</v>
      </c>
      <c r="F78" s="431" t="s">
        <v>157</v>
      </c>
      <c r="G78" s="432" t="s">
        <v>158</v>
      </c>
      <c r="H78" s="36"/>
      <c r="I78" s="336"/>
      <c r="J78" s="336"/>
      <c r="K78" s="336"/>
      <c r="L78" s="336"/>
      <c r="M78" s="336"/>
      <c r="N78" s="310"/>
      <c r="P78" s="309"/>
      <c r="Q78" s="430"/>
      <c r="R78" s="431"/>
      <c r="S78" s="431" t="s">
        <v>156</v>
      </c>
      <c r="T78" s="431" t="s">
        <v>157</v>
      </c>
      <c r="U78" s="432" t="s">
        <v>158</v>
      </c>
      <c r="V78" s="36"/>
      <c r="W78" s="430" t="s">
        <v>241</v>
      </c>
      <c r="X78" s="431"/>
      <c r="Y78" s="431" t="s">
        <v>156</v>
      </c>
      <c r="Z78" s="431" t="s">
        <v>157</v>
      </c>
      <c r="AA78" s="432" t="s">
        <v>158</v>
      </c>
      <c r="AB78" s="312"/>
      <c r="AC78" s="306"/>
    </row>
    <row r="79" spans="1:43" x14ac:dyDescent="0.2">
      <c r="B79" s="309"/>
      <c r="C79" s="433" t="s">
        <v>90</v>
      </c>
      <c r="D79" s="434">
        <v>110</v>
      </c>
      <c r="E79" s="434">
        <v>0</v>
      </c>
      <c r="F79" s="434">
        <v>63</v>
      </c>
      <c r="G79" s="435">
        <v>1</v>
      </c>
      <c r="H79" s="36"/>
      <c r="I79" s="336"/>
      <c r="J79" s="336"/>
      <c r="K79" s="336"/>
      <c r="L79" s="336"/>
      <c r="M79" s="336"/>
      <c r="N79" s="310"/>
      <c r="P79" s="309"/>
      <c r="Q79" s="433" t="s">
        <v>90</v>
      </c>
      <c r="R79" s="434">
        <v>110</v>
      </c>
      <c r="S79" s="434">
        <v>0</v>
      </c>
      <c r="T79" s="434">
        <v>253</v>
      </c>
      <c r="U79" s="435">
        <v>1</v>
      </c>
      <c r="V79" s="36"/>
      <c r="W79" s="433" t="s">
        <v>90</v>
      </c>
      <c r="X79" s="434">
        <v>110</v>
      </c>
      <c r="Y79" s="434">
        <v>1</v>
      </c>
      <c r="Z79" s="434">
        <v>251</v>
      </c>
      <c r="AA79" s="435">
        <v>0.996</v>
      </c>
      <c r="AB79" s="312"/>
      <c r="AC79" s="306"/>
    </row>
    <row r="80" spans="1:43" x14ac:dyDescent="0.2">
      <c r="B80" s="309"/>
      <c r="C80" s="433" t="s">
        <v>70</v>
      </c>
      <c r="D80" s="434">
        <v>111</v>
      </c>
      <c r="E80" s="434">
        <v>0</v>
      </c>
      <c r="F80" s="434">
        <v>64</v>
      </c>
      <c r="G80" s="435">
        <v>1</v>
      </c>
      <c r="H80" s="36"/>
      <c r="I80" s="336"/>
      <c r="J80" s="336"/>
      <c r="K80" s="336"/>
      <c r="L80" s="336"/>
      <c r="M80" s="336"/>
      <c r="N80" s="310"/>
      <c r="P80" s="309"/>
      <c r="Q80" s="433" t="s">
        <v>70</v>
      </c>
      <c r="R80" s="434">
        <v>111</v>
      </c>
      <c r="S80" s="434">
        <v>1</v>
      </c>
      <c r="T80" s="434">
        <v>246</v>
      </c>
      <c r="U80" s="435">
        <v>0.99590000000000001</v>
      </c>
      <c r="V80" s="36"/>
      <c r="W80" s="433" t="s">
        <v>70</v>
      </c>
      <c r="X80" s="434">
        <v>111</v>
      </c>
      <c r="Y80" s="434">
        <v>2</v>
      </c>
      <c r="Z80" s="434">
        <v>249</v>
      </c>
      <c r="AA80" s="435">
        <v>0.99199999999999999</v>
      </c>
      <c r="AB80" s="312"/>
      <c r="AC80" s="306"/>
    </row>
    <row r="81" spans="2:29" x14ac:dyDescent="0.2">
      <c r="B81" s="309"/>
      <c r="C81" s="433" t="s">
        <v>77</v>
      </c>
      <c r="D81" s="434">
        <v>112</v>
      </c>
      <c r="E81" s="434">
        <v>0</v>
      </c>
      <c r="F81" s="434">
        <v>60</v>
      </c>
      <c r="G81" s="435">
        <v>1</v>
      </c>
      <c r="H81" s="36"/>
      <c r="I81" s="336"/>
      <c r="J81" s="336"/>
      <c r="K81" s="336"/>
      <c r="L81" s="336"/>
      <c r="M81" s="336"/>
      <c r="N81" s="310"/>
      <c r="P81" s="309"/>
      <c r="Q81" s="433" t="s">
        <v>77</v>
      </c>
      <c r="R81" s="434">
        <v>112</v>
      </c>
      <c r="S81" s="434">
        <v>2</v>
      </c>
      <c r="T81" s="434">
        <v>248</v>
      </c>
      <c r="U81" s="435">
        <v>0.9919</v>
      </c>
      <c r="V81" s="36"/>
      <c r="W81" s="433" t="s">
        <v>77</v>
      </c>
      <c r="X81" s="434">
        <v>112</v>
      </c>
      <c r="Y81" s="434">
        <v>4</v>
      </c>
      <c r="Z81" s="434">
        <v>249</v>
      </c>
      <c r="AA81" s="435">
        <v>0.9839</v>
      </c>
      <c r="AB81" s="312"/>
      <c r="AC81" s="306"/>
    </row>
    <row r="82" spans="2:29" ht="13.5" thickBot="1" x14ac:dyDescent="0.25">
      <c r="B82" s="309"/>
      <c r="C82" s="436" t="s">
        <v>214</v>
      </c>
      <c r="D82" s="437">
        <v>1</v>
      </c>
      <c r="E82" s="437">
        <v>0</v>
      </c>
      <c r="F82" s="437">
        <v>187</v>
      </c>
      <c r="G82" s="438">
        <v>1</v>
      </c>
      <c r="H82" s="36"/>
      <c r="I82" s="336"/>
      <c r="J82" s="336"/>
      <c r="K82" s="336"/>
      <c r="L82" s="336"/>
      <c r="M82" s="336"/>
      <c r="N82" s="310"/>
      <c r="P82" s="309"/>
      <c r="Q82" s="436" t="s">
        <v>214</v>
      </c>
      <c r="R82" s="437">
        <v>1</v>
      </c>
      <c r="S82" s="437">
        <v>3</v>
      </c>
      <c r="T82" s="437">
        <v>747</v>
      </c>
      <c r="U82" s="438">
        <v>0.996</v>
      </c>
      <c r="V82" s="36"/>
      <c r="W82" s="436" t="s">
        <v>214</v>
      </c>
      <c r="X82" s="437">
        <v>1</v>
      </c>
      <c r="Y82" s="437">
        <v>7</v>
      </c>
      <c r="Z82" s="437">
        <v>749</v>
      </c>
      <c r="AA82" s="438">
        <v>0.99070000000000003</v>
      </c>
      <c r="AB82" s="312"/>
      <c r="AC82" s="306"/>
    </row>
    <row r="83" spans="2:29" ht="14.25" thickTop="1" thickBot="1" x14ac:dyDescent="0.25">
      <c r="B83" s="332"/>
      <c r="C83" s="322"/>
      <c r="D83" s="322"/>
      <c r="E83" s="322"/>
      <c r="F83" s="322"/>
      <c r="G83" s="322"/>
      <c r="H83" s="322"/>
      <c r="I83" s="322"/>
      <c r="J83" s="322"/>
      <c r="K83" s="322"/>
      <c r="L83" s="322"/>
      <c r="M83" s="322"/>
      <c r="N83" s="333"/>
      <c r="P83" s="332"/>
      <c r="Q83" s="322"/>
      <c r="R83" s="322"/>
      <c r="S83" s="322"/>
      <c r="T83" s="322"/>
      <c r="U83" s="322"/>
      <c r="V83" s="322"/>
      <c r="W83" s="322"/>
      <c r="X83" s="337"/>
      <c r="Y83" s="337"/>
      <c r="Z83" s="337"/>
      <c r="AA83" s="337"/>
      <c r="AB83" s="338"/>
      <c r="AC83" s="306"/>
    </row>
    <row r="84" spans="2:29" x14ac:dyDescent="0.2">
      <c r="Q84" s="306"/>
      <c r="R84" s="306"/>
      <c r="S84" s="306"/>
      <c r="T84" s="306"/>
      <c r="U84" s="306"/>
      <c r="V84" s="306"/>
      <c r="W84" s="306"/>
      <c r="X84" s="306"/>
      <c r="Y84" s="306"/>
      <c r="Z84" s="306"/>
      <c r="AA84" s="306"/>
      <c r="AB84" s="306"/>
      <c r="AC84" s="306"/>
    </row>
    <row r="85" spans="2:29" x14ac:dyDescent="0.2">
      <c r="C85" s="585" t="s">
        <v>470</v>
      </c>
      <c r="D85" s="585"/>
      <c r="E85" s="585"/>
      <c r="F85" s="585"/>
      <c r="G85" s="585"/>
      <c r="Q85" s="585" t="s">
        <v>470</v>
      </c>
      <c r="R85" s="585"/>
      <c r="S85" s="585"/>
      <c r="T85" s="585"/>
      <c r="U85" s="585"/>
      <c r="V85" s="306"/>
      <c r="W85" s="585" t="s">
        <v>470</v>
      </c>
      <c r="X85" s="585"/>
      <c r="Y85" s="585"/>
      <c r="Z85" s="585"/>
      <c r="AA85" s="585"/>
      <c r="AB85" s="306"/>
      <c r="AC85" s="306"/>
    </row>
    <row r="86" spans="2:29" x14ac:dyDescent="0.2">
      <c r="C86" s="585"/>
      <c r="D86" s="585"/>
      <c r="E86" s="585"/>
      <c r="F86" s="585"/>
      <c r="G86" s="585"/>
      <c r="Q86" s="585"/>
      <c r="R86" s="585"/>
      <c r="S86" s="585"/>
      <c r="T86" s="585"/>
      <c r="U86" s="585"/>
      <c r="V86" s="306"/>
      <c r="W86" s="585"/>
      <c r="X86" s="585"/>
      <c r="Y86" s="585"/>
      <c r="Z86" s="585"/>
      <c r="AA86" s="585"/>
      <c r="AB86" s="306"/>
      <c r="AC86" s="306"/>
    </row>
    <row r="87" spans="2:29" x14ac:dyDescent="0.2">
      <c r="C87" s="585"/>
      <c r="D87" s="585"/>
      <c r="E87" s="585"/>
      <c r="F87" s="585"/>
      <c r="G87" s="585"/>
      <c r="Q87" s="585"/>
      <c r="R87" s="585"/>
      <c r="S87" s="585"/>
      <c r="T87" s="585"/>
      <c r="U87" s="585"/>
      <c r="V87" s="306"/>
      <c r="W87" s="585"/>
      <c r="X87" s="585"/>
      <c r="Y87" s="585"/>
      <c r="Z87" s="585"/>
      <c r="AA87" s="585"/>
      <c r="AB87" s="306"/>
    </row>
    <row r="88" spans="2:29" x14ac:dyDescent="0.2">
      <c r="C88" s="585"/>
      <c r="D88" s="585"/>
      <c r="E88" s="585"/>
      <c r="F88" s="585"/>
      <c r="G88" s="585"/>
      <c r="Q88" s="585"/>
      <c r="R88" s="585"/>
      <c r="S88" s="585"/>
      <c r="T88" s="585"/>
      <c r="U88" s="585"/>
      <c r="W88" s="585"/>
      <c r="X88" s="585"/>
      <c r="Y88" s="585"/>
      <c r="Z88" s="585"/>
      <c r="AA88" s="585"/>
    </row>
    <row r="89" spans="2:29" x14ac:dyDescent="0.2">
      <c r="H89" s="17"/>
    </row>
  </sheetData>
  <mergeCells count="53">
    <mergeCell ref="AD1:AQ2"/>
    <mergeCell ref="S5:U6"/>
    <mergeCell ref="Y5:AA6"/>
    <mergeCell ref="AF3:AH4"/>
    <mergeCell ref="AI3:AK4"/>
    <mergeCell ref="AL3:AN4"/>
    <mergeCell ref="AO3:AQ4"/>
    <mergeCell ref="AD4:AE4"/>
    <mergeCell ref="C4:D4"/>
    <mergeCell ref="C7:G7"/>
    <mergeCell ref="C5:D6"/>
    <mergeCell ref="B3:E3"/>
    <mergeCell ref="B1:AA2"/>
    <mergeCell ref="Q4:R4"/>
    <mergeCell ref="S4:U4"/>
    <mergeCell ref="Y4:AA4"/>
    <mergeCell ref="K5:M6"/>
    <mergeCell ref="Q5:R5"/>
    <mergeCell ref="E5:G6"/>
    <mergeCell ref="Q7:U7"/>
    <mergeCell ref="W7:AA7"/>
    <mergeCell ref="F3:N3"/>
    <mergeCell ref="P3:S3"/>
    <mergeCell ref="T3:AB3"/>
    <mergeCell ref="E4:G4"/>
    <mergeCell ref="K4:M4"/>
    <mergeCell ref="K75:M76"/>
    <mergeCell ref="F71:M71"/>
    <mergeCell ref="W77:AA77"/>
    <mergeCell ref="I7:M7"/>
    <mergeCell ref="E72:G73"/>
    <mergeCell ref="T71:AA71"/>
    <mergeCell ref="S72:U73"/>
    <mergeCell ref="Q72:R74"/>
    <mergeCell ref="Y72:AA73"/>
    <mergeCell ref="Y74:AA74"/>
    <mergeCell ref="S74:U74"/>
    <mergeCell ref="C72:D74"/>
    <mergeCell ref="K72:M72"/>
    <mergeCell ref="C85:G88"/>
    <mergeCell ref="B69:AB70"/>
    <mergeCell ref="Q71:S71"/>
    <mergeCell ref="Q75:R76"/>
    <mergeCell ref="S75:U76"/>
    <mergeCell ref="Y75:AA76"/>
    <mergeCell ref="Q77:U77"/>
    <mergeCell ref="Q85:U88"/>
    <mergeCell ref="W85:AA88"/>
    <mergeCell ref="E75:G76"/>
    <mergeCell ref="C71:E71"/>
    <mergeCell ref="C75:D76"/>
    <mergeCell ref="C77:G77"/>
    <mergeCell ref="K73:M73"/>
  </mergeCells>
  <conditionalFormatting sqref="AD54:AD67">
    <cfRule type="expression" dxfId="38" priority="90" stopIfTrue="1">
      <formula>ISERROR(AD54)</formula>
    </cfRule>
  </conditionalFormatting>
  <conditionalFormatting sqref="AF7">
    <cfRule type="expression" dxfId="37" priority="87" stopIfTrue="1">
      <formula>ISERROR(AF7)</formula>
    </cfRule>
  </conditionalFormatting>
  <conditionalFormatting sqref="AG37:AH37">
    <cfRule type="expression" dxfId="36" priority="82" stopIfTrue="1">
      <formula>ISERROR(AG37)</formula>
    </cfRule>
  </conditionalFormatting>
  <conditionalFormatting sqref="AG52:AH52">
    <cfRule type="expression" dxfId="35" priority="80" stopIfTrue="1">
      <formula>ISERROR(AG52)</formula>
    </cfRule>
  </conditionalFormatting>
  <conditionalFormatting sqref="AG7:AH7">
    <cfRule type="expression" dxfId="34" priority="86" stopIfTrue="1">
      <formula>ISERROR(AG7)</formula>
    </cfRule>
  </conditionalFormatting>
  <conditionalFormatting sqref="AF24">
    <cfRule type="expression" dxfId="33" priority="85" stopIfTrue="1">
      <formula>ISERROR(AF24)</formula>
    </cfRule>
  </conditionalFormatting>
  <conditionalFormatting sqref="AG24:AH24">
    <cfRule type="expression" dxfId="32" priority="84" stopIfTrue="1">
      <formula>ISERROR(AG24)</formula>
    </cfRule>
  </conditionalFormatting>
  <conditionalFormatting sqref="AF37">
    <cfRule type="expression" dxfId="31" priority="83" stopIfTrue="1">
      <formula>ISERROR(AF37)</formula>
    </cfRule>
  </conditionalFormatting>
  <conditionalFormatting sqref="AF52">
    <cfRule type="expression" dxfId="30" priority="81" stopIfTrue="1">
      <formula>ISERROR(AF52)</formula>
    </cfRule>
  </conditionalFormatting>
  <conditionalFormatting sqref="AM7:AN7">
    <cfRule type="expression" dxfId="29" priority="18" stopIfTrue="1">
      <formula>ISERROR(AM7)</formula>
    </cfRule>
  </conditionalFormatting>
  <conditionalFormatting sqref="AL52">
    <cfRule type="expression" dxfId="28" priority="13" stopIfTrue="1">
      <formula>ISERROR(AL52)</formula>
    </cfRule>
  </conditionalFormatting>
  <conditionalFormatting sqref="AO7">
    <cfRule type="expression" dxfId="27" priority="11" stopIfTrue="1">
      <formula>ISERROR(AO7)</formula>
    </cfRule>
  </conditionalFormatting>
  <conditionalFormatting sqref="AL24">
    <cfRule type="expression" dxfId="26" priority="17" stopIfTrue="1">
      <formula>ISERROR(AL24)</formula>
    </cfRule>
  </conditionalFormatting>
  <conditionalFormatting sqref="AM24:AN24">
    <cfRule type="expression" dxfId="25" priority="16" stopIfTrue="1">
      <formula>ISERROR(AM24)</formula>
    </cfRule>
  </conditionalFormatting>
  <conditionalFormatting sqref="AL37">
    <cfRule type="expression" dxfId="24" priority="15" stopIfTrue="1">
      <formula>ISERROR(AL37)</formula>
    </cfRule>
  </conditionalFormatting>
  <conditionalFormatting sqref="AM37:AN37">
    <cfRule type="expression" dxfId="23" priority="14" stopIfTrue="1">
      <formula>ISERROR(AM37)</formula>
    </cfRule>
  </conditionalFormatting>
  <conditionalFormatting sqref="AM52:AN52">
    <cfRule type="expression" dxfId="22" priority="12" stopIfTrue="1">
      <formula>ISERROR(AM52)</formula>
    </cfRule>
  </conditionalFormatting>
  <conditionalFormatting sqref="AD38">
    <cfRule type="expression" dxfId="21" priority="57" stopIfTrue="1">
      <formula>ISERROR(AD38)</formula>
    </cfRule>
  </conditionalFormatting>
  <conditionalFormatting sqref="AD6:AD24 AD26:AD37 AD39:AD52">
    <cfRule type="expression" dxfId="20" priority="97" stopIfTrue="1">
      <formula>ISERROR(AD6)</formula>
    </cfRule>
  </conditionalFormatting>
  <conditionalFormatting sqref="AD69">
    <cfRule type="expression" dxfId="19" priority="95" stopIfTrue="1">
      <formula>ISERROR(AD69)</formula>
    </cfRule>
  </conditionalFormatting>
  <conditionalFormatting sqref="AE69">
    <cfRule type="expression" dxfId="18" priority="63" stopIfTrue="1">
      <formula>ISERROR(AE69)</formula>
    </cfRule>
  </conditionalFormatting>
  <conditionalFormatting sqref="AD25">
    <cfRule type="expression" dxfId="17" priority="58" stopIfTrue="1">
      <formula>ISERROR(AD25)</formula>
    </cfRule>
  </conditionalFormatting>
  <conditionalFormatting sqref="AD53">
    <cfRule type="expression" dxfId="16" priority="56" stopIfTrue="1">
      <formula>ISERROR(AD53)</formula>
    </cfRule>
  </conditionalFormatting>
  <conditionalFormatting sqref="AJ24:AK24">
    <cfRule type="expression" dxfId="15" priority="24" stopIfTrue="1">
      <formula>ISERROR(AJ24)</formula>
    </cfRule>
  </conditionalFormatting>
  <conditionalFormatting sqref="AL7">
    <cfRule type="expression" dxfId="14" priority="19" stopIfTrue="1">
      <formula>ISERROR(AL7)</formula>
    </cfRule>
  </conditionalFormatting>
  <conditionalFormatting sqref="AI37">
    <cfRule type="expression" dxfId="13" priority="23" stopIfTrue="1">
      <formula>ISERROR(AI37)</formula>
    </cfRule>
  </conditionalFormatting>
  <conditionalFormatting sqref="AJ37:AK37">
    <cfRule type="expression" dxfId="12" priority="22" stopIfTrue="1">
      <formula>ISERROR(AJ37)</formula>
    </cfRule>
  </conditionalFormatting>
  <conditionalFormatting sqref="AI52">
    <cfRule type="expression" dxfId="11" priority="21" stopIfTrue="1">
      <formula>ISERROR(AI52)</formula>
    </cfRule>
  </conditionalFormatting>
  <conditionalFormatting sqref="AJ52:AK52">
    <cfRule type="expression" dxfId="10" priority="20" stopIfTrue="1">
      <formula>ISERROR(AJ52)</formula>
    </cfRule>
  </conditionalFormatting>
  <conditionalFormatting sqref="AI7">
    <cfRule type="expression" dxfId="9" priority="27" stopIfTrue="1">
      <formula>ISERROR(AI7)</formula>
    </cfRule>
  </conditionalFormatting>
  <conditionalFormatting sqref="AJ7:AK7">
    <cfRule type="expression" dxfId="8" priority="26" stopIfTrue="1">
      <formula>ISERROR(AJ7)</formula>
    </cfRule>
  </conditionalFormatting>
  <conditionalFormatting sqref="AI24">
    <cfRule type="expression" dxfId="7" priority="25" stopIfTrue="1">
      <formula>ISERROR(AI24)</formula>
    </cfRule>
  </conditionalFormatting>
  <conditionalFormatting sqref="AP37:AQ37">
    <cfRule type="expression" dxfId="6" priority="6" stopIfTrue="1">
      <formula>ISERROR(AP37)</formula>
    </cfRule>
  </conditionalFormatting>
  <conditionalFormatting sqref="AP52:AQ52">
    <cfRule type="expression" dxfId="5" priority="4" stopIfTrue="1">
      <formula>ISERROR(AP52)</formula>
    </cfRule>
  </conditionalFormatting>
  <conditionalFormatting sqref="AP7:AQ7">
    <cfRule type="expression" dxfId="4" priority="10" stopIfTrue="1">
      <formula>ISERROR(AP7)</formula>
    </cfRule>
  </conditionalFormatting>
  <conditionalFormatting sqref="AO24">
    <cfRule type="expression" dxfId="3" priority="9" stopIfTrue="1">
      <formula>ISERROR(AO24)</formula>
    </cfRule>
  </conditionalFormatting>
  <conditionalFormatting sqref="AP24:AQ24">
    <cfRule type="expression" dxfId="2" priority="8" stopIfTrue="1">
      <formula>ISERROR(AP24)</formula>
    </cfRule>
  </conditionalFormatting>
  <conditionalFormatting sqref="AO37">
    <cfRule type="expression" dxfId="1" priority="7" stopIfTrue="1">
      <formula>ISERROR(AO37)</formula>
    </cfRule>
  </conditionalFormatting>
  <conditionalFormatting sqref="AO52">
    <cfRule type="expression" dxfId="0" priority="5" stopIfTrue="1">
      <formula>ISERROR(AO52)</formula>
    </cfRule>
  </conditionalFormatting>
  <hyperlinks>
    <hyperlink ref="F3" r:id="rId1" display="http://vbaw.vba.va.gov/bl/21/star/reports/fy14/3%20Month%20Rating%20Accuracy.xls"/>
    <hyperlink ref="T3" r:id="rId2" display="http://vbaw.vba.va.gov/bl/21/star/reports/fy14/BENEFIT%20ENTITLEMENT%20ACCURACY.xls"/>
    <hyperlink ref="F71" r:id="rId3" display="http://vbaw.vba.va.gov/bl/21/star/reports/fy14/3%20Month%20PMC%20Accuracy.xls"/>
    <hyperlink ref="T71" r:id="rId4" display="http://vbaw.vba.va.gov/bl/21/star/reports/fy14/PMC%20ACCURACY.xls"/>
    <hyperlink ref="F3:N3" r:id="rId5" display="3 Month Rating Accuracy.xls"/>
    <hyperlink ref="T3:AB3" r:id="rId6" display="BENEFIT ENTITLEMENT ACCURACY.xls"/>
    <hyperlink ref="F71:M71" r:id="rId7" display="3 Month PMC Accuracy.xls"/>
    <hyperlink ref="T71:AA71" r:id="rId8" display="PMC ACCURACY.xls"/>
  </hyperlinks>
  <pageMargins left="0.7" right="0.7" top="0.75" bottom="0.75" header="0.3" footer="0.3"/>
  <pageSetup orientation="portrait"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510023</CP_Inventory>
    <Fiscal_Year xmlns="c9744be7-b815-40bc-84fa-afc9c406d9bc">2015</Fiscal_Year>
    <CP_Backlog xmlns="c9744be7-b815-40bc-84fa-afc9c406d9bc">242331</CP_Backlog>
    <Creation_date xmlns="c9744be7-b815-40bc-84fa-afc9c406d9bc">2015-01-26T05:00:00+00:00</Creation_date>
    <Data_date xmlns="c9744be7-b815-40bc-84fa-afc9c406d9bc">2015-01-24T05:00:00+00:00</Data_date>
    <_dlc_DocId xmlns="fef9c9dc-374b-4157-9e06-089f148416e5">OPAI-1002-9</_dlc_DocId>
    <_dlc_DocIdUrl xmlns="fef9c9dc-374b-4157-9e06-089f148416e5">
      <Url>https://vaww.portal2.va.gov/sites/pai/ReportsHub/MMWR_APP/_layouts/DocIdRedir.aspx?ID=OPAI-1002-9</Url>
      <Description>OPAI-1002-9</Description>
    </_dlc_DocIdUrl>
    <Primary_validator xmlns="c9744be7-b815-40bc-84fa-afc9c406d9bc">
      <UserInfo>
        <DisplayName>Marr, Jason, VBAVACO</DisplayName>
        <AccountId>1782</AccountId>
        <AccountType/>
      </UserInfo>
    </Primary_validator>
    <Final_validator xmlns="c9744be7-b815-40bc-84fa-afc9c406d9bc">
      <UserInfo>
        <DisplayName>Smith, Frank O, VBAVACO</DisplayName>
        <AccountId>767</AccountId>
        <AccountType/>
      </UserInfo>
    </Final_validator>
    <Secondary_validator xmlns="c9744be7-b815-40bc-84fa-afc9c406d9bc">
      <UserInfo>
        <DisplayName>Smith, Frank O, VBAVACO</DisplayName>
        <AccountId>767</AccountId>
        <AccountType/>
      </UserInfo>
    </Secondary_validator>
    <Operator xmlns="c9744be7-b815-40bc-84fa-afc9c406d9bc">
      <UserInfo>
        <DisplayName>Neal, James  VBACO</DisplayName>
        <AccountId>1583</AccountId>
        <AccountType/>
      </UserInfo>
    </Operato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ECDA0DDC1D878B4DA485810C2A0E345E" ma:contentTypeVersion="13" ma:contentTypeDescription="Create a new document." ma:contentTypeScope="" ma:versionID="4657db0c3197000965a9802453184914">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17b0a9fb8a6a6b3105cda3e48117f940"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Operator"/>
                <xsd:element ref="ns3:Primary_validator"/>
                <xsd:element ref="ns3:Secondary_validator"/>
                <xsd:element ref="ns3:Final_validator"/>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Operator" ma:index="11" ma:displayName="Operator" ma:description="The person who updates the MMWR" ma:list="UserInfo" ma:SharePointGroup="8" ma:internalName="Ope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Primary_validator" ma:index="12" ma:displayName="Primary_validator" ma:description="First person to validate the MMWR" ma:list="UserInfo" ma:SharePointGroup="8" ma:internalName="Primary_validato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econdary_validator" ma:index="13" ma:displayName="Secondary_validator" ma:description="Second person to validate the MMWR" ma:list="UserInfo" ma:SharePointGroup="8" ma:internalName="Secondary_validato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Final_validator" ma:index="14" ma:displayName="Final_validator" ma:description="Final person to validate the MMWR" ma:list="UserInfo" ma:SharePointGroup="8" ma:internalName="Final_validato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ata_date" ma:index="15" ma:displayName="Data_date" ma:description="The &quot;AS OF&quot; date of the data." ma:format="DateOnly" ma:internalName="Data_date">
      <xsd:simpleType>
        <xsd:restriction base="dms:DateTime"/>
      </xsd:simpleType>
    </xsd:element>
    <xsd:element name="Creation_date" ma:index="16" ma:displayName="Creation_date" ma:default="[today]" ma:description="Date the MMWR was originally created" ma:format="DateOnly" ma:internalName="Creation_date">
      <xsd:simpleType>
        <xsd:restriction base="dms:DateTime"/>
      </xsd:simpleType>
    </xsd:element>
    <xsd:element name="CP_Inventory" ma:index="17"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8"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9" ma:displayName="Fiscal_Year" ma:decimals="0" ma:description="Fiscal year of the data date" ma:internalName="Fiscal_Year">
      <xsd:simpleType>
        <xsd:restriction base="dms:Number">
          <xsd:minInclusive value="2000"/>
        </xsd:restriction>
      </xsd:simpleType>
    </xsd:element>
    <xsd:element name="Calendar_Year" ma:index="20"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957D3-0785-447F-B2B9-DE4BF4DA9AC1}">
  <ds:schemaRefs>
    <ds:schemaRef ds:uri="c9744be7-b815-40bc-84fa-afc9c406d9bc"/>
    <ds:schemaRef ds:uri="http://schemas.microsoft.com/office/2006/documentManagement/types"/>
    <ds:schemaRef ds:uri="http://purl.org/dc/dcmitype/"/>
    <ds:schemaRef ds:uri="http://schemas.openxmlformats.org/package/2006/metadata/core-properties"/>
    <ds:schemaRef ds:uri="fef9c9dc-374b-4157-9e06-089f148416e5"/>
    <ds:schemaRef ds:uri="http://purl.org/dc/elements/1.1/"/>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C5376437-F38F-4C24-8149-976DB27D26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Finding Data</vt:lpstr>
      <vt:lpstr>Transformation</vt:lpstr>
      <vt:lpstr>Rating Bundle Measures - SOO</vt:lpstr>
      <vt:lpstr>Rating Bundle Measures - SOJ</vt:lpstr>
      <vt:lpstr>Traditional Aggregate</vt:lpstr>
      <vt:lpstr>EDW_FEEDER</vt:lpstr>
      <vt:lpstr>Accuracy</vt:lpstr>
      <vt:lpstr>'Finding Data'!Print_Area</vt:lpstr>
      <vt:lpstr>'Rating Bundle Measures - SOJ'!Print_Area</vt:lpstr>
      <vt:lpstr>'Rating Bundle Measures - SOO'!Print_Area</vt:lpstr>
      <vt:lpstr>'Traditional Aggregate'!Print_Area</vt:lpstr>
      <vt:lpstr>Transformation!Print_Area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26,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Neal, James  VBACO</cp:lastModifiedBy>
  <cp:lastPrinted>2014-03-10T18:13:07Z</cp:lastPrinted>
  <dcterms:created xsi:type="dcterms:W3CDTF">2009-08-25T18:46:26Z</dcterms:created>
  <dcterms:modified xsi:type="dcterms:W3CDTF">2015-01-26T20:36:58Z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20150120</vt:lpwstr>
  </property>
  <property fmtid="{D5CDD505-2E9C-101B-9397-08002B2CF9AE}" pid="6" name="Type">
    <vt:lpwstr>Report</vt:lpwstr>
  </property>
  <property fmtid="{D5CDD505-2E9C-101B-9397-08002B2CF9AE}" pid="7" name="ContentTypeId">
    <vt:lpwstr>0x010100ECDA0DDC1D878B4DA485810C2A0E345E</vt:lpwstr>
  </property>
  <property fmtid="{D5CDD505-2E9C-101B-9397-08002B2CF9AE}" pid="8" name="_dlc_DocIdItemGuid">
    <vt:lpwstr>bfbfa8b5-4e0e-41af-aa5a-1e6428c25c7e</vt:lpwstr>
  </property>
</Properties>
</file>