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90" windowHeight="960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7" i="36" l="1"/>
  <c r="K11" i="36" l="1"/>
  <c r="M11" i="36"/>
  <c r="M17" i="36"/>
  <c r="J11" i="36"/>
  <c r="M35" i="36"/>
  <c r="M34" i="36"/>
  <c r="M33" i="36"/>
  <c r="M32" i="36"/>
  <c r="L35" i="36"/>
  <c r="L33" i="36"/>
  <c r="L32" i="36"/>
  <c r="K33" i="36"/>
  <c r="K34" i="36"/>
  <c r="K35"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B15" i="46"/>
  <c r="E15" i="46" s="1"/>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J27" i="36" s="1"/>
  <c r="B26" i="36"/>
  <c r="M26" i="36" s="1"/>
  <c r="B25" i="36"/>
  <c r="J25" i="36" s="1"/>
  <c r="B24" i="36"/>
  <c r="M24" i="36" s="1"/>
  <c r="B23" i="36"/>
  <c r="M23" i="36" s="1"/>
  <c r="B22" i="36"/>
  <c r="J22" i="36" s="1"/>
  <c r="B21" i="36"/>
  <c r="G21" i="36" s="1"/>
  <c r="B20" i="36"/>
  <c r="J20" i="36" s="1"/>
  <c r="B19" i="36"/>
  <c r="F19" i="36" s="1"/>
  <c r="B18" i="36"/>
  <c r="J18" i="36" s="1"/>
  <c r="B16" i="36"/>
  <c r="J16" i="36" s="1"/>
  <c r="B15" i="36"/>
  <c r="F15" i="36" s="1"/>
  <c r="L11" i="36"/>
  <c r="L25" i="36"/>
  <c r="K20" i="36"/>
  <c r="C30" i="36"/>
  <c r="H20" i="46"/>
  <c r="D23" i="46"/>
  <c r="H26" i="46"/>
  <c r="G26" i="46"/>
  <c r="F17" i="46"/>
  <c r="D22" i="46"/>
  <c r="C25" i="46"/>
  <c r="C30" i="46"/>
  <c r="I30" i="46"/>
  <c r="I18" i="46"/>
  <c r="F24" i="46"/>
  <c r="C28" i="46"/>
  <c r="E30" i="46"/>
  <c r="E17" i="36"/>
  <c r="E26" i="46"/>
  <c r="E22" i="46"/>
  <c r="E18" i="46"/>
  <c r="F30" i="46"/>
  <c r="G18" i="46"/>
  <c r="H18" i="46"/>
  <c r="F18" i="46"/>
  <c r="C26" i="46"/>
  <c r="I22" i="46"/>
  <c r="H30" i="46"/>
  <c r="C18" i="46"/>
  <c r="D30" i="46"/>
  <c r="C22" i="46"/>
  <c r="G22" i="46"/>
  <c r="H22" i="46"/>
  <c r="I17" i="36"/>
  <c r="H17" i="36"/>
  <c r="I26" i="46"/>
  <c r="F26" i="46"/>
  <c r="I27" i="46"/>
  <c r="C28" i="36"/>
  <c r="D24" i="46"/>
  <c r="F29" i="46"/>
  <c r="I22" i="36"/>
  <c r="I24" i="36"/>
  <c r="E28" i="36"/>
  <c r="G28" i="36"/>
  <c r="F20" i="36"/>
  <c r="I20" i="36"/>
  <c r="I20" i="46"/>
  <c r="E26" i="36"/>
  <c r="I19" i="46"/>
  <c r="D19" i="46"/>
  <c r="H21" i="46"/>
  <c r="C18" i="36"/>
  <c r="I26" i="36"/>
  <c r="D21" i="46"/>
  <c r="E20" i="36"/>
  <c r="M20" i="36"/>
  <c r="G22" i="36"/>
  <c r="E24" i="36"/>
  <c r="C24" i="36"/>
  <c r="F23" i="46"/>
  <c r="H26" i="36"/>
  <c r="H27" i="46"/>
  <c r="G15" i="46"/>
  <c r="F21" i="46"/>
  <c r="G25" i="46"/>
  <c r="I25" i="46"/>
  <c r="D25" i="46"/>
  <c r="G18" i="36"/>
  <c r="D18" i="36"/>
  <c r="I30" i="36"/>
  <c r="F16" i="36"/>
  <c r="D16" i="36"/>
  <c r="E18" i="36"/>
  <c r="L17" i="36"/>
  <c r="D17" i="36"/>
  <c r="G17" i="36"/>
  <c r="F17" i="36"/>
  <c r="D24" i="36"/>
  <c r="L15" i="36"/>
  <c r="E15" i="36"/>
  <c r="J14" i="36"/>
  <c r="L22" i="36" l="1"/>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M14"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<sst xmlns="http://schemas.openxmlformats.org/spreadsheetml/2006/main" count="1612" uniqueCount="471">
  <si>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</si>
  <si>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</si>
  <si>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</si>
  <si>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</si>
  <si>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</si>
  <si>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</si>
  <si>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</si>
  <si>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</si>
  <si>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</si>
  <si>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</si>
  <si>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</si>
  <si>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</si>
  <si>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</si>
  <si>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</si>
  <si>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</si>
  <si>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</si>
  <si>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</si>
  <si>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</si>
  <si>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</si>
  <si>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</si>
  <si>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</si>
  <si>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</si>
  <si>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</si>
  <si>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</si>
  <si>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</si>
  <si>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</si>
  <si>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</si>
  <si>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</si>
  <si>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</si>
  <si>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</si>
  <si>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</si>
  <si>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</si>
  <si>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</si>
  <si>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</si>
  <si>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</si>
  <si>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</si>
  <si>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</si>
  <si>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</si>
  <si>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</si>
  <si>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</si>
  <si>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</si>
  <si>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</si>
  <si>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</si>
  <si>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</si>
  <si>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</si>
  <si>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</si>
  <si>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</si>
  <si>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</si>
  <si>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</si>
  <si>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</si>
  <si>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</si>
  <si>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</si>
  <si>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</si>
  <si>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</si>
  <si>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</si>
  <si>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</si>
  <si>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</si>
  <si>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</si>
  <si>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</si>
  <si>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</si>
  <si>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</si>
  <si>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</si>
  <si>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</si>
  <si>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</si>
  <si>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</si>
  <si>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</si>
  <si>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</si>
  <si>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</si>
  <si>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</si>
  <si>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</si>
  <si>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</si>
  <si>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</si>
  <si>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</si>
  <si>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</si>
  <si>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</si>
  <si>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</si>
  <si>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</si>
  <si>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</si>
  <si>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</si>
  <si>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</si>
  <si>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</si>
  <si>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</si>
  <si>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</si>
  <si>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</si>
  <si>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</si>
  <si>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</si>
  <si>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</si>
  <si>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</si>
  <si>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</si>
  <si>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</si>
  <si>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</si>
  <si>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</si>
  <si>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</si>
  <si>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</si>
  <si>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</si>
  <si>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</si>
  <si>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</si>
  <si>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</si>
  <si>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</si>
  <si>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</si>
  <si>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</si>
  <si>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</si>
  <si>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</si>
  <si>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</si>
  <si>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</si>
  <si>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</si>
  <si>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</si>
  <si>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</si>
  <si>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</si>
  <si>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</si>
  <si>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</si>
  <si>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</si>
  <si>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</si>
  <si>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</si>
  <si>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</si>
  <si>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</si>
  <si>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</si>
  <si>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</si>
  <si>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</si>
  <si>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</si>
  <si>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</si>
  <si>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</si>
  <si>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</si>
  <si>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</si>
  <si>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</si>
  <si>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</si>
  <si>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</si>
  <si>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</si>
  <si>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</si>
  <si>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</si>
  <si>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</si>
  <si>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</si>
  <si>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</si>
  <si>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</si>
  <si>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</si>
  <si>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</si>
  <si>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</si>
  <si>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</si>
  <si>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</si>
  <si>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</si>
  <si>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</si>
  <si>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</si>
  <si>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</si>
  <si>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</si>
  <si>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</si>
  <si>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</si>
  <si>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</si>
  <si>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</si>
  <si>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</si>
  <si>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</si>
  <si>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</si>
  <si>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</si>
  <si>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</si>
  <si>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</si>
  <si>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</si>
  <si>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</si>
  <si>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</si>
  <si>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</si>
  <si>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</si>
  <si>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</si>
  <si>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</si>
  <si>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</si>
  <si>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</si>
  <si>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</si>
  <si>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</si>
  <si>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</si>
  <si>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</si>
  <si>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</si>
  <si>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</si>
  <si>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</si>
  <si>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</si>
  <si>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</si>
  <si>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</si>
  <si>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</si>
  <si>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</si>
  <si>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</si>
  <si>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</si>
  <si>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</si>
  <si>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</si>
  <si>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</si>
  <si>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</si>
  <si>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</si>
  <si>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</si>
  <si>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</si>
  <si>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</si>
  <si>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</si>
  <si>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</si>
  <si>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</si>
  <si>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</si>
  <si>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</si>
  <si>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</si>
  <si>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</si>
  <si>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</si>
  <si>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</si>
  <si>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</si>
  <si>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</si>
  <si>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</si>
  <si>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</si>
  <si>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</si>
  <si>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</si>
  <si>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</si>
  <si>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</si>
  <si>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</si>
  <si>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</si>
  <si>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</si>
  <si>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</si>
  <si>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</si>
  <si>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</si>
  <si>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</si>
  <si>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</si>
  <si>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</si>
  <si>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</si>
  <si>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</si>
  <si>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</si>
  <si>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</si>
  <si>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</si>
  <si>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</si>
  <si>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</si>
  <si>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</si>
  <si>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</si>
  <si>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</si>
  <si>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</si>
  <si>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</si>
  <si>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</si>
  <si>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</si>
  <si>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</si>
  <si>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</si>
  <si>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</si>
  <si>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</si>
  <si>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</si>
  <si>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</si>
  <si>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</si>
  <si>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</si>
  <si>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</si>
  <si>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</si>
  <si>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</si>
  <si>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</si>
  <si>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</si>
  <si>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</si>
  <si>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</si>
  <si>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</si>
  <si>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</si>
  <si>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</si>
  <si>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</si>
  <si>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</si>
  <si>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</si>
  <si>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</si>
  <si>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</si>
  <si>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</si>
  <si>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</si>
  <si>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</si>
  <si>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</si>
  <si>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</si>
  <si>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</si>
  <si>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</si>
  <si>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</si>
  <si>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</si>
  <si>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</si>
  <si>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</si>
  <si>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</si>
  <si>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</si>
  <si>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</si>
  <si>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</si>
  <si>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</si>
  <si>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</si>
  <si>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</si>
  <si>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</si>
  <si>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</si>
  <si>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</si>
  <si>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</si>
  <si>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</si>
  <si>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</si>
  <si>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</si>
  <si>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</si>
  <si>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</si>
  <si>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</si>
  <si>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</si>
  <si>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</si>
  <si>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</si>
  <si>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</si>
  <si>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</si>
  <si>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</si>
  <si>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</si>
  <si>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</si>
  <si>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</si>
  <si>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</si>
  <si>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</si>
  <si>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</si>
  <si>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</si>
  <si>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</si>
  <si>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</si>
  <si>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</si>
  <si>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</si>
  <si>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</si>
  <si>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</si>
  <si>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</si>
  <si>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</si>
  <si>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</si>
  <si>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</si>
  <si>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</si>
  <si>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</si>
  <si>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</si>
  <si>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</si>
  <si>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</si>
  <si>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</si>
  <si>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</si>
  <si>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</si>
  <si>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</si>
  <si>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</si>
  <si>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</si>
  <si>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</si>
  <si>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</si>
  <si>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</si>
  <si>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</si>
  <si>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</si>
  <si>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</si>
  <si>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</si>
  <si>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</si>
  <si>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</si>
  <si>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</si>
  <si>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</si>
  <si>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</si>
  <si>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</si>
  <si>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</si>
  <si>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</si>
  <si>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</si>
  <si>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</si>
  <si>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</si>
  <si>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</si>
  <si>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</si>
  <si>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</si>
  <si>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</si>
  <si>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</si>
  <si>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</si>
  <si>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</si>
  <si>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</si>
  <si>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</si>
  <si>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</si>
  <si>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</si>
  <si>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</si>
  <si>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</si>
  <si>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</si>
  <si>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</si>
  <si>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</si>
  <si>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</si>
  <si>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</si>
  <si>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</si>
  <si>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</si>
  <si>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</si>
  <si>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</si>
  <si>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</si>
  <si>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</si>
  <si>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</si>
  <si>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</si>
  <si>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</si>
  <si>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</si>
  <si>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</si>
  <si>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</si>
  <si>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</si>
  <si>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</si>
  <si>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</si>
  <si>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</si>
  <si>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</si>
  <si>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</si>
  <si>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</si>
  <si>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</si>
  <si>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</si>
  <si>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</si>
  <si>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</si>
  <si>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</si>
  <si>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</si>
  <si>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</si>
  <si>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</si>
  <si>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</si>
  <si>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</si>
  <si>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</si>
  <si>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</si>
  <si>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</si>
  <si>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</si>
  <si>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</si>
  <si>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</si>
  <si>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</si>
  <si>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</si>
  <si>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</si>
  <si>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</si>
  <si>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</si>
  <si>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</si>
  <si>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</si>
  <si>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</si>
  <si>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</si>
  <si>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</si>
  <si>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</si>
  <si>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</si>
  <si>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</si>
  <si>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</si>
  <si>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</si>
  <si>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</si>
  <si>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</si>
  <si>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</si>
  <si>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</si>
  <si>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</si>
  <si>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</si>
  <si>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</si>
  <si>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</si>
  <si>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</si>
  <si>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</si>
  <si>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</si>
  <si>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</si>
  <si>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</si>
  <si>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</si>
  <si>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</si>
  <si>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</si>
  <si>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</si>
  <si>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</si>
  <si>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</si>
  <si>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</si>
  <si>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</si>
  <si>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</si>
  <si>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</si>
  <si>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</si>
  <si>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</si>
  <si>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</si>
  <si>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</si>
  <si>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</si>
  <si>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</si>
  <si>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</si>
  <si>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</si>
  <si>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</si>
  <si>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</si>
  <si>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</si>
  <si>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</si>
  <si>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</si>
  <si>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</si>
  <si>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</si>
  <si>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</si>
  <si>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</si>
  <si>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</si>
  <si>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</si>
  <si>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</si>
  <si>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</si>
  <si>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</si>
  <si>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</si>
  <si>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</si>
  <si>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</si>
  <si>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</si>
  <si>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</si>
  <si>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</si>
  <si>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</si>
  <si>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</si>
  <si>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</si>
  <si>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</si>
  <si>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</si>
  <si>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</si>
  <si>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</si>
  <si>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</si>
  <si>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</si>
  <si>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</si>
  <si>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</si>
  <si>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</si>
  <si>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</si>
  <si>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</si>
  <si>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</si>
  <si>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</si>
  <si>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</si>
  <si>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</si>
  <si>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</si>
  <si>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</si>
  <si>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409</t>
  </si>
  <si>
    <t>155</t>
  </si>
  <si>
    <t>As of February 21,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</si>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</sst>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32">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2" fillId="42" borderId="0" xfId="0" applyFont="1" applyFill="1" applyBorder="1" applyAlignment="1">
      <alignment horizontal="center" vertical="center" wrapText="1"/>
    </xf>
    <xf numFmtId="3" fontId="12" fillId="42" borderId="0" xfId="0" applyNumberFormat="1" applyFont="1" applyFill="1" applyBorder="1" applyAlignment="1">
      <alignment horizontal="center" vertical="center" wrapText="1"/>
    </xf>
    <xf numFmtId="167" fontId="12" fillId="42" borderId="0" xfId="58" applyNumberFormat="1" applyFont="1" applyFill="1" applyBorder="1" applyAlignment="1">
      <alignment horizontal="center" vertical="center" wrapText="1"/>
    </xf>
    <xf numFmtId="0" fontId="11" fillId="42" borderId="0" xfId="0" applyFont="1" applyFill="1" applyBorder="1" applyAlignment="1">
      <alignment horizontal="left" vertical="center" wrapText="1"/>
    </xf>
    <xf numFmtId="0" fontId="14" fillId="42" borderId="0" xfId="0" quotePrefix="1" applyFont="1" applyFill="1" applyBorder="1" applyAlignment="1">
      <alignment horizontal="center" vertical="center" wrapText="1"/>
    </xf>
    <xf numFmtId="3" fontId="15" fillId="42" borderId="0" xfId="28" applyNumberFormat="1" applyFont="1" applyFill="1" applyBorder="1" applyAlignment="1">
      <alignment horizontal="center" vertical="center" wrapText="1"/>
    </xf>
    <xf numFmtId="167" fontId="15" fillId="42" borderId="0" xfId="58" applyNumberFormat="1" applyFont="1" applyFill="1" applyBorder="1" applyAlignment="1">
      <alignment horizontal="center" vertical="center" wrapText="1"/>
    </xf>
    <xf numFmtId="0" fontId="14" fillId="42" borderId="0" xfId="0"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42" borderId="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56" t="s">
        <v>426</v>
      </c>
      <c r="B1" s="457"/>
      <c r="C1" s="457"/>
      <c r="D1" s="457"/>
      <c r="E1" s="457"/>
      <c r="F1" s="457"/>
      <c r="G1" s="457"/>
      <c r="H1" s="457"/>
      <c r="I1" s="457"/>
      <c r="J1" s="457"/>
      <c r="K1" s="457"/>
      <c r="L1" s="457"/>
      <c r="M1" s="457"/>
      <c r="N1" s="457"/>
      <c r="O1" s="457"/>
      <c r="P1" s="458"/>
    </row>
    <row r="2" spans="1:16" ht="29.25" customHeight="1" x14ac:dyDescent="0.2">
      <c r="A2" s="450" t="s">
        <v>429</v>
      </c>
      <c r="B2" s="451"/>
      <c r="C2" s="451"/>
      <c r="D2" s="451"/>
      <c r="E2" s="451"/>
      <c r="F2" s="451"/>
      <c r="G2" s="451"/>
      <c r="H2" s="451"/>
      <c r="I2" s="451"/>
      <c r="J2" s="451"/>
      <c r="K2" s="451"/>
      <c r="L2" s="451"/>
      <c r="M2" s="451"/>
      <c r="N2" s="452"/>
    </row>
    <row r="3" spans="1:16" x14ac:dyDescent="0.2">
      <c r="A3" s="450"/>
      <c r="B3" s="451"/>
      <c r="C3" s="451"/>
      <c r="D3" s="451"/>
      <c r="E3" s="451"/>
      <c r="F3" s="451"/>
      <c r="G3" s="451"/>
      <c r="H3" s="451"/>
      <c r="I3" s="451"/>
      <c r="J3" s="451"/>
      <c r="K3" s="451"/>
      <c r="L3" s="451"/>
      <c r="M3" s="451"/>
      <c r="N3" s="452"/>
    </row>
    <row r="4" spans="1:16" x14ac:dyDescent="0.2">
      <c r="A4" s="450"/>
      <c r="B4" s="451"/>
      <c r="C4" s="451"/>
      <c r="D4" s="451"/>
      <c r="E4" s="451"/>
      <c r="F4" s="451"/>
      <c r="G4" s="451"/>
      <c r="H4" s="451"/>
      <c r="I4" s="451"/>
      <c r="J4" s="451"/>
      <c r="K4" s="451"/>
      <c r="L4" s="451"/>
      <c r="M4" s="451"/>
      <c r="N4" s="452"/>
    </row>
    <row r="5" spans="1:16" x14ac:dyDescent="0.2">
      <c r="A5" s="450"/>
      <c r="B5" s="451"/>
      <c r="C5" s="451"/>
      <c r="D5" s="451"/>
      <c r="E5" s="451"/>
      <c r="F5" s="451"/>
      <c r="G5" s="451"/>
      <c r="H5" s="451"/>
      <c r="I5" s="451"/>
      <c r="J5" s="451"/>
      <c r="K5" s="451"/>
      <c r="L5" s="451"/>
      <c r="M5" s="451"/>
      <c r="N5" s="452"/>
    </row>
    <row r="6" spans="1:16" x14ac:dyDescent="0.2">
      <c r="A6" s="450"/>
      <c r="B6" s="451"/>
      <c r="C6" s="451"/>
      <c r="D6" s="451"/>
      <c r="E6" s="451"/>
      <c r="F6" s="451"/>
      <c r="G6" s="451"/>
      <c r="H6" s="451"/>
      <c r="I6" s="451"/>
      <c r="J6" s="451"/>
      <c r="K6" s="451"/>
      <c r="L6" s="451"/>
      <c r="M6" s="451"/>
      <c r="N6" s="452"/>
    </row>
    <row r="7" spans="1:16" ht="18" customHeight="1" thickBot="1" x14ac:dyDescent="0.25">
      <c r="A7" s="453"/>
      <c r="B7" s="454"/>
      <c r="C7" s="454"/>
      <c r="D7" s="454"/>
      <c r="E7" s="454"/>
      <c r="F7" s="454"/>
      <c r="G7" s="454"/>
      <c r="H7" s="454"/>
      <c r="I7" s="454"/>
      <c r="J7" s="454"/>
      <c r="K7" s="454"/>
      <c r="L7" s="454"/>
      <c r="M7" s="454"/>
      <c r="N7" s="455"/>
    </row>
    <row r="8" spans="1:16" ht="18.75" thickBot="1" x14ac:dyDescent="0.25">
      <c r="A8" s="447" t="s">
        <v>424</v>
      </c>
      <c r="B8" s="448"/>
      <c r="C8" s="448"/>
      <c r="D8" s="448"/>
      <c r="E8" s="448"/>
      <c r="F8" s="448"/>
      <c r="G8" s="449"/>
      <c r="H8" s="447" t="s">
        <v>425</v>
      </c>
      <c r="I8" s="448"/>
      <c r="J8" s="448"/>
      <c r="K8" s="448"/>
      <c r="L8" s="448"/>
      <c r="M8" s="448"/>
      <c r="N8" s="448"/>
      <c r="O8" s="448"/>
      <c r="P8" s="449"/>
    </row>
    <row r="9" spans="1:16" x14ac:dyDescent="0.2">
      <c r="A9" s="252"/>
      <c r="B9" s="253"/>
      <c r="C9" s="253"/>
      <c r="D9" s="253"/>
      <c r="E9" s="253"/>
      <c r="F9" s="253"/>
      <c r="G9" s="254"/>
      <c r="H9" s="253"/>
      <c r="I9" s="253"/>
      <c r="J9" s="253"/>
      <c r="K9" s="253"/>
      <c r="L9" s="253"/>
      <c r="M9" s="253"/>
      <c r="N9" s="253"/>
      <c r="O9" s="253"/>
      <c r="P9" s="254"/>
    </row>
    <row r="10" spans="1:16" x14ac:dyDescent="0.2">
      <c r="A10" s="252"/>
      <c r="B10" s="253"/>
      <c r="C10" s="253"/>
      <c r="D10" s="253"/>
      <c r="E10" s="253"/>
      <c r="F10" s="253"/>
      <c r="G10" s="254"/>
      <c r="H10" s="253"/>
      <c r="I10" s="253"/>
      <c r="J10" s="253"/>
      <c r="K10" s="253"/>
      <c r="L10" s="253"/>
      <c r="M10" s="253"/>
      <c r="N10" s="253"/>
      <c r="O10" s="253"/>
      <c r="P10" s="254"/>
    </row>
    <row r="11" spans="1:16" x14ac:dyDescent="0.2">
      <c r="A11" s="252"/>
      <c r="B11" s="253"/>
      <c r="C11" s="253"/>
      <c r="D11" s="253"/>
      <c r="E11" s="253"/>
      <c r="F11" s="253"/>
      <c r="G11" s="254"/>
      <c r="H11" s="253"/>
      <c r="I11" s="253"/>
      <c r="J11" s="253"/>
      <c r="K11" s="253"/>
      <c r="L11" s="253"/>
      <c r="M11" s="253"/>
      <c r="N11" s="253"/>
      <c r="O11" s="253"/>
      <c r="P11" s="254"/>
    </row>
    <row r="12" spans="1:16" x14ac:dyDescent="0.2">
      <c r="A12" s="252"/>
      <c r="B12" s="253"/>
      <c r="C12" s="253"/>
      <c r="D12" s="253"/>
      <c r="E12" s="253"/>
      <c r="F12" s="253"/>
      <c r="G12" s="254"/>
      <c r="H12" s="253"/>
      <c r="I12" s="253"/>
      <c r="J12" s="253"/>
      <c r="K12" s="253"/>
      <c r="L12" s="253"/>
      <c r="M12" s="253"/>
      <c r="N12" s="253"/>
      <c r="O12" s="253"/>
      <c r="P12" s="254"/>
    </row>
    <row r="13" spans="1:16" x14ac:dyDescent="0.2">
      <c r="A13" s="252"/>
      <c r="B13" s="253"/>
      <c r="C13" s="253"/>
      <c r="D13" s="253"/>
      <c r="E13" s="253"/>
      <c r="F13" s="253"/>
      <c r="G13" s="254"/>
      <c r="H13" s="253"/>
      <c r="I13" s="253"/>
      <c r="J13" s="253"/>
      <c r="K13" s="253"/>
      <c r="L13" s="253"/>
      <c r="M13" s="253"/>
      <c r="N13" s="253"/>
      <c r="O13" s="253"/>
      <c r="P13" s="254"/>
    </row>
    <row r="14" spans="1:16" x14ac:dyDescent="0.2">
      <c r="A14" s="252"/>
      <c r="B14" s="253"/>
      <c r="C14" s="253"/>
      <c r="D14" s="253"/>
      <c r="E14" s="253"/>
      <c r="F14" s="253"/>
      <c r="G14" s="254"/>
      <c r="H14" s="253"/>
      <c r="I14" s="253"/>
      <c r="J14" s="253"/>
      <c r="K14" s="253"/>
      <c r="L14" s="253"/>
      <c r="M14" s="253"/>
      <c r="N14" s="253"/>
      <c r="O14" s="253"/>
      <c r="P14" s="254"/>
    </row>
    <row r="15" spans="1:16" x14ac:dyDescent="0.2">
      <c r="A15" s="252"/>
      <c r="B15" s="253"/>
      <c r="C15" s="253"/>
      <c r="D15" s="253"/>
      <c r="E15" s="253"/>
      <c r="F15" s="253"/>
      <c r="G15" s="254"/>
      <c r="H15" s="253"/>
      <c r="I15" s="253"/>
      <c r="J15" s="253"/>
      <c r="K15" s="253"/>
      <c r="L15" s="253"/>
      <c r="M15" s="253"/>
      <c r="N15" s="253"/>
      <c r="O15" s="253"/>
      <c r="P15" s="254"/>
    </row>
    <row r="16" spans="1:16" x14ac:dyDescent="0.2">
      <c r="A16" s="252"/>
      <c r="B16" s="253"/>
      <c r="C16" s="253"/>
      <c r="D16" s="253"/>
      <c r="E16" s="253"/>
      <c r="F16" s="253"/>
      <c r="G16" s="254"/>
      <c r="H16" s="253"/>
      <c r="I16" s="253"/>
      <c r="J16" s="253"/>
      <c r="K16" s="253"/>
      <c r="L16" s="253"/>
      <c r="M16" s="253"/>
      <c r="N16" s="253"/>
      <c r="O16" s="253"/>
      <c r="P16" s="254"/>
    </row>
    <row r="17" spans="1:16" x14ac:dyDescent="0.2">
      <c r="A17" s="252"/>
      <c r="B17" s="253"/>
      <c r="C17" s="253"/>
      <c r="D17" s="253"/>
      <c r="E17" s="253"/>
      <c r="F17" s="253"/>
      <c r="G17" s="254"/>
      <c r="H17" s="253"/>
      <c r="I17" s="253"/>
      <c r="J17" s="253"/>
      <c r="K17" s="253"/>
      <c r="L17" s="253"/>
      <c r="M17" s="253"/>
      <c r="N17" s="253"/>
      <c r="O17" s="253"/>
      <c r="P17" s="254"/>
    </row>
    <row r="18" spans="1:16" x14ac:dyDescent="0.2">
      <c r="A18" s="252"/>
      <c r="B18" s="253"/>
      <c r="C18" s="253"/>
      <c r="D18" s="253"/>
      <c r="E18" s="253"/>
      <c r="F18" s="253"/>
      <c r="G18" s="254"/>
      <c r="H18" s="253"/>
      <c r="I18" s="253"/>
      <c r="J18" s="253"/>
      <c r="K18" s="253"/>
      <c r="L18" s="253"/>
      <c r="M18" s="253"/>
      <c r="N18" s="253"/>
      <c r="O18" s="253"/>
      <c r="P18" s="254"/>
    </row>
    <row r="19" spans="1:16" x14ac:dyDescent="0.2">
      <c r="A19" s="252"/>
      <c r="B19" s="253"/>
      <c r="C19" s="253"/>
      <c r="D19" s="253"/>
      <c r="E19" s="253"/>
      <c r="F19" s="253"/>
      <c r="G19" s="254"/>
      <c r="H19" s="253"/>
      <c r="I19" s="253"/>
      <c r="J19" s="253"/>
      <c r="K19" s="253"/>
      <c r="L19" s="253"/>
      <c r="M19" s="253"/>
      <c r="N19" s="253"/>
      <c r="O19" s="253"/>
      <c r="P19" s="254"/>
    </row>
    <row r="20" spans="1:16" x14ac:dyDescent="0.2">
      <c r="A20" s="252"/>
      <c r="B20" s="253"/>
      <c r="C20" s="253"/>
      <c r="D20" s="253"/>
      <c r="E20" s="253"/>
      <c r="F20" s="253"/>
      <c r="G20" s="254"/>
      <c r="H20" s="253"/>
      <c r="I20" s="253"/>
      <c r="J20" s="253"/>
      <c r="K20" s="253"/>
      <c r="L20" s="253"/>
      <c r="M20" s="253"/>
      <c r="N20" s="253"/>
      <c r="O20" s="253"/>
      <c r="P20" s="254"/>
    </row>
    <row r="21" spans="1:16" x14ac:dyDescent="0.2">
      <c r="A21" s="252"/>
      <c r="B21" s="253"/>
      <c r="C21" s="253"/>
      <c r="D21" s="253"/>
      <c r="E21" s="253"/>
      <c r="F21" s="253"/>
      <c r="G21" s="254"/>
      <c r="H21" s="253"/>
      <c r="I21" s="253"/>
      <c r="J21" s="253"/>
      <c r="K21" s="253"/>
      <c r="L21" s="253"/>
      <c r="M21" s="253"/>
      <c r="N21" s="253"/>
      <c r="O21" s="253"/>
      <c r="P21" s="254"/>
    </row>
    <row r="22" spans="1:16" x14ac:dyDescent="0.2">
      <c r="A22" s="252"/>
      <c r="B22" s="253"/>
      <c r="C22" s="253"/>
      <c r="D22" s="253"/>
      <c r="E22" s="253"/>
      <c r="F22" s="253"/>
      <c r="G22" s="254"/>
      <c r="H22" s="253"/>
      <c r="I22" s="253"/>
      <c r="J22" s="253"/>
      <c r="K22" s="253"/>
      <c r="L22" s="253"/>
      <c r="M22" s="253"/>
      <c r="N22" s="253"/>
      <c r="O22" s="253"/>
      <c r="P22" s="254"/>
    </row>
    <row r="23" spans="1:16" x14ac:dyDescent="0.2">
      <c r="A23" s="252"/>
      <c r="B23" s="253"/>
      <c r="C23" s="253"/>
      <c r="D23" s="253"/>
      <c r="E23" s="253"/>
      <c r="F23" s="253"/>
      <c r="G23" s="254"/>
      <c r="H23" s="253"/>
      <c r="I23" s="253"/>
      <c r="J23" s="253"/>
      <c r="K23" s="253"/>
      <c r="L23" s="253"/>
      <c r="M23" s="253"/>
      <c r="N23" s="253"/>
      <c r="O23" s="253"/>
      <c r="P23" s="254"/>
    </row>
    <row r="24" spans="1:16" x14ac:dyDescent="0.2">
      <c r="A24" s="252"/>
      <c r="B24" s="253"/>
      <c r="C24" s="253"/>
      <c r="D24" s="253"/>
      <c r="E24" s="253"/>
      <c r="F24" s="253"/>
      <c r="G24" s="254"/>
      <c r="H24" s="253"/>
      <c r="I24" s="253"/>
      <c r="J24" s="253"/>
      <c r="K24" s="253"/>
      <c r="L24" s="253"/>
      <c r="M24" s="253"/>
      <c r="N24" s="253"/>
      <c r="O24" s="253"/>
      <c r="P24" s="254"/>
    </row>
    <row r="25" spans="1:16" x14ac:dyDescent="0.2">
      <c r="A25" s="252"/>
      <c r="B25" s="253"/>
      <c r="C25" s="253"/>
      <c r="D25" s="253"/>
      <c r="E25" s="253"/>
      <c r="F25" s="253"/>
      <c r="G25" s="254"/>
      <c r="H25" s="253"/>
      <c r="I25" s="253"/>
      <c r="J25" s="253"/>
      <c r="K25" s="253"/>
      <c r="L25" s="253"/>
      <c r="M25" s="253"/>
      <c r="N25" s="253"/>
      <c r="O25" s="253"/>
      <c r="P25" s="254"/>
    </row>
    <row r="26" spans="1:16" x14ac:dyDescent="0.2">
      <c r="A26" s="252"/>
      <c r="B26" s="253"/>
      <c r="C26" s="253"/>
      <c r="D26" s="253"/>
      <c r="E26" s="253"/>
      <c r="F26" s="253"/>
      <c r="G26" s="254"/>
      <c r="H26" s="253"/>
      <c r="I26" s="253"/>
      <c r="J26" s="253"/>
      <c r="K26" s="253"/>
      <c r="L26" s="253"/>
      <c r="M26" s="253"/>
      <c r="N26" s="253"/>
      <c r="O26" s="253"/>
      <c r="P26" s="254"/>
    </row>
    <row r="27" spans="1:16" x14ac:dyDescent="0.2">
      <c r="A27" s="252"/>
      <c r="B27" s="253"/>
      <c r="C27" s="253"/>
      <c r="D27" s="253"/>
      <c r="E27" s="253"/>
      <c r="F27" s="253"/>
      <c r="G27" s="254"/>
      <c r="H27" s="253"/>
      <c r="I27" s="253"/>
      <c r="J27" s="253"/>
      <c r="K27" s="253"/>
      <c r="L27" s="253"/>
      <c r="M27" s="253"/>
      <c r="N27" s="253"/>
      <c r="O27" s="253"/>
      <c r="P27" s="254"/>
    </row>
    <row r="28" spans="1:16" x14ac:dyDescent="0.2">
      <c r="A28" s="252"/>
      <c r="B28" s="253"/>
      <c r="C28" s="253"/>
      <c r="D28" s="253"/>
      <c r="E28" s="253"/>
      <c r="F28" s="253"/>
      <c r="G28" s="254"/>
      <c r="H28" s="253"/>
      <c r="I28" s="253"/>
      <c r="J28" s="253"/>
      <c r="K28" s="253"/>
      <c r="L28" s="253"/>
      <c r="M28" s="253"/>
      <c r="N28" s="253"/>
      <c r="O28" s="253"/>
      <c r="P28" s="254"/>
    </row>
    <row r="29" spans="1:16" x14ac:dyDescent="0.2">
      <c r="A29" s="252"/>
      <c r="B29" s="253"/>
      <c r="C29" s="253"/>
      <c r="D29" s="253"/>
      <c r="E29" s="253"/>
      <c r="F29" s="253"/>
      <c r="G29" s="254"/>
      <c r="H29" s="253"/>
      <c r="I29" s="253"/>
      <c r="J29" s="253"/>
      <c r="K29" s="253"/>
      <c r="L29" s="253"/>
      <c r="M29" s="253"/>
      <c r="N29" s="253"/>
      <c r="O29" s="253"/>
      <c r="P29" s="254"/>
    </row>
    <row r="30" spans="1:16" x14ac:dyDescent="0.2">
      <c r="A30" s="252"/>
      <c r="B30" s="253"/>
      <c r="C30" s="253"/>
      <c r="D30" s="253"/>
      <c r="E30" s="253"/>
      <c r="F30" s="253"/>
      <c r="G30" s="254"/>
      <c r="H30" s="253"/>
      <c r="I30" s="253"/>
      <c r="J30" s="253"/>
      <c r="K30" s="253"/>
      <c r="L30" s="253"/>
      <c r="M30" s="253"/>
      <c r="N30" s="253"/>
      <c r="O30" s="253"/>
      <c r="P30" s="254"/>
    </row>
    <row r="31" spans="1:16" x14ac:dyDescent="0.2">
      <c r="A31" s="252"/>
      <c r="B31" s="253"/>
      <c r="C31" s="253"/>
      <c r="D31" s="253"/>
      <c r="E31" s="253"/>
      <c r="F31" s="253"/>
      <c r="G31" s="254"/>
      <c r="H31" s="253"/>
      <c r="I31" s="253"/>
      <c r="J31" s="253"/>
      <c r="K31" s="253"/>
      <c r="L31" s="253"/>
      <c r="M31" s="253"/>
      <c r="N31" s="253"/>
      <c r="O31" s="253"/>
      <c r="P31" s="254"/>
    </row>
    <row r="32" spans="1:16" x14ac:dyDescent="0.2">
      <c r="A32" s="252"/>
      <c r="B32" s="253"/>
      <c r="C32" s="253"/>
      <c r="D32" s="253"/>
      <c r="E32" s="253"/>
      <c r="F32" s="253"/>
      <c r="G32" s="254"/>
      <c r="H32" s="253"/>
      <c r="I32" s="253"/>
      <c r="J32" s="253"/>
      <c r="K32" s="253"/>
      <c r="L32" s="253"/>
      <c r="M32" s="253"/>
      <c r="N32" s="253"/>
      <c r="O32" s="253"/>
      <c r="P32" s="254"/>
    </row>
    <row r="33" spans="1:16" x14ac:dyDescent="0.2">
      <c r="A33" s="252"/>
      <c r="B33" s="253"/>
      <c r="C33" s="253"/>
      <c r="D33" s="253"/>
      <c r="E33" s="253"/>
      <c r="F33" s="253"/>
      <c r="G33" s="254"/>
      <c r="H33" s="253"/>
      <c r="I33" s="253"/>
      <c r="J33" s="253"/>
      <c r="K33" s="253"/>
      <c r="L33" s="253"/>
      <c r="M33" s="253"/>
      <c r="N33" s="253"/>
      <c r="O33" s="253"/>
      <c r="P33" s="254"/>
    </row>
    <row r="34" spans="1:16" x14ac:dyDescent="0.2">
      <c r="A34" s="252"/>
      <c r="B34" s="253"/>
      <c r="C34" s="253"/>
      <c r="D34" s="253"/>
      <c r="E34" s="253"/>
      <c r="F34" s="253"/>
      <c r="G34" s="254"/>
      <c r="H34" s="253"/>
      <c r="I34" s="253"/>
      <c r="J34" s="253"/>
      <c r="K34" s="253"/>
      <c r="L34" s="253"/>
      <c r="M34" s="253"/>
      <c r="N34" s="253"/>
      <c r="O34" s="253"/>
      <c r="P34" s="254"/>
    </row>
    <row r="35" spans="1:16" x14ac:dyDescent="0.2">
      <c r="A35" s="252"/>
      <c r="B35" s="253"/>
      <c r="C35" s="253"/>
      <c r="D35" s="253"/>
      <c r="E35" s="253"/>
      <c r="F35" s="253"/>
      <c r="G35" s="254"/>
      <c r="H35" s="253"/>
      <c r="I35" s="253"/>
      <c r="J35" s="253"/>
      <c r="K35" s="253"/>
      <c r="L35" s="253"/>
      <c r="M35" s="253"/>
      <c r="N35" s="253"/>
      <c r="O35" s="253"/>
      <c r="P35" s="254"/>
    </row>
    <row r="36" spans="1:16" x14ac:dyDescent="0.2">
      <c r="A36" s="252"/>
      <c r="B36" s="253"/>
      <c r="C36" s="253"/>
      <c r="D36" s="253"/>
      <c r="E36" s="253"/>
      <c r="F36" s="253"/>
      <c r="G36" s="254"/>
      <c r="H36" s="253"/>
      <c r="I36" s="253"/>
      <c r="J36" s="253"/>
      <c r="K36" s="253"/>
      <c r="L36" s="253"/>
      <c r="M36" s="253"/>
      <c r="N36" s="253"/>
      <c r="O36" s="253"/>
      <c r="P36" s="254"/>
    </row>
    <row r="37" spans="1:16" x14ac:dyDescent="0.2">
      <c r="A37" s="252"/>
      <c r="B37" s="253"/>
      <c r="C37" s="253"/>
      <c r="D37" s="253"/>
      <c r="E37" s="253"/>
      <c r="F37" s="253"/>
      <c r="G37" s="254"/>
      <c r="H37" s="253"/>
      <c r="I37" s="253"/>
      <c r="J37" s="253"/>
      <c r="K37" s="253"/>
      <c r="L37" s="253"/>
      <c r="M37" s="253"/>
      <c r="N37" s="253"/>
      <c r="O37" s="253"/>
      <c r="P37" s="254"/>
    </row>
    <row r="38" spans="1:16" x14ac:dyDescent="0.2">
      <c r="A38" s="252"/>
      <c r="B38" s="253"/>
      <c r="C38" s="253"/>
      <c r="D38" s="253"/>
      <c r="E38" s="253"/>
      <c r="F38" s="253"/>
      <c r="G38" s="254"/>
      <c r="H38" s="253"/>
      <c r="I38" s="253"/>
      <c r="J38" s="253"/>
      <c r="K38" s="253"/>
      <c r="L38" s="253"/>
      <c r="M38" s="253"/>
      <c r="N38" s="253"/>
      <c r="O38" s="253"/>
      <c r="P38" s="254"/>
    </row>
    <row r="39" spans="1:16" x14ac:dyDescent="0.2">
      <c r="A39" s="252"/>
      <c r="B39" s="253"/>
      <c r="C39" s="253"/>
      <c r="D39" s="253"/>
      <c r="E39" s="253"/>
      <c r="F39" s="253"/>
      <c r="G39" s="254"/>
      <c r="H39" s="253"/>
      <c r="I39" s="253"/>
      <c r="J39" s="253"/>
      <c r="K39" s="253"/>
      <c r="L39" s="253"/>
      <c r="M39" s="253"/>
      <c r="N39" s="253"/>
      <c r="O39" s="253"/>
      <c r="P39" s="254"/>
    </row>
    <row r="40" spans="1:16" ht="13.5" thickBot="1" x14ac:dyDescent="0.25">
      <c r="A40" s="255"/>
      <c r="B40" s="256"/>
      <c r="C40" s="256"/>
      <c r="D40" s="256"/>
      <c r="E40" s="256"/>
      <c r="F40" s="256"/>
      <c r="G40" s="257"/>
      <c r="H40" s="256"/>
      <c r="I40" s="256"/>
      <c r="J40" s="256"/>
      <c r="K40" s="256"/>
      <c r="L40" s="256"/>
      <c r="M40" s="256"/>
      <c r="N40" s="256"/>
      <c r="O40" s="256"/>
      <c r="P40" s="257"/>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72" t="s">
        <v>305</v>
      </c>
      <c r="C3" s="473"/>
      <c r="D3" s="165" t="s">
        <v>6</v>
      </c>
      <c r="E3" s="102" t="s">
        <v>3</v>
      </c>
      <c r="F3" s="102" t="s">
        <v>290</v>
      </c>
    </row>
    <row r="4" spans="2:10" ht="59.25" customHeight="1" x14ac:dyDescent="0.2">
      <c r="B4" s="474"/>
      <c r="C4" s="475"/>
      <c r="D4" s="468">
        <v>488859</v>
      </c>
      <c r="E4" s="468">
        <v>224535</v>
      </c>
      <c r="F4" s="470">
        <v>0.45929999999999999</v>
      </c>
      <c r="J4" s="277"/>
    </row>
    <row r="5" spans="2:10" ht="33" customHeight="1" thickBot="1" x14ac:dyDescent="0.25">
      <c r="B5" s="150" t="s">
        <v>469</v>
      </c>
      <c r="C5" s="151"/>
      <c r="D5" s="469"/>
      <c r="E5" s="469"/>
      <c r="F5" s="471"/>
      <c r="G5" s="291"/>
      <c r="H5" s="291"/>
      <c r="J5" s="277"/>
    </row>
    <row r="6" spans="2:10" ht="16.5" customHeight="1" thickBot="1" x14ac:dyDescent="0.25">
      <c r="B6" s="246" t="s">
        <v>295</v>
      </c>
      <c r="C6" s="247" t="s">
        <v>315</v>
      </c>
      <c r="D6" s="236">
        <v>175297</v>
      </c>
      <c r="E6" s="236">
        <v>81764</v>
      </c>
      <c r="F6" s="235">
        <v>0.46643125666725616</v>
      </c>
    </row>
    <row r="7" spans="2:10" ht="16.5" customHeight="1" x14ac:dyDescent="0.2">
      <c r="B7" s="123" t="s">
        <v>23</v>
      </c>
      <c r="C7" s="124" t="s">
        <v>222</v>
      </c>
      <c r="D7" s="125">
        <v>49916</v>
      </c>
      <c r="E7" s="125">
        <v>24369</v>
      </c>
      <c r="F7" s="126">
        <v>0.48820017629617757</v>
      </c>
    </row>
    <row r="8" spans="2:10" ht="16.5" customHeight="1" x14ac:dyDescent="0.2">
      <c r="B8" s="123" t="s">
        <v>0</v>
      </c>
      <c r="C8" s="132" t="s">
        <v>223</v>
      </c>
      <c r="D8" s="125">
        <v>114326</v>
      </c>
      <c r="E8" s="125">
        <v>56132</v>
      </c>
      <c r="F8" s="126">
        <v>0.4909819288700733</v>
      </c>
    </row>
    <row r="9" spans="2:10" ht="16.5" customHeight="1" x14ac:dyDescent="0.2">
      <c r="B9" s="127" t="s">
        <v>296</v>
      </c>
      <c r="C9" s="128" t="s">
        <v>225</v>
      </c>
      <c r="D9" s="125">
        <v>4627</v>
      </c>
      <c r="E9" s="125">
        <v>324</v>
      </c>
      <c r="F9" s="126">
        <v>7.0023773503349901E-2</v>
      </c>
    </row>
    <row r="10" spans="2:10" ht="16.5" customHeight="1" thickBot="1" x14ac:dyDescent="0.25">
      <c r="B10" s="127" t="s">
        <v>24</v>
      </c>
      <c r="C10" s="132" t="s">
        <v>227</v>
      </c>
      <c r="D10" s="125">
        <v>6428</v>
      </c>
      <c r="E10" s="125">
        <v>939</v>
      </c>
      <c r="F10" s="126">
        <v>0.14607965152457997</v>
      </c>
    </row>
    <row r="11" spans="2:10" ht="17.25" thickBot="1" x14ac:dyDescent="0.25">
      <c r="B11" s="246" t="s">
        <v>1</v>
      </c>
      <c r="C11" s="247" t="s">
        <v>315</v>
      </c>
      <c r="D11" s="236">
        <v>313562</v>
      </c>
      <c r="E11" s="236">
        <v>142771</v>
      </c>
      <c r="F11" s="235">
        <v>0.45531984105216833</v>
      </c>
    </row>
    <row r="12" spans="2:10" ht="16.5" customHeight="1" x14ac:dyDescent="0.2">
      <c r="B12" s="123" t="s">
        <v>231</v>
      </c>
      <c r="C12" s="128" t="s">
        <v>226</v>
      </c>
      <c r="D12" s="125">
        <v>6148</v>
      </c>
      <c r="E12" s="125">
        <v>351</v>
      </c>
      <c r="F12" s="126">
        <v>5.7091737150292775E-2</v>
      </c>
    </row>
    <row r="13" spans="2:10" ht="16.5" customHeight="1" x14ac:dyDescent="0.2">
      <c r="B13" s="123" t="s">
        <v>25</v>
      </c>
      <c r="C13" s="124" t="s">
        <v>224</v>
      </c>
      <c r="D13" s="125">
        <v>290994</v>
      </c>
      <c r="E13" s="125">
        <v>137837</v>
      </c>
      <c r="F13" s="126">
        <v>0.47367643319106234</v>
      </c>
    </row>
    <row r="14" spans="2:10" ht="16.5" customHeight="1" x14ac:dyDescent="0.2">
      <c r="B14" s="123" t="s">
        <v>17</v>
      </c>
      <c r="C14" s="124" t="s">
        <v>228</v>
      </c>
      <c r="D14" s="125">
        <v>15077</v>
      </c>
      <c r="E14" s="125">
        <v>4349</v>
      </c>
      <c r="F14" s="126">
        <v>0.28845260993566357</v>
      </c>
    </row>
    <row r="15" spans="2:10" ht="16.5" customHeight="1" x14ac:dyDescent="0.2">
      <c r="B15" s="127" t="s">
        <v>26</v>
      </c>
      <c r="C15" s="128" t="s">
        <v>229</v>
      </c>
      <c r="D15" s="129">
        <v>1194</v>
      </c>
      <c r="E15" s="125">
        <v>141</v>
      </c>
      <c r="F15" s="126">
        <v>0.11809045226130653</v>
      </c>
    </row>
    <row r="16" spans="2:10" ht="16.5" customHeight="1" x14ac:dyDescent="0.2">
      <c r="B16" s="127" t="s">
        <v>98</v>
      </c>
      <c r="C16" s="130" t="s">
        <v>232</v>
      </c>
      <c r="D16" s="129">
        <v>141</v>
      </c>
      <c r="E16" s="125">
        <v>91</v>
      </c>
      <c r="F16" s="126">
        <v>0.64539007092198586</v>
      </c>
    </row>
    <row r="17" spans="2:6" ht="28.5" customHeight="1" x14ac:dyDescent="0.2">
      <c r="B17" s="127" t="s">
        <v>99</v>
      </c>
      <c r="C17" s="130" t="s">
        <v>233</v>
      </c>
      <c r="D17" s="129">
        <v>1</v>
      </c>
      <c r="E17" s="125">
        <v>1</v>
      </c>
      <c r="F17" s="126">
        <v>1</v>
      </c>
    </row>
    <row r="18" spans="2:6" ht="16.5" customHeight="1" x14ac:dyDescent="0.2">
      <c r="B18" s="127" t="s">
        <v>101</v>
      </c>
      <c r="C18" s="130" t="s">
        <v>234</v>
      </c>
      <c r="D18" s="129">
        <v>6</v>
      </c>
      <c r="E18" s="125">
        <v>1</v>
      </c>
      <c r="F18" s="126">
        <v>0.16666666666666666</v>
      </c>
    </row>
    <row r="19" spans="2:6" ht="16.5" customHeight="1" thickBot="1" x14ac:dyDescent="0.25">
      <c r="B19" s="127" t="s">
        <v>100</v>
      </c>
      <c r="C19" s="130" t="s">
        <v>235</v>
      </c>
      <c r="D19" s="129">
        <v>1</v>
      </c>
      <c r="E19" s="125">
        <v>0</v>
      </c>
      <c r="F19" s="131">
        <v>0</v>
      </c>
    </row>
    <row r="20" spans="2:6" ht="16.5" customHeight="1" x14ac:dyDescent="0.2">
      <c r="B20" s="459" t="s">
        <v>356</v>
      </c>
      <c r="C20" s="460"/>
      <c r="D20" s="460"/>
      <c r="E20" s="460"/>
      <c r="F20" s="461"/>
    </row>
    <row r="21" spans="2:6" ht="36" customHeight="1" thickBot="1" x14ac:dyDescent="0.25">
      <c r="B21" s="462"/>
      <c r="C21" s="463"/>
      <c r="D21" s="463"/>
      <c r="E21" s="463"/>
      <c r="F21" s="464"/>
    </row>
    <row r="22" spans="2:6" ht="36" customHeight="1" x14ac:dyDescent="0.2">
      <c r="B22" s="480" t="s">
        <v>384</v>
      </c>
      <c r="C22" s="480" t="s">
        <v>392</v>
      </c>
      <c r="D22" s="482"/>
      <c r="E22" s="482"/>
      <c r="F22" s="483"/>
    </row>
    <row r="23" spans="2:6" ht="29.25" customHeight="1" thickBot="1" x14ac:dyDescent="0.25">
      <c r="B23" s="481"/>
      <c r="C23" s="481"/>
      <c r="D23" s="484"/>
      <c r="E23" s="484"/>
      <c r="F23" s="485"/>
    </row>
    <row r="24" spans="2:6" ht="29.25" customHeight="1" thickBot="1" x14ac:dyDescent="0.25">
      <c r="B24" s="189"/>
      <c r="C24" s="149"/>
      <c r="D24" s="149"/>
      <c r="E24" s="149"/>
      <c r="F24" s="149"/>
    </row>
    <row r="25" spans="2:6" ht="25.5" x14ac:dyDescent="0.2">
      <c r="B25" s="24" t="s">
        <v>32</v>
      </c>
      <c r="C25" s="62" t="s">
        <v>37</v>
      </c>
      <c r="D25" s="62" t="s">
        <v>38</v>
      </c>
      <c r="E25" s="62" t="s">
        <v>39</v>
      </c>
      <c r="F25" s="106" t="s">
        <v>40</v>
      </c>
    </row>
    <row r="26" spans="2:6" ht="16.5" x14ac:dyDescent="0.2">
      <c r="B26" s="248" t="s">
        <v>300</v>
      </c>
      <c r="C26" s="249">
        <v>7354</v>
      </c>
      <c r="D26" s="249">
        <v>8989</v>
      </c>
      <c r="E26" s="249">
        <v>-1635</v>
      </c>
      <c r="F26" s="250">
        <v>-0.182</v>
      </c>
    </row>
    <row r="27" spans="2:6" x14ac:dyDescent="0.2">
      <c r="B27" s="118" t="s">
        <v>33</v>
      </c>
      <c r="C27" s="141">
        <v>1274</v>
      </c>
      <c r="D27" s="141">
        <v>1320</v>
      </c>
      <c r="E27" s="141">
        <v>-46</v>
      </c>
      <c r="F27" s="301">
        <v>-3.5000000000000003E-2</v>
      </c>
    </row>
    <row r="28" spans="2:6" x14ac:dyDescent="0.2">
      <c r="B28" s="121" t="s">
        <v>34</v>
      </c>
      <c r="C28" s="212">
        <v>580</v>
      </c>
      <c r="D28" s="212">
        <v>626</v>
      </c>
      <c r="E28" s="212">
        <v>-46</v>
      </c>
      <c r="F28" s="302">
        <v>-7.2999999999999995E-2</v>
      </c>
    </row>
    <row r="29" spans="2:6" x14ac:dyDescent="0.2">
      <c r="B29" s="118" t="s">
        <v>35</v>
      </c>
      <c r="C29" s="212">
        <v>1474</v>
      </c>
      <c r="D29" s="212">
        <v>1330</v>
      </c>
      <c r="E29" s="212">
        <v>144</v>
      </c>
      <c r="F29" s="302">
        <v>0.108</v>
      </c>
    </row>
    <row r="30" spans="2:6" x14ac:dyDescent="0.2">
      <c r="B30" s="122" t="s">
        <v>36</v>
      </c>
      <c r="C30" s="213">
        <v>4026</v>
      </c>
      <c r="D30" s="213">
        <v>5713</v>
      </c>
      <c r="E30" s="213">
        <v>-1687</v>
      </c>
      <c r="F30" s="303">
        <v>-0.29499999999999998</v>
      </c>
    </row>
    <row r="31" spans="2:6" ht="16.5" x14ac:dyDescent="0.2">
      <c r="B31" s="248" t="s">
        <v>301</v>
      </c>
      <c r="C31" s="249">
        <v>77411</v>
      </c>
      <c r="D31" s="249">
        <v>81468</v>
      </c>
      <c r="E31" s="249">
        <v>-4057</v>
      </c>
      <c r="F31" s="250">
        <v>-0.05</v>
      </c>
    </row>
    <row r="32" spans="2:6" x14ac:dyDescent="0.2">
      <c r="B32" s="118" t="s">
        <v>33</v>
      </c>
      <c r="C32" s="141">
        <v>20494</v>
      </c>
      <c r="D32" s="141">
        <v>21469</v>
      </c>
      <c r="E32" s="141">
        <v>-975</v>
      </c>
      <c r="F32" s="301">
        <v>-4.4999999999999998E-2</v>
      </c>
    </row>
    <row r="33" spans="2:6" x14ac:dyDescent="0.2">
      <c r="B33" s="121" t="s">
        <v>34</v>
      </c>
      <c r="C33" s="212">
        <v>3090</v>
      </c>
      <c r="D33" s="212">
        <v>4542</v>
      </c>
      <c r="E33" s="212">
        <v>-1452</v>
      </c>
      <c r="F33" s="302">
        <v>-0.32</v>
      </c>
    </row>
    <row r="34" spans="2:6" x14ac:dyDescent="0.2">
      <c r="B34" s="118" t="s">
        <v>35</v>
      </c>
      <c r="C34" s="212">
        <v>20626</v>
      </c>
      <c r="D34" s="212">
        <v>16515</v>
      </c>
      <c r="E34" s="212">
        <v>4111</v>
      </c>
      <c r="F34" s="302">
        <v>0.249</v>
      </c>
    </row>
    <row r="35" spans="2:6" ht="15.75" thickBot="1" x14ac:dyDescent="0.25">
      <c r="B35" s="118" t="s">
        <v>36</v>
      </c>
      <c r="C35" s="212">
        <v>33201</v>
      </c>
      <c r="D35" s="212">
        <v>38942</v>
      </c>
      <c r="E35" s="212">
        <v>-5741</v>
      </c>
      <c r="F35" s="302">
        <v>-0.14699999999999999</v>
      </c>
    </row>
    <row r="36" spans="2:6" ht="15.75" customHeight="1" thickBot="1" x14ac:dyDescent="0.25">
      <c r="B36" s="477" t="s">
        <v>41</v>
      </c>
      <c r="C36" s="478"/>
      <c r="D36" s="478"/>
      <c r="E36" s="478"/>
      <c r="F36" s="479"/>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12">
        <v>780</v>
      </c>
      <c r="D41" s="212">
        <v>713</v>
      </c>
      <c r="E41" s="212">
        <v>67</v>
      </c>
      <c r="F41" s="214">
        <v>9.3969144460028048E-2</v>
      </c>
    </row>
    <row r="42" spans="2:6" hidden="1" x14ac:dyDescent="0.2">
      <c r="B42" s="118" t="s">
        <v>35</v>
      </c>
      <c r="C42" s="212">
        <v>1843</v>
      </c>
      <c r="D42" s="212">
        <v>1945</v>
      </c>
      <c r="E42" s="212">
        <v>-102</v>
      </c>
      <c r="F42" s="214">
        <v>-5.244215938303342E-2</v>
      </c>
    </row>
    <row r="43" spans="2:6" hidden="1" x14ac:dyDescent="0.2">
      <c r="B43" s="122" t="s">
        <v>36</v>
      </c>
      <c r="C43" s="213">
        <v>3367</v>
      </c>
      <c r="D43" s="213">
        <v>3404</v>
      </c>
      <c r="E43" s="213">
        <v>-37</v>
      </c>
      <c r="F43" s="215">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12">
        <v>4678</v>
      </c>
      <c r="D46" s="212">
        <v>5977</v>
      </c>
      <c r="E46" s="212">
        <v>-1299</v>
      </c>
      <c r="F46" s="214">
        <v>-0.21733311025598126</v>
      </c>
    </row>
    <row r="47" spans="2:6" hidden="1" x14ac:dyDescent="0.2">
      <c r="B47" s="118" t="s">
        <v>35</v>
      </c>
      <c r="C47" s="212">
        <v>11334</v>
      </c>
      <c r="D47" s="212">
        <v>13508</v>
      </c>
      <c r="E47" s="212">
        <v>-2174</v>
      </c>
      <c r="F47" s="214">
        <v>-0.1609416641989932</v>
      </c>
    </row>
    <row r="48" spans="2:6" hidden="1" x14ac:dyDescent="0.2">
      <c r="B48" s="122" t="s">
        <v>36</v>
      </c>
      <c r="C48" s="213">
        <v>23176</v>
      </c>
      <c r="D48" s="213">
        <v>21724</v>
      </c>
      <c r="E48" s="213">
        <v>1452</v>
      </c>
      <c r="F48" s="215">
        <v>6.6838519609648317E-2</v>
      </c>
    </row>
    <row r="49" spans="2:18" ht="15.75" hidden="1" thickBot="1" x14ac:dyDescent="0.25">
      <c r="B49" s="465" t="s">
        <v>41</v>
      </c>
      <c r="C49" s="466"/>
      <c r="D49" s="466"/>
      <c r="E49" s="466"/>
      <c r="F49" s="467"/>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12">
        <v>780</v>
      </c>
      <c r="D54" s="212">
        <v>713</v>
      </c>
      <c r="E54" s="212">
        <v>67</v>
      </c>
      <c r="F54" s="214">
        <v>9.3969144460028048E-2</v>
      </c>
    </row>
    <row r="55" spans="2:18" hidden="1" x14ac:dyDescent="0.2">
      <c r="B55" s="118" t="s">
        <v>35</v>
      </c>
      <c r="C55" s="212">
        <v>1843</v>
      </c>
      <c r="D55" s="212">
        <v>1945</v>
      </c>
      <c r="E55" s="212">
        <v>-102</v>
      </c>
      <c r="F55" s="214">
        <v>-5.244215938303342E-2</v>
      </c>
    </row>
    <row r="56" spans="2:18" hidden="1" x14ac:dyDescent="0.2">
      <c r="B56" s="122" t="s">
        <v>36</v>
      </c>
      <c r="C56" s="213">
        <v>3367</v>
      </c>
      <c r="D56" s="213">
        <v>3404</v>
      </c>
      <c r="E56" s="213">
        <v>-37</v>
      </c>
      <c r="F56" s="215">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12">
        <v>4678</v>
      </c>
      <c r="D59" s="212">
        <v>5977</v>
      </c>
      <c r="E59" s="212">
        <v>-1299</v>
      </c>
      <c r="F59" s="214">
        <v>-0.21733311025598126</v>
      </c>
    </row>
    <row r="60" spans="2:18" hidden="1" x14ac:dyDescent="0.2">
      <c r="B60" s="118" t="s">
        <v>35</v>
      </c>
      <c r="C60" s="212">
        <v>11334</v>
      </c>
      <c r="D60" s="212">
        <v>13508</v>
      </c>
      <c r="E60" s="212">
        <v>-2174</v>
      </c>
      <c r="F60" s="214">
        <v>-0.1609416641989932</v>
      </c>
    </row>
    <row r="61" spans="2:18" hidden="1" x14ac:dyDescent="0.2">
      <c r="B61" s="122" t="s">
        <v>36</v>
      </c>
      <c r="C61" s="213">
        <v>23176</v>
      </c>
      <c r="D61" s="213">
        <v>21724</v>
      </c>
      <c r="E61" s="213">
        <v>1452</v>
      </c>
      <c r="F61" s="215">
        <v>6.6838519609648317E-2</v>
      </c>
    </row>
    <row r="62" spans="2:18" ht="16.5" hidden="1" customHeight="1" thickBot="1" x14ac:dyDescent="0.25">
      <c r="B62" s="465" t="s">
        <v>41</v>
      </c>
      <c r="C62" s="466"/>
      <c r="D62" s="466"/>
      <c r="E62" s="466"/>
      <c r="F62" s="467"/>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65" t="s">
        <v>41</v>
      </c>
      <c r="C76" s="466"/>
      <c r="D76" s="466"/>
      <c r="E76" s="466"/>
      <c r="F76" s="467"/>
      <c r="J76" s="476"/>
      <c r="K76" s="476"/>
      <c r="L76" s="476"/>
      <c r="M76" s="476"/>
      <c r="N76" s="476"/>
      <c r="O76" s="476"/>
      <c r="P76" s="476"/>
      <c r="Q76" s="476"/>
      <c r="R76" s="476"/>
    </row>
    <row r="77" spans="2:18" ht="45.75" hidden="1" customHeight="1" x14ac:dyDescent="0.2">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5" priority="26" stopIfTrue="1">
      <formula>ISERROR(F7)</formula>
    </cfRule>
  </conditionalFormatting>
  <conditionalFormatting sqref="F9">
    <cfRule type="expression" dxfId="94"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501" t="s">
        <v>391</v>
      </c>
      <c r="D1" s="502"/>
      <c r="E1" s="502"/>
      <c r="F1" s="502"/>
      <c r="G1" s="502"/>
      <c r="H1" s="502"/>
      <c r="I1" s="502"/>
      <c r="J1" s="501" t="s">
        <v>399</v>
      </c>
      <c r="K1" s="502"/>
      <c r="L1" s="502"/>
      <c r="M1" s="511"/>
    </row>
    <row r="2" spans="2:16" ht="24" customHeight="1" thickBot="1" x14ac:dyDescent="0.4">
      <c r="B2" s="228"/>
      <c r="C2" s="503"/>
      <c r="D2" s="504"/>
      <c r="E2" s="504"/>
      <c r="F2" s="504"/>
      <c r="G2" s="504"/>
      <c r="H2" s="504"/>
      <c r="I2" s="504"/>
      <c r="J2" s="503" t="str">
        <f>Transformation!B5</f>
        <v>As of February 21, 2015</v>
      </c>
      <c r="K2" s="504"/>
      <c r="L2" s="504"/>
      <c r="M2" s="512"/>
    </row>
    <row r="3" spans="2:16" ht="73.5" customHeight="1" thickBot="1" x14ac:dyDescent="0.25">
      <c r="B3" s="228"/>
      <c r="C3" s="491" t="s">
        <v>427</v>
      </c>
      <c r="D3" s="492"/>
      <c r="E3" s="492"/>
      <c r="F3" s="492"/>
      <c r="G3" s="492"/>
      <c r="H3" s="492"/>
      <c r="I3" s="492"/>
      <c r="J3" s="492"/>
      <c r="K3" s="492"/>
      <c r="L3" s="492"/>
      <c r="M3" s="493"/>
    </row>
    <row r="4" spans="2:16" ht="22.5" customHeight="1" thickBot="1" x14ac:dyDescent="0.3">
      <c r="B4" s="219"/>
      <c r="C4" s="505" t="s">
        <v>236</v>
      </c>
      <c r="D4" s="506"/>
      <c r="E4" s="506"/>
      <c r="F4" s="506"/>
      <c r="G4" s="506"/>
      <c r="H4" s="506"/>
      <c r="I4" s="506"/>
      <c r="J4" s="506"/>
      <c r="K4" s="506"/>
      <c r="L4" s="506"/>
      <c r="M4" s="507"/>
    </row>
    <row r="5" spans="2:16" ht="55.5" customHeight="1" x14ac:dyDescent="0.2">
      <c r="B5" s="99"/>
      <c r="C5" s="66" t="s">
        <v>222</v>
      </c>
      <c r="D5" s="513" t="s">
        <v>23</v>
      </c>
      <c r="E5" s="514"/>
      <c r="F5" s="61" t="s">
        <v>225</v>
      </c>
      <c r="G5" s="513" t="s">
        <v>230</v>
      </c>
      <c r="H5" s="515"/>
      <c r="I5" s="61" t="s">
        <v>228</v>
      </c>
      <c r="J5" s="62" t="s">
        <v>17</v>
      </c>
      <c r="K5" s="61" t="s">
        <v>233</v>
      </c>
      <c r="L5" s="516" t="s">
        <v>99</v>
      </c>
      <c r="M5" s="517"/>
    </row>
    <row r="6" spans="2:16" ht="51.75" customHeight="1" x14ac:dyDescent="0.2">
      <c r="B6" s="99"/>
      <c r="C6" s="67" t="s">
        <v>223</v>
      </c>
      <c r="D6" s="508" t="s">
        <v>0</v>
      </c>
      <c r="E6" s="509"/>
      <c r="F6" s="63" t="s">
        <v>226</v>
      </c>
      <c r="G6" s="510" t="s">
        <v>231</v>
      </c>
      <c r="H6" s="510"/>
      <c r="I6" s="63" t="s">
        <v>229</v>
      </c>
      <c r="J6" s="31" t="s">
        <v>26</v>
      </c>
      <c r="K6" s="63" t="s">
        <v>234</v>
      </c>
      <c r="L6" s="518" t="s">
        <v>101</v>
      </c>
      <c r="M6" s="519"/>
    </row>
    <row r="7" spans="2:16" ht="51.75" customHeight="1" thickBot="1" x14ac:dyDescent="0.25">
      <c r="B7" s="99"/>
      <c r="C7" s="68" t="s">
        <v>224</v>
      </c>
      <c r="D7" s="499" t="s">
        <v>25</v>
      </c>
      <c r="E7" s="500"/>
      <c r="F7" s="64" t="s">
        <v>227</v>
      </c>
      <c r="G7" s="496" t="s">
        <v>24</v>
      </c>
      <c r="H7" s="496"/>
      <c r="I7" s="64" t="s">
        <v>232</v>
      </c>
      <c r="J7" s="65" t="s">
        <v>98</v>
      </c>
      <c r="K7" s="64" t="s">
        <v>235</v>
      </c>
      <c r="L7" s="497" t="s">
        <v>100</v>
      </c>
      <c r="M7" s="498"/>
    </row>
    <row r="8" spans="2:16" ht="14.25" customHeight="1" x14ac:dyDescent="0.4">
      <c r="C8" s="46"/>
      <c r="D8" s="46"/>
      <c r="E8" s="46"/>
      <c r="F8" s="46"/>
      <c r="G8" s="46"/>
      <c r="H8" s="46"/>
      <c r="I8" s="46"/>
      <c r="J8" s="46"/>
      <c r="K8" s="46"/>
      <c r="L8" s="46"/>
    </row>
    <row r="9" spans="2:16" ht="15.75" customHeight="1" x14ac:dyDescent="0.2">
      <c r="C9" s="494" t="s">
        <v>390</v>
      </c>
      <c r="D9" s="494"/>
      <c r="E9" s="494"/>
      <c r="F9" s="494"/>
      <c r="G9" s="494"/>
      <c r="H9" s="494"/>
      <c r="I9" s="494"/>
      <c r="J9" s="494"/>
      <c r="K9" s="494"/>
      <c r="L9" s="494"/>
      <c r="M9" s="495"/>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IF(ISNA(VLOOKUP($B11,EDW_FEEDER!$T$2:$AH$86,2,FALSE))=TRUE,"",VLOOKUP($B11,EDW_FEEDER!$T$2:$AH$86,2,FALSE))</f>
        <v>488859</v>
      </c>
      <c r="D11" s="259">
        <f>IF(ISNA(VLOOKUP(B11,EDW_FEEDER!$T$2:$AH$86,3,FALSE))=TRUE,"",VLOOKUP(B11,EDW_FEEDER!$T$2:$AH$86,3,FALSE))</f>
        <v>144.4</v>
      </c>
      <c r="E11" s="260">
        <f>IF(ISNA(VLOOKUP(B11,EDW_FEEDER!$T$2:$AH$86,4,FALSE))=TRUE,"",VLOOKUP(B11,EDW_FEEDER!$T$2:$AH$870,4,FALSE))</f>
        <v>0.45929999999999999</v>
      </c>
      <c r="F11" s="258">
        <f>IF(ISNA(VLOOKUP(B11,EDW_FEEDER!$T$2:$AH$86,5,FALSE))=TRUE,"",VLOOKUP(B11,EDW_FEEDER!$T$2:$AH$86,5,FALSE))</f>
        <v>81118</v>
      </c>
      <c r="G11" s="258">
        <f>IF(ISNA(VLOOKUP(B11,EDW_FEEDER!$T$2:$AH$86,6,FALSE))=TRUE,"",VLOOKUP(B11,EDW_FEEDER!$T$2:$AH$86,6,FALSE))</f>
        <v>504599</v>
      </c>
      <c r="H11" s="259">
        <f>IF(ISNA(VLOOKUP(B11,EDW_FEEDER!$T$2:$AH$86,7,FALSE))=TRUE,"",VLOOKUP(B11,EDW_FEEDER!$T$2:$AH$86,7,FALSE))</f>
        <v>184.6</v>
      </c>
      <c r="I11" s="259">
        <f>IF(ISNA(VLOOKUP(B11,EDW_FEEDER!$T$2:$AH$86,8,FALSE))=TRUE,"",VLOOKUP(B11,EDW_FEEDER!$T$2:$AH$86,8,FALSE))</f>
        <v>186.2</v>
      </c>
      <c r="J11" s="290">
        <f>VLOOKUP(B11,Accuracy!$AD$7:$AQ$69,3,FALSE)</f>
        <v>0.96220000000000006</v>
      </c>
      <c r="K11" s="290">
        <f>VLOOKUP(B11,Accuracy!$AD$7:$AQ$69,6,FALSE)</f>
        <v>0.91549999999999998</v>
      </c>
      <c r="L11" s="290">
        <f>VLOOKUP(B11,Accuracy!$AD$7:$AQ$69,9,FALSE)</f>
        <v>0.90890000000000004</v>
      </c>
      <c r="M11" s="290">
        <f>VLOOKUP(B11,Accuracy!$AD$7:$AQ$69,12,FALSE)</f>
        <v>0.92310000000000003</v>
      </c>
      <c r="P11" s="70" t="s">
        <v>151</v>
      </c>
    </row>
    <row r="12" spans="2:16" x14ac:dyDescent="0.2">
      <c r="B12" s="486" t="s">
        <v>385</v>
      </c>
      <c r="C12" s="487"/>
      <c r="D12" s="487"/>
      <c r="E12" s="487"/>
      <c r="F12" s="487"/>
      <c r="G12" s="487"/>
      <c r="H12" s="487"/>
      <c r="I12" s="487"/>
      <c r="J12" s="487"/>
      <c r="K12" s="487"/>
      <c r="L12" s="487"/>
      <c r="M12" s="488"/>
      <c r="P12" s="190" t="s">
        <v>152</v>
      </c>
    </row>
    <row r="13" spans="2:16" x14ac:dyDescent="0.2">
      <c r="B13" s="225" t="s">
        <v>386</v>
      </c>
      <c r="C13" s="258">
        <f>IF(ISNA(VLOOKUP("USAV",EDW_FEEDER!$T$2:$AH$86,2,FALSE))=TRUE,"",VLOOKUP("USAV",EDW_FEEDER!$T$2:$AH$86,2,FALSE))</f>
        <v>449706</v>
      </c>
      <c r="D13" s="259">
        <f>IF(ISNA(VLOOKUP("USAV",EDW_FEEDER!$T$2:$AH$86,3,FALSE))=TRUE,"",VLOOKUP("USAV",EDW_FEEDER!$T$2:$AH$86,3,FALSE))</f>
        <v>150.30000000000001</v>
      </c>
      <c r="E13" s="260">
        <f>IF(ISNA(VLOOKUP("USAV",EDW_FEEDER!$T$2:$AH$86,4,FALSE))=TRUE,"",VLOOKUP("USAV",EDW_FEEDER!$T$2:$AH$870,4,FALSE))</f>
        <v>0.4819</v>
      </c>
      <c r="F13" s="258">
        <f>IF(ISNA(VLOOKUP("USAV",EDW_FEEDER!$T$2:$AH$86,5,FALSE))=TRUE,"",VLOOKUP("USAV",EDW_FEEDER!$T$2:$AH$86,5,FALSE))</f>
        <v>68922</v>
      </c>
      <c r="G13" s="258">
        <f>IF(ISNA(VLOOKUP("USAV",EDW_FEEDER!$T$2:$AH$86,6,FALSE))=TRUE,"",VLOOKUP("USAV",EDW_FEEDER!$T$2:$AH$86,6,FALSE))</f>
        <v>426879</v>
      </c>
      <c r="H13" s="259">
        <f>IF(ISNA(VLOOKUP("USAV",EDW_FEEDER!$T$2:$AH$86,7,FALSE))=TRUE,"",VLOOKUP("USAV",EDW_FEEDER!$T$2:$AH$86,7,FALSE))</f>
        <v>201.6</v>
      </c>
      <c r="I13" s="259">
        <f>IF(ISNA(VLOOKUP("USAV",EDW_FEEDER!$T$2:$AH$86,8,FALSE))=TRUE,"",VLOOKUP("USAV",EDW_FEEDER!$T$2:$AH$86,8,FALSE))</f>
        <v>204.7</v>
      </c>
      <c r="J13" s="261"/>
      <c r="K13" s="261"/>
      <c r="L13" s="261"/>
      <c r="M13" s="261"/>
      <c r="P13" s="190" t="s">
        <v>9</v>
      </c>
    </row>
    <row r="14" spans="2:16" x14ac:dyDescent="0.2">
      <c r="B14" s="224" t="s">
        <v>149</v>
      </c>
      <c r="C14" s="258">
        <f>IF(ISNA(VLOOKUP($B14,EDW_FEEDER!$T$2:$AH$86,2,FALSE))=TRUE,"",VLOOKUP($B14,EDW_FEEDER!$T$2:$AH$86,2,FALSE))</f>
        <v>85767</v>
      </c>
      <c r="D14" s="259">
        <f>IF(ISNA(VLOOKUP(B14,EDW_FEEDER!$T$2:$AH$86,3,FALSE))=TRUE,"",VLOOKUP(B14,EDW_FEEDER!$T$2:$AH$86,3,FALSE))</f>
        <v>152.80000000000001</v>
      </c>
      <c r="E14" s="260">
        <f>IF(ISNA(VLOOKUP(B14,EDW_FEEDER!$T$2:$AH$86,4,FALSE))=TRUE,"",VLOOKUP(B14,EDW_FEEDER!$T$2:$AH$870,4,FALSE))</f>
        <v>0.49203000000000002</v>
      </c>
      <c r="F14" s="258">
        <f>IF(ISNA(VLOOKUP(B14,EDW_FEEDER!$T$2:$AH$86,5,FALSE))=TRUE,"",VLOOKUP(B14,EDW_FEEDER!$T$2:$AH$86,5,FALSE))</f>
        <v>13731</v>
      </c>
      <c r="G14" s="258">
        <f>IF(ISNA(VLOOKUP(B14,EDW_FEEDER!$T$2:$AH$86,6,FALSE))=TRUE,"",VLOOKUP(B14,EDW_FEEDER!$T$2:$AH$86,6,FALSE))</f>
        <v>84918</v>
      </c>
      <c r="H14" s="259">
        <f>IF(ISNA(VLOOKUP(B14,EDW_FEEDER!$T$2:$AH$86,7,FALSE))=TRUE,"",VLOOKUP(B14,EDW_FEEDER!$T$2:$AH$86,7,FALSE))</f>
        <v>199.5</v>
      </c>
      <c r="I14" s="259">
        <f>IF(ISNA(VLOOKUP(B14,EDW_FEEDER!$T$2:$AH$86,8,FALSE))=TRUE,"",VLOOKUP(B14,EDW_FEEDER!$T$2:$AH$86,8,FALSE))</f>
        <v>200.8</v>
      </c>
      <c r="J14" s="260">
        <f>IF(ISNA(VLOOKUP(B14,Accuracy!$AD$7:$AQ$69,3,FALSE))=TRUE,"-",VLOOKUP(B14,Accuracy!$AD$7:$AQ$69,3,FALSE))</f>
        <v>0.95624029000517863</v>
      </c>
      <c r="K14" s="260">
        <f>IF(ISNA(VLOOKUP(B14,Accuracy!$AD$7:$AQ$69,6,FALSE))=TRUE,"-",VLOOKUP(B14,Accuracy!$AD$7:$AQ$69,6,FALSE))</f>
        <v>0.91120080726538855</v>
      </c>
      <c r="L14" s="260">
        <f>IF(ISNA(VLOOKUP(B14,Accuracy!$AD$7:$AQ$69,9,FALSE))=TRUE,"-",VLOOKUP(B14,Accuracy!$AD$7:$AQ$69,9,FALSE))</f>
        <v>0.90029688273132114</v>
      </c>
      <c r="M14" s="260">
        <f>IF(ISNA(VLOOKUP(B14,Accuracy!$AD$7:$AQ$69,12,FALSE))=TRUE,"-",VLOOKUP(B14,Accuracy!$AD$7:$AQ$69,12,FALSE))</f>
        <v>0.90366972477064222</v>
      </c>
    </row>
    <row r="15" spans="2:16" x14ac:dyDescent="0.2">
      <c r="B15" s="112" t="str">
        <f>IF(ISBLANK(VLOOKUP($B$14,EDW_FEEDER!$A$117:$AK$121,2,FALSE))=TRUE,"",VLOOKUP($B$14,EDW_FEEDER!$A$117:$AK$121,2,FALSE))</f>
        <v>Baltimore</v>
      </c>
      <c r="C15" s="258">
        <f>IF(ISNA(VLOOKUP($B15,EDW_FEEDER!$T$2:$AH$86,2,FALSE))=TRUE,"",VLOOKUP($B15,EDW_FEEDER!$T$2:$AH$86,2,FALSE))</f>
        <v>9253</v>
      </c>
      <c r="D15" s="259">
        <f>IF(ISNA(VLOOKUP(B15,EDW_FEEDER!$T$2:$AH$86,3,FALSE))=TRUE,"",VLOOKUP(B15,EDW_FEEDER!$T$2:$AH$86,3,FALSE))</f>
        <v>198.8</v>
      </c>
      <c r="E15" s="260">
        <f>IF(ISNA(VLOOKUP(B15,EDW_FEEDER!$T$2:$AH$86,4,FALSE))=TRUE,"",VLOOKUP(B15,EDW_FEEDER!$T$2:$AH$870,4,FALSE))</f>
        <v>0.60855999999999999</v>
      </c>
      <c r="F15" s="258">
        <f>IF(ISNA(VLOOKUP(B15,EDW_FEEDER!$T$2:$AH$86,5,FALSE))=TRUE,"",VLOOKUP(B15,EDW_FEEDER!$T$2:$AH$86,5,FALSE))</f>
        <v>976</v>
      </c>
      <c r="G15" s="258">
        <f>IF(ISNA(VLOOKUP(B15,EDW_FEEDER!$T$2:$AH$86,6,FALSE))=TRUE,"",VLOOKUP(B15,EDW_FEEDER!$T$2:$AH$86,6,FALSE))</f>
        <v>6124</v>
      </c>
      <c r="H15" s="259">
        <f>IF(ISNA(VLOOKUP(B15,EDW_FEEDER!$T$2:$AH$86,7,FALSE))=TRUE,"",VLOOKUP(B15,EDW_FEEDER!$T$2:$AH$86,7,FALSE))</f>
        <v>279.10000000000002</v>
      </c>
      <c r="I15" s="259">
        <f>IF(ISNA(VLOOKUP(B15,EDW_FEEDER!$T$2:$AH$86,8,FALSE))=TRUE,"",VLOOKUP(B15,EDW_FEEDER!$T$2:$AH$86,8,FALSE))</f>
        <v>287.60000000000002</v>
      </c>
      <c r="J15" s="260">
        <f>IF(ISNA(VLOOKUP(B15,Accuracy!$AD$7:$AQ$69,3,FALSE))=TRUE,"",VLOOKUP(B15,Accuracy!$AD$7:$AQ$69,3,FALSE))</f>
        <v>0.9476</v>
      </c>
      <c r="K15" s="260">
        <f>IF(ISNA(VLOOKUP(B15,Accuracy!$AD$7:$AQ$69,6,FALSE))=TRUE,"",VLOOKUP(B15,Accuracy!$AD$7:$AQ$69,6,FALSE))</f>
        <v>0.8871</v>
      </c>
      <c r="L15" s="260">
        <f>IF(ISNA(VLOOKUP(B15,Accuracy!$AD$7:$AQ$69,9,FALSE))=TRUE,"",VLOOKUP(B15,Accuracy!$AD$7:$AQ$69,9,FALSE))</f>
        <v>0.81889999999999996</v>
      </c>
      <c r="M15" s="260">
        <f>IF(ISNA(VLOOKUP(B15,Accuracy!$AD$7:$AQ$69,12,FALSE))=TRUE,"",VLOOKUP(B15,Accuracy!$AD$7:$AQ$69,12,FALSE))</f>
        <v>0.84619999999999995</v>
      </c>
    </row>
    <row r="16" spans="2:16" x14ac:dyDescent="0.2">
      <c r="B16" s="112" t="str">
        <f>IF(ISBLANK(VLOOKUP($B$14,EDW_FEEDER!$A$117:$AK$121,3,FALSE))=TRUE,"",VLOOKUP($B$14,EDW_FEEDER!$A$117:$AK$121,3,FALSE))</f>
        <v>Boston</v>
      </c>
      <c r="C16" s="258">
        <f>IF(ISNA(VLOOKUP($B16,EDW_FEEDER!$T$2:$AH$86,2,FALSE))=TRUE,"",VLOOKUP($B16,EDW_FEEDER!$T$2:$AH$86,2,FALSE))</f>
        <v>5273</v>
      </c>
      <c r="D16" s="259">
        <f>IF(ISNA(VLOOKUP(B16,EDW_FEEDER!$T$2:$AH$86,3,FALSE))=TRUE,"",VLOOKUP(B16,EDW_FEEDER!$T$2:$AH$86,3,FALSE))</f>
        <v>171.3</v>
      </c>
      <c r="E16" s="260">
        <f>IF(ISNA(VLOOKUP(B16,EDW_FEEDER!$T$2:$AH$86,4,FALSE))=TRUE,"",VLOOKUP(B16,EDW_FEEDER!$T$2:$AH$870,4,FALSE))</f>
        <v>0.55225000000000002</v>
      </c>
      <c r="F16" s="258">
        <f>IF(ISNA(VLOOKUP(B16,EDW_FEEDER!$T$2:$AH$86,5,FALSE))=TRUE,"",VLOOKUP(B16,EDW_FEEDER!$T$2:$AH$86,5,FALSE))</f>
        <v>735</v>
      </c>
      <c r="G16" s="258">
        <f>IF(ISNA(VLOOKUP(B16,EDW_FEEDER!$T$2:$AH$86,6,FALSE))=TRUE,"",VLOOKUP(B16,EDW_FEEDER!$T$2:$AH$86,6,FALSE))</f>
        <v>4071</v>
      </c>
      <c r="H16" s="259">
        <f>IF(ISNA(VLOOKUP(B16,EDW_FEEDER!$T$2:$AH$86,7,FALSE))=TRUE,"",VLOOKUP(B16,EDW_FEEDER!$T$2:$AH$86,7,FALSE))</f>
        <v>217.6</v>
      </c>
      <c r="I16" s="259">
        <f>IF(ISNA(VLOOKUP(B16,EDW_FEEDER!$T$2:$AH$86,8,FALSE))=TRUE,"",VLOOKUP(B16,EDW_FEEDER!$T$2:$AH$86,8,FALSE))</f>
        <v>245.3</v>
      </c>
      <c r="J16" s="260">
        <f>IF(ISNA(VLOOKUP(B16,Accuracy!$AD$7:$AQ$69,3,FALSE))=TRUE,"",VLOOKUP(B16,Accuracy!$AD$7:$AQ$69,3,FALSE))</f>
        <v>0.96140000000000003</v>
      </c>
      <c r="K16" s="260">
        <f>IF(ISNA(VLOOKUP(B16,Accuracy!$AD$7:$AQ$69,6,FALSE))=TRUE,"",VLOOKUP(B16,Accuracy!$AD$7:$AQ$69,6,FALSE))</f>
        <v>0.9</v>
      </c>
      <c r="L16" s="260">
        <f>IF(ISNA(VLOOKUP(B16,Accuracy!$AD$7:$AQ$69,9,FALSE))=TRUE,"",VLOOKUP(B16,Accuracy!$AD$7:$AQ$69,9,FALSE))</f>
        <v>0.94379999999999997</v>
      </c>
      <c r="M16" s="260">
        <f>IF(ISNA(VLOOKUP(B16,Accuracy!$AD$7:$AQ$69,12,FALSE))=TRUE,"",VLOOKUP(B16,Accuracy!$AD$7:$AQ$69,12,FALSE))</f>
        <v>0.89680000000000004</v>
      </c>
    </row>
    <row r="17" spans="2:13" x14ac:dyDescent="0.2">
      <c r="B17" s="112" t="str">
        <f>IF(ISBLANK(VLOOKUP($B$14,EDW_FEEDER!$A$117:$AK$121,4,FALSE))=TRUE,"",VLOOKUP($B$14,EDW_FEEDER!$A$117:$AK$121,4,FALSE))</f>
        <v>Buffalo</v>
      </c>
      <c r="C17" s="258">
        <f>IF(ISNA(VLOOKUP($B17,EDW_FEEDER!$T$2:$AH$86,2,FALSE))=TRUE,"",VLOOKUP($B17,EDW_FEEDER!$T$2:$AH$86,2,FALSE))</f>
        <v>5946</v>
      </c>
      <c r="D17" s="259">
        <f>IF(ISNA(VLOOKUP(B17,EDW_FEEDER!$T$2:$AH$86,3,FALSE))=TRUE,"",VLOOKUP(B17,EDW_FEEDER!$T$2:$AH$86,3,FALSE))</f>
        <v>149</v>
      </c>
      <c r="E17" s="260">
        <f>IF(ISNA(VLOOKUP(B17,EDW_FEEDER!$T$2:$AH$86,4,FALSE))=TRUE,"",VLOOKUP(B17,EDW_FEEDER!$T$2:$AH$870,4,FALSE))</f>
        <v>0.51463000000000003</v>
      </c>
      <c r="F17" s="258">
        <f>IF(ISNA(VLOOKUP(B17,EDW_FEEDER!$T$2:$AH$86,5,FALSE))=TRUE,"",VLOOKUP(B17,EDW_FEEDER!$T$2:$AH$86,5,FALSE))</f>
        <v>731</v>
      </c>
      <c r="G17" s="258">
        <f>IF(ISNA(VLOOKUP(B17,EDW_FEEDER!$T$2:$AH$86,6,FALSE))=TRUE,"",VLOOKUP(B17,EDW_FEEDER!$T$2:$AH$86,6,FALSE))</f>
        <v>4524</v>
      </c>
      <c r="H17" s="259">
        <f>IF(ISNA(VLOOKUP(B17,EDW_FEEDER!$T$2:$AH$86,7,FALSE))=TRUE,"",VLOOKUP(B17,EDW_FEEDER!$T$2:$AH$86,7,FALSE))</f>
        <v>231.1</v>
      </c>
      <c r="I17" s="259">
        <f>IF(ISNA(VLOOKUP(B17,EDW_FEEDER!$T$2:$AH$86,8,FALSE))=TRUE,"",VLOOKUP(B17,EDW_FEEDER!$T$2:$AH$86,8,FALSE))</f>
        <v>237.4</v>
      </c>
      <c r="J17" s="260">
        <f>IF(ISNA(VLOOKUP(B17,Accuracy!$AD$7:$AQ$69,3,FALSE))=TRUE,"",VLOOKUP(B17,Accuracy!$AD$7:$AQ$69,3,FALSE))</f>
        <v>0.95309999999999995</v>
      </c>
      <c r="K17" s="260">
        <f>IF(ISNA(VLOOKUP(B17,Accuracy!$AD$7:$AQ$69,6,FALSE))=TRUE,"",VLOOKUP(B17,Accuracy!$AD$7:$AQ$69,6,FALSE))</f>
        <v>0.89710000000000001</v>
      </c>
      <c r="L17" s="260">
        <f>IF(ISNA(VLOOKUP(B17,Accuracy!$AD$7:$AQ$69,9,FALSE))=TRUE,"",VLOOKUP(B17,Accuracy!$AD$7:$AQ$69,9,FALSE))</f>
        <v>0.89680000000000004</v>
      </c>
      <c r="M17" s="260">
        <f>IF(ISNA(VLOOKUP(B17,Accuracy!$AD$7:$AQ$69,12,FALSE))=TRUE,"",VLOOKUP(B17,Accuracy!$AD$7:$AQ$69,12,FALSE))</f>
        <v>0.88429999999999997</v>
      </c>
    </row>
    <row r="18" spans="2:13" x14ac:dyDescent="0.2">
      <c r="B18" s="112" t="str">
        <f>IF(ISBLANK(VLOOKUP($B$14,EDW_FEEDER!$A$117:$AK$121,5,FALSE))=TRUE,"",VLOOKUP($B$14,EDW_FEEDER!$A$117:$AK$121,5,FALSE))</f>
        <v>Cleveland</v>
      </c>
      <c r="C18" s="258">
        <f>IF(ISNA(VLOOKUP($B18,EDW_FEEDER!$T$2:$AH$86,2,FALSE))=TRUE,"",VLOOKUP($B18,EDW_FEEDER!$T$2:$AH$86,2,FALSE))</f>
        <v>9293</v>
      </c>
      <c r="D18" s="259">
        <f>IF(ISNA(VLOOKUP(B18,EDW_FEEDER!$T$2:$AH$86,3,FALSE))=TRUE,"",VLOOKUP(B18,EDW_FEEDER!$T$2:$AH$86,3,FALSE))</f>
        <v>130</v>
      </c>
      <c r="E18" s="260">
        <f>IF(ISNA(VLOOKUP(B18,EDW_FEEDER!$T$2:$AH$86,4,FALSE))=TRUE,"",VLOOKUP(B18,EDW_FEEDER!$T$2:$AH$870,4,FALSE))</f>
        <v>0.38039000000000001</v>
      </c>
      <c r="F18" s="258">
        <f>IF(ISNA(VLOOKUP(B18,EDW_FEEDER!$T$2:$AH$86,5,FALSE))=TRUE,"",VLOOKUP(B18,EDW_FEEDER!$T$2:$AH$86,5,FALSE))</f>
        <v>1862</v>
      </c>
      <c r="G18" s="258">
        <f>IF(ISNA(VLOOKUP(B18,EDW_FEEDER!$T$2:$AH$86,6,FALSE))=TRUE,"",VLOOKUP(B18,EDW_FEEDER!$T$2:$AH$86,6,FALSE))</f>
        <v>12088</v>
      </c>
      <c r="H18" s="259">
        <f>IF(ISNA(VLOOKUP(B18,EDW_FEEDER!$T$2:$AH$86,7,FALSE))=TRUE,"",VLOOKUP(B18,EDW_FEEDER!$T$2:$AH$86,7,FALSE))</f>
        <v>174.5</v>
      </c>
      <c r="I18" s="259">
        <f>IF(ISNA(VLOOKUP(B18,EDW_FEEDER!$T$2:$AH$86,8,FALSE))=TRUE,"",VLOOKUP(B18,EDW_FEEDER!$T$2:$AH$86,8,FALSE))</f>
        <v>176.1</v>
      </c>
      <c r="J18" s="260">
        <f>IF(ISNA(VLOOKUP(B18,Accuracy!$AD$7:$AQ$69,3,FALSE))=TRUE,"",VLOOKUP(B18,Accuracy!$AD$7:$AQ$69,3,FALSE))</f>
        <v>0.96909999999999996</v>
      </c>
      <c r="K18" s="260">
        <f>IF(ISNA(VLOOKUP(B18,Accuracy!$AD$7:$AQ$69,6,FALSE))=TRUE,"",VLOOKUP(B18,Accuracy!$AD$7:$AQ$69,6,FALSE))</f>
        <v>0.9355</v>
      </c>
      <c r="L18" s="260">
        <f>IF(ISNA(VLOOKUP(B18,Accuracy!$AD$7:$AQ$69,9,FALSE))=TRUE,"",VLOOKUP(B18,Accuracy!$AD$7:$AQ$69,9,FALSE))</f>
        <v>0.91369999999999996</v>
      </c>
      <c r="M18" s="260">
        <f>IF(ISNA(VLOOKUP(B18,Accuracy!$AD$7:$AQ$69,12,FALSE))=TRUE,"",VLOOKUP(B18,Accuracy!$AD$7:$AQ$69,12,FALSE))</f>
        <v>0.93600000000000005</v>
      </c>
    </row>
    <row r="19" spans="2:13" x14ac:dyDescent="0.2">
      <c r="B19" s="112" t="str">
        <f>IF(ISBLANK(VLOOKUP($B$14,EDW_FEEDER!$A$117:$AK$121,6,FALSE))=TRUE,"",VLOOKUP($B$14,EDW_FEEDER!$A$117:$AK$121,6,FALSE))</f>
        <v>Detroit</v>
      </c>
      <c r="C19" s="258">
        <f>IF(ISNA(VLOOKUP($B19,EDW_FEEDER!$T$2:$AH$86,2,FALSE))=TRUE,"",VLOOKUP($B19,EDW_FEEDER!$T$2:$AH$86,2,FALSE))</f>
        <v>9124</v>
      </c>
      <c r="D19" s="259">
        <f>IF(ISNA(VLOOKUP(B19,EDW_FEEDER!$T$2:$AH$86,3,FALSE))=TRUE,"",VLOOKUP(B19,EDW_FEEDER!$T$2:$AH$86,3,FALSE))</f>
        <v>127.9</v>
      </c>
      <c r="E19" s="260">
        <f>IF(ISNA(VLOOKUP(B19,EDW_FEEDER!$T$2:$AH$86,4,FALSE))=TRUE,"",VLOOKUP(B19,EDW_FEEDER!$T$2:$AH$870,4,FALSE))</f>
        <v>0.41615999999999997</v>
      </c>
      <c r="F19" s="258">
        <f>IF(ISNA(VLOOKUP(B19,EDW_FEEDER!$T$2:$AH$86,5,FALSE))=TRUE,"",VLOOKUP(B19,EDW_FEEDER!$T$2:$AH$86,5,FALSE))</f>
        <v>1571</v>
      </c>
      <c r="G19" s="258">
        <f>IF(ISNA(VLOOKUP(B19,EDW_FEEDER!$T$2:$AH$86,6,FALSE))=TRUE,"",VLOOKUP(B19,EDW_FEEDER!$T$2:$AH$86,6,FALSE))</f>
        <v>9737</v>
      </c>
      <c r="H19" s="259">
        <f>IF(ISNA(VLOOKUP(B19,EDW_FEEDER!$T$2:$AH$86,7,FALSE))=TRUE,"",VLOOKUP(B19,EDW_FEEDER!$T$2:$AH$86,7,FALSE))</f>
        <v>184.6</v>
      </c>
      <c r="I19" s="259">
        <f>IF(ISNA(VLOOKUP(B19,EDW_FEEDER!$T$2:$AH$86,8,FALSE))=TRUE,"",VLOOKUP(B19,EDW_FEEDER!$T$2:$AH$86,8,FALSE))</f>
        <v>187</v>
      </c>
      <c r="J19" s="260">
        <f>IF(ISNA(VLOOKUP(B19,Accuracy!$AD$7:$AQ$69,3,FALSE))=TRUE,"",VLOOKUP(B19,Accuracy!$AD$7:$AQ$69,3,FALSE))</f>
        <v>0.94899999999999995</v>
      </c>
      <c r="K19" s="260">
        <f>IF(ISNA(VLOOKUP(B19,Accuracy!$AD$7:$AQ$69,6,FALSE))=TRUE,"",VLOOKUP(B19,Accuracy!$AD$7:$AQ$69,6,FALSE))</f>
        <v>0.92310000000000003</v>
      </c>
      <c r="L19" s="260">
        <f>IF(ISNA(VLOOKUP(B19,Accuracy!$AD$7:$AQ$69,9,FALSE))=TRUE,"",VLOOKUP(B19,Accuracy!$AD$7:$AQ$69,9,FALSE))</f>
        <v>0.89059999999999995</v>
      </c>
      <c r="M19" s="260">
        <f>IF(ISNA(VLOOKUP(B19,Accuracy!$AD$7:$AQ$69,12,FALSE))=TRUE,"",VLOOKUP(B19,Accuracy!$AD$7:$AQ$69,12,FALSE))</f>
        <v>0.89680000000000004</v>
      </c>
    </row>
    <row r="20" spans="2:13" x14ac:dyDescent="0.2">
      <c r="B20" s="112" t="str">
        <f>IF(ISBLANK(VLOOKUP($B$14,EDW_FEEDER!$A$117:$AK$121,7,FALSE))=TRUE,"",VLOOKUP($B$14,EDW_FEEDER!$A$117:$AK$121,7,FALSE))</f>
        <v>Hartford</v>
      </c>
      <c r="C20" s="258">
        <f>IF(ISNA(VLOOKUP($B20,EDW_FEEDER!$T$2:$AH$86,2,FALSE))=TRUE,"",VLOOKUP($B20,EDW_FEEDER!$T$2:$AH$86,2,FALSE))</f>
        <v>2190</v>
      </c>
      <c r="D20" s="259">
        <f>IF(ISNA(VLOOKUP(B20,EDW_FEEDER!$T$2:$AH$86,3,FALSE))=TRUE,"",VLOOKUP(B20,EDW_FEEDER!$T$2:$AH$86,3,FALSE))</f>
        <v>111.5</v>
      </c>
      <c r="E20" s="260">
        <f>IF(ISNA(VLOOKUP(B20,EDW_FEEDER!$T$2:$AH$86,4,FALSE))=TRUE,"",VLOOKUP(B20,EDW_FEEDER!$T$2:$AH$870,4,FALSE))</f>
        <v>0.34521000000000002</v>
      </c>
      <c r="F20" s="258">
        <f>IF(ISNA(VLOOKUP(B20,EDW_FEEDER!$T$2:$AH$86,5,FALSE))=TRUE,"",VLOOKUP(B20,EDW_FEEDER!$T$2:$AH$86,5,FALSE))</f>
        <v>298</v>
      </c>
      <c r="G20" s="258">
        <f>IF(ISNA(VLOOKUP(B20,EDW_FEEDER!$T$2:$AH$86,6,FALSE))=TRUE,"",VLOOKUP(B20,EDW_FEEDER!$T$2:$AH$86,6,FALSE))</f>
        <v>2525</v>
      </c>
      <c r="H20" s="259">
        <f>IF(ISNA(VLOOKUP(B20,EDW_FEEDER!$T$2:$AH$86,7,FALSE))=TRUE,"",VLOOKUP(B20,EDW_FEEDER!$T$2:$AH$86,7,FALSE))</f>
        <v>162.5</v>
      </c>
      <c r="I20" s="259">
        <f>IF(ISNA(VLOOKUP(B20,EDW_FEEDER!$T$2:$AH$86,8,FALSE))=TRUE,"",VLOOKUP(B20,EDW_FEEDER!$T$2:$AH$86,8,FALSE))</f>
        <v>159.4</v>
      </c>
      <c r="J20" s="260">
        <f>IF(ISNA(VLOOKUP(B20,Accuracy!$AD$7:$AQ$69,3,FALSE))=TRUE,"",VLOOKUP(B20,Accuracy!$AD$7:$AQ$69,3,FALSE))</f>
        <v>0.9657</v>
      </c>
      <c r="K20" s="260">
        <f>IF(ISNA(VLOOKUP(B20,Accuracy!$AD$7:$AQ$69,6,FALSE))=TRUE,"",VLOOKUP(B20,Accuracy!$AD$7:$AQ$69,6,FALSE))</f>
        <v>0.9375</v>
      </c>
      <c r="L20" s="260">
        <f>IF(ISNA(VLOOKUP(B20,Accuracy!$AD$7:$AQ$69,9,FALSE))=TRUE,"",VLOOKUP(B20,Accuracy!$AD$7:$AQ$69,9,FALSE))</f>
        <v>0.94799999999999995</v>
      </c>
      <c r="M20" s="260">
        <f>IF(ISNA(VLOOKUP(B20,Accuracy!$AD$7:$AQ$69,12,FALSE))=TRUE,"",VLOOKUP(B20,Accuracy!$AD$7:$AQ$69,12,FALSE))</f>
        <v>0.95920000000000005</v>
      </c>
    </row>
    <row r="21" spans="2:13" x14ac:dyDescent="0.2">
      <c r="B21" s="112" t="str">
        <f>IF(ISBLANK(VLOOKUP($B$14,EDW_FEEDER!$A$117:$AK$121,8,FALSE))=TRUE,"",VLOOKUP($B$14,EDW_FEEDER!$A$117:$AK$121,8,FALSE))</f>
        <v>Indianapolis</v>
      </c>
      <c r="C21" s="258">
        <f>IF(ISNA(VLOOKUP($B21,EDW_FEEDER!$T$2:$AH$86,2,FALSE))=TRUE,"",VLOOKUP($B21,EDW_FEEDER!$T$2:$AH$86,2,FALSE))</f>
        <v>9155</v>
      </c>
      <c r="D21" s="259">
        <f>IF(ISNA(VLOOKUP(B21,EDW_FEEDER!$T$2:$AH$86,3,FALSE))=TRUE,"",VLOOKUP(B21,EDW_FEEDER!$T$2:$AH$86,3,FALSE))</f>
        <v>163.4</v>
      </c>
      <c r="E21" s="260">
        <f>IF(ISNA(VLOOKUP(B21,EDW_FEEDER!$T$2:$AH$86,4,FALSE))=TRUE,"",VLOOKUP(B21,EDW_FEEDER!$T$2:$AH$870,4,FALSE))</f>
        <v>0.52758000000000005</v>
      </c>
      <c r="F21" s="258">
        <f>IF(ISNA(VLOOKUP(B21,EDW_FEEDER!$T$2:$AH$86,5,FALSE))=TRUE,"",VLOOKUP(B21,EDW_FEEDER!$T$2:$AH$86,5,FALSE))</f>
        <v>1122</v>
      </c>
      <c r="G21" s="258">
        <f>IF(ISNA(VLOOKUP(B21,EDW_FEEDER!$T$2:$AH$86,6,FALSE))=TRUE,"",VLOOKUP(B21,EDW_FEEDER!$T$2:$AH$86,6,FALSE))</f>
        <v>6706</v>
      </c>
      <c r="H21" s="259">
        <f>IF(ISNA(VLOOKUP(B21,EDW_FEEDER!$T$2:$AH$86,7,FALSE))=TRUE,"",VLOOKUP(B21,EDW_FEEDER!$T$2:$AH$86,7,FALSE))</f>
        <v>250.8</v>
      </c>
      <c r="I21" s="259">
        <f>IF(ISNA(VLOOKUP(B21,EDW_FEEDER!$T$2:$AH$86,8,FALSE))=TRUE,"",VLOOKUP(B21,EDW_FEEDER!$T$2:$AH$86,8,FALSE))</f>
        <v>239.8</v>
      </c>
      <c r="J21" s="260">
        <f>IF(ISNA(VLOOKUP(B21,Accuracy!$AD$7:$AQ$69,3,FALSE))=TRUE,"",VLOOKUP(B21,Accuracy!$AD$7:$AQ$69,3,FALSE))</f>
        <v>0.95220000000000005</v>
      </c>
      <c r="K21" s="260">
        <f>IF(ISNA(VLOOKUP(B21,Accuracy!$AD$7:$AQ$69,6,FALSE))=TRUE,"",VLOOKUP(B21,Accuracy!$AD$7:$AQ$69,6,FALSE))</f>
        <v>0.92059999999999997</v>
      </c>
      <c r="L21" s="260">
        <f>IF(ISNA(VLOOKUP(B21,Accuracy!$AD$7:$AQ$69,9,FALSE))=TRUE,"",VLOOKUP(B21,Accuracy!$AD$7:$AQ$69,9,FALSE))</f>
        <v>0.92520000000000002</v>
      </c>
      <c r="M21" s="260">
        <f>IF(ISNA(VLOOKUP(B21,Accuracy!$AD$7:$AQ$69,12,FALSE))=TRUE,"",VLOOKUP(B21,Accuracy!$AD$7:$AQ$69,12,FALSE))</f>
        <v>0.91249999999999998</v>
      </c>
    </row>
    <row r="22" spans="2:13" x14ac:dyDescent="0.2">
      <c r="B22" s="112" t="str">
        <f>IF(ISBLANK(VLOOKUP($B$14,EDW_FEEDER!$A$117:$AK$121,9,FALSE))=TRUE,"",VLOOKUP($B$14,EDW_FEEDER!$A$117:$AK$121,9,FALSE))</f>
        <v>Manchester</v>
      </c>
      <c r="C22" s="258">
        <f>IF(ISNA(VLOOKUP($B22,EDW_FEEDER!$T$2:$AH$86,2,FALSE))=TRUE,"",VLOOKUP($B22,EDW_FEEDER!$T$2:$AH$86,2,FALSE))</f>
        <v>1509</v>
      </c>
      <c r="D22" s="259">
        <f>IF(ISNA(VLOOKUP(B22,EDW_FEEDER!$T$2:$AH$86,3,FALSE))=TRUE,"",VLOOKUP(B22,EDW_FEEDER!$T$2:$AH$86,3,FALSE))</f>
        <v>134.80000000000001</v>
      </c>
      <c r="E22" s="260">
        <f>IF(ISNA(VLOOKUP(B22,EDW_FEEDER!$T$2:$AH$86,4,FALSE))=TRUE,"",VLOOKUP(B22,EDW_FEEDER!$T$2:$AH$870,4,FALSE))</f>
        <v>0.45461000000000001</v>
      </c>
      <c r="F22" s="258">
        <f>IF(ISNA(VLOOKUP(B22,EDW_FEEDER!$T$2:$AH$86,5,FALSE))=TRUE,"",VLOOKUP(B22,EDW_FEEDER!$T$2:$AH$86,5,FALSE))</f>
        <v>207</v>
      </c>
      <c r="G22" s="258">
        <f>IF(ISNA(VLOOKUP(B22,EDW_FEEDER!$T$2:$AH$86,6,FALSE))=TRUE,"",VLOOKUP(B22,EDW_FEEDER!$T$2:$AH$86,6,FALSE))</f>
        <v>1433</v>
      </c>
      <c r="H22" s="259">
        <f>IF(ISNA(VLOOKUP(B22,EDW_FEEDER!$T$2:$AH$86,7,FALSE))=TRUE,"",VLOOKUP(B22,EDW_FEEDER!$T$2:$AH$86,7,FALSE))</f>
        <v>195.1</v>
      </c>
      <c r="I22" s="259">
        <f>IF(ISNA(VLOOKUP(B22,EDW_FEEDER!$T$2:$AH$86,8,FALSE))=TRUE,"",VLOOKUP(B22,EDW_FEEDER!$T$2:$AH$86,8,FALSE))</f>
        <v>193.1</v>
      </c>
      <c r="J22" s="260">
        <f>IF(ISNA(VLOOKUP(B22,Accuracy!$AD$7:$AQ$69,3,FALSE))=TRUE,"",VLOOKUP(B22,Accuracy!$AD$7:$AQ$69,3,FALSE))</f>
        <v>0.94020000000000004</v>
      </c>
      <c r="K22" s="260">
        <f>IF(ISNA(VLOOKUP(B22,Accuracy!$AD$7:$AQ$69,6,FALSE))=TRUE,"",VLOOKUP(B22,Accuracy!$AD$7:$AQ$69,6,FALSE))</f>
        <v>0.9375</v>
      </c>
      <c r="L22" s="260">
        <f>IF(ISNA(VLOOKUP(B22,Accuracy!$AD$7:$AQ$69,9,FALSE))=TRUE,"",VLOOKUP(B22,Accuracy!$AD$7:$AQ$69,9,FALSE))</f>
        <v>0.90439999999999998</v>
      </c>
      <c r="M22" s="260">
        <f>IF(ISNA(VLOOKUP(B22,Accuracy!$AD$7:$AQ$69,12,FALSE))=TRUE,"",VLOOKUP(B22,Accuracy!$AD$7:$AQ$69,12,FALSE))</f>
        <v>0.91569999999999996</v>
      </c>
    </row>
    <row r="23" spans="2:13" x14ac:dyDescent="0.2">
      <c r="B23" s="112" t="str">
        <f>IF(ISBLANK(VLOOKUP($B$14,EDW_FEEDER!$A$117:$AK$121,10,FALSE))=TRUE,"",VLOOKUP($B$14,EDW_FEEDER!$A$117:$AK$121,10,FALSE))</f>
        <v>New York</v>
      </c>
      <c r="C23" s="258">
        <f>IF(ISNA(VLOOKUP($B23,EDW_FEEDER!$T$2:$AH$86,2,FALSE))=TRUE,"",VLOOKUP($B23,EDW_FEEDER!$T$2:$AH$86,2,FALSE))</f>
        <v>7562</v>
      </c>
      <c r="D23" s="259">
        <f>IF(ISNA(VLOOKUP(B23,EDW_FEEDER!$T$2:$AH$86,3,FALSE))=TRUE,"",VLOOKUP(B23,EDW_FEEDER!$T$2:$AH$86,3,FALSE))</f>
        <v>155</v>
      </c>
      <c r="E23" s="260">
        <f>IF(ISNA(VLOOKUP(B23,EDW_FEEDER!$T$2:$AH$86,4,FALSE))=TRUE,"",VLOOKUP(B23,EDW_FEEDER!$T$2:$AH$870,4,FALSE))</f>
        <v>0.54774</v>
      </c>
      <c r="F23" s="258">
        <f>IF(ISNA(VLOOKUP(B23,EDW_FEEDER!$T$2:$AH$86,5,FALSE))=TRUE,"",VLOOKUP(B23,EDW_FEEDER!$T$2:$AH$86,5,FALSE))</f>
        <v>1008</v>
      </c>
      <c r="G23" s="258">
        <f>IF(ISNA(VLOOKUP(B23,EDW_FEEDER!$T$2:$AH$86,6,FALSE))=TRUE,"",VLOOKUP(B23,EDW_FEEDER!$T$2:$AH$86,6,FALSE))</f>
        <v>5363</v>
      </c>
      <c r="H23" s="259">
        <f>IF(ISNA(VLOOKUP(B23,EDW_FEEDER!$T$2:$AH$86,7,FALSE))=TRUE,"",VLOOKUP(B23,EDW_FEEDER!$T$2:$AH$86,7,FALSE))</f>
        <v>215</v>
      </c>
      <c r="I23" s="259">
        <f>IF(ISNA(VLOOKUP(B23,EDW_FEEDER!$T$2:$AH$86,8,FALSE))=TRUE,"",VLOOKUP(B23,EDW_FEEDER!$T$2:$AH$86,8,FALSE))</f>
        <v>234.5</v>
      </c>
      <c r="J23" s="260">
        <f>IF(ISNA(VLOOKUP(B23,Accuracy!$AD$7:$AQ$69,3,FALSE))=TRUE,"",VLOOKUP(B23,Accuracy!$AD$7:$AQ$69,3,FALSE))</f>
        <v>0.93659999999999999</v>
      </c>
      <c r="K23" s="260">
        <f>IF(ISNA(VLOOKUP(B23,Accuracy!$AD$7:$AQ$69,6,FALSE))=TRUE,"",VLOOKUP(B23,Accuracy!$AD$7:$AQ$69,6,FALSE))</f>
        <v>0.90159999999999996</v>
      </c>
      <c r="L23" s="260">
        <f>IF(ISNA(VLOOKUP(B23,Accuracy!$AD$7:$AQ$69,9,FALSE))=TRUE,"",VLOOKUP(B23,Accuracy!$AD$7:$AQ$69,9,FALSE))</f>
        <v>0.92310000000000003</v>
      </c>
      <c r="M23" s="260">
        <f>IF(ISNA(VLOOKUP(B23,Accuracy!$AD$7:$AQ$69,12,FALSE))=TRUE,"",VLOOKUP(B23,Accuracy!$AD$7:$AQ$69,12,FALSE))</f>
        <v>0.89319999999999999</v>
      </c>
    </row>
    <row r="24" spans="2:13" x14ac:dyDescent="0.2">
      <c r="B24" s="112" t="str">
        <f>IF(ISBLANK(VLOOKUP($B$14,EDW_FEEDER!$A$117:$AK$121,11,FALSE))=TRUE,"",VLOOKUP($B$14,EDW_FEEDER!$A$117:$AK$121,11,FALSE))</f>
        <v>Newark</v>
      </c>
      <c r="C24" s="258">
        <f>IF(ISNA(VLOOKUP($B24,EDW_FEEDER!$T$2:$AH$86,2,FALSE))=TRUE,"",VLOOKUP($B24,EDW_FEEDER!$T$2:$AH$86,2,FALSE))</f>
        <v>3052</v>
      </c>
      <c r="D24" s="259">
        <f>IF(ISNA(VLOOKUP(B24,EDW_FEEDER!$T$2:$AH$86,3,FALSE))=TRUE,"",VLOOKUP(B24,EDW_FEEDER!$T$2:$AH$86,3,FALSE))</f>
        <v>121.9</v>
      </c>
      <c r="E24" s="260">
        <f>IF(ISNA(VLOOKUP(B24,EDW_FEEDER!$T$2:$AH$86,4,FALSE))=TRUE,"",VLOOKUP(B24,EDW_FEEDER!$T$2:$AH$870,4,FALSE))</f>
        <v>0.40300999999999998</v>
      </c>
      <c r="F24" s="258">
        <f>IF(ISNA(VLOOKUP(B24,EDW_FEEDER!$T$2:$AH$86,5,FALSE))=TRUE,"",VLOOKUP(B24,EDW_FEEDER!$T$2:$AH$86,5,FALSE))</f>
        <v>498</v>
      </c>
      <c r="G24" s="258">
        <f>IF(ISNA(VLOOKUP(B24,EDW_FEEDER!$T$2:$AH$86,6,FALSE))=TRUE,"",VLOOKUP(B24,EDW_FEEDER!$T$2:$AH$86,6,FALSE))</f>
        <v>2648</v>
      </c>
      <c r="H24" s="259">
        <f>IF(ISNA(VLOOKUP(B24,EDW_FEEDER!$T$2:$AH$86,7,FALSE))=TRUE,"",VLOOKUP(B24,EDW_FEEDER!$T$2:$AH$86,7,FALSE))</f>
        <v>172.1</v>
      </c>
      <c r="I24" s="259">
        <f>IF(ISNA(VLOOKUP(B24,EDW_FEEDER!$T$2:$AH$86,8,FALSE))=TRUE,"",VLOOKUP(B24,EDW_FEEDER!$T$2:$AH$86,8,FALSE))</f>
        <v>172.5</v>
      </c>
      <c r="J24" s="260">
        <f>IF(ISNA(VLOOKUP(B24,Accuracy!$AD$7:$AQ$69,3,FALSE))=TRUE,"",VLOOKUP(B24,Accuracy!$AD$7:$AQ$69,3,FALSE))</f>
        <v>0.93430000000000002</v>
      </c>
      <c r="K24" s="260">
        <f>IF(ISNA(VLOOKUP(B24,Accuracy!$AD$7:$AQ$69,6,FALSE))=TRUE,"",VLOOKUP(B24,Accuracy!$AD$7:$AQ$69,6,FALSE))</f>
        <v>0.91379999999999995</v>
      </c>
      <c r="L24" s="260">
        <f>IF(ISNA(VLOOKUP(B24,Accuracy!$AD$7:$AQ$69,9,FALSE))=TRUE,"",VLOOKUP(B24,Accuracy!$AD$7:$AQ$69,9,FALSE))</f>
        <v>0.83740000000000003</v>
      </c>
      <c r="M24" s="260">
        <f>IF(ISNA(VLOOKUP(B24,Accuracy!$AD$7:$AQ$69,12,FALSE))=TRUE,"",VLOOKUP(B24,Accuracy!$AD$7:$AQ$69,12,FALSE))</f>
        <v>0.83740000000000003</v>
      </c>
    </row>
    <row r="25" spans="2:13" x14ac:dyDescent="0.2">
      <c r="B25" s="113" t="str">
        <f>IF(ISBLANK(VLOOKUP($B$14,EDW_FEEDER!$A$117:$AK$121,12,FALSE))=TRUE,"",VLOOKUP($B$14,EDW_FEEDER!$A$117:$AK$121,12,FALSE))</f>
        <v>Philadelphia (Non-PMC)</v>
      </c>
      <c r="C25" s="258">
        <f>IF(ISNA(VLOOKUP($B25,EDW_FEEDER!$T$2:$AH$86,2,FALSE))=TRUE,"",VLOOKUP($B25,EDW_FEEDER!$T$2:$AH$86,2,FALSE))</f>
        <v>12022</v>
      </c>
      <c r="D25" s="259">
        <f>IF(ISNA(VLOOKUP(B25,EDW_FEEDER!$T$2:$AH$86,3,FALSE))=TRUE,"",VLOOKUP(B25,EDW_FEEDER!$T$2:$AH$86,3,FALSE))</f>
        <v>167.2</v>
      </c>
      <c r="E25" s="260">
        <f>IF(ISNA(VLOOKUP(B25,EDW_FEEDER!$T$2:$AH$86,4,FALSE))=TRUE,"",VLOOKUP(B25,EDW_FEEDER!$T$2:$AH$870,4,FALSE))</f>
        <v>0.54915999999999998</v>
      </c>
      <c r="F25" s="258">
        <f>IF(ISNA(VLOOKUP(B25,EDW_FEEDER!$T$2:$AH$86,5,FALSE))=TRUE,"",VLOOKUP(B25,EDW_FEEDER!$T$2:$AH$86,5,FALSE))</f>
        <v>1890</v>
      </c>
      <c r="G25" s="258">
        <f>IF(ISNA(VLOOKUP(B25,EDW_FEEDER!$T$2:$AH$86,6,FALSE))=TRUE,"",VLOOKUP(B25,EDW_FEEDER!$T$2:$AH$86,6,FALSE))</f>
        <v>11615</v>
      </c>
      <c r="H25" s="259">
        <f>IF(ISNA(VLOOKUP(B25,EDW_FEEDER!$T$2:$AH$86,7,FALSE))=TRUE,"",VLOOKUP(B25,EDW_FEEDER!$T$2:$AH$86,7,FALSE))</f>
        <v>253.6</v>
      </c>
      <c r="I25" s="259">
        <f>IF(ISNA(VLOOKUP(B25,EDW_FEEDER!$T$2:$AH$86,8,FALSE))=TRUE,"",VLOOKUP(B25,EDW_FEEDER!$T$2:$AH$86,8,FALSE))</f>
        <v>256.5</v>
      </c>
      <c r="J25" s="260">
        <f>IF(ISNA(VLOOKUP(B25,Accuracy!$AD$7:$AQ$69,3,FALSE))=TRUE,"",VLOOKUP(B25,Accuracy!$AD$7:$AQ$69,3,FALSE))</f>
        <v>0.97419999999999995</v>
      </c>
      <c r="K25" s="260">
        <f>IF(ISNA(VLOOKUP(B25,Accuracy!$AD$7:$AQ$69,6,FALSE))=TRUE,"",VLOOKUP(B25,Accuracy!$AD$7:$AQ$69,6,FALSE))</f>
        <v>0.94640000000000002</v>
      </c>
      <c r="L25" s="260">
        <f>IF(ISNA(VLOOKUP(B25,Accuracy!$AD$7:$AQ$69,9,FALSE))=TRUE,"",VLOOKUP(B25,Accuracy!$AD$7:$AQ$69,9,FALSE))</f>
        <v>0.88619999999999999</v>
      </c>
      <c r="M25" s="260">
        <f>IF(ISNA(VLOOKUP(B25,Accuracy!$AD$7:$AQ$69,12,FALSE))=TRUE,"",VLOOKUP(B25,Accuracy!$AD$7:$AQ$69,12,FALSE))</f>
        <v>0.91180000000000005</v>
      </c>
    </row>
    <row r="26" spans="2:13" x14ac:dyDescent="0.2">
      <c r="B26" s="112" t="str">
        <f>IF(ISBLANK(VLOOKUP($B$14,EDW_FEEDER!$A$117:$AK$121,13,FALSE))=TRUE,"",VLOOKUP($B$14,EDW_FEEDER!$A$117:$AK$121,13,FALSE))</f>
        <v>Pittsburgh</v>
      </c>
      <c r="C26" s="258">
        <f>IF(ISNA(VLOOKUP($B26,EDW_FEEDER!$T$2:$AH$86,2,FALSE))=TRUE,"",VLOOKUP($B26,EDW_FEEDER!$T$2:$AH$86,2,FALSE))</f>
        <v>5792</v>
      </c>
      <c r="D26" s="259">
        <f>IF(ISNA(VLOOKUP(B26,EDW_FEEDER!$T$2:$AH$86,3,FALSE))=TRUE,"",VLOOKUP(B26,EDW_FEEDER!$T$2:$AH$86,3,FALSE))</f>
        <v>166.9</v>
      </c>
      <c r="E26" s="260">
        <f>IF(ISNA(VLOOKUP(B26,EDW_FEEDER!$T$2:$AH$86,4,FALSE))=TRUE,"",VLOOKUP(B26,EDW_FEEDER!$T$2:$AH$870,4,FALSE))</f>
        <v>0.53073000000000004</v>
      </c>
      <c r="F26" s="258">
        <f>IF(ISNA(VLOOKUP(B26,EDW_FEEDER!$T$2:$AH$86,5,FALSE))=TRUE,"",VLOOKUP(B26,EDW_FEEDER!$T$2:$AH$86,5,FALSE))</f>
        <v>822</v>
      </c>
      <c r="G26" s="258">
        <f>IF(ISNA(VLOOKUP(B26,EDW_FEEDER!$T$2:$AH$86,6,FALSE))=TRUE,"",VLOOKUP(B26,EDW_FEEDER!$T$2:$AH$86,6,FALSE))</f>
        <v>4829</v>
      </c>
      <c r="H26" s="259">
        <f>IF(ISNA(VLOOKUP(B26,EDW_FEEDER!$T$2:$AH$86,7,FALSE))=TRUE,"",VLOOKUP(B26,EDW_FEEDER!$T$2:$AH$86,7,FALSE))</f>
        <v>240</v>
      </c>
      <c r="I26" s="259">
        <f>IF(ISNA(VLOOKUP(B26,EDW_FEEDER!$T$2:$AH$86,8,FALSE))=TRUE,"",VLOOKUP(B26,EDW_FEEDER!$T$2:$AH$86,8,FALSE))</f>
        <v>233.6</v>
      </c>
      <c r="J26" s="260">
        <f>IF(ISNA(VLOOKUP(B26,Accuracy!$AD$7:$AQ$69,3,FALSE))=TRUE,"",VLOOKUP(B26,Accuracy!$AD$7:$AQ$69,3,FALSE))</f>
        <v>0.97160000000000002</v>
      </c>
      <c r="K26" s="260">
        <f>IF(ISNA(VLOOKUP(B26,Accuracy!$AD$7:$AQ$69,6,FALSE))=TRUE,"",VLOOKUP(B26,Accuracy!$AD$7:$AQ$69,6,FALSE))</f>
        <v>0.95240000000000002</v>
      </c>
      <c r="L26" s="260">
        <f>IF(ISNA(VLOOKUP(B26,Accuracy!$AD$7:$AQ$69,9,FALSE))=TRUE,"",VLOOKUP(B26,Accuracy!$AD$7:$AQ$69,9,FALSE))</f>
        <v>0.88800000000000001</v>
      </c>
      <c r="M26" s="260">
        <f>IF(ISNA(VLOOKUP(B26,Accuracy!$AD$7:$AQ$69,12,FALSE))=TRUE,"",VLOOKUP(B26,Accuracy!$AD$7:$AQ$69,12,FALSE))</f>
        <v>0.9153</v>
      </c>
    </row>
    <row r="27" spans="2:13" x14ac:dyDescent="0.2">
      <c r="B27" s="112" t="str">
        <f>IF(ISBLANK(VLOOKUP($B$14,EDW_FEEDER!$A$117:$AK$121,14,FALSE))=TRUE,"",VLOOKUP($B$14,EDW_FEEDER!$A$117:$AK$121,14,FALSE))</f>
        <v>Providence</v>
      </c>
      <c r="C27" s="258">
        <f>IF(ISNA(VLOOKUP($B27,EDW_FEEDER!$T$2:$AH$86,2,FALSE))=TRUE,"",VLOOKUP($B27,EDW_FEEDER!$T$2:$AH$86,2,FALSE))</f>
        <v>2465</v>
      </c>
      <c r="D27" s="259">
        <f>IF(ISNA(VLOOKUP(B27,EDW_FEEDER!$T$2:$AH$86,3,FALSE))=TRUE,"",VLOOKUP(B27,EDW_FEEDER!$T$2:$AH$86,3,FALSE))</f>
        <v>90.4</v>
      </c>
      <c r="E27" s="260">
        <f>IF(ISNA(VLOOKUP(B27,EDW_FEEDER!$T$2:$AH$86,4,FALSE))=TRUE,"",VLOOKUP(B27,EDW_FEEDER!$T$2:$AH$870,4,FALSE))</f>
        <v>0.24948999999999999</v>
      </c>
      <c r="F27" s="258">
        <f>IF(ISNA(VLOOKUP(B27,EDW_FEEDER!$T$2:$AH$86,5,FALSE))=TRUE,"",VLOOKUP(B27,EDW_FEEDER!$T$2:$AH$86,5,FALSE))</f>
        <v>1590</v>
      </c>
      <c r="G27" s="258">
        <f>IF(ISNA(VLOOKUP(B27,EDW_FEEDER!$T$2:$AH$86,6,FALSE))=TRUE,"",VLOOKUP(B27,EDW_FEEDER!$T$2:$AH$86,6,FALSE))</f>
        <v>9977</v>
      </c>
      <c r="H27" s="259">
        <f>IF(ISNA(VLOOKUP(B27,EDW_FEEDER!$T$2:$AH$86,7,FALSE))=TRUE,"",VLOOKUP(B27,EDW_FEEDER!$T$2:$AH$86,7,FALSE))</f>
        <v>60.1</v>
      </c>
      <c r="I27" s="259">
        <f>IF(ISNA(VLOOKUP(B27,EDW_FEEDER!$T$2:$AH$86,8,FALSE))=TRUE,"",VLOOKUP(B27,EDW_FEEDER!$T$2:$AH$86,8,FALSE))</f>
        <v>62.2</v>
      </c>
      <c r="J27" s="260">
        <f>IF(ISNA(VLOOKUP(B27,Accuracy!$AD$7:$AQ$69,3,FALSE))=TRUE,"",VLOOKUP(B27,Accuracy!$AD$7:$AQ$69,3,FALSE))</f>
        <v>0.98450000000000004</v>
      </c>
      <c r="K27" s="260">
        <f>IF(ISNA(VLOOKUP(B27,Accuracy!$AD$7:$AQ$69,6,FALSE))=TRUE,"",VLOOKUP(B27,Accuracy!$AD$7:$AQ$69,6,FALSE))</f>
        <v>0.9375</v>
      </c>
      <c r="L27" s="260">
        <f>IF(ISNA(VLOOKUP(B27,Accuracy!$AD$7:$AQ$69,9,FALSE))=TRUE,"",VLOOKUP(B27,Accuracy!$AD$7:$AQ$69,9,FALSE))</f>
        <v>0.94350000000000001</v>
      </c>
      <c r="M27" s="260">
        <f>IF(ISNA(VLOOKUP(B27,Accuracy!$AD$7:$AQ$69,12,FALSE))=TRUE,"",VLOOKUP(B27,Accuracy!$AD$7:$AQ$69,12,FALSE))</f>
        <v>0.91700000000000004</v>
      </c>
    </row>
    <row r="28" spans="2:13" x14ac:dyDescent="0.2">
      <c r="B28" s="112" t="str">
        <f>IF(ISBLANK(VLOOKUP($B$14,EDW_FEEDER!$A$117:$AK$121,15,FALSE))=TRUE,"",VLOOKUP($B$14,EDW_FEEDER!$A$117:$AK$121,15,FALSE))</f>
        <v>Togus</v>
      </c>
      <c r="C28" s="258">
        <f>IF(ISNA(VLOOKUP($B28,EDW_FEEDER!$T$2:$AH$86,2,FALSE))=TRUE,"",VLOOKUP($B28,EDW_FEEDER!$T$2:$AH$86,2,FALSE))</f>
        <v>1305</v>
      </c>
      <c r="D28" s="259">
        <f>IF(ISNA(VLOOKUP(B28,EDW_FEEDER!$T$2:$AH$86,3,FALSE))=TRUE,"",VLOOKUP(B28,EDW_FEEDER!$T$2:$AH$86,3,FALSE))</f>
        <v>104.1</v>
      </c>
      <c r="E28" s="260">
        <f>IF(ISNA(VLOOKUP(B28,EDW_FEEDER!$T$2:$AH$86,4,FALSE))=TRUE,"",VLOOKUP(B28,EDW_FEEDER!$T$2:$AH$870,4,FALSE))</f>
        <v>0.27433000000000002</v>
      </c>
      <c r="F28" s="258">
        <f>IF(ISNA(VLOOKUP(B28,EDW_FEEDER!$T$2:$AH$86,5,FALSE))=TRUE,"",VLOOKUP(B28,EDW_FEEDER!$T$2:$AH$86,5,FALSE))</f>
        <v>169</v>
      </c>
      <c r="G28" s="258">
        <f>IF(ISNA(VLOOKUP(B28,EDW_FEEDER!$T$2:$AH$86,6,FALSE))=TRUE,"",VLOOKUP(B28,EDW_FEEDER!$T$2:$AH$86,6,FALSE))</f>
        <v>1758</v>
      </c>
      <c r="H28" s="259">
        <f>IF(ISNA(VLOOKUP(B28,EDW_FEEDER!$T$2:$AH$86,7,FALSE))=TRUE,"",VLOOKUP(B28,EDW_FEEDER!$T$2:$AH$86,7,FALSE))</f>
        <v>131.4</v>
      </c>
      <c r="I28" s="259">
        <f>IF(ISNA(VLOOKUP(B28,EDW_FEEDER!$T$2:$AH$86,8,FALSE))=TRUE,"",VLOOKUP(B28,EDW_FEEDER!$T$2:$AH$86,8,FALSE))</f>
        <v>121.3</v>
      </c>
      <c r="J28" s="260">
        <f>IF(ISNA(VLOOKUP(B28,Accuracy!$AD$7:$AQ$69,3,FALSE))=TRUE,"",VLOOKUP(B28,Accuracy!$AD$7:$AQ$69,3,FALSE))</f>
        <v>0.97509999999999997</v>
      </c>
      <c r="K28" s="260">
        <f>IF(ISNA(VLOOKUP(B28,Accuracy!$AD$7:$AQ$69,6,FALSE))=TRUE,"",VLOOKUP(B28,Accuracy!$AD$7:$AQ$69,6,FALSE))</f>
        <v>0.90629999999999999</v>
      </c>
      <c r="L28" s="260">
        <f>IF(ISNA(VLOOKUP(B28,Accuracy!$AD$7:$AQ$69,9,FALSE))=TRUE,"",VLOOKUP(B28,Accuracy!$AD$7:$AQ$69,9,FALSE))</f>
        <v>0.93310000000000004</v>
      </c>
      <c r="M28" s="260">
        <f>IF(ISNA(VLOOKUP(B28,Accuracy!$AD$7:$AQ$69,12,FALSE))=TRUE,"",VLOOKUP(B28,Accuracy!$AD$7:$AQ$69,12,FALSE))</f>
        <v>0.97640000000000005</v>
      </c>
    </row>
    <row r="29" spans="2:13" x14ac:dyDescent="0.2">
      <c r="B29" s="112" t="str">
        <f>IF(ISBLANK(VLOOKUP($B$14,EDW_FEEDER!$A$117:$AK$121,16,FALSE))=TRUE,"",VLOOKUP($B$14,EDW_FEEDER!$A$117:$AK$121,16,FALSE))</f>
        <v>White River J.</v>
      </c>
      <c r="C29" s="258">
        <f>IF(ISNA(VLOOKUP($B29,EDW_FEEDER!$T$2:$AH$86,2,FALSE))=TRUE,"",VLOOKUP($B29,EDW_FEEDER!$T$2:$AH$86,2,FALSE))</f>
        <v>533</v>
      </c>
      <c r="D29" s="259">
        <f>IF(ISNA(VLOOKUP(B29,EDW_FEEDER!$T$2:$AH$86,3,FALSE))=TRUE,"",VLOOKUP(B29,EDW_FEEDER!$T$2:$AH$86,3,FALSE))</f>
        <v>149.4</v>
      </c>
      <c r="E29" s="260">
        <f>IF(ISNA(VLOOKUP(B29,EDW_FEEDER!$T$2:$AH$86,4,FALSE))=TRUE,"",VLOOKUP(B29,EDW_FEEDER!$T$2:$AH$870,4,FALSE))</f>
        <v>0.52532999999999996</v>
      </c>
      <c r="F29" s="258">
        <f>IF(ISNA(VLOOKUP(B29,EDW_FEEDER!$T$2:$AH$86,5,FALSE))=TRUE,"",VLOOKUP(B29,EDW_FEEDER!$T$2:$AH$86,5,FALSE))</f>
        <v>107</v>
      </c>
      <c r="G29" s="258">
        <f>IF(ISNA(VLOOKUP(B29,EDW_FEEDER!$T$2:$AH$86,6,FALSE))=TRUE,"",VLOOKUP(B29,EDW_FEEDER!$T$2:$AH$86,6,FALSE))</f>
        <v>565</v>
      </c>
      <c r="H29" s="259">
        <f>IF(ISNA(VLOOKUP(B29,EDW_FEEDER!$T$2:$AH$86,7,FALSE))=TRUE,"",VLOOKUP(B29,EDW_FEEDER!$T$2:$AH$86,7,FALSE))</f>
        <v>223.5</v>
      </c>
      <c r="I29" s="259">
        <f>IF(ISNA(VLOOKUP(B29,EDW_FEEDER!$T$2:$AH$86,8,FALSE))=TRUE,"",VLOOKUP(B29,EDW_FEEDER!$T$2:$AH$86,8,FALSE))</f>
        <v>170</v>
      </c>
      <c r="J29" s="260">
        <f>IF(ISNA(VLOOKUP(B29,Accuracy!$AD$7:$AQ$69,3,FALSE))=TRUE,"",VLOOKUP(B29,Accuracy!$AD$7:$AQ$69,3,FALSE))</f>
        <v>0.93910000000000005</v>
      </c>
      <c r="K29" s="260">
        <f>IF(ISNA(VLOOKUP(B29,Accuracy!$AD$7:$AQ$69,6,FALSE))=TRUE,"",VLOOKUP(B29,Accuracy!$AD$7:$AQ$69,6,FALSE))</f>
        <v>0.86670000000000003</v>
      </c>
      <c r="L29" s="260">
        <f>IF(ISNA(VLOOKUP(B29,Accuracy!$AD$7:$AQ$69,9,FALSE))=TRUE,"",VLOOKUP(B29,Accuracy!$AD$7:$AQ$69,9,FALSE))</f>
        <v>0.87549999999999994</v>
      </c>
      <c r="M29" s="260">
        <f>IF(ISNA(VLOOKUP(B29,Accuracy!$AD$7:$AQ$69,12,FALSE))=TRUE,"",VLOOKUP(B29,Accuracy!$AD$7:$AQ$69,12,FALSE))</f>
        <v>0.84230000000000005</v>
      </c>
    </row>
    <row r="30" spans="2:13" x14ac:dyDescent="0.2">
      <c r="B30" s="114" t="str">
        <f>IF(ISBLANK(VLOOKUP($B$14,EDW_FEEDER!$A$117:$AK$121,17,FALSE))=TRUE,"",VLOOKUP($B$14,EDW_FEEDER!$A$117:$AK$121,17,FALSE))</f>
        <v>Wilmington</v>
      </c>
      <c r="C30" s="258">
        <f>IF(ISNA(VLOOKUP($B30,EDW_FEEDER!$T$2:$AH$86,2,FALSE))=TRUE,"",VLOOKUP($B30,EDW_FEEDER!$T$2:$AH$86,2,FALSE))</f>
        <v>1293</v>
      </c>
      <c r="D30" s="259">
        <f>IF(ISNA(VLOOKUP(B30,EDW_FEEDER!$T$2:$AH$86,3,FALSE))=TRUE,"",VLOOKUP(B30,EDW_FEEDER!$T$2:$AH$86,3,FALSE))</f>
        <v>157.19999999999999</v>
      </c>
      <c r="E30" s="260">
        <f>IF(ISNA(VLOOKUP(B30,EDW_FEEDER!$T$2:$AH$86,4,FALSE))=TRUE,"",VLOOKUP(B30,EDW_FEEDER!$T$2:$AH$870,4,FALSE))</f>
        <v>0.53519000000000005</v>
      </c>
      <c r="F30" s="258">
        <f>IF(ISNA(VLOOKUP(B30,EDW_FEEDER!$T$2:$AH$86,5,FALSE))=TRUE,"",VLOOKUP(B30,EDW_FEEDER!$T$2:$AH$86,5,FALSE))</f>
        <v>145</v>
      </c>
      <c r="G30" s="258">
        <f>IF(ISNA(VLOOKUP(B30,EDW_FEEDER!$T$2:$AH$86,6,FALSE))=TRUE,"",VLOOKUP(B30,EDW_FEEDER!$T$2:$AH$86,6,FALSE))</f>
        <v>955</v>
      </c>
      <c r="H30" s="259">
        <f>IF(ISNA(VLOOKUP(B30,EDW_FEEDER!$T$2:$AH$86,7,FALSE))=TRUE,"",VLOOKUP(B30,EDW_FEEDER!$T$2:$AH$86,7,FALSE))</f>
        <v>219.5</v>
      </c>
      <c r="I30" s="259">
        <f>IF(ISNA(VLOOKUP(B30,EDW_FEEDER!$T$2:$AH$86,8,FALSE))=TRUE,"",VLOOKUP(B30,EDW_FEEDER!$T$2:$AH$86,8,FALSE))</f>
        <v>237.8</v>
      </c>
      <c r="J30" s="260">
        <f>IF(ISNA(VLOOKUP(B30,Accuracy!$AD$7:$AQ$69,3,FALSE))=TRUE,"",VLOOKUP(B30,Accuracy!$AD$7:$AQ$69,3,FALSE))</f>
        <v>0.9325</v>
      </c>
      <c r="K30" s="260">
        <f>IF(ISNA(VLOOKUP(B30,Accuracy!$AD$7:$AQ$69,6,FALSE))=TRUE,"",VLOOKUP(B30,Accuracy!$AD$7:$AQ$69,6,FALSE))</f>
        <v>0.80700000000000005</v>
      </c>
      <c r="L30" s="260">
        <f>IF(ISNA(VLOOKUP(B30,Accuracy!$AD$7:$AQ$69,9,FALSE))=TRUE,"",VLOOKUP(B30,Accuracy!$AD$7:$AQ$69,9,FALSE))</f>
        <v>0.86990000000000001</v>
      </c>
      <c r="M30" s="260">
        <f>IF(ISNA(VLOOKUP(B30,Accuracy!$AD$7:$AQ$69,12,FALSE))=TRUE,"",VLOOKUP(B30,Accuracy!$AD$7:$AQ$69,12,FALSE))</f>
        <v>0.9103</v>
      </c>
    </row>
    <row r="31" spans="2:13" x14ac:dyDescent="0.2">
      <c r="B31" s="486" t="s">
        <v>297</v>
      </c>
      <c r="C31" s="487"/>
      <c r="D31" s="487"/>
      <c r="E31" s="487"/>
      <c r="F31" s="487"/>
      <c r="G31" s="487"/>
      <c r="H31" s="487"/>
      <c r="I31" s="487"/>
      <c r="J31" s="487"/>
      <c r="K31" s="487"/>
      <c r="L31" s="487"/>
      <c r="M31" s="488"/>
    </row>
    <row r="32" spans="2:13" x14ac:dyDescent="0.2">
      <c r="B32" s="220" t="s">
        <v>387</v>
      </c>
      <c r="C32" s="258">
        <f>IF(ISNA(VLOOKUP("USAP",EDW_FEEDER!$T$2:$AH$86,2,FALSE))=TRUE,"",VLOOKUP("USAP",EDW_FEEDER!$T$2:$AH$86,2,FALSE))</f>
        <v>18964</v>
      </c>
      <c r="D32" s="259">
        <f>IF(ISNA(VLOOKUP("USAP",EDW_FEEDER!$T$2:$AH$86,3,FALSE))=TRUE,"",VLOOKUP("USAP",EDW_FEEDER!$T$2:$AH$86,3,FALSE))</f>
        <v>61.1</v>
      </c>
      <c r="E32" s="260">
        <f>IF(ISNA(VLOOKUP("USAP",EDW_FEEDER!$T$2:$AH$86,4,FALSE))=TRUE,"",VLOOKUP("USAP",EDW_FEEDER!$T$2:$AH$870,4,FALSE))</f>
        <v>9.8339999999999997E-2</v>
      </c>
      <c r="F32" s="258">
        <f>IF(ISNA(VLOOKUP("USAP",EDW_FEEDER!$T$2:$AH$86,5,FALSE))=TRUE,"",VLOOKUP("USAP",EDW_FEEDER!$T$2:$AH$86,5,FALSE))</f>
        <v>9250</v>
      </c>
      <c r="G32" s="258">
        <f>IF(ISNA(VLOOKUP("USAP",EDW_FEEDER!$T$2:$AH$86,6,FALSE))=TRUE,"",VLOOKUP("USAP",EDW_FEEDER!$T$2:$AH$86,6,FALSE))</f>
        <v>57938</v>
      </c>
      <c r="H32" s="259">
        <f>IF(ISNA(VLOOKUP("USAP",EDW_FEEDER!$T$2:$AH$86,7,FALSE))=TRUE,"",VLOOKUP("USAP",EDW_FEEDER!$T$2:$AH$86,7,FALSE))</f>
        <v>66.5</v>
      </c>
      <c r="I32" s="259">
        <f>IF(ISNA(VLOOKUP("USAP",EDW_FEEDER!$T$2:$AH$86,8,FALSE))=TRUE,"",VLOOKUP("USAP",EDW_FEEDER!$T$2:$AH$86,8,FALSE))</f>
        <v>65.400000000000006</v>
      </c>
      <c r="J32" s="261"/>
      <c r="K32" s="260">
        <f>IF(ISNA(VLOOKUP("USA PMCs",Accuracy!$AD$70:$AQ$73,6,FALSE))=TRUE,"",VLOOKUP("USA PMCs",Accuracy!$AD$70:$AQ$73,6,FALSE))</f>
        <v>0.97840000000000005</v>
      </c>
      <c r="L32" s="260">
        <f>IF(ISNA(VLOOKUP("USA PMCs",Accuracy!$AD$70:$AQ$73,9,FALSE))=TRUE,"",VLOOKUP("USA PMCs",Accuracy!$AD$70:$AQ$73,9,FALSE))</f>
        <v>0.99060000000000004</v>
      </c>
      <c r="M32" s="290">
        <f>IF(ISNA(VLOOKUP("USA PMCs",Accuracy!$AD$70:$AQ$73,12,FALSE))=TRUE,"",VLOOKUP("USA PMCs",Accuracy!$AD$70:$AQ$73,12,FALSE))</f>
        <v>0.98260000000000003</v>
      </c>
    </row>
    <row r="33" spans="1:16" x14ac:dyDescent="0.2">
      <c r="B33" s="116" t="s">
        <v>245</v>
      </c>
      <c r="C33" s="258">
        <f>IF(ISNA(VLOOKUP($B33,EDW_FEEDER!$T$2:$AH$86,2,FALSE))=TRUE,"",VLOOKUP($B33,EDW_FEEDER!$T$2:$AH$86,2,FALSE))</f>
        <v>6779</v>
      </c>
      <c r="D33" s="259">
        <f>IF(ISNA(VLOOKUP(B33,EDW_FEEDER!$T$2:$AH$86,3,FALSE))=TRUE,"",VLOOKUP(B33,EDW_FEEDER!$T$2:$AH$86,3,FALSE))</f>
        <v>64.8</v>
      </c>
      <c r="E33" s="260">
        <f>IF(ISNA(VLOOKUP(B33,EDW_FEEDER!$T$2:$AH$86,4,FALSE))=TRUE,"",VLOOKUP(B33,EDW_FEEDER!$T$2:$AH$870,4,FALSE))</f>
        <v>0.10031</v>
      </c>
      <c r="F33" s="258">
        <f>IF(ISNA(VLOOKUP(B33,EDW_FEEDER!$T$2:$AH$86,5,FALSE))=TRUE,"",VLOOKUP(B33,EDW_FEEDER!$T$2:$AH$86,5,FALSE))</f>
        <v>2720</v>
      </c>
      <c r="G33" s="258">
        <f>IF(ISNA(VLOOKUP(B33,EDW_FEEDER!$T$2:$AH$86,6,FALSE))=TRUE,"",VLOOKUP(B33,EDW_FEEDER!$T$2:$AH$86,6,FALSE))</f>
        <v>17442</v>
      </c>
      <c r="H33" s="259">
        <f>IF(ISNA(VLOOKUP(B33,EDW_FEEDER!$T$2:$AH$86,7,FALSE))=TRUE,"",VLOOKUP(B33,EDW_FEEDER!$T$2:$AH$86,7,FALSE))</f>
        <v>77.5</v>
      </c>
      <c r="I33" s="259">
        <f>IF(ISNA(VLOOKUP(B33,EDW_FEEDER!$T$2:$AH$86,8,FALSE))=TRUE,"",VLOOKUP(B33,EDW_FEEDER!$T$2:$AH$86,8,FALSE))</f>
        <v>74.7</v>
      </c>
      <c r="J33" s="261"/>
      <c r="K33" s="260">
        <f>IF(ISNA(VLOOKUP(B33,Accuracy!$AD$70:$AQ$73,6,FALSE))=TRUE,"",VLOOKUP(B33,Accuracy!$AD$70:$AQ$73,6,FALSE))</f>
        <v>1</v>
      </c>
      <c r="L33" s="260">
        <f>IF(ISNA(VLOOKUP(B33,Accuracy!$AD$70:$AQ$73,9,FALSE))=TRUE,"",VLOOKUP(B33,Accuracy!$AD$70:$AQ$73,9,FALSE))</f>
        <v>0.99199999999999999</v>
      </c>
      <c r="M33" s="290">
        <f>IF(ISNA(VLOOKUP(B33,Accuracy!$AD$70:$AQ$73,12,FALSE))=TRUE,"",VLOOKUP(B33,Accuracy!$AD$70:$AQ$73,12,FALSE))</f>
        <v>0.9839</v>
      </c>
    </row>
    <row r="34" spans="1:16" x14ac:dyDescent="0.2">
      <c r="A34" s="16"/>
      <c r="B34" s="116" t="s">
        <v>243</v>
      </c>
      <c r="C34" s="258">
        <f>IF(ISNA(VLOOKUP($B34,EDW_FEEDER!$T$2:$AH$86,2,FALSE))=TRUE,"",VLOOKUP($B34,EDW_FEEDER!$T$2:$AH$86,2,FALSE))</f>
        <v>4756</v>
      </c>
      <c r="D34" s="259">
        <f>IF(ISNA(VLOOKUP(B34,EDW_FEEDER!$T$2:$AH$86,3,FALSE))=TRUE,"",VLOOKUP(B34,EDW_FEEDER!$T$2:$AH$86,3,FALSE))</f>
        <v>52.4</v>
      </c>
      <c r="E34" s="260">
        <f>IF(ISNA(VLOOKUP(B34,EDW_FEEDER!$T$2:$AH$86,4,FALSE))=TRUE,"",VLOOKUP(B34,EDW_FEEDER!$T$2:$AH$870,4,FALSE))</f>
        <v>8.5580000000000003E-2</v>
      </c>
      <c r="F34" s="258">
        <f>IF(ISNA(VLOOKUP(B34,EDW_FEEDER!$T$2:$AH$86,5,FALSE))=TRUE,"",VLOOKUP(B34,EDW_FEEDER!$T$2:$AH$86,5,FALSE))</f>
        <v>2670</v>
      </c>
      <c r="G34" s="258">
        <f>IF(ISNA(VLOOKUP(B34,EDW_FEEDER!$T$2:$AH$86,6,FALSE))=TRUE,"",VLOOKUP(B34,EDW_FEEDER!$T$2:$AH$86,6,FALSE))</f>
        <v>16166</v>
      </c>
      <c r="H34" s="259">
        <f>IF(ISNA(VLOOKUP(B34,EDW_FEEDER!$T$2:$AH$86,7,FALSE))=TRUE,"",VLOOKUP(B34,EDW_FEEDER!$T$2:$AH$86,7,FALSE))</f>
        <v>58.5</v>
      </c>
      <c r="I34" s="259">
        <f>IF(ISNA(VLOOKUP(B34,EDW_FEEDER!$T$2:$AH$86,8,FALSE))=TRUE,"",VLOOKUP(B34,EDW_FEEDER!$T$2:$AH$86,8,FALSE))</f>
        <v>57.6</v>
      </c>
      <c r="J34" s="261"/>
      <c r="K34" s="260">
        <f>IF(ISNA(VLOOKUP(B34,Accuracy!$AD$70:$AQ$73,6,FALSE))=TRUE,"",VLOOKUP(B34,Accuracy!$AD$70:$AQ$73,6,FALSE))</f>
        <v>0.95309999999999995</v>
      </c>
      <c r="L34" s="260">
        <f>IF(ISNA(VLOOKUP(B34,Accuracy!$AD$70:$AQ$73,9,FALSE))=TRUE,"",VLOOKUP(B34,Accuracy!$AD$70:$AQ$73,9,FALSE))</f>
        <v>0.9839</v>
      </c>
      <c r="M34" s="290">
        <f>IF(ISNA(VLOOKUP(B34,Accuracy!$AD$70:$AQ$73,12,FALSE))=TRUE,"",VLOOKUP(B34,Accuracy!$AD$70:$AQ$73,12,FALSE))</f>
        <v>0.996</v>
      </c>
    </row>
    <row r="35" spans="1:16" x14ac:dyDescent="0.2">
      <c r="B35" s="116" t="s">
        <v>251</v>
      </c>
      <c r="C35" s="258">
        <f>IF(ISNA(VLOOKUP($B35,EDW_FEEDER!$T$2:$AH$86,2,FALSE))=TRUE,"",VLOOKUP($B35,EDW_FEEDER!$T$2:$AH$86,2,FALSE))</f>
        <v>6786</v>
      </c>
      <c r="D35" s="259">
        <f>IF(ISNA(VLOOKUP(B35,EDW_FEEDER!$T$2:$AH$86,3,FALSE))=TRUE,"",VLOOKUP(B35,EDW_FEEDER!$T$2:$AH$86,3,FALSE))</f>
        <v>52.6</v>
      </c>
      <c r="E35" s="260">
        <f>IF(ISNA(VLOOKUP(B35,EDW_FEEDER!$T$2:$AH$86,4,FALSE))=TRUE,"",VLOOKUP(B35,EDW_FEEDER!$T$2:$AH$870,4,FALSE))</f>
        <v>6.2780000000000002E-2</v>
      </c>
      <c r="F35" s="258">
        <f>IF(ISNA(VLOOKUP(B35,EDW_FEEDER!$T$2:$AH$86,5,FALSE))=TRUE,"",VLOOKUP(B35,EDW_FEEDER!$T$2:$AH$86,5,FALSE))</f>
        <v>3513</v>
      </c>
      <c r="G35" s="258">
        <f>IF(ISNA(VLOOKUP(B35,EDW_FEEDER!$T$2:$AH$86,6,FALSE))=TRUE,"",VLOOKUP(B35,EDW_FEEDER!$T$2:$AH$86,6,FALSE))</f>
        <v>22014</v>
      </c>
      <c r="H35" s="259">
        <f>IF(ISNA(VLOOKUP(B35,EDW_FEEDER!$T$2:$AH$86,7,FALSE))=TRUE,"",VLOOKUP(B35,EDW_FEEDER!$T$2:$AH$86,7,FALSE))</f>
        <v>63.9</v>
      </c>
      <c r="I35" s="259">
        <f>IF(ISNA(VLOOKUP(B35,EDW_FEEDER!$T$2:$AH$86,8,FALSE))=TRUE,"",VLOOKUP(B35,EDW_FEEDER!$T$2:$AH$86,8,FALSE))</f>
        <v>64.2</v>
      </c>
      <c r="J35" s="261"/>
      <c r="K35" s="260">
        <f>IF(ISNA(VLOOKUP(B35,Accuracy!$AD$70:$AQ$73,6,FALSE))=TRUE,"",VLOOKUP(B35,Accuracy!$AD$70:$AQ$73,6,FALSE))</f>
        <v>0.98360000000000003</v>
      </c>
      <c r="L35" s="260">
        <f>IF(ISNA(VLOOKUP(B35,Accuracy!$AD$70:$AQ$73,9,FALSE))=TRUE,"",VLOOKUP(B35,Accuracy!$AD$70:$AQ$73,9,FALSE))</f>
        <v>0.996</v>
      </c>
      <c r="M35" s="290">
        <f>IF(ISNA(VLOOKUP(B35,Accuracy!$AD$70:$AQ$73,12,FALSE))=TRUE,"",VLOOKUP(B35,Accuracy!$AD$70:$AQ$73,12,FALSE))</f>
        <v>0.96789999999999998</v>
      </c>
    </row>
    <row r="36" spans="1:16" x14ac:dyDescent="0.2">
      <c r="B36" s="117" t="s">
        <v>433</v>
      </c>
      <c r="C36" s="258">
        <f>IF(ISNA(VLOOKUP($B36,EDW_FEEDER!$T$2:$AH$86,2,FALSE))=TRUE,"",VLOOKUP($B36,EDW_FEEDER!$T$2:$AH$86,2,FALSE))</f>
        <v>643</v>
      </c>
      <c r="D36" s="259">
        <f>IF(ISNA(VLOOKUP(B36,EDW_FEEDER!$T$2:$AH$86,3,FALSE))=TRUE,"",VLOOKUP(B36,EDW_FEEDER!$T$2:$AH$86,3,FALSE))</f>
        <v>177.3</v>
      </c>
      <c r="E36" s="260">
        <f>IF(ISNA(VLOOKUP(B36,EDW_FEEDER!$T$2:$AH$86,4,FALSE))=TRUE,"",VLOOKUP(B36,EDW_FEEDER!$T$2:$AH$870,4,FALSE))</f>
        <v>0.54742999999999997</v>
      </c>
      <c r="F36" s="258">
        <f>IF(ISNA(VLOOKUP(B36,EDW_FEEDER!$T$2:$AH$86,5,FALSE))=TRUE,"",VLOOKUP(B36,EDW_FEEDER!$T$2:$AH$86,5,FALSE))</f>
        <v>347</v>
      </c>
      <c r="G36" s="258">
        <f>IF(ISNA(VLOOKUP(B36,EDW_FEEDER!$T$2:$AH$86,6,FALSE))=TRUE,"",VLOOKUP(B36,EDW_FEEDER!$T$2:$AH$86,6,FALSE))</f>
        <v>2316</v>
      </c>
      <c r="H36" s="259">
        <f>IF(ISNA(VLOOKUP(B36,EDW_FEEDER!$T$2:$AH$86,7,FALSE))=TRUE,"",VLOOKUP(B36,EDW_FEEDER!$T$2:$AH$86,7,FALSE))</f>
        <v>68.8</v>
      </c>
      <c r="I36" s="259">
        <f>IF(ISNA(VLOOKUP(B36,EDW_FEEDER!$T$2:$AH$86,8,FALSE))=TRUE,"",VLOOKUP(B36,EDW_FEEDER!$T$2:$AH$86,8,FALSE))</f>
        <v>61.7</v>
      </c>
      <c r="J36" s="261"/>
      <c r="K36" s="261" t="str">
        <f>IF(ISNA(VLOOKUP(B36,Accuracy!$AD$70:$AQ$73,6,FALSE))=TRUE,"",VLOOKUP(B36,Accuracy!$AD$70:$AQ$73,6,FALSE))</f>
        <v/>
      </c>
      <c r="L36" s="261" t="str">
        <f>IF(ISNA(VLOOKUP(B36,Accuracy!$AD$70:$AQ$73,9,FALSE))=TRUE,"",VLOOKUP(B36,Accuracy!$AD$70:$AQ$73,9,FALSE))</f>
        <v/>
      </c>
      <c r="M36" s="261" t="str">
        <f>IF(ISNA(VLOOKUP(B36,Accuracy!$AD$70:$AQ$73,9,FALSE))=TRUE,"",VLOOKUP(B36,Accuracy!$AD$70:$AQ$73,9,FALSE))</f>
        <v/>
      </c>
    </row>
    <row r="37" spans="1:16" x14ac:dyDescent="0.2">
      <c r="B37" s="486" t="s">
        <v>298</v>
      </c>
      <c r="C37" s="489"/>
      <c r="D37" s="489"/>
      <c r="E37" s="489"/>
      <c r="F37" s="489"/>
      <c r="G37" s="489"/>
      <c r="H37" s="489"/>
      <c r="I37" s="489"/>
      <c r="J37" s="489"/>
      <c r="K37" s="489"/>
      <c r="L37" s="489"/>
      <c r="M37" s="490"/>
    </row>
    <row r="38" spans="1:16" x14ac:dyDescent="0.2">
      <c r="B38" s="222" t="s">
        <v>388</v>
      </c>
      <c r="C38" s="258">
        <f>IF(ISNA(VLOOKUP("USAQ",EDW_FEEDER!$T$2:$AH$86,2,FALSE))=TRUE,"",VLOOKUP("USAQ",EDW_FEEDER!$T$2:$AH$86,2,FALSE))</f>
        <v>9470</v>
      </c>
      <c r="D38" s="259">
        <f>IF(ISNA(VLOOKUP("USAQ",EDW_FEEDER!$T$2:$AH$86,3,FALSE))=TRUE,"",VLOOKUP("USAQ",EDW_FEEDER!$T$2:$AH$86,3,FALSE))</f>
        <v>90.7</v>
      </c>
      <c r="E38" s="260">
        <f>IF(ISNA(VLOOKUP("USAQ",EDW_FEEDER!$T$2:$AH$86,4,FALSE))=TRUE,"",VLOOKUP("USAQ",EDW_FEEDER!$T$2:$AH$86,4,FALSE))</f>
        <v>0.28448000000000001</v>
      </c>
      <c r="F38" s="258">
        <f>IF(ISNA(VLOOKUP("USAQ",EDW_FEEDER!$T$2:$AH$86,5,FALSE))=TRUE,"",VLOOKUP("USAQ",EDW_FEEDER!$T$2:$AH$86,5,FALSE))</f>
        <v>1532</v>
      </c>
      <c r="G38" s="258">
        <f>IF(ISNA(VLOOKUP("USAQ",EDW_FEEDER!$T$2:$AH$86,6,FALSE))=TRUE,"",VLOOKUP("USAQ",EDW_FEEDER!$T$2:$AH$86,6,FALSE))</f>
        <v>9999</v>
      </c>
      <c r="H38" s="259">
        <f>IF(ISNA(VLOOKUP("USAQ",EDW_FEEDER!$T$2:$AH$86,7,FALSE))=TRUE,"",VLOOKUP("USAQ",EDW_FEEDER!$T$2:$AH$86,7,FALSE))</f>
        <v>148.9</v>
      </c>
      <c r="I38" s="259">
        <f>IF(ISNA(VLOOKUP("USAQ",EDW_FEEDER!$T$2:$AH$86,8,FALSE))=TRUE,"",VLOOKUP("USAQ",EDW_FEEDER!$T$2:$AH$86,8,FALSE))</f>
        <v>132.6</v>
      </c>
      <c r="J38" s="261"/>
      <c r="K38" s="261"/>
      <c r="L38" s="261"/>
      <c r="M38" s="261"/>
    </row>
    <row r="39" spans="1:16" x14ac:dyDescent="0.2">
      <c r="B39" s="221" t="s">
        <v>85</v>
      </c>
      <c r="C39" s="258">
        <f>IF(ISNA(VLOOKUP("San Diego QS",EDW_FEEDER!$T$2:$AH$86,2,FALSE))=TRUE,"",VLOOKUP("San Diego QS",EDW_FEEDER!$T$2:$AH$86,2,FALSE))</f>
        <v>2693</v>
      </c>
      <c r="D39" s="259">
        <f>IF(ISNA(VLOOKUP("San Diego QS",EDW_FEEDER!$T$2:$AH$86,3,FALSE))=TRUE,"",VLOOKUP("San Diego QS",EDW_FEEDER!$T$2:$AH$86,3,FALSE))</f>
        <v>88.5</v>
      </c>
      <c r="E39" s="260">
        <f>IF(ISNA(VLOOKUP("San Diego QS",EDW_FEEDER!$T$2:$AH$86,4,FALSE))=TRUE,"",VLOOKUP("San Diego QS",EDW_FEEDER!$T$2:$AH$86,4,FALSE))</f>
        <v>0.26401999999999998</v>
      </c>
      <c r="F39" s="258">
        <f>IF(ISNA(VLOOKUP("San Diego QS",EDW_FEEDER!$T$2:$AH$86,5,FALSE))=TRUE,"",VLOOKUP("San Diego QS",EDW_FEEDER!$T$2:$AH$86,5,FALSE))</f>
        <v>638</v>
      </c>
      <c r="G39" s="258">
        <f>IF(ISNA(VLOOKUP("San Diego QS",EDW_FEEDER!$T$2:$AH$86,6,FALSE))=TRUE,"",VLOOKUP("San Diego QS",EDW_FEEDER!$T$2:$AH$86,6,FALSE))</f>
        <v>4462</v>
      </c>
      <c r="H39" s="259">
        <f>IF(ISNA(VLOOKUP("San Diego QS",EDW_FEEDER!$T$2:$AH$86,7,FALSE))=TRUE,"",VLOOKUP("San Diego QS",EDW_FEEDER!$T$2:$AH$86,7,FALSE))</f>
        <v>139.19999999999999</v>
      </c>
      <c r="I39" s="259">
        <f>IF(ISNA(VLOOKUP("San Diego QS",EDW_FEEDER!$T$2:$AH$86,8,FALSE))=TRUE,"",VLOOKUP("San Diego QS",EDW_FEEDER!$T$2:$AH$86,8,FALSE))</f>
        <v>120.1</v>
      </c>
      <c r="J39" s="261"/>
      <c r="K39" s="261"/>
      <c r="L39" s="261"/>
      <c r="M39" s="261"/>
      <c r="N39" s="49"/>
      <c r="O39" s="49"/>
      <c r="P39" s="49"/>
    </row>
    <row r="40" spans="1:16" x14ac:dyDescent="0.2">
      <c r="B40" s="221" t="s">
        <v>97</v>
      </c>
      <c r="C40" s="258">
        <f>IF(ISNA(VLOOKUP("Winston-Salem QS",EDW_FEEDER!$T$2:$AH$86,2,FALSE))=TRUE,"",VLOOKUP("Winston-Salem QS",EDW_FEEDER!$T$2:$AH$86,2,FALSE))</f>
        <v>3788</v>
      </c>
      <c r="D40" s="259">
        <f>IF(ISNA(VLOOKUP("Winston-Salem QS",EDW_FEEDER!$T$2:$AH$86,3,FALSE))=TRUE,"",VLOOKUP("Winston-Salem QS",EDW_FEEDER!$T$2:$AH$86,3,FALSE))</f>
        <v>106.7</v>
      </c>
      <c r="E40" s="260">
        <f>IF(ISNA(VLOOKUP("Winston-Salem QS",EDW_FEEDER!$T$2:$AH$86,4,FALSE))=TRUE,"",VLOOKUP("Winston-Salem QS",EDW_FEEDER!$T$2:$AH$86,4,FALSE))</f>
        <v>0.38596000000000003</v>
      </c>
      <c r="F40" s="258">
        <f>IF(ISNA(VLOOKUP("Winston-Salem QS",EDW_FEEDER!$T$2:$AH$86,5,FALSE))=TRUE,"",VLOOKUP("Winston-Salem QS",EDW_FEEDER!$T$2:$AH$86,5,FALSE))</f>
        <v>593</v>
      </c>
      <c r="G40" s="258">
        <f>IF(ISNA(VLOOKUP("Winston-Salem QS",EDW_FEEDER!$T$2:$AH$86,6,FALSE))=TRUE,"",VLOOKUP("Winston-Salem QS",EDW_FEEDER!$T$2:$AH$86,6,FALSE))</f>
        <v>4419</v>
      </c>
      <c r="H40" s="259">
        <f>IF(ISNA(VLOOKUP("Winston-Salem QS",EDW_FEEDER!$T$2:$AH$86,7,FALSE))=TRUE,"",VLOOKUP("Winston-Salem QS",EDW_FEEDER!$T$2:$AH$870,7,FALSE))</f>
        <v>165.1</v>
      </c>
      <c r="I40" s="259">
        <f>IF(ISNA(VLOOKUP("Winston-Salem QS",EDW_FEEDER!$T$2:$AH$86,8,FALSE))=TRUE,"",VLOOKUP("Winston-Salem QS",EDW_FEEDER!$T$2:$AH$86,8,FALSE))</f>
        <v>144.9</v>
      </c>
      <c r="J40" s="261"/>
      <c r="K40" s="261"/>
      <c r="L40" s="261"/>
      <c r="M40" s="261"/>
      <c r="N40" s="87"/>
      <c r="O40" s="88"/>
      <c r="P40" s="88"/>
    </row>
    <row r="41" spans="1:16" x14ac:dyDescent="0.2">
      <c r="B41" s="115" t="s">
        <v>432</v>
      </c>
      <c r="C41" s="258">
        <f>IF(ISNA(VLOOKUP(B41,EDW_FEEDER!$T$2:$AH$86,2,FALSE))=TRUE,"",VLOOKUP(B41,EDW_FEEDER!$T$2:$AH$86,2,FALSE))</f>
        <v>2989</v>
      </c>
      <c r="D41" s="259">
        <f>IF(ISNA(VLOOKUP(B41,EDW_FEEDER!$T$2:$AH$86,3,FALSE))=TRUE,"",VLOOKUP(B41,EDW_FEEDER!$T$2:$AH$86,3,FALSE))</f>
        <v>72.400000000000006</v>
      </c>
      <c r="E41" s="260">
        <f>IF(ISNA(VLOOKUP(B41,EDW_FEEDER!$T$2:$AH$86,4,FALSE))=TRUE,"",VLOOKUP(B41,EDW_FEEDER!$T$2:$AH$86,4,FALSE))</f>
        <v>0.17430999999999999</v>
      </c>
      <c r="F41" s="258">
        <f>IF(ISNA(VLOOKUP(B41,EDW_FEEDER!$T$2:$AH$86,5,FALSE))=TRUE,"",VLOOKUP(B41,EDW_FEEDER!$T$2:$AH$86,5,FALSE))</f>
        <v>301</v>
      </c>
      <c r="G41" s="258">
        <f>IF(ISNA(VLOOKUP(B41,EDW_FEEDER!$T$2:$AH$86,6,FALSE))=TRUE,"",VLOOKUP(B41,EDW_FEEDER!$T$2:$AH$86,6,FALSE))</f>
        <v>1118</v>
      </c>
      <c r="H41" s="259">
        <f>IF(ISNA(VLOOKUP(B41,EDW_FEEDER!$T$2:$AH$86,7,FALSE))=TRUE,"",VLOOKUP(B41,EDW_FEEDER!$T$2:$AH$870,7,FALSE))</f>
        <v>137.6</v>
      </c>
      <c r="I41" s="259">
        <f>IF(ISNA(VLOOKUP(B41,EDW_FEEDER!$T$2:$AH$86,8,FALSE))=TRUE,"",VLOOKUP(B41,EDW_FEEDER!$T$2:$AH$86,8,FALSE))</f>
        <v>134.19999999999999</v>
      </c>
      <c r="J41" s="261"/>
      <c r="K41" s="261"/>
      <c r="L41" s="261"/>
      <c r="M41" s="261"/>
      <c r="N41" s="87"/>
      <c r="O41" s="88"/>
      <c r="P41" s="88"/>
    </row>
    <row r="42" spans="1:16" x14ac:dyDescent="0.2">
      <c r="B42" s="486" t="s">
        <v>299</v>
      </c>
      <c r="C42" s="489"/>
      <c r="D42" s="489"/>
      <c r="E42" s="489"/>
      <c r="F42" s="489"/>
      <c r="G42" s="489"/>
      <c r="H42" s="489"/>
      <c r="I42" s="489"/>
      <c r="J42" s="489"/>
      <c r="K42" s="489"/>
      <c r="L42" s="489"/>
      <c r="M42" s="490"/>
      <c r="N42" s="87"/>
      <c r="O42" s="88"/>
      <c r="P42" s="88"/>
    </row>
    <row r="43" spans="1:16" ht="25.5" x14ac:dyDescent="0.2">
      <c r="B43" s="222" t="s">
        <v>398</v>
      </c>
      <c r="C43" s="258">
        <f>IF(ISNA(VLOOKUP("USAB",EDW_FEEDER!$T$2:$AH$86,2,FALSE))=TRUE,"",VLOOKUP("USAB",EDW_FEEDER!$T$2:$AH$86,2,FALSE))</f>
        <v>10719</v>
      </c>
      <c r="D43" s="259">
        <f>IF(ISNA(VLOOKUP("USAB",EDW_FEEDER!$T$2:$AH$86,3,FALSE))=TRUE,"",VLOOKUP("USAB",EDW_FEEDER!$T$2:$AH$86,3,FALSE))</f>
        <v>93.7</v>
      </c>
      <c r="E43" s="260">
        <f>IF(ISNA(VLOOKUP("USAB",EDW_FEEDER!$T$2:$AH$86,4,FALSE))=TRUE,"",VLOOKUP("USAB",EDW_FEEDER!$T$2:$AH$86,4,FALSE))</f>
        <v>0.30451</v>
      </c>
      <c r="F43" s="258">
        <f>IF(ISNA(VLOOKUP("USAB",EDW_FEEDER!$T$2:$AH$86,5,FALSE))=TRUE,"",VLOOKUP("USAB",EDW_FEEDER!$T$2:$AH$86,5,FALSE))</f>
        <v>1414</v>
      </c>
      <c r="G43" s="258">
        <f>IF(ISNA(VLOOKUP("USAB",EDW_FEEDER!$T$2:$AH$86,6,FALSE))=TRUE,"",VLOOKUP("USAB",EDW_FEEDER!$T$2:$AH$870,6,FALSE))</f>
        <v>9783</v>
      </c>
      <c r="H43" s="259">
        <f>IF(ISNA(VLOOKUP("USAB",EDW_FEEDER!$T$2:$AH$86,7,FALSE))=TRUE,"",VLOOKUP("USAB",EDW_FEEDER!$T$2:$AH$86,7,FALSE))</f>
        <v>168.7</v>
      </c>
      <c r="I43" s="259">
        <f>IF(ISNA(VLOOKUP("USAB",EDW_FEEDER!$T$2:$AH$86,8,FALSE))=TRUE,"",VLOOKUP("USAB",EDW_FEEDER!$T$2:$AH$86,8,FALSE))</f>
        <v>153.1</v>
      </c>
      <c r="J43" s="261"/>
      <c r="K43" s="261"/>
      <c r="L43" s="261"/>
      <c r="M43" s="261"/>
      <c r="N43" s="87"/>
      <c r="O43" s="88"/>
      <c r="P43" s="88"/>
    </row>
    <row r="44" spans="1:16" x14ac:dyDescent="0.2">
      <c r="B44" s="221" t="s">
        <v>97</v>
      </c>
      <c r="C44" s="258">
        <f>IF(ISNA(VLOOKUP("Winston-Salem BDD",EDW_FEEDER!$T$2:$AH$86,2,FALSE))=TRUE,"",VLOOKUP("Winston-Salem BDD",EDW_FEEDER!$T$2:$AH$86,2,FALSE))</f>
        <v>3839</v>
      </c>
      <c r="D44" s="259">
        <f>IF(ISNA(VLOOKUP("Winston-Salem BDD",EDW_FEEDER!$T$2:$AH$86,3,FALSE))=TRUE,"",VLOOKUP("Winston-Salem BDD",EDW_FEEDER!$T$2:$AH$86,3,FALSE))</f>
        <v>88.5</v>
      </c>
      <c r="E44" s="260">
        <f>IF(ISNA(VLOOKUP("Winston-Salem BDD",EDW_FEEDER!$T$2:$AH$86,4,FALSE))=TRUE,"",VLOOKUP("Winston-Salem BDD",EDW_FEEDER!$T$2:$AH$86,4,FALSE))</f>
        <v>0.26439000000000001</v>
      </c>
      <c r="F44" s="258">
        <f>IF(ISNA(VLOOKUP("Winston-Salem BDD",EDW_FEEDER!$T$2:$AH$86,5,FALSE))=TRUE,"",VLOOKUP("Winston-Salem BDD",EDW_FEEDER!$T$2:$AH$86,5,FALSE))</f>
        <v>424</v>
      </c>
      <c r="G44" s="258">
        <f>IF(ISNA(VLOOKUP("Winston-Salem BDD",EDW_FEEDER!$T$2:$AH$86,6,FALSE))=TRUE,"",VLOOKUP("Winston-Salem BDD",EDW_FEEDER!$T$2:$AH$870,6,FALSE))</f>
        <v>3582</v>
      </c>
      <c r="H44" s="259">
        <f>IF(ISNA(VLOOKUP("Winston-Salem BDD",EDW_FEEDER!$T$2:$AH$86,7,FALSE))=TRUE,"",VLOOKUP("Winston-Salem BDD",EDW_FEEDER!$T$2:$AH$86,7,FALSE))</f>
        <v>150.80000000000001</v>
      </c>
      <c r="I44" s="259">
        <f>IF(ISNA(VLOOKUP("Winston-Salem BDD",EDW_FEEDER!$T$2:$AH$86,8,FALSE))=TRUE,"",VLOOKUP("Winston-Salem BDD",EDW_FEEDER!$T$2:$AH$86,8,FALSE))</f>
        <v>105.4</v>
      </c>
      <c r="J44" s="261"/>
      <c r="K44" s="261"/>
      <c r="L44" s="261"/>
      <c r="M44" s="261"/>
    </row>
    <row r="45" spans="1:16" x14ac:dyDescent="0.2">
      <c r="B45" s="221" t="s">
        <v>84</v>
      </c>
      <c r="C45" s="258">
        <f>IF(ISNA(VLOOKUP("Salt Lake City BDD",EDW_FEEDER!$T$2:$AH$86,2,FALSE))=TRUE,"",VLOOKUP("Salt Lake City BDD",EDW_FEEDER!$T$2:$AH$86,2,FALSE))</f>
        <v>4786</v>
      </c>
      <c r="D45" s="259">
        <f>IF(ISNA(VLOOKUP("Salt Lake City BDD",EDW_FEEDER!$T$2:$AH$86,3,FALSE))=TRUE,"",VLOOKUP("Salt Lake City BDD",EDW_FEEDER!$T$2:$AH$86,3,FALSE))</f>
        <v>106</v>
      </c>
      <c r="E45" s="260">
        <f>IF(ISNA(VLOOKUP("Salt Lake City BDD",EDW_FEEDER!$T$2:$AH$86,4,FALSE))=TRUE,"",VLOOKUP("Salt Lake City BDD",EDW_FEEDER!$T$2:$AH$86,4,FALSE))</f>
        <v>0.39177000000000001</v>
      </c>
      <c r="F45" s="258">
        <f>IF(ISNA(VLOOKUP("Salt Lake City BDD",EDW_FEEDER!$T$2:$AH$86,5,FALSE))=TRUE,"",VLOOKUP("Salt Lake City BDD",EDW_FEEDER!$T$2:$AH$86,5,FALSE))</f>
        <v>835</v>
      </c>
      <c r="G45" s="258">
        <f>IF(ISNA(VLOOKUP("Salt Lake City BDD",EDW_FEEDER!$T$2:$AH$86,6,FALSE))=TRUE,"",VLOOKUP("Salt Lake City BDD",EDW_FEEDER!$T$2:$AH$86,6,FALSE))</f>
        <v>5358</v>
      </c>
      <c r="H45" s="259">
        <f>IF(ISNA(VLOOKUP("Salt Lake City BDD",EDW_FEEDER!$T$2:$AH$86,7,FALSE))=TRUE,"",VLOOKUP("Salt Lake City BDD",EDW_FEEDER!$T$2:$AH$870,7,FALSE))</f>
        <v>183.7</v>
      </c>
      <c r="I45" s="259">
        <f>IF(ISNA(VLOOKUP("Salt Lake City BDD",EDW_FEEDER!$T$2:$AH$86,8,FALSE))=TRUE,"",VLOOKUP("Salt Lake City BDD",EDW_FEEDER!$T$2:$AH$86,8,FALSE))</f>
        <v>184.2</v>
      </c>
      <c r="J45" s="261"/>
      <c r="K45" s="261"/>
      <c r="L45" s="261"/>
      <c r="M45" s="261"/>
    </row>
    <row r="46" spans="1:16" x14ac:dyDescent="0.2">
      <c r="B46" s="115" t="s">
        <v>434</v>
      </c>
      <c r="C46" s="258">
        <f>IF(ISNA(VLOOKUP(B46,EDW_FEEDER!$T$2:$AH$86,2,FALSE))=TRUE,"",VLOOKUP(B46,EDW_FEEDER!$T$2:$AH$86,2,FALSE))</f>
        <v>2094</v>
      </c>
      <c r="D46" s="259">
        <f>IF(ISNA(VLOOKUP(B46,EDW_FEEDER!$T$2:$AH$86,3,FALSE))=TRUE,"",VLOOKUP(B46,EDW_FEEDER!$T$2:$AH$86,3,FALSE))</f>
        <v>75.5</v>
      </c>
      <c r="E46" s="260">
        <f>IF(ISNA(VLOOKUP(B46,EDW_FEEDER!$T$2:$AH$86,4,FALSE))=TRUE,"",VLOOKUP(B46,EDW_FEEDER!$T$2:$AH$86,4,FALSE))</f>
        <v>0.17860999999999999</v>
      </c>
      <c r="F46" s="258">
        <f>IF(ISNA(VLOOKUP(B46,EDW_FEEDER!$T$2:$AH$86,5,FALSE))=TRUE,"",VLOOKUP(B46,EDW_FEEDER!$T$2:$AH$86,5,FALSE))</f>
        <v>155</v>
      </c>
      <c r="G46" s="258">
        <f>IF(ISNA(VLOOKUP(B46,EDW_FEEDER!$T$2:$AH$86,6,FALSE))=TRUE,"",VLOOKUP(B46,EDW_FEEDER!$T$2:$AH$86,6,FALSE))</f>
        <v>843</v>
      </c>
      <c r="H46" s="259">
        <f>IF(ISNA(VLOOKUP(B46,EDW_FEEDER!$T$2:$AH$86,7,FALSE))=TRUE,"",VLOOKUP(B46,EDW_FEEDER!$T$2:$AH$870,7,FALSE))</f>
        <v>136.69999999999999</v>
      </c>
      <c r="I46" s="259">
        <f>IF(ISNA(VLOOKUP(B46,EDW_FEEDER!$T$2:$AH$86,8,FALSE))=TRUE,"",VLOOKUP(B46,EDW_FEEDER!$T$2:$AH$86,8,FALSE))</f>
        <v>158</v>
      </c>
      <c r="J46" s="261"/>
      <c r="K46" s="261"/>
      <c r="L46" s="261"/>
      <c r="M46" s="261"/>
    </row>
    <row r="48" spans="1:16" ht="12.75" customHeight="1" x14ac:dyDescent="0.2">
      <c r="C48" s="226"/>
      <c r="D48" s="226"/>
      <c r="E48" s="226"/>
      <c r="F48" s="226"/>
      <c r="G48" s="226"/>
      <c r="H48" s="226"/>
      <c r="I48" s="226"/>
      <c r="J48" s="226"/>
      <c r="K48" s="226"/>
      <c r="L48" s="226"/>
      <c r="M48" s="226"/>
    </row>
    <row r="49" spans="2:13" ht="12.75" customHeight="1" x14ac:dyDescent="0.2">
      <c r="B49" s="227"/>
      <c r="C49" s="227"/>
      <c r="D49" s="227"/>
      <c r="E49" s="227"/>
      <c r="F49" s="227"/>
      <c r="G49" s="227"/>
      <c r="H49" s="227"/>
      <c r="I49" s="227"/>
      <c r="J49" s="227"/>
      <c r="K49" s="227"/>
      <c r="L49" s="227"/>
      <c r="M49" s="227"/>
    </row>
    <row r="50" spans="2:13" ht="12.75" customHeight="1" x14ac:dyDescent="0.2">
      <c r="B50" s="227"/>
      <c r="C50" s="227"/>
      <c r="D50" s="227"/>
      <c r="E50" s="227"/>
      <c r="F50" s="227"/>
      <c r="G50" s="227"/>
      <c r="H50" s="227"/>
      <c r="I50" s="227"/>
      <c r="J50" s="227"/>
      <c r="K50" s="227"/>
      <c r="L50" s="227"/>
      <c r="M50" s="227"/>
    </row>
    <row r="51" spans="2:13" ht="12.75" customHeight="1" x14ac:dyDescent="0.2">
      <c r="B51" s="227"/>
      <c r="C51" s="227"/>
      <c r="D51" s="227"/>
      <c r="E51" s="227"/>
      <c r="F51" s="227"/>
      <c r="G51" s="227"/>
      <c r="H51" s="227"/>
      <c r="I51" s="227"/>
      <c r="J51" s="227"/>
      <c r="K51" s="227"/>
      <c r="L51" s="227"/>
      <c r="M51" s="227"/>
    </row>
    <row r="52" spans="2:13" ht="12.75" customHeight="1" x14ac:dyDescent="0.2">
      <c r="B52" s="227"/>
      <c r="C52" s="227"/>
      <c r="D52" s="227"/>
      <c r="E52" s="227"/>
      <c r="F52" s="227"/>
      <c r="G52" s="227"/>
      <c r="H52" s="227"/>
      <c r="I52" s="227"/>
      <c r="J52" s="227"/>
      <c r="K52" s="227"/>
      <c r="L52" s="227"/>
      <c r="M52" s="227"/>
    </row>
    <row r="53" spans="2:13" ht="12.75" customHeight="1" x14ac:dyDescent="0.2">
      <c r="B53" s="227"/>
      <c r="C53" s="227"/>
      <c r="D53" s="227"/>
      <c r="E53" s="227"/>
      <c r="F53" s="227"/>
      <c r="G53" s="227"/>
      <c r="H53" s="227"/>
      <c r="I53" s="227"/>
      <c r="J53" s="227"/>
      <c r="K53" s="227"/>
      <c r="L53" s="227"/>
      <c r="M53" s="227"/>
    </row>
    <row r="54" spans="2:13" ht="12.75" customHeight="1" x14ac:dyDescent="0.2">
      <c r="B54" s="227"/>
      <c r="C54" s="227"/>
      <c r="D54" s="227"/>
      <c r="E54" s="227"/>
      <c r="F54" s="227"/>
      <c r="G54" s="227"/>
      <c r="H54" s="227"/>
      <c r="I54" s="227"/>
      <c r="J54" s="227"/>
      <c r="K54" s="227"/>
      <c r="L54" s="227"/>
      <c r="M54" s="227"/>
    </row>
    <row r="55" spans="2:13" ht="12.75" customHeight="1" x14ac:dyDescent="0.2">
      <c r="B55" s="227"/>
      <c r="C55" s="227"/>
      <c r="D55" s="227"/>
      <c r="E55" s="227"/>
      <c r="F55" s="227"/>
      <c r="G55" s="227"/>
      <c r="H55" s="227"/>
      <c r="I55" s="227"/>
      <c r="J55" s="227"/>
      <c r="K55" s="227"/>
      <c r="L55" s="227"/>
      <c r="M55" s="227"/>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3"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501" t="s">
        <v>393</v>
      </c>
      <c r="D1" s="502"/>
      <c r="E1" s="502"/>
      <c r="F1" s="502"/>
      <c r="G1" s="502"/>
      <c r="H1" s="502"/>
      <c r="I1" s="502"/>
      <c r="J1" s="501" t="s">
        <v>399</v>
      </c>
      <c r="K1" s="502"/>
      <c r="L1" s="502"/>
      <c r="M1" s="511"/>
    </row>
    <row r="2" spans="2:16" ht="24" customHeight="1" thickBot="1" x14ac:dyDescent="0.4">
      <c r="B2" s="228"/>
      <c r="C2" s="503"/>
      <c r="D2" s="504"/>
      <c r="E2" s="504"/>
      <c r="F2" s="504"/>
      <c r="G2" s="504"/>
      <c r="H2" s="504"/>
      <c r="I2" s="504"/>
      <c r="J2" s="503" t="str">
        <f>Transformation!B5</f>
        <v>As of February 21, 2015</v>
      </c>
      <c r="K2" s="504"/>
      <c r="L2" s="504"/>
      <c r="M2" s="512"/>
    </row>
    <row r="3" spans="2:16" ht="51.75" customHeight="1" thickBot="1" x14ac:dyDescent="0.25">
      <c r="B3" s="228"/>
      <c r="C3" s="491" t="s">
        <v>428</v>
      </c>
      <c r="D3" s="492"/>
      <c r="E3" s="492"/>
      <c r="F3" s="492"/>
      <c r="G3" s="492"/>
      <c r="H3" s="492"/>
      <c r="I3" s="492"/>
      <c r="J3" s="492"/>
      <c r="K3" s="492"/>
      <c r="L3" s="492"/>
      <c r="M3" s="493"/>
    </row>
    <row r="4" spans="2:16" ht="22.5" customHeight="1" thickBot="1" x14ac:dyDescent="0.3">
      <c r="B4" s="219"/>
      <c r="C4" s="505" t="s">
        <v>236</v>
      </c>
      <c r="D4" s="506"/>
      <c r="E4" s="506"/>
      <c r="F4" s="506"/>
      <c r="G4" s="506"/>
      <c r="H4" s="506"/>
      <c r="I4" s="506"/>
      <c r="J4" s="506"/>
      <c r="K4" s="506"/>
      <c r="L4" s="506"/>
      <c r="M4" s="507"/>
    </row>
    <row r="5" spans="2:16" ht="55.5" customHeight="1" x14ac:dyDescent="0.2">
      <c r="B5" s="99"/>
      <c r="C5" s="66" t="s">
        <v>222</v>
      </c>
      <c r="D5" s="513" t="s">
        <v>23</v>
      </c>
      <c r="E5" s="514"/>
      <c r="F5" s="61" t="s">
        <v>225</v>
      </c>
      <c r="G5" s="513" t="s">
        <v>230</v>
      </c>
      <c r="H5" s="515"/>
      <c r="I5" s="61" t="s">
        <v>228</v>
      </c>
      <c r="J5" s="62" t="s">
        <v>17</v>
      </c>
      <c r="K5" s="61" t="s">
        <v>233</v>
      </c>
      <c r="L5" s="516" t="s">
        <v>99</v>
      </c>
      <c r="M5" s="517"/>
    </row>
    <row r="6" spans="2:16" ht="51.75" customHeight="1" x14ac:dyDescent="0.2">
      <c r="B6" s="99"/>
      <c r="C6" s="67" t="s">
        <v>223</v>
      </c>
      <c r="D6" s="508" t="s">
        <v>0</v>
      </c>
      <c r="E6" s="509"/>
      <c r="F6" s="63" t="s">
        <v>226</v>
      </c>
      <c r="G6" s="510" t="s">
        <v>231</v>
      </c>
      <c r="H6" s="510"/>
      <c r="I6" s="63" t="s">
        <v>229</v>
      </c>
      <c r="J6" s="31" t="s">
        <v>26</v>
      </c>
      <c r="K6" s="63" t="s">
        <v>234</v>
      </c>
      <c r="L6" s="518" t="s">
        <v>101</v>
      </c>
      <c r="M6" s="519"/>
    </row>
    <row r="7" spans="2:16" ht="51.75" customHeight="1" thickBot="1" x14ac:dyDescent="0.25">
      <c r="B7" s="99"/>
      <c r="C7" s="68" t="s">
        <v>224</v>
      </c>
      <c r="D7" s="499" t="s">
        <v>25</v>
      </c>
      <c r="E7" s="500"/>
      <c r="F7" s="64" t="s">
        <v>227</v>
      </c>
      <c r="G7" s="496" t="s">
        <v>24</v>
      </c>
      <c r="H7" s="496"/>
      <c r="I7" s="64" t="s">
        <v>232</v>
      </c>
      <c r="J7" s="65" t="s">
        <v>98</v>
      </c>
      <c r="K7" s="64" t="s">
        <v>235</v>
      </c>
      <c r="L7" s="497" t="s">
        <v>100</v>
      </c>
      <c r="M7" s="498"/>
    </row>
    <row r="8" spans="2:16" ht="14.25" customHeight="1" x14ac:dyDescent="0.4">
      <c r="C8" s="46"/>
      <c r="D8" s="46"/>
      <c r="E8" s="46"/>
      <c r="F8" s="46"/>
      <c r="G8" s="46"/>
      <c r="H8" s="46"/>
      <c r="I8" s="46"/>
      <c r="J8" s="46"/>
      <c r="K8" s="46"/>
      <c r="L8" s="46"/>
    </row>
    <row r="9" spans="2:16" ht="15.75" customHeight="1" x14ac:dyDescent="0.2">
      <c r="C9" s="494" t="s">
        <v>390</v>
      </c>
      <c r="D9" s="494"/>
      <c r="E9" s="494"/>
      <c r="F9" s="494"/>
      <c r="G9" s="494"/>
      <c r="H9" s="494"/>
      <c r="I9" s="494"/>
      <c r="J9" s="494"/>
      <c r="K9" s="494"/>
      <c r="L9" s="494"/>
      <c r="M9" s="495"/>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IF(ISNA(VLOOKUP($B11,EDW_FEEDER!$T$2:$AH$86,9,FALSE))=TRUE,"",VLOOKUP($B11,EDW_FEEDER!$T$2:$AH$86,9,FALSE))</f>
        <v>488859</v>
      </c>
      <c r="D11" s="259">
        <f>IF(ISNA(VLOOKUP(B11,EDW_FEEDER!$T$2:$AH$86,10,FALSE))=TRUE,"",VLOOKUP(B11,EDW_FEEDER!$T$2:$AH$86,10,FALSE))</f>
        <v>144.4</v>
      </c>
      <c r="E11" s="260">
        <f>IF(ISNA(VLOOKUP(B11,EDW_FEEDER!$T$2:$AH$86,11,FALSE))=TRUE,"",VLOOKUP(B11,EDW_FEEDER!$T$2:$AH$870,11,FALSE))</f>
        <v>0.45929999999999999</v>
      </c>
      <c r="F11" s="258">
        <f>IF(ISNA(VLOOKUP(B11,EDW_FEEDER!$T$2:$AH$86,12,FALSE))=TRUE,"",VLOOKUP(B11,EDW_FEEDER!$T$2:$AH$86,12,FALSE))</f>
        <v>81118</v>
      </c>
      <c r="G11" s="258">
        <f>IF(ISNA(VLOOKUP(B11,EDW_FEEDER!$T$2:$AH$86,13,FALSE))=TRUE,"",VLOOKUP(B11,EDW_FEEDER!$T$2:$AH$86,13,FALSE))</f>
        <v>504599</v>
      </c>
      <c r="H11" s="259">
        <f>IF(ISNA(VLOOKUP(B11,EDW_FEEDER!$T$2:$AH$86,14,FALSE))=TRUE,"",VLOOKUP(B11,EDW_FEEDER!$T$2:$AH$86,14,FALSE))</f>
        <v>184.6</v>
      </c>
      <c r="I11" s="259">
        <f>IF(ISNA(VLOOKUP(B11,EDW_FEEDER!$T$2:$AH$86,15,FALSE))=TRUE,"",VLOOKUP(B11,EDW_FEEDER!$T$2:$AH$86,15,FALSE))</f>
        <v>186.2</v>
      </c>
      <c r="J11" s="105"/>
      <c r="K11" s="105"/>
      <c r="L11" s="105"/>
      <c r="M11" s="105"/>
      <c r="P11" s="70" t="s">
        <v>151</v>
      </c>
    </row>
    <row r="12" spans="2:16" x14ac:dyDescent="0.2">
      <c r="B12" s="486" t="s">
        <v>385</v>
      </c>
      <c r="C12" s="487"/>
      <c r="D12" s="487"/>
      <c r="E12" s="487"/>
      <c r="F12" s="487"/>
      <c r="G12" s="487"/>
      <c r="H12" s="487"/>
      <c r="I12" s="487"/>
      <c r="J12" s="487"/>
      <c r="K12" s="487"/>
      <c r="L12" s="487"/>
      <c r="M12" s="488"/>
      <c r="P12" s="190" t="s">
        <v>152</v>
      </c>
    </row>
    <row r="13" spans="2:16" x14ac:dyDescent="0.2">
      <c r="B13" s="111" t="s">
        <v>386</v>
      </c>
      <c r="C13" s="258">
        <f>IF(ISNA(VLOOKUP("USAV",EDW_FEEDER!$T$2:$AH$86,9,FALSE))=TRUE,"",VLOOKUP("USAV",EDW_FEEDER!$T$2:$AH$86,9,FALSE))</f>
        <v>449706</v>
      </c>
      <c r="D13" s="259">
        <f>IF(ISNA(VLOOKUP("USAV",EDW_FEEDER!$T$2:$AH$86,10,FALSE))=TRUE,"",VLOOKUP("USAV",EDW_FEEDER!$T$2:$AH$86,10,FALSE))</f>
        <v>150.30000000000001</v>
      </c>
      <c r="E13" s="260">
        <f>IF(ISNA(VLOOKUP("USAV",EDW_FEEDER!$T$2:$AH$86,11,FALSE))=TRUE,"",VLOOKUP("USAV",EDW_FEEDER!$T$2:$AH$870,11,FALSE))</f>
        <v>0.4819</v>
      </c>
      <c r="F13" s="258">
        <f>IF(ISNA(VLOOKUP("USAV",EDW_FEEDER!$T$2:$AH$86,12,FALSE))=TRUE,"",VLOOKUP("USAV",EDW_FEEDER!$T$2:$AH$86,12,FALSE))</f>
        <v>68922</v>
      </c>
      <c r="G13" s="258">
        <f>IF(ISNA(VLOOKUP("USAV",EDW_FEEDER!$T$2:$AH$86,13,FALSE))=TRUE,"",VLOOKUP("USAV",EDW_FEEDER!$T$2:$AH$86,13,FALSE))</f>
        <v>426879</v>
      </c>
      <c r="H13" s="259">
        <f>IF(ISNA(VLOOKUP("USAV",EDW_FEEDER!$T$2:$AH$86,14,FALSE))=TRUE,"",VLOOKUP("USAV",EDW_FEEDER!$T$2:$AH$86,14,FALSE))</f>
        <v>201.6</v>
      </c>
      <c r="I13" s="259">
        <f>IF(ISNA(VLOOKUP("USAV",EDW_FEEDER!$T$2:$AH$86,15,FALSE))=TRUE,"",VLOOKUP("USAV",EDW_FEEDER!$T$2:$AH$86,15,FALSE))</f>
        <v>204.7</v>
      </c>
      <c r="J13" s="105"/>
      <c r="K13" s="105"/>
      <c r="L13" s="105"/>
      <c r="M13" s="105"/>
      <c r="P13" s="190" t="s">
        <v>9</v>
      </c>
    </row>
    <row r="14" spans="2:16" x14ac:dyDescent="0.2">
      <c r="B14" s="223" t="s">
        <v>149</v>
      </c>
      <c r="C14" s="258">
        <f>IF(ISNA(VLOOKUP($B14,EDW_FEEDER!$T$2:$AH$86,9,FALSE))=TRUE,"",VLOOKUP($B14,EDW_FEEDER!$T$2:$AH$86,9,FALSE))</f>
        <v>88904</v>
      </c>
      <c r="D14" s="259">
        <f>IF(ISNA(VLOOKUP(B14,EDW_FEEDER!$T$2:$AH$86,10,FALSE))=TRUE,"",VLOOKUP(B14,EDW_FEEDER!$T$2:$AH$86,10,FALSE))</f>
        <v>152.80000000000001</v>
      </c>
      <c r="E14" s="260">
        <f>IF(ISNA(VLOOKUP(B14,EDW_FEEDER!$T$2:$AH$86,11,FALSE))=TRUE,"",VLOOKUP(B14,EDW_FEEDER!$T$2:$AH$870,11,FALSE))</f>
        <v>0.49220999999999998</v>
      </c>
      <c r="F14" s="258">
        <f>IF(ISNA(VLOOKUP(B14,EDW_FEEDER!$T$2:$AH$86,12,FALSE))=TRUE,"",VLOOKUP(B14,EDW_FEEDER!$T$2:$AH$86,12,FALSE))</f>
        <v>14496</v>
      </c>
      <c r="G14" s="258">
        <f>IF(ISNA(VLOOKUP(B14,EDW_FEEDER!$T$2:$AH$86,13,FALSE))=TRUE,"",VLOOKUP(B14,EDW_FEEDER!$T$2:$AH$86,13,FALSE))</f>
        <v>88015</v>
      </c>
      <c r="H14" s="259">
        <f>IF(ISNA(VLOOKUP(B14,EDW_FEEDER!$T$2:$AH$86,14,FALSE))=TRUE,"",VLOOKUP(B14,EDW_FEEDER!$T$2:$AH$86,14,FALSE))</f>
        <v>197.9</v>
      </c>
      <c r="I14" s="259">
        <f>IF(ISNA(VLOOKUP(B14,EDW_FEEDER!$T$2:$AH$86,15,FALSE))=TRUE,"",VLOOKUP(B14,EDW_FEEDER!$T$2:$AH$86,15,FALSE))</f>
        <v>199.3</v>
      </c>
      <c r="J14" s="105"/>
      <c r="K14" s="105"/>
      <c r="L14" s="105"/>
      <c r="M14" s="105"/>
    </row>
    <row r="15" spans="2:16" x14ac:dyDescent="0.2">
      <c r="B15" s="112" t="str">
        <f>IF(ISBLANK(VLOOKUP($B$14,EDW_FEEDER!$A$117:$AK$121,2,FALSE))=TRUE,"",VLOOKUP($B$14,EDW_FEEDER!$A$117:$AK$121,2,FALSE))</f>
        <v>Baltimore</v>
      </c>
      <c r="C15" s="258">
        <f>IF(ISNA(VLOOKUP($B15,EDW_FEEDER!$T$2:$AH$86,9,FALSE))=TRUE,"",VLOOKUP($B15,EDW_FEEDER!$T$2:$AH$86,9,FALSE))</f>
        <v>2467</v>
      </c>
      <c r="D15" s="259">
        <f>IF(ISNA(VLOOKUP(B15,EDW_FEEDER!$T$2:$AH$86,10,FALSE))=TRUE,"",VLOOKUP(B15,EDW_FEEDER!$T$2:$AH$86,10,FALSE))</f>
        <v>153.69999999999999</v>
      </c>
      <c r="E15" s="260">
        <f>IF(ISNA(VLOOKUP(B15,EDW_FEEDER!$T$2:$AH$86,11,FALSE))=TRUE,"",VLOOKUP(B15,EDW_FEEDER!$T$2:$AH$870,11,FALSE))</f>
        <v>0.47222999999999998</v>
      </c>
      <c r="F15" s="258">
        <f>IF(ISNA(VLOOKUP(B15,EDW_FEEDER!$T$2:$AH$86,12,FALSE))=TRUE,"",VLOOKUP(B15,EDW_FEEDER!$T$2:$AH$86,12,FALSE))</f>
        <v>346</v>
      </c>
      <c r="G15" s="258">
        <f>IF(ISNA(VLOOKUP(B15,EDW_FEEDER!$T$2:$AH$86,13,FALSE))=TRUE,"",VLOOKUP(B15,EDW_FEEDER!$T$2:$AH$86,13,FALSE))</f>
        <v>1874</v>
      </c>
      <c r="H15" s="259">
        <f>IF(ISNA(VLOOKUP(B15,EDW_FEEDER!$T$2:$AH$86,14,FALSE))=TRUE,"",VLOOKUP(B15,EDW_FEEDER!$T$2:$AH$86,14,FALSE))</f>
        <v>294.2</v>
      </c>
      <c r="I15" s="259">
        <f>IF(ISNA(VLOOKUP(B15,EDW_FEEDER!$T$2:$AH$86,15,FALSE))=TRUE,"",VLOOKUP(B15,EDW_FEEDER!$T$2:$AH$86,15,FALSE))</f>
        <v>353.6</v>
      </c>
      <c r="J15" s="105"/>
      <c r="K15" s="105"/>
      <c r="L15" s="105"/>
      <c r="M15" s="105"/>
    </row>
    <row r="16" spans="2:16" x14ac:dyDescent="0.2">
      <c r="B16" s="112" t="str">
        <f>IF(ISBLANK(VLOOKUP($B$14,EDW_FEEDER!$A$117:$AK$121,3,FALSE))=TRUE,"",VLOOKUP($B$14,EDW_FEEDER!$A$117:$AK$121,3,FALSE))</f>
        <v>Boston</v>
      </c>
      <c r="C16" s="258">
        <f>IF(ISNA(VLOOKUP($B16,EDW_FEEDER!$T$2:$AH$86,9,FALSE))=TRUE,"",VLOOKUP($B16,EDW_FEEDER!$T$2:$AH$86,9,FALSE))</f>
        <v>3752</v>
      </c>
      <c r="D16" s="259">
        <f>IF(ISNA(VLOOKUP(B16,EDW_FEEDER!$T$2:$AH$86,10,FALSE))=TRUE,"",VLOOKUP(B16,EDW_FEEDER!$T$2:$AH$86,10,FALSE))</f>
        <v>161.1</v>
      </c>
      <c r="E16" s="260">
        <f>IF(ISNA(VLOOKUP(B16,EDW_FEEDER!$T$2:$AH$86,11,FALSE))=TRUE,"",VLOOKUP(B16,EDW_FEEDER!$T$2:$AH$870,11,FALSE))</f>
        <v>0.504</v>
      </c>
      <c r="F16" s="258">
        <f>IF(ISNA(VLOOKUP(B16,EDW_FEEDER!$T$2:$AH$86,12,FALSE))=TRUE,"",VLOOKUP(B16,EDW_FEEDER!$T$2:$AH$86,12,FALSE))</f>
        <v>567</v>
      </c>
      <c r="G16" s="258">
        <f>IF(ISNA(VLOOKUP(B16,EDW_FEEDER!$T$2:$AH$86,13,FALSE))=TRUE,"",VLOOKUP(B16,EDW_FEEDER!$T$2:$AH$86,13,FALSE))</f>
        <v>3395</v>
      </c>
      <c r="H16" s="259">
        <f>IF(ISNA(VLOOKUP(B16,EDW_FEEDER!$T$2:$AH$86,14,FALSE))=TRUE,"",VLOOKUP(B16,EDW_FEEDER!$T$2:$AH$86,14,FALSE))</f>
        <v>201.6</v>
      </c>
      <c r="I16" s="259">
        <f>IF(ISNA(VLOOKUP(B16,EDW_FEEDER!$T$2:$AH$86,15,FALSE))=TRUE,"",VLOOKUP(B16,EDW_FEEDER!$T$2:$AH$86,15,FALSE))</f>
        <v>241.6</v>
      </c>
      <c r="J16" s="105"/>
      <c r="K16" s="105"/>
      <c r="L16" s="105"/>
      <c r="M16" s="105"/>
    </row>
    <row r="17" spans="2:13" x14ac:dyDescent="0.2">
      <c r="B17" s="112" t="str">
        <f>IF(ISBLANK(VLOOKUP($B$14,EDW_FEEDER!$A$117:$AK$121,4,FALSE))=TRUE,"",VLOOKUP($B$14,EDW_FEEDER!$A$117:$AK$121,4,FALSE))</f>
        <v>Buffalo</v>
      </c>
      <c r="C17" s="258">
        <f>IF(ISNA(VLOOKUP($B17,EDW_FEEDER!$T$2:$AH$86,9,FALSE))=TRUE,"",VLOOKUP($B17,EDW_FEEDER!$T$2:$AH$86,9,FALSE))</f>
        <v>4843</v>
      </c>
      <c r="D17" s="259">
        <f>IF(ISNA(VLOOKUP(B17,EDW_FEEDER!$T$2:$AH$86,10,FALSE))=TRUE,"",VLOOKUP(B17,EDW_FEEDER!$T$2:$AH$86,10,FALSE))</f>
        <v>148.4</v>
      </c>
      <c r="E17" s="260">
        <f>IF(ISNA(VLOOKUP(B17,EDW_FEEDER!$T$2:$AH$86,11,FALSE))=TRUE,"",VLOOKUP(B17,EDW_FEEDER!$T$2:$AH$870,11,FALSE))</f>
        <v>0.49370000000000003</v>
      </c>
      <c r="F17" s="258">
        <f>IF(ISNA(VLOOKUP(B17,EDW_FEEDER!$T$2:$AH$86,12,FALSE))=TRUE,"",VLOOKUP(B17,EDW_FEEDER!$T$2:$AH$86,12,FALSE))</f>
        <v>691</v>
      </c>
      <c r="G17" s="258">
        <f>IF(ISNA(VLOOKUP(B17,EDW_FEEDER!$T$2:$AH$86,13,FALSE))=TRUE,"",VLOOKUP(B17,EDW_FEEDER!$T$2:$AH$86,13,FALSE))</f>
        <v>4325</v>
      </c>
      <c r="H17" s="259">
        <f>IF(ISNA(VLOOKUP(B17,EDW_FEEDER!$T$2:$AH$86,14,FALSE))=TRUE,"",VLOOKUP(B17,EDW_FEEDER!$T$2:$AH$86,14,FALSE))</f>
        <v>230.9</v>
      </c>
      <c r="I17" s="259">
        <f>IF(ISNA(VLOOKUP(B17,EDW_FEEDER!$T$2:$AH$86,15,FALSE))=TRUE,"",VLOOKUP(B17,EDW_FEEDER!$T$2:$AH$86,15,FALSE))</f>
        <v>236.7</v>
      </c>
      <c r="J17" s="105"/>
      <c r="K17" s="105"/>
      <c r="L17" s="105"/>
      <c r="M17" s="105"/>
    </row>
    <row r="18" spans="2:13" x14ac:dyDescent="0.2">
      <c r="B18" s="112" t="str">
        <f>IF(ISBLANK(VLOOKUP($B$14,EDW_FEEDER!$A$117:$AK$121,5,FALSE))=TRUE,"",VLOOKUP($B$14,EDW_FEEDER!$A$117:$AK$121,5,FALSE))</f>
        <v>Cleveland</v>
      </c>
      <c r="C18" s="258">
        <f>IF(ISNA(VLOOKUP($B18,EDW_FEEDER!$T$2:$AH$86,9,FALSE))=TRUE,"",VLOOKUP($B18,EDW_FEEDER!$T$2:$AH$86,9,FALSE))</f>
        <v>14024</v>
      </c>
      <c r="D18" s="259">
        <f>IF(ISNA(VLOOKUP(B18,EDW_FEEDER!$T$2:$AH$86,10,FALSE))=TRUE,"",VLOOKUP(B18,EDW_FEEDER!$T$2:$AH$86,10,FALSE))</f>
        <v>153.4</v>
      </c>
      <c r="E18" s="260">
        <f>IF(ISNA(VLOOKUP(B18,EDW_FEEDER!$T$2:$AH$86,11,FALSE))=TRUE,"",VLOOKUP(B18,EDW_FEEDER!$T$2:$AH$870,11,FALSE))</f>
        <v>0.49380000000000002</v>
      </c>
      <c r="F18" s="258">
        <f>IF(ISNA(VLOOKUP(B18,EDW_FEEDER!$T$2:$AH$86,12,FALSE))=TRUE,"",VLOOKUP(B18,EDW_FEEDER!$T$2:$AH$86,12,FALSE))</f>
        <v>2273</v>
      </c>
      <c r="G18" s="258">
        <f>IF(ISNA(VLOOKUP(B18,EDW_FEEDER!$T$2:$AH$86,13,FALSE))=TRUE,"",VLOOKUP(B18,EDW_FEEDER!$T$2:$AH$86,13,FALSE))</f>
        <v>13377</v>
      </c>
      <c r="H18" s="259">
        <f>IF(ISNA(VLOOKUP(B18,EDW_FEEDER!$T$2:$AH$86,14,FALSE))=TRUE,"",VLOOKUP(B18,EDW_FEEDER!$T$2:$AH$86,14,FALSE))</f>
        <v>182.2</v>
      </c>
      <c r="I18" s="259">
        <f>IF(ISNA(VLOOKUP(B18,EDW_FEEDER!$T$2:$AH$86,15,FALSE))=TRUE,"",VLOOKUP(B18,EDW_FEEDER!$T$2:$AH$86,15,FALSE))</f>
        <v>181.1</v>
      </c>
      <c r="J18" s="105"/>
      <c r="K18" s="105"/>
      <c r="L18" s="105"/>
      <c r="M18" s="105"/>
    </row>
    <row r="19" spans="2:13" x14ac:dyDescent="0.2">
      <c r="B19" s="112" t="str">
        <f>IF(ISBLANK(VLOOKUP($B$14,EDW_FEEDER!$A$117:$AK$121,6,FALSE))=TRUE,"",VLOOKUP($B$14,EDW_FEEDER!$A$117:$AK$121,6,FALSE))</f>
        <v>Detroit</v>
      </c>
      <c r="C19" s="258">
        <f>IF(ISNA(VLOOKUP($B19,EDW_FEEDER!$T$2:$AH$86,9,FALSE))=TRUE,"",VLOOKUP($B19,EDW_FEEDER!$T$2:$AH$86,9,FALSE))</f>
        <v>10046</v>
      </c>
      <c r="D19" s="259">
        <f>IF(ISNA(VLOOKUP(B19,EDW_FEEDER!$T$2:$AH$86,10,FALSE))=TRUE,"",VLOOKUP(B19,EDW_FEEDER!$T$2:$AH$86,10,FALSE))</f>
        <v>130.19999999999999</v>
      </c>
      <c r="E19" s="260">
        <f>IF(ISNA(VLOOKUP(B19,EDW_FEEDER!$T$2:$AH$86,11,FALSE))=TRUE,"",VLOOKUP(B19,EDW_FEEDER!$T$2:$AH$870,11,FALSE))</f>
        <v>0.42354999999999998</v>
      </c>
      <c r="F19" s="258">
        <f>IF(ISNA(VLOOKUP(B19,EDW_FEEDER!$T$2:$AH$86,12,FALSE))=TRUE,"",VLOOKUP(B19,EDW_FEEDER!$T$2:$AH$86,12,FALSE))</f>
        <v>1691</v>
      </c>
      <c r="G19" s="258">
        <f>IF(ISNA(VLOOKUP(B19,EDW_FEEDER!$T$2:$AH$86,13,FALSE))=TRUE,"",VLOOKUP(B19,EDW_FEEDER!$T$2:$AH$86,13,FALSE))</f>
        <v>10372</v>
      </c>
      <c r="H19" s="259">
        <f>IF(ISNA(VLOOKUP(B19,EDW_FEEDER!$T$2:$AH$86,14,FALSE))=TRUE,"",VLOOKUP(B19,EDW_FEEDER!$T$2:$AH$86,14,FALSE))</f>
        <v>186.5</v>
      </c>
      <c r="I19" s="259">
        <f>IF(ISNA(VLOOKUP(B19,EDW_FEEDER!$T$2:$AH$86,15,FALSE))=TRUE,"",VLOOKUP(B19,EDW_FEEDER!$T$2:$AH$86,15,FALSE))</f>
        <v>186.7</v>
      </c>
      <c r="J19" s="105"/>
      <c r="K19" s="105"/>
      <c r="L19" s="105"/>
      <c r="M19" s="105"/>
    </row>
    <row r="20" spans="2:13" x14ac:dyDescent="0.2">
      <c r="B20" s="112" t="str">
        <f>IF(ISBLANK(VLOOKUP($B$14,EDW_FEEDER!$A$117:$AK$121,7,FALSE))=TRUE,"",VLOOKUP($B$14,EDW_FEEDER!$A$117:$AK$121,7,FALSE))</f>
        <v>Hartford</v>
      </c>
      <c r="C20" s="258">
        <f>IF(ISNA(VLOOKUP($B20,EDW_FEEDER!$T$2:$AH$86,9,FALSE))=TRUE,"",VLOOKUP($B20,EDW_FEEDER!$T$2:$AH$86,9,FALSE))</f>
        <v>3507</v>
      </c>
      <c r="D20" s="259">
        <f>IF(ISNA(VLOOKUP(B20,EDW_FEEDER!$T$2:$AH$86,10,FALSE))=TRUE,"",VLOOKUP(B20,EDW_FEEDER!$T$2:$AH$86,10,FALSE))</f>
        <v>136.9</v>
      </c>
      <c r="E20" s="260">
        <f>IF(ISNA(VLOOKUP(B20,EDW_FEEDER!$T$2:$AH$86,11,FALSE))=TRUE,"",VLOOKUP(B20,EDW_FEEDER!$T$2:$AH$870,11,FALSE))</f>
        <v>0.44624999999999998</v>
      </c>
      <c r="F20" s="258">
        <f>IF(ISNA(VLOOKUP(B20,EDW_FEEDER!$T$2:$AH$86,12,FALSE))=TRUE,"",VLOOKUP(B20,EDW_FEEDER!$T$2:$AH$86,12,FALSE))</f>
        <v>565</v>
      </c>
      <c r="G20" s="258">
        <f>IF(ISNA(VLOOKUP(B20,EDW_FEEDER!$T$2:$AH$86,13,FALSE))=TRUE,"",VLOOKUP(B20,EDW_FEEDER!$T$2:$AH$86,13,FALSE))</f>
        <v>3457</v>
      </c>
      <c r="H20" s="259">
        <f>IF(ISNA(VLOOKUP(B20,EDW_FEEDER!$T$2:$AH$86,14,FALSE))=TRUE,"",VLOOKUP(B20,EDW_FEEDER!$T$2:$AH$86,14,FALSE))</f>
        <v>199.9</v>
      </c>
      <c r="I20" s="259">
        <f>IF(ISNA(VLOOKUP(B20,EDW_FEEDER!$T$2:$AH$86,15,FALSE))=TRUE,"",VLOOKUP(B20,EDW_FEEDER!$T$2:$AH$86,15,FALSE))</f>
        <v>175.5</v>
      </c>
      <c r="J20" s="105"/>
      <c r="K20" s="105"/>
      <c r="L20" s="105"/>
      <c r="M20" s="105"/>
    </row>
    <row r="21" spans="2:13" x14ac:dyDescent="0.2">
      <c r="B21" s="112" t="str">
        <f>IF(ISBLANK(VLOOKUP($B$14,EDW_FEEDER!$A$117:$AK$121,8,FALSE))=TRUE,"",VLOOKUP($B$14,EDW_FEEDER!$A$117:$AK$121,8,FALSE))</f>
        <v>Indianapolis</v>
      </c>
      <c r="C21" s="258">
        <f>IF(ISNA(VLOOKUP($B21,EDW_FEEDER!$T$2:$AH$86,9,FALSE))=TRUE,"",VLOOKUP($B21,EDW_FEEDER!$T$2:$AH$86,9,FALSE))</f>
        <v>6759</v>
      </c>
      <c r="D21" s="259">
        <f>IF(ISNA(VLOOKUP(B21,EDW_FEEDER!$T$2:$AH$86,10,FALSE))=TRUE,"",VLOOKUP(B21,EDW_FEEDER!$T$2:$AH$86,10,FALSE))</f>
        <v>162.80000000000001</v>
      </c>
      <c r="E21" s="260">
        <f>IF(ISNA(VLOOKUP(B21,EDW_FEEDER!$T$2:$AH$86,11,FALSE))=TRUE,"",VLOOKUP(B21,EDW_FEEDER!$T$2:$AH$870,11,FALSE))</f>
        <v>0.52685000000000004</v>
      </c>
      <c r="F21" s="258">
        <f>IF(ISNA(VLOOKUP(B21,EDW_FEEDER!$T$2:$AH$86,12,FALSE))=TRUE,"",VLOOKUP(B21,EDW_FEEDER!$T$2:$AH$86,12,FALSE))</f>
        <v>772</v>
      </c>
      <c r="G21" s="258">
        <f>IF(ISNA(VLOOKUP(B21,EDW_FEEDER!$T$2:$AH$86,13,FALSE))=TRUE,"",VLOOKUP(B21,EDW_FEEDER!$T$2:$AH$86,13,FALSE))</f>
        <v>5560</v>
      </c>
      <c r="H21" s="259">
        <f>IF(ISNA(VLOOKUP(B21,EDW_FEEDER!$T$2:$AH$86,14,FALSE))=TRUE,"",VLOOKUP(B21,EDW_FEEDER!$T$2:$AH$86,14,FALSE))</f>
        <v>263.8</v>
      </c>
      <c r="I21" s="259">
        <f>IF(ISNA(VLOOKUP(B21,EDW_FEEDER!$T$2:$AH$86,15,FALSE))=TRUE,"",VLOOKUP(B21,EDW_FEEDER!$T$2:$AH$86,15,FALSE))</f>
        <v>244.5</v>
      </c>
      <c r="J21" s="105"/>
      <c r="K21" s="105"/>
      <c r="L21" s="105"/>
      <c r="M21" s="105"/>
    </row>
    <row r="22" spans="2:13" x14ac:dyDescent="0.2">
      <c r="B22" s="112" t="str">
        <f>IF(ISBLANK(VLOOKUP($B$14,EDW_FEEDER!$A$117:$AK$121,9,FALSE))=TRUE,"",VLOOKUP($B$14,EDW_FEEDER!$A$117:$AK$121,9,FALSE))</f>
        <v>Manchester</v>
      </c>
      <c r="C22" s="258">
        <f>IF(ISNA(VLOOKUP($B22,EDW_FEEDER!$T$2:$AH$86,9,FALSE))=TRUE,"",VLOOKUP($B22,EDW_FEEDER!$T$2:$AH$86,9,FALSE))</f>
        <v>1862</v>
      </c>
      <c r="D22" s="259">
        <f>IF(ISNA(VLOOKUP(B22,EDW_FEEDER!$T$2:$AH$86,10,FALSE))=TRUE,"",VLOOKUP(B22,EDW_FEEDER!$T$2:$AH$86,10,FALSE))</f>
        <v>133.1</v>
      </c>
      <c r="E22" s="260">
        <f>IF(ISNA(VLOOKUP(B22,EDW_FEEDER!$T$2:$AH$86,11,FALSE))=TRUE,"",VLOOKUP(B22,EDW_FEEDER!$T$2:$AH$870,11,FALSE))</f>
        <v>0.41567999999999999</v>
      </c>
      <c r="F22" s="258">
        <f>IF(ISNA(VLOOKUP(B22,EDW_FEEDER!$T$2:$AH$86,12,FALSE))=TRUE,"",VLOOKUP(B22,EDW_FEEDER!$T$2:$AH$86,12,FALSE))</f>
        <v>238</v>
      </c>
      <c r="G22" s="258">
        <f>IF(ISNA(VLOOKUP(B22,EDW_FEEDER!$T$2:$AH$86,13,FALSE))=TRUE,"",VLOOKUP(B22,EDW_FEEDER!$T$2:$AH$86,13,FALSE))</f>
        <v>1679</v>
      </c>
      <c r="H22" s="259">
        <f>IF(ISNA(VLOOKUP(B22,EDW_FEEDER!$T$2:$AH$86,14,FALSE))=TRUE,"",VLOOKUP(B22,EDW_FEEDER!$T$2:$AH$86,14,FALSE))</f>
        <v>211.9</v>
      </c>
      <c r="I22" s="259">
        <f>IF(ISNA(VLOOKUP(B22,EDW_FEEDER!$T$2:$AH$86,15,FALSE))=TRUE,"",VLOOKUP(B22,EDW_FEEDER!$T$2:$AH$86,15,FALSE))</f>
        <v>210.7</v>
      </c>
      <c r="J22" s="105"/>
      <c r="K22" s="105"/>
      <c r="L22" s="105"/>
      <c r="M22" s="105"/>
    </row>
    <row r="23" spans="2:13" x14ac:dyDescent="0.2">
      <c r="B23" s="112" t="str">
        <f>IF(ISBLANK(VLOOKUP($B$14,EDW_FEEDER!$A$117:$AK$121,10,FALSE))=TRUE,"",VLOOKUP($B$14,EDW_FEEDER!$A$117:$AK$121,10,FALSE))</f>
        <v>New York</v>
      </c>
      <c r="C23" s="258">
        <f>IF(ISNA(VLOOKUP($B23,EDW_FEEDER!$T$2:$AH$86,9,FALSE))=TRUE,"",VLOOKUP($B23,EDW_FEEDER!$T$2:$AH$86,9,FALSE))</f>
        <v>5594</v>
      </c>
      <c r="D23" s="259">
        <f>IF(ISNA(VLOOKUP(B23,EDW_FEEDER!$T$2:$AH$86,10,FALSE))=TRUE,"",VLOOKUP(B23,EDW_FEEDER!$T$2:$AH$86,10,FALSE))</f>
        <v>130.30000000000001</v>
      </c>
      <c r="E23" s="260">
        <f>IF(ISNA(VLOOKUP(B23,EDW_FEEDER!$T$2:$AH$86,11,FALSE))=TRUE,"",VLOOKUP(B23,EDW_FEEDER!$T$2:$AH$870,11,FALSE))</f>
        <v>0.39989000000000002</v>
      </c>
      <c r="F23" s="258">
        <f>IF(ISNA(VLOOKUP(B23,EDW_FEEDER!$T$2:$AH$86,12,FALSE))=TRUE,"",VLOOKUP(B23,EDW_FEEDER!$T$2:$AH$86,12,FALSE))</f>
        <v>899</v>
      </c>
      <c r="G23" s="258">
        <f>IF(ISNA(VLOOKUP(B23,EDW_FEEDER!$T$2:$AH$86,13,FALSE))=TRUE,"",VLOOKUP(B23,EDW_FEEDER!$T$2:$AH$86,13,FALSE))</f>
        <v>5118</v>
      </c>
      <c r="H23" s="259">
        <f>IF(ISNA(VLOOKUP(B23,EDW_FEEDER!$T$2:$AH$86,14,FALSE))=TRUE,"",VLOOKUP(B23,EDW_FEEDER!$T$2:$AH$86,14,FALSE))</f>
        <v>215.3</v>
      </c>
      <c r="I23" s="259">
        <f>IF(ISNA(VLOOKUP(B23,EDW_FEEDER!$T$2:$AH$86,15,FALSE))=TRUE,"",VLOOKUP(B23,EDW_FEEDER!$T$2:$AH$86,15,FALSE))</f>
        <v>233.5</v>
      </c>
      <c r="J23" s="105"/>
      <c r="K23" s="105"/>
      <c r="L23" s="105"/>
      <c r="M23" s="105"/>
    </row>
    <row r="24" spans="2:13" x14ac:dyDescent="0.2">
      <c r="B24" s="112" t="str">
        <f>IF(ISBLANK(VLOOKUP($B$14,EDW_FEEDER!$A$117:$AK$121,11,FALSE))=TRUE,"",VLOOKUP($B$14,EDW_FEEDER!$A$117:$AK$121,11,FALSE))</f>
        <v>Newark</v>
      </c>
      <c r="C24" s="258">
        <f>IF(ISNA(VLOOKUP($B24,EDW_FEEDER!$T$2:$AH$86,9,FALSE))=TRUE,"",VLOOKUP($B24,EDW_FEEDER!$T$2:$AH$86,9,FALSE))</f>
        <v>3082</v>
      </c>
      <c r="D24" s="259">
        <f>IF(ISNA(VLOOKUP(B24,EDW_FEEDER!$T$2:$AH$86,10,FALSE))=TRUE,"",VLOOKUP(B24,EDW_FEEDER!$T$2:$AH$86,10,FALSE))</f>
        <v>121.5</v>
      </c>
      <c r="E24" s="260">
        <f>IF(ISNA(VLOOKUP(B24,EDW_FEEDER!$T$2:$AH$86,11,FALSE))=TRUE,"",VLOOKUP(B24,EDW_FEEDER!$T$2:$AH$870,11,FALSE))</f>
        <v>0.41433999999999999</v>
      </c>
      <c r="F24" s="258">
        <f>IF(ISNA(VLOOKUP(B24,EDW_FEEDER!$T$2:$AH$86,12,FALSE))=TRUE,"",VLOOKUP(B24,EDW_FEEDER!$T$2:$AH$86,12,FALSE))</f>
        <v>527</v>
      </c>
      <c r="G24" s="258">
        <f>IF(ISNA(VLOOKUP(B24,EDW_FEEDER!$T$2:$AH$86,13,FALSE))=TRUE,"",VLOOKUP(B24,EDW_FEEDER!$T$2:$AH$86,13,FALSE))</f>
        <v>2923</v>
      </c>
      <c r="H24" s="259">
        <f>IF(ISNA(VLOOKUP(B24,EDW_FEEDER!$T$2:$AH$86,14,FALSE))=TRUE,"",VLOOKUP(B24,EDW_FEEDER!$T$2:$AH$86,14,FALSE))</f>
        <v>172.8</v>
      </c>
      <c r="I24" s="259">
        <f>IF(ISNA(VLOOKUP(B24,EDW_FEEDER!$T$2:$AH$86,15,FALSE))=TRUE,"",VLOOKUP(B24,EDW_FEEDER!$T$2:$AH$86,15,FALSE))</f>
        <v>174.3</v>
      </c>
      <c r="J24" s="105"/>
      <c r="K24" s="105"/>
      <c r="L24" s="105"/>
      <c r="M24" s="105"/>
    </row>
    <row r="25" spans="2:13" x14ac:dyDescent="0.2">
      <c r="B25" s="113" t="str">
        <f>IF(ISBLANK(VLOOKUP($B$14,EDW_FEEDER!$A$117:$AK$121,12,FALSE))=TRUE,"",VLOOKUP($B$14,EDW_FEEDER!$A$117:$AK$121,12,FALSE))</f>
        <v>Philadelphia (Non-PMC)</v>
      </c>
      <c r="C25" s="258">
        <f>IF(ISNA(VLOOKUP($B25,EDW_FEEDER!$T$2:$AH$86,9,FALSE))=TRUE,"",VLOOKUP($B25,EDW_FEEDER!$T$2:$AH$86,9,FALSE))</f>
        <v>11919</v>
      </c>
      <c r="D25" s="259">
        <f>IF(ISNA(VLOOKUP(B25,EDW_FEEDER!$T$2:$AH$86,10,FALSE))=TRUE,"",VLOOKUP(B25,EDW_FEEDER!$T$2:$AH$86,10,FALSE))</f>
        <v>166.6</v>
      </c>
      <c r="E25" s="260">
        <f>IF(ISNA(VLOOKUP(B25,EDW_FEEDER!$T$2:$AH$86,11,FALSE))=TRUE,"",VLOOKUP(B25,EDW_FEEDER!$T$2:$AH$870,11,FALSE))</f>
        <v>0.54510000000000003</v>
      </c>
      <c r="F25" s="258">
        <f>IF(ISNA(VLOOKUP(B25,EDW_FEEDER!$T$2:$AH$86,12,FALSE))=TRUE,"",VLOOKUP(B25,EDW_FEEDER!$T$2:$AH$86,12,FALSE))</f>
        <v>1878</v>
      </c>
      <c r="G25" s="258">
        <f>IF(ISNA(VLOOKUP(B25,EDW_FEEDER!$T$2:$AH$86,13,FALSE))=TRUE,"",VLOOKUP(B25,EDW_FEEDER!$T$2:$AH$86,13,FALSE))</f>
        <v>11501</v>
      </c>
      <c r="H25" s="259">
        <f>IF(ISNA(VLOOKUP(B25,EDW_FEEDER!$T$2:$AH$86,14,FALSE))=TRUE,"",VLOOKUP(B25,EDW_FEEDER!$T$2:$AH$86,14,FALSE))</f>
        <v>254.2</v>
      </c>
      <c r="I25" s="259">
        <f>IF(ISNA(VLOOKUP(B25,EDW_FEEDER!$T$2:$AH$86,15,FALSE))=TRUE,"",VLOOKUP(B25,EDW_FEEDER!$T$2:$AH$86,15,FALSE))</f>
        <v>257.7</v>
      </c>
      <c r="J25" s="105"/>
      <c r="K25" s="105"/>
      <c r="L25" s="105"/>
      <c r="M25" s="105"/>
    </row>
    <row r="26" spans="2:13" x14ac:dyDescent="0.2">
      <c r="B26" s="112" t="str">
        <f>IF(ISBLANK(VLOOKUP($B$14,EDW_FEEDER!$A$117:$AK$121,13,FALSE))=TRUE,"",VLOOKUP($B$14,EDW_FEEDER!$A$117:$AK$121,13,FALSE))</f>
        <v>Pittsburgh</v>
      </c>
      <c r="C26" s="258">
        <f>IF(ISNA(VLOOKUP($B26,EDW_FEEDER!$T$2:$AH$86,9,FALSE))=TRUE,"",VLOOKUP($B26,EDW_FEEDER!$T$2:$AH$86,9,FALSE))</f>
        <v>5020</v>
      </c>
      <c r="D26" s="259">
        <f>IF(ISNA(VLOOKUP(B26,EDW_FEEDER!$T$2:$AH$86,10,FALSE))=TRUE,"",VLOOKUP(B26,EDW_FEEDER!$T$2:$AH$86,10,FALSE))</f>
        <v>161.5</v>
      </c>
      <c r="E26" s="260">
        <f>IF(ISNA(VLOOKUP(B26,EDW_FEEDER!$T$2:$AH$86,11,FALSE))=TRUE,"",VLOOKUP(B26,EDW_FEEDER!$T$2:$AH$870,11,FALSE))</f>
        <v>0.48964000000000002</v>
      </c>
      <c r="F26" s="258">
        <f>IF(ISNA(VLOOKUP(B26,EDW_FEEDER!$T$2:$AH$86,12,FALSE))=TRUE,"",VLOOKUP(B26,EDW_FEEDER!$T$2:$AH$86,12,FALSE))</f>
        <v>705</v>
      </c>
      <c r="G26" s="258">
        <f>IF(ISNA(VLOOKUP(B26,EDW_FEEDER!$T$2:$AH$86,13,FALSE))=TRUE,"",VLOOKUP(B26,EDW_FEEDER!$T$2:$AH$86,13,FALSE))</f>
        <v>4402</v>
      </c>
      <c r="H26" s="259">
        <f>IF(ISNA(VLOOKUP(B26,EDW_FEEDER!$T$2:$AH$86,14,FALSE))=TRUE,"",VLOOKUP(B26,EDW_FEEDER!$T$2:$AH$86,14,FALSE))</f>
        <v>236.8</v>
      </c>
      <c r="I26" s="259">
        <f>IF(ISNA(VLOOKUP(B26,EDW_FEEDER!$T$2:$AH$86,15,FALSE))=TRUE,"",VLOOKUP(B26,EDW_FEEDER!$T$2:$AH$86,15,FALSE))</f>
        <v>233.6</v>
      </c>
      <c r="J26" s="105"/>
      <c r="K26" s="105"/>
      <c r="L26" s="105"/>
      <c r="M26" s="105"/>
    </row>
    <row r="27" spans="2:13" x14ac:dyDescent="0.2">
      <c r="B27" s="112" t="str">
        <f>IF(ISBLANK(VLOOKUP($B$14,EDW_FEEDER!$A$117:$AK$121,14,FALSE))=TRUE,"",VLOOKUP($B$14,EDW_FEEDER!$A$117:$AK$121,14,FALSE))</f>
        <v>Providence</v>
      </c>
      <c r="C27" s="258">
        <f>IF(ISNA(VLOOKUP($B27,EDW_FEEDER!$T$2:$AH$86,9,FALSE))=TRUE,"",VLOOKUP($B27,EDW_FEEDER!$T$2:$AH$86,9,FALSE))</f>
        <v>6731</v>
      </c>
      <c r="D27" s="259">
        <f>IF(ISNA(VLOOKUP(B27,EDW_FEEDER!$T$2:$AH$86,10,FALSE))=TRUE,"",VLOOKUP(B27,EDW_FEEDER!$T$2:$AH$86,10,FALSE))</f>
        <v>136</v>
      </c>
      <c r="E27" s="260">
        <f>IF(ISNA(VLOOKUP(B27,EDW_FEEDER!$T$2:$AH$86,11,FALSE))=TRUE,"",VLOOKUP(B27,EDW_FEEDER!$T$2:$AH$870,11,FALSE))</f>
        <v>0.45341999999999999</v>
      </c>
      <c r="F27" s="258">
        <f>IF(ISNA(VLOOKUP(B27,EDW_FEEDER!$T$2:$AH$86,12,FALSE))=TRUE,"",VLOOKUP(B27,EDW_FEEDER!$T$2:$AH$86,12,FALSE))</f>
        <v>1974</v>
      </c>
      <c r="G27" s="258">
        <f>IF(ISNA(VLOOKUP(B27,EDW_FEEDER!$T$2:$AH$86,13,FALSE))=TRUE,"",VLOOKUP(B27,EDW_FEEDER!$T$2:$AH$86,13,FALSE))</f>
        <v>11244</v>
      </c>
      <c r="H27" s="259">
        <f>IF(ISNA(VLOOKUP(B27,EDW_FEEDER!$T$2:$AH$86,14,FALSE))=TRUE,"",VLOOKUP(B27,EDW_FEEDER!$T$2:$AH$86,14,FALSE))</f>
        <v>86.6</v>
      </c>
      <c r="I27" s="259">
        <f>IF(ISNA(VLOOKUP(B27,EDW_FEEDER!$T$2:$AH$86,15,FALSE))=TRUE,"",VLOOKUP(B27,EDW_FEEDER!$T$2:$AH$86,15,FALSE))</f>
        <v>74.7</v>
      </c>
      <c r="J27" s="105"/>
      <c r="K27" s="105"/>
      <c r="L27" s="105"/>
      <c r="M27" s="105"/>
    </row>
    <row r="28" spans="2:13" x14ac:dyDescent="0.2">
      <c r="B28" s="112" t="str">
        <f>IF(ISBLANK(VLOOKUP($B$14,EDW_FEEDER!$A$117:$AK$121,15,FALSE))=TRUE,"",VLOOKUP($B$14,EDW_FEEDER!$A$117:$AK$121,15,FALSE))</f>
        <v>Togus</v>
      </c>
      <c r="C28" s="258">
        <f>IF(ISNA(VLOOKUP($B28,EDW_FEEDER!$T$2:$AH$86,9,FALSE))=TRUE,"",VLOOKUP($B28,EDW_FEEDER!$T$2:$AH$86,9,FALSE))</f>
        <v>7503</v>
      </c>
      <c r="D28" s="259">
        <f>IF(ISNA(VLOOKUP(B28,EDW_FEEDER!$T$2:$AH$86,10,FALSE))=TRUE,"",VLOOKUP(B28,EDW_FEEDER!$T$2:$AH$86,10,FALSE))</f>
        <v>197</v>
      </c>
      <c r="E28" s="260">
        <f>IF(ISNA(VLOOKUP(B28,EDW_FEEDER!$T$2:$AH$86,11,FALSE))=TRUE,"",VLOOKUP(B28,EDW_FEEDER!$T$2:$AH$870,11,FALSE))</f>
        <v>0.62627999999999995</v>
      </c>
      <c r="F28" s="258">
        <f>IF(ISNA(VLOOKUP(B28,EDW_FEEDER!$T$2:$AH$86,12,FALSE))=TRUE,"",VLOOKUP(B28,EDW_FEEDER!$T$2:$AH$86,12,FALSE))</f>
        <v>1087</v>
      </c>
      <c r="G28" s="258">
        <f>IF(ISNA(VLOOKUP(B28,EDW_FEEDER!$T$2:$AH$86,13,FALSE))=TRUE,"",VLOOKUP(B28,EDW_FEEDER!$T$2:$AH$86,13,FALSE))</f>
        <v>7089</v>
      </c>
      <c r="H28" s="259">
        <f>IF(ISNA(VLOOKUP(B28,EDW_FEEDER!$T$2:$AH$86,14,FALSE))=TRUE,"",VLOOKUP(B28,EDW_FEEDER!$T$2:$AH$86,14,FALSE))</f>
        <v>213.1</v>
      </c>
      <c r="I28" s="259">
        <f>IF(ISNA(VLOOKUP(B28,EDW_FEEDER!$T$2:$AH$86,15,FALSE))=TRUE,"",VLOOKUP(B28,EDW_FEEDER!$T$2:$AH$86,15,FALSE))</f>
        <v>204.8</v>
      </c>
      <c r="J28" s="105"/>
      <c r="K28" s="105"/>
      <c r="L28" s="105"/>
      <c r="M28" s="105"/>
    </row>
    <row r="29" spans="2:13" x14ac:dyDescent="0.2">
      <c r="B29" s="112" t="str">
        <f>IF(ISBLANK(VLOOKUP($B$14,EDW_FEEDER!$A$117:$AK$121,16,FALSE))=TRUE,"",VLOOKUP($B$14,EDW_FEEDER!$A$117:$AK$121,16,FALSE))</f>
        <v>White River J.</v>
      </c>
      <c r="C29" s="258">
        <f>IF(ISNA(VLOOKUP($B29,EDW_FEEDER!$T$2:$AH$86,9,FALSE))=TRUE,"",VLOOKUP($B29,EDW_FEEDER!$T$2:$AH$86,9,FALSE))</f>
        <v>778</v>
      </c>
      <c r="D29" s="259">
        <f>IF(ISNA(VLOOKUP(B29,EDW_FEEDER!$T$2:$AH$86,10,FALSE))=TRUE,"",VLOOKUP(B29,EDW_FEEDER!$T$2:$AH$86,10,FALSE))</f>
        <v>162.80000000000001</v>
      </c>
      <c r="E29" s="260">
        <f>IF(ISNA(VLOOKUP(B29,EDW_FEEDER!$T$2:$AH$86,11,FALSE))=TRUE,"",VLOOKUP(B29,EDW_FEEDER!$T$2:$AH$870,11,FALSE))</f>
        <v>0.56040999999999996</v>
      </c>
      <c r="F29" s="258">
        <f>IF(ISNA(VLOOKUP(B29,EDW_FEEDER!$T$2:$AH$86,12,FALSE))=TRUE,"",VLOOKUP(B29,EDW_FEEDER!$T$2:$AH$86,12,FALSE))</f>
        <v>157</v>
      </c>
      <c r="G29" s="258">
        <f>IF(ISNA(VLOOKUP(B29,EDW_FEEDER!$T$2:$AH$86,13,FALSE))=TRUE,"",VLOOKUP(B29,EDW_FEEDER!$T$2:$AH$86,13,FALSE))</f>
        <v>847</v>
      </c>
      <c r="H29" s="259">
        <f>IF(ISNA(VLOOKUP(B29,EDW_FEEDER!$T$2:$AH$86,14,FALSE))=TRUE,"",VLOOKUP(B29,EDW_FEEDER!$T$2:$AH$86,14,FALSE))</f>
        <v>244.7</v>
      </c>
      <c r="I29" s="259">
        <f>IF(ISNA(VLOOKUP(B29,EDW_FEEDER!$T$2:$AH$86,15,FALSE))=TRUE,"",VLOOKUP(B29,EDW_FEEDER!$T$2:$AH$86,15,FALSE))</f>
        <v>203</v>
      </c>
      <c r="J29" s="105"/>
      <c r="K29" s="105"/>
      <c r="L29" s="105"/>
      <c r="M29" s="105"/>
    </row>
    <row r="30" spans="2:13" x14ac:dyDescent="0.2">
      <c r="B30" s="114" t="str">
        <f>IF(ISBLANK(VLOOKUP($B$14,EDW_FEEDER!$A$117:$AK$121,17,FALSE))=TRUE,"",VLOOKUP($B$14,EDW_FEEDER!$A$117:$AK$121,17,FALSE))</f>
        <v>Wilmington</v>
      </c>
      <c r="C30" s="258">
        <f>IF(ISNA(VLOOKUP($B30,EDW_FEEDER!$T$2:$AH$86,9,FALSE))=TRUE,"",VLOOKUP($B30,EDW_FEEDER!$T$2:$AH$86,9,FALSE))</f>
        <v>1017</v>
      </c>
      <c r="D30" s="259">
        <f>IF(ISNA(VLOOKUP(B30,EDW_FEEDER!$T$2:$AH$86,10,FALSE))=TRUE,"",VLOOKUP(B30,EDW_FEEDER!$T$2:$AH$86,10,FALSE))</f>
        <v>168.4</v>
      </c>
      <c r="E30" s="260">
        <f>IF(ISNA(VLOOKUP(B30,EDW_FEEDER!$T$2:$AH$86,11,FALSE))=TRUE,"",VLOOKUP(B30,EDW_FEEDER!$T$2:$AH$870,11,FALSE))</f>
        <v>0.56637000000000004</v>
      </c>
      <c r="F30" s="258">
        <f>IF(ISNA(VLOOKUP(B30,EDW_FEEDER!$T$2:$AH$86,12,FALSE))=TRUE,"",VLOOKUP(B30,EDW_FEEDER!$T$2:$AH$86,12,FALSE))</f>
        <v>126</v>
      </c>
      <c r="G30" s="258">
        <f>IF(ISNA(VLOOKUP(B30,EDW_FEEDER!$T$2:$AH$86,13,FALSE))=TRUE,"",VLOOKUP(B30,EDW_FEEDER!$T$2:$AH$86,13,FALSE))</f>
        <v>852</v>
      </c>
      <c r="H30" s="259">
        <f>IF(ISNA(VLOOKUP(B30,EDW_FEEDER!$T$2:$AH$86,14,FALSE))=TRUE,"",VLOOKUP(B30,EDW_FEEDER!$T$2:$AH$86,14,FALSE))</f>
        <v>216.5</v>
      </c>
      <c r="I30" s="259">
        <f>IF(ISNA(VLOOKUP(B30,EDW_FEEDER!$T$2:$AH$86,15,FALSE))=TRUE,"",VLOOKUP(B30,EDW_FEEDER!$T$2:$AH$86,15,FALSE))</f>
        <v>226</v>
      </c>
      <c r="J30" s="105"/>
      <c r="K30" s="105"/>
      <c r="L30" s="105"/>
      <c r="M30" s="105"/>
    </row>
    <row r="31" spans="2:13" x14ac:dyDescent="0.2">
      <c r="B31" s="486" t="s">
        <v>297</v>
      </c>
      <c r="C31" s="487"/>
      <c r="D31" s="487"/>
      <c r="E31" s="487"/>
      <c r="F31" s="487"/>
      <c r="G31" s="487"/>
      <c r="H31" s="487"/>
      <c r="I31" s="487"/>
      <c r="J31" s="487"/>
      <c r="K31" s="487"/>
      <c r="L31" s="487"/>
      <c r="M31" s="488"/>
    </row>
    <row r="32" spans="2:13" x14ac:dyDescent="0.2">
      <c r="B32" s="220" t="s">
        <v>387</v>
      </c>
      <c r="C32" s="258">
        <f>IF(ISNA(VLOOKUP("USAP",EDW_FEEDER!$T$2:$AH$86,9,FALSE))=TRUE,"",VLOOKUP("USAP",EDW_FEEDER!$T$2:$AH$86,9,FALSE))</f>
        <v>18964</v>
      </c>
      <c r="D32" s="259">
        <f>IF(ISNA(VLOOKUP("USAP",EDW_FEEDER!$T$2:$AH$86,10,FALSE))=TRUE,"",VLOOKUP("USAP",EDW_FEEDER!$T$2:$AH$86,10,FALSE))</f>
        <v>61.1</v>
      </c>
      <c r="E32" s="260">
        <f>IF(ISNA(VLOOKUP("USAP",EDW_FEEDER!$T$2:$AH$86,11,FALSE))=TRUE,"",VLOOKUP("USAP",EDW_FEEDER!$T$2:$AH$870,11,FALSE))</f>
        <v>9.8339999999999997E-2</v>
      </c>
      <c r="F32" s="258">
        <f>IF(ISNA(VLOOKUP("USAP",EDW_FEEDER!$T$2:$AH$86,12,FALSE))=TRUE,"",VLOOKUP("USAP",EDW_FEEDER!$T$2:$AH$86,12,FALSE))</f>
        <v>9250</v>
      </c>
      <c r="G32" s="258">
        <f>IF(ISNA(VLOOKUP("USAP",EDW_FEEDER!$T$2:$AH$86,13,FALSE))=TRUE,"",VLOOKUP("USAP",EDW_FEEDER!$T$2:$AH$86,13,FALSE))</f>
        <v>57938</v>
      </c>
      <c r="H32" s="259">
        <f>IF(ISNA(VLOOKUP("USAP",EDW_FEEDER!$T$2:$AH$86,14,FALSE))=TRUE,"",VLOOKUP("USAP",EDW_FEEDER!$T$2:$AH$86,14,FALSE))</f>
        <v>66.5</v>
      </c>
      <c r="I32" s="259">
        <f>IF(ISNA(VLOOKUP("USAP",EDW_FEEDER!$T$2:$AH$86,15,FALSE))=TRUE,"",VLOOKUP("USAP",EDW_FEEDER!$T$2:$AH$86,15,FALSE))</f>
        <v>65.400000000000006</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8">
        <f>IF(ISNA(VLOOKUP($B33,EDW_FEEDER!$T$2:$AH$86,9,FALSE))=TRUE,"",VLOOKUP($B33,EDW_FEEDER!$T$2:$AH$86,9,FALSE))</f>
        <v>6782</v>
      </c>
      <c r="D33" s="259">
        <f>IF(ISNA(VLOOKUP(B33,EDW_FEEDER!$T$2:$AH$86,10,FALSE))=TRUE,"",VLOOKUP(B33,EDW_FEEDER!$T$2:$AH$86,10,FALSE))</f>
        <v>64.8</v>
      </c>
      <c r="E33" s="260">
        <f>IF(ISNA(VLOOKUP(B33,EDW_FEEDER!$T$2:$AH$86,11,FALSE))=TRUE,"",VLOOKUP(B33,EDW_FEEDER!$T$2:$AH$870,11,FALSE))</f>
        <v>0.10041</v>
      </c>
      <c r="F33" s="258">
        <f>IF(ISNA(VLOOKUP(B33,EDW_FEEDER!$T$2:$AH$86,12,FALSE))=TRUE,"",VLOOKUP(B33,EDW_FEEDER!$T$2:$AH$86,12,FALSE))</f>
        <v>2724</v>
      </c>
      <c r="G33" s="258">
        <f>IF(ISNA(VLOOKUP(B33,EDW_FEEDER!$T$2:$AH$86,13,FALSE))=TRUE,"",VLOOKUP(B33,EDW_FEEDER!$T$2:$AH$86,13,FALSE))</f>
        <v>17467</v>
      </c>
      <c r="H33" s="259">
        <f>IF(ISNA(VLOOKUP(B33,EDW_FEEDER!$T$2:$AH$86,14,FALSE))=TRUE,"",VLOOKUP(B33,EDW_FEEDER!$T$2:$AH$86,14,FALSE))</f>
        <v>77.599999999999994</v>
      </c>
      <c r="I33" s="259">
        <f>IF(ISNA(VLOOKUP(B33,EDW_FEEDER!$T$2:$AH$86,15,FALSE))=TRUE,"",VLOOKUP(B33,EDW_FEEDER!$T$2:$AH$86,15,FALSE))</f>
        <v>75</v>
      </c>
      <c r="J33" s="105"/>
      <c r="K33" s="105"/>
      <c r="L33" s="105"/>
      <c r="M33" s="105"/>
    </row>
    <row r="34" spans="1:16" x14ac:dyDescent="0.2">
      <c r="A34" s="16"/>
      <c r="B34" s="116" t="s">
        <v>243</v>
      </c>
      <c r="C34" s="258">
        <f>IF(ISNA(VLOOKUP($B34,EDW_FEEDER!$T$2:$AH$86,9,FALSE))=TRUE,"",VLOOKUP($B34,EDW_FEEDER!$T$2:$AH$86,9,FALSE))</f>
        <v>4763</v>
      </c>
      <c r="D34" s="259">
        <f>IF(ISNA(VLOOKUP(B34,EDW_FEEDER!$T$2:$AH$86,10,FALSE))=TRUE,"",VLOOKUP(B34,EDW_FEEDER!$T$2:$AH$86,10,FALSE))</f>
        <v>52.6</v>
      </c>
      <c r="E34" s="260">
        <f>IF(ISNA(VLOOKUP(B34,EDW_FEEDER!$T$2:$AH$86,11,FALSE))=TRUE,"",VLOOKUP(B34,EDW_FEEDER!$T$2:$AH$870,11,FALSE))</f>
        <v>8.6080000000000004E-2</v>
      </c>
      <c r="F34" s="258">
        <f>IF(ISNA(VLOOKUP(B34,EDW_FEEDER!$T$2:$AH$86,12,FALSE))=TRUE,"",VLOOKUP(B34,EDW_FEEDER!$T$2:$AH$86,12,FALSE))</f>
        <v>2671</v>
      </c>
      <c r="G34" s="258">
        <f>IF(ISNA(VLOOKUP(B34,EDW_FEEDER!$T$2:$AH$86,13,FALSE))=TRUE,"",VLOOKUP(B34,EDW_FEEDER!$T$2:$AH$86,13,FALSE))</f>
        <v>16183</v>
      </c>
      <c r="H34" s="259">
        <f>IF(ISNA(VLOOKUP(B34,EDW_FEEDER!$T$2:$AH$86,14,FALSE))=TRUE,"",VLOOKUP(B34,EDW_FEEDER!$T$2:$AH$86,14,FALSE))</f>
        <v>58.6</v>
      </c>
      <c r="I34" s="259">
        <f>IF(ISNA(VLOOKUP(B34,EDW_FEEDER!$T$2:$AH$86,15,FALSE))=TRUE,"",VLOOKUP(B34,EDW_FEEDER!$T$2:$AH$86,15,FALSE))</f>
        <v>57.9</v>
      </c>
      <c r="J34" s="105"/>
      <c r="K34" s="105"/>
      <c r="L34" s="105"/>
      <c r="M34" s="105"/>
    </row>
    <row r="35" spans="1:16" x14ac:dyDescent="0.2">
      <c r="B35" s="116" t="s">
        <v>251</v>
      </c>
      <c r="C35" s="258">
        <f>IF(ISNA(VLOOKUP($B35,EDW_FEEDER!$T$2:$AH$86,9,FALSE))=TRUE,"",VLOOKUP($B35,EDW_FEEDER!$T$2:$AH$86,9,FALSE))</f>
        <v>6793</v>
      </c>
      <c r="D35" s="259">
        <f>IF(ISNA(VLOOKUP(B35,EDW_FEEDER!$T$2:$AH$86,10,FALSE))=TRUE,"",VLOOKUP(B35,EDW_FEEDER!$T$2:$AH$86,10,FALSE))</f>
        <v>52.7</v>
      </c>
      <c r="E35" s="260">
        <f>IF(ISNA(VLOOKUP(B35,EDW_FEEDER!$T$2:$AH$86,11,FALSE))=TRUE,"",VLOOKUP(B35,EDW_FEEDER!$T$2:$AH$870,11,FALSE))</f>
        <v>6.3009999999999997E-2</v>
      </c>
      <c r="F35" s="258">
        <f>IF(ISNA(VLOOKUP(B35,EDW_FEEDER!$T$2:$AH$86,12,FALSE))=TRUE,"",VLOOKUP(B35,EDW_FEEDER!$T$2:$AH$86,12,FALSE))</f>
        <v>3518</v>
      </c>
      <c r="G35" s="258">
        <f>IF(ISNA(VLOOKUP(B35,EDW_FEEDER!$T$2:$AH$86,13,FALSE))=TRUE,"",VLOOKUP(B35,EDW_FEEDER!$T$2:$AH$86,13,FALSE))</f>
        <v>22031</v>
      </c>
      <c r="H35" s="259">
        <f>IF(ISNA(VLOOKUP(B35,EDW_FEEDER!$T$2:$AH$86,14,FALSE))=TRUE,"",VLOOKUP(B35,EDW_FEEDER!$T$2:$AH$86,14,FALSE))</f>
        <v>64</v>
      </c>
      <c r="I35" s="259">
        <f>IF(ISNA(VLOOKUP(B35,EDW_FEEDER!$T$2:$AH$86,15,FALSE))=TRUE,"",VLOOKUP(B35,EDW_FEEDER!$T$2:$AH$86,15,FALSE))</f>
        <v>64.2</v>
      </c>
      <c r="J35" s="105"/>
      <c r="K35" s="105"/>
      <c r="L35" s="105"/>
      <c r="M35" s="105"/>
    </row>
    <row r="36" spans="1:16" x14ac:dyDescent="0.2">
      <c r="B36" s="117" t="s">
        <v>433</v>
      </c>
      <c r="C36" s="258">
        <f>IF(ISNA(VLOOKUP(B36,EDW_FEEDER!$T$2:$AH$86,9,FALSE))=TRUE,"",VLOOKUP(B36,EDW_FEEDER!$T$2:$AH$86,9,FALSE))</f>
        <v>626</v>
      </c>
      <c r="D36" s="259">
        <f>IF(ISNA(VLOOKUP(B36,EDW_FEEDER!$T$2:$AH$86,10,FALSE))=TRUE,"",VLOOKUP(B36,EDW_FEEDER!$T$2:$AH$86,10,FALSE))</f>
        <v>177.7</v>
      </c>
      <c r="E36" s="260">
        <f>IF(ISNA(VLOOKUP(B36,EDW_FEEDER!$T$2:$AH$86,11,FALSE))=TRUE,"",VLOOKUP(B36,EDW_FEEDER!$T$2:$AH$86,11,FALSE))</f>
        <v>0.55271999999999999</v>
      </c>
      <c r="F36" s="258">
        <f>IF(ISNA(VLOOKUP(B36,EDW_FEEDER!$T$2:$AH$86,12,FALSE))=TRUE,"",VLOOKUP(B36,EDW_FEEDER!$T$2:$AH$86,12,FALSE))</f>
        <v>337</v>
      </c>
      <c r="G36" s="258">
        <f>IF(ISNA(VLOOKUP(B36,EDW_FEEDER!$T$2:$AH$86,13,FALSE))=TRUE,"",VLOOKUP(B36,EDW_FEEDER!$T$2:$AH$86,13,FALSE))</f>
        <v>2257</v>
      </c>
      <c r="H36" s="259">
        <f>IF(ISNA(VLOOKUP(B36,EDW_FEEDER!$T$2:$AH$86,14,FALSE))=TRUE,"",VLOOKUP(B36,EDW_FEEDER!$T$2:$AH$870,14,FALSE))</f>
        <v>66.400000000000006</v>
      </c>
      <c r="I36" s="259">
        <f>IF(ISNA(VLOOKUP(B36,EDW_FEEDER!$T$2:$AH$86,15,FALSE))=TRUE,"",VLOOKUP(B36,EDW_FEEDER!$T$2:$AH$86,15,FALSE))</f>
        <v>57</v>
      </c>
      <c r="J36" s="105"/>
      <c r="K36" s="105"/>
      <c r="L36" s="105"/>
      <c r="M36" s="105"/>
    </row>
    <row r="37" spans="1:16" x14ac:dyDescent="0.2">
      <c r="B37" s="486" t="s">
        <v>298</v>
      </c>
      <c r="C37" s="487"/>
      <c r="D37" s="487"/>
      <c r="E37" s="487"/>
      <c r="F37" s="487"/>
      <c r="G37" s="487"/>
      <c r="H37" s="487"/>
      <c r="I37" s="487"/>
      <c r="J37" s="487"/>
      <c r="K37" s="487"/>
      <c r="L37" s="487"/>
      <c r="M37" s="488"/>
    </row>
    <row r="38" spans="1:16" x14ac:dyDescent="0.2">
      <c r="B38" s="222" t="s">
        <v>388</v>
      </c>
      <c r="C38" s="258">
        <f>IF(ISNA(VLOOKUP("USAQ",EDW_FEEDER!$T$2:$AH$86,9,FALSE))=TRUE,"",VLOOKUP("USAQ",EDW_FEEDER!$T$2:$AH$86,9,FALSE))</f>
        <v>9470</v>
      </c>
      <c r="D38" s="259">
        <f>IF(ISNA(VLOOKUP("USAQ",EDW_FEEDER!$T$2:$AH$86,10,FALSE))=TRUE,"",VLOOKUP("USAQ",EDW_FEEDER!$T$2:$AH$86,10,FALSE))</f>
        <v>90.7</v>
      </c>
      <c r="E38" s="260">
        <f>IF(ISNA(VLOOKUP("USAQ",EDW_FEEDER!$T$2:$AH$86,11,FALSE))=TRUE,"",VLOOKUP("USAQ",EDW_FEEDER!$T$2:$AH$86,11,FALSE))</f>
        <v>0.28448000000000001</v>
      </c>
      <c r="F38" s="258">
        <f>IF(ISNA(VLOOKUP("USAQ",EDW_FEEDER!$T$2:$AH$86,12,FALSE))=TRUE,"",VLOOKUP("USAQ",EDW_FEEDER!$T$2:$AH$86,12,FALSE))</f>
        <v>1532</v>
      </c>
      <c r="G38" s="258">
        <f>IF(ISNA(VLOOKUP("USAQ",EDW_FEEDER!$T$2:$AH$86,13,FALSE))=TRUE,"",VLOOKUP("USAQ",EDW_FEEDER!$T$2:$AH$86,13,FALSE))</f>
        <v>9999</v>
      </c>
      <c r="H38" s="259">
        <f>IF(ISNA(VLOOKUP("USAQ",EDW_FEEDER!$T$2:$AH$86,14,FALSE))=TRUE,"",VLOOKUP("USAQ",EDW_FEEDER!$T$2:$AH$86,14,FALSE))</f>
        <v>148.9</v>
      </c>
      <c r="I38" s="259">
        <f>IF(ISNA(VLOOKUP("USAQ",EDW_FEEDER!$T$2:$AH$86,15,FALSE))=TRUE,"",VLOOKUP("USAQ",EDW_FEEDER!$T$2:$AH$86,15,FALSE))</f>
        <v>132.6</v>
      </c>
      <c r="J38" s="105"/>
      <c r="K38" s="105"/>
      <c r="L38" s="105"/>
      <c r="M38" s="105"/>
    </row>
    <row r="39" spans="1:16" x14ac:dyDescent="0.2">
      <c r="B39" s="221" t="s">
        <v>85</v>
      </c>
      <c r="C39" s="258">
        <f>IF(ISNA(VLOOKUP("San Diego QS",EDW_FEEDER!$T$2:$AH$86,9,FALSE))=TRUE,"",VLOOKUP("San Diego QS",EDW_FEEDER!$T$2:$AH$86,9,FALSE))</f>
        <v>4004</v>
      </c>
      <c r="D39" s="259">
        <f>IF(ISNA(VLOOKUP("San Diego QS",EDW_FEEDER!$T$2:$AH$86,10,FALSE))=TRUE,"",VLOOKUP("San Diego QS",EDW_FEEDER!$T$2:$AH$86,10,FALSE))</f>
        <v>84.4</v>
      </c>
      <c r="E39" s="260">
        <f>IF(ISNA(VLOOKUP("San Diego QS",EDW_FEEDER!$T$2:$AH$86,11,FALSE))=TRUE,"",VLOOKUP("San Diego QS",EDW_FEEDER!$T$2:$AH$86,11,FALSE))</f>
        <v>0.23901</v>
      </c>
      <c r="F39" s="258">
        <f>IF(ISNA(VLOOKUP("San Diego QS",EDW_FEEDER!$T$2:$AH$86,12,FALSE))=TRUE,"",VLOOKUP("San Diego QS",EDW_FEEDER!$T$2:$AH$86,12,FALSE))</f>
        <v>862</v>
      </c>
      <c r="G39" s="258">
        <f>IF(ISNA(VLOOKUP("San Diego QS",EDW_FEEDER!$T$2:$AH$86,13,FALSE))=TRUE,"",VLOOKUP("San Diego QS",EDW_FEEDER!$T$2:$AH$86,13,FALSE))</f>
        <v>5193</v>
      </c>
      <c r="H39" s="259">
        <f>IF(ISNA(VLOOKUP("San Diego QS",EDW_FEEDER!$T$2:$AH$86,14,FALSE))=TRUE,"",VLOOKUP("San Diego QS",EDW_FEEDER!$T$2:$AH$86,14,FALSE))</f>
        <v>134.30000000000001</v>
      </c>
      <c r="I39" s="259">
        <f>IF(ISNA(VLOOKUP("San Diego QS",EDW_FEEDER!$T$2:$AH$86,15,FALSE))=TRUE,"",VLOOKUP("San Diego QS",EDW_FEEDER!$T$2:$AH$86,15,FALSE))</f>
        <v>117.4</v>
      </c>
      <c r="J39" s="105"/>
      <c r="K39" s="105"/>
      <c r="L39" s="105"/>
      <c r="M39" s="105"/>
      <c r="N39" s="49"/>
      <c r="O39" s="49"/>
      <c r="P39" s="49"/>
    </row>
    <row r="40" spans="1:16" x14ac:dyDescent="0.2">
      <c r="B40" s="221" t="s">
        <v>97</v>
      </c>
      <c r="C40" s="258">
        <f>IF(ISNA(VLOOKUP("Winston-Salem QS",EDW_FEEDER!$T$2:$AH$86,9,FALSE))=TRUE,"",VLOOKUP("Winston-Salem QS",EDW_FEEDER!$T$2:$AH$86,9,FALSE))</f>
        <v>4599</v>
      </c>
      <c r="D40" s="259">
        <f>IF(ISNA(VLOOKUP("Winston-Salem QS",EDW_FEEDER!$T$2:$AH$86,10,FALSE))=TRUE,"",VLOOKUP("Winston-Salem QS",EDW_FEEDER!$T$2:$AH$86,10,FALSE))</f>
        <v>97</v>
      </c>
      <c r="E40" s="260">
        <f>IF(ISNA(VLOOKUP("Winston-Salem QS",EDW_FEEDER!$T$2:$AH$86,11,FALSE))=TRUE,"",VLOOKUP("Winston-Salem QS",EDW_FEEDER!$T$2:$AH$86,11,FALSE))</f>
        <v>0.32485000000000003</v>
      </c>
      <c r="F40" s="258">
        <f>IF(ISNA(VLOOKUP("Winston-Salem QS",EDW_FEEDER!$T$2:$AH$86,12,FALSE))=TRUE,"",VLOOKUP("Winston-Salem QS",EDW_FEEDER!$T$2:$AH$86,12,FALSE))</f>
        <v>609</v>
      </c>
      <c r="G40" s="258">
        <f>IF(ISNA(VLOOKUP("Winston-Salem QS",EDW_FEEDER!$T$2:$AH$86,13,FALSE))=TRUE,"",VLOOKUP("Winston-Salem QS",EDW_FEEDER!$T$2:$AH$86,13,FALSE))</f>
        <v>4452</v>
      </c>
      <c r="H40" s="259">
        <f>IF(ISNA(VLOOKUP("Winston-Salem QS",EDW_FEEDER!$T$2:$AH$86,14,FALSE))=TRUE,"",VLOOKUP("Winston-Salem QS",EDW_FEEDER!$T$2:$AH$870,14,FALSE))</f>
        <v>164.5</v>
      </c>
      <c r="I40" s="259">
        <f>IF(ISNA(VLOOKUP("Winston-Salem QS",EDW_FEEDER!$T$2:$AH$86,15,FALSE))=TRUE,"",VLOOKUP("Winston-Salem QS",EDW_FEEDER!$T$2:$AH$86,15,FALSE))</f>
        <v>144.69999999999999</v>
      </c>
      <c r="J40" s="105"/>
      <c r="K40" s="105"/>
      <c r="L40" s="105"/>
      <c r="M40" s="105"/>
      <c r="N40" s="87"/>
      <c r="O40" s="88"/>
      <c r="P40" s="88"/>
    </row>
    <row r="41" spans="1:16" x14ac:dyDescent="0.2">
      <c r="B41" s="115" t="s">
        <v>432</v>
      </c>
      <c r="C41" s="258">
        <f>IF(ISNA(VLOOKUP(B41,EDW_FEEDER!$T$2:$AH$86,9,FALSE))=TRUE,"",VLOOKUP(B41,EDW_FEEDER!$T$2:$AH$86,9,FALSE))</f>
        <v>867</v>
      </c>
      <c r="D41" s="259">
        <f>IF(ISNA(VLOOKUP(B41,EDW_FEEDER!$T$2:$AH$86,10,FALSE))=TRUE,"",VLOOKUP(B41,EDW_FEEDER!$T$2:$AH$86,10,FALSE))</f>
        <v>86.6</v>
      </c>
      <c r="E41" s="260">
        <f>IF(ISNA(VLOOKUP(B41,EDW_FEEDER!$T$2:$AH$86,11,FALSE))=TRUE,"",VLOOKUP(B41,EDW_FEEDER!$T$2:$AH$86,11,FALSE))</f>
        <v>0.28027999999999997</v>
      </c>
      <c r="F41" s="258">
        <f>IF(ISNA(VLOOKUP(B41,EDW_FEEDER!$T$2:$AH$86,12,FALSE))=TRUE,"",VLOOKUP(B41,EDW_FEEDER!$T$2:$AH$86,12,FALSE))</f>
        <v>61</v>
      </c>
      <c r="G41" s="258">
        <f>IF(ISNA(VLOOKUP(B41,EDW_FEEDER!$T$2:$AH$86,13,FALSE))=TRUE,"",VLOOKUP(B41,EDW_FEEDER!$T$2:$AH$86,13,FALSE))</f>
        <v>354</v>
      </c>
      <c r="H41" s="259">
        <f>IF(ISNA(VLOOKUP(B41,EDW_FEEDER!$T$2:$AH$86,14,FALSE))=TRUE,"",VLOOKUP(B41,EDW_FEEDER!$T$2:$AH$870,14,FALSE))</f>
        <v>200</v>
      </c>
      <c r="I41" s="259">
        <f>IF(ISNA(VLOOKUP(B41,EDW_FEEDER!$T$2:$AH$86,15,FALSE))=TRUE,"",VLOOKUP(B41,EDW_FEEDER!$T$2:$AH$86,15,FALSE))</f>
        <v>205.4</v>
      </c>
      <c r="J41" s="105"/>
      <c r="K41" s="105"/>
      <c r="L41" s="105"/>
      <c r="M41" s="105"/>
      <c r="N41" s="87"/>
      <c r="O41" s="88"/>
      <c r="P41" s="88"/>
    </row>
    <row r="42" spans="1:16" x14ac:dyDescent="0.2">
      <c r="B42" s="486" t="s">
        <v>299</v>
      </c>
      <c r="C42" s="487"/>
      <c r="D42" s="487"/>
      <c r="E42" s="487"/>
      <c r="F42" s="487"/>
      <c r="G42" s="487"/>
      <c r="H42" s="487"/>
      <c r="I42" s="487"/>
      <c r="J42" s="487"/>
      <c r="K42" s="487"/>
      <c r="L42" s="487"/>
      <c r="M42" s="488"/>
      <c r="N42" s="87"/>
      <c r="O42" s="88"/>
      <c r="P42" s="88"/>
    </row>
    <row r="43" spans="1:16" ht="25.5" x14ac:dyDescent="0.2">
      <c r="B43" s="222" t="s">
        <v>389</v>
      </c>
      <c r="C43" s="258">
        <f>IF(ISNA(VLOOKUP("USAB",EDW_FEEDER!$T$2:$AH$86,9,FALSE))=TRUE,"",VLOOKUP("USAB",EDW_FEEDER!$T$2:$AH$86,9,FALSE))</f>
        <v>10719</v>
      </c>
      <c r="D43" s="259">
        <f>IF(ISNA(VLOOKUP("USAB",EDW_FEEDER!$T$2:$AH$86,10,FALSE))=TRUE,"",VLOOKUP("USAB",EDW_FEEDER!$T$2:$AH$86,10,FALSE))</f>
        <v>93.7</v>
      </c>
      <c r="E43" s="260">
        <f>IF(ISNA(VLOOKUP("USAB",EDW_FEEDER!$T$2:$AH$86,11,FALSE))=TRUE,"",VLOOKUP("USAB",EDW_FEEDER!$T$2:$AH$86,11,FALSE))</f>
        <v>0.30451</v>
      </c>
      <c r="F43" s="258">
        <f>IF(ISNA(VLOOKUP("USAB",EDW_FEEDER!$T$2:$AH$86,12,FALSE))=TRUE,"",VLOOKUP("USAB",EDW_FEEDER!$T$2:$AH$86,12,FALSE))</f>
        <v>1414</v>
      </c>
      <c r="G43" s="258">
        <f>IF(ISNA(VLOOKUP("USAB",EDW_FEEDER!$T$2:$AH$86,13,FALSE))=TRUE,"",VLOOKUP("USAB",EDW_FEEDER!$T$2:$AH$870,13,FALSE))</f>
        <v>9783</v>
      </c>
      <c r="H43" s="259">
        <f>IF(ISNA(VLOOKUP("USAB",EDW_FEEDER!$T$2:$AH$86,14,FALSE))=TRUE,"",VLOOKUP("USAB",EDW_FEEDER!$T$2:$AH$86,14,FALSE))</f>
        <v>168.7</v>
      </c>
      <c r="I43" s="259">
        <f>IF(ISNA(VLOOKUP("USAB",EDW_FEEDER!$T$2:$AH$86,15,FALSE))=TRUE,"",VLOOKUP("USAB",EDW_FEEDER!$T$2:$AH$86,15,FALSE))</f>
        <v>153.1</v>
      </c>
      <c r="J43" s="105"/>
      <c r="K43" s="105"/>
      <c r="L43" s="105"/>
      <c r="M43" s="105"/>
      <c r="N43" s="87"/>
      <c r="O43" s="88"/>
      <c r="P43" s="88"/>
    </row>
    <row r="44" spans="1:16" x14ac:dyDescent="0.2">
      <c r="B44" s="221" t="s">
        <v>97</v>
      </c>
      <c r="C44" s="258">
        <f>IF(ISNA(VLOOKUP("Winston-Salem BDD",EDW_FEEDER!$T$2:$AH$86,9,FALSE))=TRUE,"",VLOOKUP("Winston-Salem BDD",EDW_FEEDER!$T$2:$AH$86,9,FALSE))</f>
        <v>4509</v>
      </c>
      <c r="D44" s="259">
        <f>IF(ISNA(VLOOKUP("Winston-Salem BDD",EDW_FEEDER!$T$2:$AH$86,10,FALSE))=TRUE,"",VLOOKUP("Winston-Salem BDD",EDW_FEEDER!$T$2:$AH$86,10,FALSE))</f>
        <v>81.400000000000006</v>
      </c>
      <c r="E44" s="260">
        <f>IF(ISNA(VLOOKUP("Winston-Salem BDD",EDW_FEEDER!$T$2:$AH$86,11,FALSE))=TRUE,"",VLOOKUP("Winston-Salem BDD",EDW_FEEDER!$T$2:$AH$86,11,FALSE))</f>
        <v>0.22777</v>
      </c>
      <c r="F44" s="258">
        <f>IF(ISNA(VLOOKUP("Winston-Salem BDD",EDW_FEEDER!$T$2:$AH$86,12,FALSE))=TRUE,"",VLOOKUP("Winston-Salem BDD",EDW_FEEDER!$T$2:$AH$86,12,FALSE))</f>
        <v>422</v>
      </c>
      <c r="G44" s="258">
        <f>IF(ISNA(VLOOKUP("Winston-Salem BDD",EDW_FEEDER!$T$2:$AH$86,13,FALSE))=TRUE,"",VLOOKUP("Winston-Salem BDD",EDW_FEEDER!$T$2:$AH$870,13,FALSE))</f>
        <v>3582</v>
      </c>
      <c r="H44" s="259">
        <f>IF(ISNA(VLOOKUP("Winston-Salem BDD",EDW_FEEDER!$T$2:$AH$86,14,FALSE))=TRUE,"",VLOOKUP("Winston-Salem BDD",EDW_FEEDER!$T$2:$AH$86,14,FALSE))</f>
        <v>151.1</v>
      </c>
      <c r="I44" s="259">
        <f>IF(ISNA(VLOOKUP("Winston-Salem BDD",EDW_FEEDER!$T$2:$AH$86,15,FALSE))=TRUE,"",VLOOKUP("Winston-Salem BDD",EDW_FEEDER!$T$2:$AH$86,15,FALSE))</f>
        <v>105.3</v>
      </c>
      <c r="J44" s="105"/>
      <c r="K44" s="105"/>
      <c r="L44" s="105"/>
      <c r="M44" s="105"/>
    </row>
    <row r="45" spans="1:16" x14ac:dyDescent="0.2">
      <c r="B45" s="221" t="s">
        <v>84</v>
      </c>
      <c r="C45" s="258">
        <f>IF(ISNA(VLOOKUP("Salt Lake City BDD",EDW_FEEDER!$T$2:$AH$86,9,FALSE))=TRUE,"",VLOOKUP("Salt Lake City BDD",EDW_FEEDER!$T$2:$AH$86,9,FALSE))</f>
        <v>4866</v>
      </c>
      <c r="D45" s="259">
        <f>IF(ISNA(VLOOKUP("Salt Lake City BDD",EDW_FEEDER!$T$2:$AH$86,10,FALSE))=TRUE,"",VLOOKUP("Salt Lake City BDD",EDW_FEEDER!$T$2:$AH$86,10,FALSE))</f>
        <v>105.5</v>
      </c>
      <c r="E45" s="260">
        <f>IF(ISNA(VLOOKUP("Salt Lake City BDD",EDW_FEEDER!$T$2:$AH$86,11,FALSE))=TRUE,"",VLOOKUP("Salt Lake City BDD",EDW_FEEDER!$T$2:$AH$86,11,FALSE))</f>
        <v>0.38861000000000001</v>
      </c>
      <c r="F45" s="258">
        <f>IF(ISNA(VLOOKUP("Salt Lake City BDD",EDW_FEEDER!$T$2:$AH$86,12,FALSE))=TRUE,"",VLOOKUP("Salt Lake City BDD",EDW_FEEDER!$T$2:$AH$86,12,FALSE))</f>
        <v>835</v>
      </c>
      <c r="G45" s="258">
        <f>IF(ISNA(VLOOKUP("Salt Lake City BDD",EDW_FEEDER!$T$2:$AH$86,13,FALSE))=TRUE,"",VLOOKUP("Salt Lake City BDD",EDW_FEEDER!$T$2:$AH$86,13,FALSE))</f>
        <v>5344</v>
      </c>
      <c r="H45" s="259">
        <f>IF(ISNA(VLOOKUP("Salt Lake City BDD",EDW_FEEDER!$T$2:$AH$86,14,FALSE))=TRUE,"",VLOOKUP("Salt Lake City BDD",EDW_FEEDER!$T$2:$AH$870,14,FALSE))</f>
        <v>183.7</v>
      </c>
      <c r="I45" s="259">
        <f>IF(ISNA(VLOOKUP("Salt Lake City BDD",EDW_FEEDER!$T$2:$AH$86,15,FALSE))=TRUE,"",VLOOKUP("Salt Lake City BDD",EDW_FEEDER!$T$2:$AH$86,15,FALSE))</f>
        <v>184.3</v>
      </c>
      <c r="J45" s="105"/>
      <c r="K45" s="105"/>
      <c r="L45" s="105"/>
      <c r="M45" s="105"/>
    </row>
    <row r="46" spans="1:16" ht="25.5" x14ac:dyDescent="0.2">
      <c r="B46" s="264" t="s">
        <v>434</v>
      </c>
      <c r="C46" s="258">
        <f>IF(ISNA(VLOOKUP(B46,EDW_FEEDER!$T$2:$AH$86,9,FALSE))=TRUE,"",VLOOKUP(B46,EDW_FEEDER!$T$2:$AH$86,9,FALSE))</f>
        <v>1344</v>
      </c>
      <c r="D46" s="259">
        <f>IF(ISNA(VLOOKUP(B46,EDW_FEEDER!$T$2:$AH$86,10,FALSE))=TRUE,"",VLOOKUP(B46,EDW_FEEDER!$T$2:$AH$86,10,FALSE))</f>
        <v>92.6</v>
      </c>
      <c r="E46" s="260">
        <f>IF(ISNA(VLOOKUP(B46,EDW_FEEDER!$T$2:$AH$86,11,FALSE))=TRUE,"",VLOOKUP(B46,EDW_FEEDER!$T$2:$AH$86,11,FALSE))</f>
        <v>0.25744</v>
      </c>
      <c r="F46" s="258">
        <f>IF(ISNA(VLOOKUP(B46,EDW_FEEDER!$T$2:$AH$86,12,FALSE))=TRUE,"",VLOOKUP(B46,EDW_FEEDER!$T$2:$AH$86,12,FALSE))</f>
        <v>157</v>
      </c>
      <c r="G46" s="258">
        <f>IF(ISNA(VLOOKUP(B46,EDW_FEEDER!$T$2:$AH$86,13,FALSE))=TRUE,"",VLOOKUP(B46,EDW_FEEDER!$T$2:$AH$86,13,FALSE))</f>
        <v>857</v>
      </c>
      <c r="H46" s="259">
        <f>IF(ISNA(VLOOKUP(B46,EDW_FEEDER!$T$2:$AH$86,14,FALSE))=TRUE,"",VLOOKUP(B46,EDW_FEEDER!$T$2:$AH$870,14,FALSE))</f>
        <v>136.1</v>
      </c>
      <c r="I46" s="259">
        <f>IF(ISNA(VLOOKUP(B46,EDW_FEEDER!$T$2:$AH$86,15,FALSE))=TRUE,"",VLOOKUP(B46,EDW_FEEDER!$T$2:$AH$86,15,FALSE))</f>
        <v>158.30000000000001</v>
      </c>
      <c r="J46" s="105"/>
      <c r="K46" s="105"/>
      <c r="L46" s="105"/>
      <c r="M46" s="105"/>
    </row>
    <row r="47" spans="1:16" ht="12.75" customHeight="1" x14ac:dyDescent="0.2">
      <c r="C47" s="226"/>
      <c r="D47" s="226"/>
      <c r="E47" s="226"/>
      <c r="F47" s="226"/>
      <c r="G47" s="226"/>
      <c r="H47" s="226"/>
      <c r="I47" s="226"/>
      <c r="J47" s="226"/>
      <c r="K47" s="226"/>
      <c r="L47" s="226"/>
      <c r="M47" s="226"/>
    </row>
    <row r="48" spans="1:16" ht="12.75" customHeight="1" x14ac:dyDescent="0.2">
      <c r="C48" s="226"/>
      <c r="D48" s="226"/>
      <c r="E48" s="226"/>
      <c r="F48" s="226"/>
      <c r="G48" s="226"/>
      <c r="H48" s="226"/>
      <c r="I48" s="226"/>
      <c r="J48" s="226"/>
      <c r="K48" s="226"/>
      <c r="L48" s="226"/>
      <c r="M48" s="226"/>
    </row>
    <row r="49" spans="3:13" x14ac:dyDescent="0.2">
      <c r="C49" s="226"/>
      <c r="D49" s="226"/>
      <c r="E49" s="226"/>
      <c r="F49" s="226"/>
      <c r="G49" s="226"/>
      <c r="H49" s="226"/>
      <c r="I49" s="226"/>
      <c r="J49" s="226"/>
      <c r="K49" s="226"/>
      <c r="L49" s="226"/>
      <c r="M49" s="226"/>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2" priority="2" stopIfTrue="1">
      <formula>ISERROR(B14)</formula>
    </cfRule>
  </conditionalFormatting>
  <conditionalFormatting sqref="B36">
    <cfRule type="expression" dxfId="91"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20" t="s">
        <v>394</v>
      </c>
      <c r="D2" s="521"/>
      <c r="E2" s="521"/>
      <c r="F2" s="521"/>
      <c r="G2" s="521"/>
      <c r="H2" s="521"/>
      <c r="I2" s="521"/>
      <c r="J2" s="521"/>
      <c r="K2" s="521"/>
      <c r="L2" s="521"/>
      <c r="M2" s="521"/>
      <c r="N2" s="521"/>
      <c r="O2" s="521"/>
      <c r="P2" s="521"/>
      <c r="Q2" s="521"/>
      <c r="R2" s="521"/>
      <c r="S2" s="522"/>
      <c r="T2" s="186"/>
    </row>
    <row r="3" spans="2:20" ht="63" customHeight="1" thickBot="1" x14ac:dyDescent="0.45">
      <c r="C3" s="540" t="s">
        <v>446</v>
      </c>
      <c r="D3" s="541"/>
      <c r="E3" s="541"/>
      <c r="F3" s="541"/>
      <c r="G3" s="541"/>
      <c r="H3" s="541"/>
      <c r="I3" s="541"/>
      <c r="J3" s="541"/>
      <c r="K3" s="541"/>
      <c r="L3" s="541"/>
      <c r="M3" s="541"/>
      <c r="N3" s="541"/>
      <c r="O3" s="541"/>
      <c r="P3" s="541"/>
      <c r="Q3" s="541"/>
      <c r="R3" s="541"/>
      <c r="S3" s="542"/>
      <c r="T3" s="186"/>
    </row>
    <row r="4" spans="2:20" ht="32.25" customHeight="1" thickBot="1" x14ac:dyDescent="0.45">
      <c r="C4" s="537" t="s">
        <v>469</v>
      </c>
      <c r="D4" s="538"/>
      <c r="E4" s="538"/>
      <c r="F4" s="538"/>
      <c r="G4" s="538"/>
      <c r="H4" s="538"/>
      <c r="I4" s="538"/>
      <c r="J4" s="538"/>
      <c r="K4" s="538"/>
      <c r="L4" s="538"/>
      <c r="M4" s="538"/>
      <c r="N4" s="538"/>
      <c r="O4" s="538"/>
      <c r="P4" s="538"/>
      <c r="Q4" s="538"/>
      <c r="R4" s="538"/>
      <c r="S4" s="539"/>
      <c r="T4" s="186"/>
    </row>
    <row r="5" spans="2:20" ht="27" customHeight="1" thickBot="1" x14ac:dyDescent="0.45">
      <c r="B5" s="25"/>
      <c r="C5" s="534" t="s">
        <v>309</v>
      </c>
      <c r="D5" s="535"/>
      <c r="E5" s="535"/>
      <c r="F5" s="535"/>
      <c r="G5" s="535"/>
      <c r="H5" s="535"/>
      <c r="I5" s="536"/>
      <c r="J5" s="270"/>
      <c r="K5" s="534" t="s">
        <v>306</v>
      </c>
      <c r="L5" s="535"/>
      <c r="M5" s="535"/>
      <c r="N5" s="535"/>
      <c r="O5" s="536"/>
      <c r="P5" s="175"/>
      <c r="Q5" s="534" t="s">
        <v>316</v>
      </c>
      <c r="R5" s="535"/>
      <c r="S5" s="536"/>
    </row>
    <row r="6" spans="2:20" ht="65.25" customHeight="1" thickBot="1" x14ac:dyDescent="0.25">
      <c r="B6" s="5"/>
      <c r="C6" s="523" t="s">
        <v>355</v>
      </c>
      <c r="D6" s="524"/>
      <c r="E6" s="524"/>
      <c r="F6" s="525"/>
      <c r="G6" s="268" t="s">
        <v>13</v>
      </c>
      <c r="H6" s="269" t="s">
        <v>4</v>
      </c>
      <c r="I6" s="271" t="s">
        <v>5</v>
      </c>
      <c r="J6" s="5"/>
      <c r="K6" s="559" t="s">
        <v>355</v>
      </c>
      <c r="L6" s="560"/>
      <c r="M6" s="265" t="s">
        <v>13</v>
      </c>
      <c r="N6" s="266" t="s">
        <v>4</v>
      </c>
      <c r="O6" s="267" t="s">
        <v>5</v>
      </c>
      <c r="P6" s="133"/>
      <c r="Q6" s="555" t="s">
        <v>355</v>
      </c>
      <c r="R6" s="556"/>
      <c r="S6" s="265" t="s">
        <v>13</v>
      </c>
    </row>
    <row r="7" spans="2:20" ht="32.25" customHeight="1" thickBot="1" x14ac:dyDescent="0.25">
      <c r="B7" s="5"/>
      <c r="C7" s="529" t="s">
        <v>396</v>
      </c>
      <c r="D7" s="530"/>
      <c r="E7" s="530"/>
      <c r="F7" s="530"/>
      <c r="G7" s="229">
        <v>164858</v>
      </c>
      <c r="H7" s="230">
        <v>80966</v>
      </c>
      <c r="I7" s="231">
        <v>0.49112569605357337</v>
      </c>
      <c r="J7" s="5"/>
      <c r="K7" s="529" t="s">
        <v>338</v>
      </c>
      <c r="L7" s="530"/>
      <c r="M7" s="230">
        <v>20017</v>
      </c>
      <c r="N7" s="230">
        <v>1758</v>
      </c>
      <c r="O7" s="234">
        <v>8.7825348453814261E-2</v>
      </c>
      <c r="P7" s="180"/>
      <c r="Q7" s="529" t="s">
        <v>317</v>
      </c>
      <c r="R7" s="530"/>
      <c r="S7" s="237">
        <v>293109</v>
      </c>
    </row>
    <row r="8" spans="2:20" ht="51" customHeight="1" x14ac:dyDescent="0.2">
      <c r="B8" s="5"/>
      <c r="C8" s="552" t="s">
        <v>322</v>
      </c>
      <c r="D8" s="553"/>
      <c r="E8" s="553"/>
      <c r="F8" s="554"/>
      <c r="G8" s="166">
        <v>616</v>
      </c>
      <c r="H8" s="161">
        <v>465</v>
      </c>
      <c r="I8" s="240">
        <v>0.75487012987012991</v>
      </c>
      <c r="J8" s="5"/>
      <c r="K8" s="557" t="s">
        <v>340</v>
      </c>
      <c r="L8" s="558"/>
      <c r="M8" s="183">
        <v>4627</v>
      </c>
      <c r="N8" s="184">
        <v>324</v>
      </c>
      <c r="O8" s="185">
        <v>7.0023773503349901E-2</v>
      </c>
      <c r="P8" s="293" t="s">
        <v>445</v>
      </c>
      <c r="Q8" s="526" t="s">
        <v>310</v>
      </c>
      <c r="R8" s="527"/>
      <c r="S8" s="216">
        <v>198532</v>
      </c>
    </row>
    <row r="9" spans="2:20" ht="45" customHeight="1" x14ac:dyDescent="0.2">
      <c r="B9" s="5"/>
      <c r="C9" s="552" t="s">
        <v>320</v>
      </c>
      <c r="D9" s="553"/>
      <c r="E9" s="553"/>
      <c r="F9" s="554"/>
      <c r="G9" s="129">
        <v>49916</v>
      </c>
      <c r="H9" s="125">
        <v>24369</v>
      </c>
      <c r="I9" s="126">
        <v>0.48820017629617757</v>
      </c>
      <c r="J9" s="293" t="s">
        <v>445</v>
      </c>
      <c r="K9" s="552" t="s">
        <v>339</v>
      </c>
      <c r="L9" s="553"/>
      <c r="M9" s="129">
        <v>6148</v>
      </c>
      <c r="N9" s="125">
        <v>351</v>
      </c>
      <c r="O9" s="158">
        <v>5.7091737150292775E-2</v>
      </c>
      <c r="P9" s="293" t="s">
        <v>445</v>
      </c>
      <c r="Q9" s="526" t="s">
        <v>291</v>
      </c>
      <c r="R9" s="527"/>
      <c r="S9" s="217">
        <v>407.7</v>
      </c>
    </row>
    <row r="10" spans="2:20" ht="63" customHeight="1" thickBot="1" x14ac:dyDescent="0.25">
      <c r="B10" s="5"/>
      <c r="C10" s="552" t="s">
        <v>321</v>
      </c>
      <c r="D10" s="553"/>
      <c r="E10" s="553"/>
      <c r="F10" s="554"/>
      <c r="G10" s="129">
        <v>114326</v>
      </c>
      <c r="H10" s="129">
        <v>56132</v>
      </c>
      <c r="I10" s="131">
        <v>0.4909819288700733</v>
      </c>
      <c r="J10" s="293" t="s">
        <v>445</v>
      </c>
      <c r="K10" s="526" t="s">
        <v>341</v>
      </c>
      <c r="L10" s="527"/>
      <c r="M10" s="129">
        <v>9242</v>
      </c>
      <c r="N10" s="125">
        <v>1083</v>
      </c>
      <c r="O10" s="158">
        <v>0.11718242804587752</v>
      </c>
      <c r="P10" s="181"/>
      <c r="Q10" s="526" t="s">
        <v>311</v>
      </c>
      <c r="R10" s="527"/>
      <c r="S10" s="217">
        <v>20040</v>
      </c>
    </row>
    <row r="11" spans="2:20" ht="45" customHeight="1" thickBot="1" x14ac:dyDescent="0.25">
      <c r="B11" s="5"/>
      <c r="C11" s="529" t="s">
        <v>397</v>
      </c>
      <c r="D11" s="530"/>
      <c r="E11" s="530"/>
      <c r="F11" s="530"/>
      <c r="G11" s="229">
        <v>6961</v>
      </c>
      <c r="H11" s="232">
        <v>1450</v>
      </c>
      <c r="I11" s="233">
        <v>0.20830340468323516</v>
      </c>
      <c r="J11" s="5"/>
      <c r="K11" s="529" t="s">
        <v>307</v>
      </c>
      <c r="L11" s="530"/>
      <c r="M11" s="229">
        <v>48516</v>
      </c>
      <c r="N11" s="229">
        <v>6094</v>
      </c>
      <c r="O11" s="235">
        <v>0.12560804682991178</v>
      </c>
      <c r="P11" s="181"/>
      <c r="Q11" s="526" t="s">
        <v>312</v>
      </c>
      <c r="R11" s="528"/>
      <c r="S11" s="217">
        <v>59685</v>
      </c>
    </row>
    <row r="12" spans="2:20" ht="46.5" customHeight="1" x14ac:dyDescent="0.2">
      <c r="B12" s="5"/>
      <c r="C12" s="531" t="s">
        <v>343</v>
      </c>
      <c r="D12" s="532"/>
      <c r="E12" s="532"/>
      <c r="F12" s="533"/>
      <c r="G12" s="129">
        <v>6428</v>
      </c>
      <c r="H12" s="125">
        <v>939</v>
      </c>
      <c r="I12" s="126">
        <v>0.14607965152457997</v>
      </c>
      <c r="J12" s="293" t="s">
        <v>445</v>
      </c>
      <c r="K12" s="526" t="s">
        <v>333</v>
      </c>
      <c r="L12" s="528"/>
      <c r="M12" s="157">
        <v>596</v>
      </c>
      <c r="N12" s="157">
        <v>27</v>
      </c>
      <c r="O12" s="177">
        <v>4.5302013422818789E-2</v>
      </c>
      <c r="P12" s="181"/>
      <c r="Q12" s="526" t="s">
        <v>292</v>
      </c>
      <c r="R12" s="528"/>
      <c r="S12" s="217">
        <v>634.20000000000005</v>
      </c>
    </row>
    <row r="13" spans="2:20" ht="49.5" customHeight="1" thickBot="1" x14ac:dyDescent="0.25">
      <c r="B13" s="5"/>
      <c r="C13" s="531" t="s">
        <v>323</v>
      </c>
      <c r="D13" s="532"/>
      <c r="E13" s="532"/>
      <c r="F13" s="533"/>
      <c r="G13" s="129">
        <v>533</v>
      </c>
      <c r="H13" s="125">
        <v>511</v>
      </c>
      <c r="I13" s="126">
        <v>0.9587242026266416</v>
      </c>
      <c r="J13" s="5"/>
      <c r="K13" s="526" t="s">
        <v>342</v>
      </c>
      <c r="L13" s="528"/>
      <c r="M13" s="157">
        <v>4864</v>
      </c>
      <c r="N13" s="157">
        <v>1321</v>
      </c>
      <c r="O13" s="178">
        <v>0.27158717105263158</v>
      </c>
      <c r="P13" s="181"/>
      <c r="Q13" s="526" t="s">
        <v>313</v>
      </c>
      <c r="R13" s="528"/>
      <c r="S13" s="217">
        <v>21526</v>
      </c>
    </row>
    <row r="14" spans="2:20" ht="45" customHeight="1" thickBot="1" x14ac:dyDescent="0.25">
      <c r="B14" s="5"/>
      <c r="C14" s="529" t="s">
        <v>1</v>
      </c>
      <c r="D14" s="530"/>
      <c r="E14" s="530"/>
      <c r="F14" s="530"/>
      <c r="G14" s="229">
        <v>292466</v>
      </c>
      <c r="H14" s="232">
        <v>138188</v>
      </c>
      <c r="I14" s="233">
        <v>0.47249252904611133</v>
      </c>
      <c r="J14" s="5"/>
      <c r="K14" s="526" t="s">
        <v>344</v>
      </c>
      <c r="L14" s="528"/>
      <c r="M14" s="157">
        <v>18359</v>
      </c>
      <c r="N14" s="157">
        <v>1177</v>
      </c>
      <c r="O14" s="178">
        <v>6.4110245656081491E-2</v>
      </c>
      <c r="P14" s="181"/>
      <c r="Q14" s="526" t="s">
        <v>293</v>
      </c>
      <c r="R14" s="528"/>
      <c r="S14" s="217">
        <v>547.20000000000005</v>
      </c>
    </row>
    <row r="15" spans="2:20" ht="44.25" customHeight="1" x14ac:dyDescent="0.2">
      <c r="B15" s="5"/>
      <c r="C15" s="552" t="s">
        <v>324</v>
      </c>
      <c r="D15" s="553"/>
      <c r="E15" s="553"/>
      <c r="F15" s="554"/>
      <c r="G15" s="129">
        <v>290994</v>
      </c>
      <c r="H15" s="125">
        <v>137837</v>
      </c>
      <c r="I15" s="126">
        <v>0.47367643319106234</v>
      </c>
      <c r="J15" s="293" t="s">
        <v>445</v>
      </c>
      <c r="K15" s="526" t="s">
        <v>345</v>
      </c>
      <c r="L15" s="528"/>
      <c r="M15" s="157">
        <v>1</v>
      </c>
      <c r="N15" s="157">
        <v>0</v>
      </c>
      <c r="O15" s="178">
        <v>0</v>
      </c>
      <c r="P15" s="181"/>
      <c r="Q15" s="526" t="s">
        <v>314</v>
      </c>
      <c r="R15" s="528"/>
      <c r="S15" s="217">
        <v>12931</v>
      </c>
    </row>
    <row r="16" spans="2:20" ht="57.75" customHeight="1" x14ac:dyDescent="0.2">
      <c r="B16" s="5"/>
      <c r="C16" s="526" t="s">
        <v>325</v>
      </c>
      <c r="D16" s="527"/>
      <c r="E16" s="527"/>
      <c r="F16" s="528"/>
      <c r="G16" s="129">
        <v>1194</v>
      </c>
      <c r="H16" s="125">
        <v>141</v>
      </c>
      <c r="I16" s="126">
        <v>0.11809045226130653</v>
      </c>
      <c r="J16" s="293" t="s">
        <v>445</v>
      </c>
      <c r="K16" s="526" t="s">
        <v>346</v>
      </c>
      <c r="L16" s="528"/>
      <c r="M16" s="157">
        <v>4673</v>
      </c>
      <c r="N16" s="157">
        <v>1871</v>
      </c>
      <c r="O16" s="178">
        <v>0.40038519152578644</v>
      </c>
      <c r="P16" s="181"/>
      <c r="Q16" s="526" t="s">
        <v>294</v>
      </c>
      <c r="R16" s="528"/>
      <c r="S16" s="217">
        <v>175</v>
      </c>
    </row>
    <row r="17" spans="2:26" ht="31.5" customHeight="1" thickBot="1" x14ac:dyDescent="0.25">
      <c r="B17" s="5"/>
      <c r="C17" s="526" t="s">
        <v>326</v>
      </c>
      <c r="D17" s="527"/>
      <c r="E17" s="527"/>
      <c r="F17" s="528"/>
      <c r="G17" s="129">
        <v>129</v>
      </c>
      <c r="H17" s="125">
        <v>117</v>
      </c>
      <c r="I17" s="126">
        <v>0.90697674418604646</v>
      </c>
      <c r="J17" s="5"/>
      <c r="K17" s="526" t="s">
        <v>347</v>
      </c>
      <c r="L17" s="528"/>
      <c r="M17" s="157">
        <v>20023</v>
      </c>
      <c r="N17" s="157">
        <v>1698</v>
      </c>
      <c r="O17" s="179">
        <v>8.4802477151276034E-2</v>
      </c>
      <c r="P17" s="154"/>
      <c r="Q17" s="526" t="s">
        <v>422</v>
      </c>
      <c r="R17" s="528"/>
      <c r="S17" s="217">
        <v>435</v>
      </c>
    </row>
    <row r="18" spans="2:26" ht="32.25" customHeight="1" thickBot="1" x14ac:dyDescent="0.25">
      <c r="B18" s="5"/>
      <c r="C18" s="526" t="s">
        <v>327</v>
      </c>
      <c r="D18" s="527"/>
      <c r="E18" s="527"/>
      <c r="F18" s="528"/>
      <c r="G18" s="129">
        <v>141</v>
      </c>
      <c r="H18" s="125">
        <v>91</v>
      </c>
      <c r="I18" s="126">
        <v>0.64539007092198586</v>
      </c>
      <c r="J18" s="293" t="s">
        <v>445</v>
      </c>
      <c r="K18" s="529" t="s">
        <v>18</v>
      </c>
      <c r="L18" s="530"/>
      <c r="M18" s="229">
        <v>6319</v>
      </c>
      <c r="N18" s="229">
        <v>6055</v>
      </c>
      <c r="O18" s="235">
        <v>0.95822123753758504</v>
      </c>
      <c r="P18" s="182"/>
      <c r="Q18" s="529" t="s">
        <v>318</v>
      </c>
      <c r="R18" s="530"/>
      <c r="S18" s="238">
        <v>13288</v>
      </c>
    </row>
    <row r="19" spans="2:26" ht="41.25" customHeight="1" thickBot="1" x14ac:dyDescent="0.45">
      <c r="B19" s="5"/>
      <c r="C19" s="526" t="s">
        <v>328</v>
      </c>
      <c r="D19" s="527"/>
      <c r="E19" s="527"/>
      <c r="F19" s="528"/>
      <c r="G19" s="129">
        <v>1</v>
      </c>
      <c r="H19" s="125">
        <v>1</v>
      </c>
      <c r="I19" s="126">
        <v>1</v>
      </c>
      <c r="J19" s="293" t="s">
        <v>445</v>
      </c>
      <c r="K19" s="526" t="s">
        <v>348</v>
      </c>
      <c r="L19" s="528"/>
      <c r="M19" s="157">
        <v>5967</v>
      </c>
      <c r="N19" s="157">
        <v>5952</v>
      </c>
      <c r="O19" s="158">
        <v>0.9974861739567622</v>
      </c>
      <c r="P19" s="46"/>
      <c r="Q19" s="529" t="s">
        <v>319</v>
      </c>
      <c r="R19" s="530"/>
      <c r="S19" s="239">
        <v>7909</v>
      </c>
    </row>
    <row r="20" spans="2:26" ht="40.5" customHeight="1" x14ac:dyDescent="0.4">
      <c r="B20" s="5"/>
      <c r="C20" s="526" t="s">
        <v>329</v>
      </c>
      <c r="D20" s="527"/>
      <c r="E20" s="527"/>
      <c r="F20" s="528"/>
      <c r="G20" s="129">
        <v>6</v>
      </c>
      <c r="H20" s="125">
        <v>1</v>
      </c>
      <c r="I20" s="126">
        <v>0.16666666666666666</v>
      </c>
      <c r="J20" s="293" t="s">
        <v>445</v>
      </c>
      <c r="K20" s="526" t="s">
        <v>395</v>
      </c>
      <c r="L20" s="528"/>
      <c r="M20" s="157">
        <v>347</v>
      </c>
      <c r="N20" s="157">
        <v>100</v>
      </c>
      <c r="O20" s="158">
        <v>0.28818443804034583</v>
      </c>
      <c r="P20" s="46"/>
      <c r="Q20" s="46"/>
      <c r="R20" s="46"/>
      <c r="S20" s="187"/>
    </row>
    <row r="21" spans="2:26" ht="39" customHeight="1" thickBot="1" x14ac:dyDescent="0.45">
      <c r="B21" s="5"/>
      <c r="C21" s="526" t="s">
        <v>330</v>
      </c>
      <c r="D21" s="527"/>
      <c r="E21" s="527"/>
      <c r="F21" s="528"/>
      <c r="G21" s="129">
        <v>1</v>
      </c>
      <c r="H21" s="125">
        <v>0</v>
      </c>
      <c r="I21" s="131">
        <v>0</v>
      </c>
      <c r="J21" s="293" t="s">
        <v>445</v>
      </c>
      <c r="K21" s="526" t="s">
        <v>349</v>
      </c>
      <c r="L21" s="528"/>
      <c r="M21" s="157">
        <v>5</v>
      </c>
      <c r="N21" s="157">
        <v>3</v>
      </c>
      <c r="O21" s="158">
        <v>0.6</v>
      </c>
      <c r="P21" s="46"/>
      <c r="Q21" s="46"/>
      <c r="R21" s="46"/>
      <c r="S21" s="187"/>
    </row>
    <row r="22" spans="2:26" ht="32.25" customHeight="1" thickBot="1" x14ac:dyDescent="0.45">
      <c r="B22" s="5"/>
      <c r="C22" s="529" t="s">
        <v>16</v>
      </c>
      <c r="D22" s="530"/>
      <c r="E22" s="530"/>
      <c r="F22" s="530"/>
      <c r="G22" s="229">
        <v>487042</v>
      </c>
      <c r="H22" s="229">
        <v>338109</v>
      </c>
      <c r="I22" s="234">
        <v>0.69420912364847387</v>
      </c>
      <c r="J22" s="5"/>
      <c r="K22" s="529" t="s">
        <v>279</v>
      </c>
      <c r="L22" s="530"/>
      <c r="M22" s="229">
        <v>3085</v>
      </c>
      <c r="N22" s="229">
        <v>616</v>
      </c>
      <c r="O22" s="235">
        <v>0.19967585089141004</v>
      </c>
      <c r="P22" s="46"/>
      <c r="Q22" s="46"/>
      <c r="R22" s="46"/>
      <c r="S22" s="187"/>
      <c r="T22" s="561"/>
      <c r="U22" s="561"/>
      <c r="V22" s="167"/>
      <c r="W22" s="168"/>
      <c r="X22" s="168"/>
      <c r="Y22" s="169"/>
    </row>
    <row r="23" spans="2:26" ht="26.25" customHeight="1" x14ac:dyDescent="0.4">
      <c r="B23" s="5"/>
      <c r="C23" s="531" t="s">
        <v>331</v>
      </c>
      <c r="D23" s="532"/>
      <c r="E23" s="532"/>
      <c r="F23" s="533"/>
      <c r="G23" s="162">
        <v>256980</v>
      </c>
      <c r="H23" s="157">
        <v>195787</v>
      </c>
      <c r="I23" s="158">
        <v>0.76187641061561207</v>
      </c>
      <c r="J23" s="5"/>
      <c r="K23" s="526" t="s">
        <v>352</v>
      </c>
      <c r="L23" s="528"/>
      <c r="M23" s="157">
        <v>2266</v>
      </c>
      <c r="N23" s="157">
        <v>334</v>
      </c>
      <c r="O23" s="158">
        <v>0.14739629302736099</v>
      </c>
      <c r="P23" s="46"/>
      <c r="Q23" s="46"/>
      <c r="R23" s="46"/>
      <c r="S23" s="187"/>
      <c r="T23" s="170"/>
      <c r="U23" s="170"/>
      <c r="V23" s="171"/>
      <c r="W23" s="172"/>
      <c r="X23" s="172"/>
      <c r="Y23" s="173"/>
    </row>
    <row r="24" spans="2:26" ht="39.75" customHeight="1" x14ac:dyDescent="0.4">
      <c r="B24" s="5"/>
      <c r="C24" s="531" t="s">
        <v>332</v>
      </c>
      <c r="D24" s="532"/>
      <c r="E24" s="532"/>
      <c r="F24" s="533"/>
      <c r="G24" s="162">
        <v>280</v>
      </c>
      <c r="H24" s="157">
        <v>191</v>
      </c>
      <c r="I24" s="158">
        <v>0.68214285714285716</v>
      </c>
      <c r="J24" s="5"/>
      <c r="K24" s="526" t="s">
        <v>351</v>
      </c>
      <c r="L24" s="528"/>
      <c r="M24" s="157">
        <v>262</v>
      </c>
      <c r="N24" s="157">
        <v>16</v>
      </c>
      <c r="O24" s="158">
        <v>6.1068702290076333E-2</v>
      </c>
      <c r="P24" s="46"/>
      <c r="Q24" s="46"/>
      <c r="R24" s="46"/>
      <c r="S24" s="187"/>
      <c r="T24" s="170"/>
      <c r="U24" s="170"/>
      <c r="V24" s="171"/>
      <c r="W24" s="172"/>
      <c r="X24" s="172"/>
      <c r="Y24" s="173"/>
    </row>
    <row r="25" spans="2:26" ht="37.5" customHeight="1" x14ac:dyDescent="0.4">
      <c r="B25" s="5"/>
      <c r="C25" s="531" t="s">
        <v>333</v>
      </c>
      <c r="D25" s="532"/>
      <c r="E25" s="532"/>
      <c r="F25" s="533"/>
      <c r="G25" s="162">
        <v>238</v>
      </c>
      <c r="H25" s="157">
        <v>183</v>
      </c>
      <c r="I25" s="158">
        <v>0.76890756302521013</v>
      </c>
      <c r="J25" s="5"/>
      <c r="K25" s="526" t="s">
        <v>350</v>
      </c>
      <c r="L25" s="528"/>
      <c r="M25" s="157">
        <v>516</v>
      </c>
      <c r="N25" s="157">
        <v>245</v>
      </c>
      <c r="O25" s="158">
        <v>0.47480620155038761</v>
      </c>
      <c r="P25" s="46"/>
      <c r="Q25" s="46"/>
      <c r="R25" s="46"/>
      <c r="S25" s="187"/>
      <c r="T25" s="170"/>
      <c r="U25" s="170"/>
      <c r="V25" s="171"/>
      <c r="W25" s="172"/>
      <c r="X25" s="172"/>
      <c r="Y25" s="173"/>
    </row>
    <row r="26" spans="2:26" ht="37.5" customHeight="1" thickBot="1" x14ac:dyDescent="0.45">
      <c r="B26" s="5"/>
      <c r="C26" s="531" t="s">
        <v>334</v>
      </c>
      <c r="D26" s="532"/>
      <c r="E26" s="532"/>
      <c r="F26" s="533"/>
      <c r="G26" s="162">
        <v>112698</v>
      </c>
      <c r="H26" s="157">
        <v>88127</v>
      </c>
      <c r="I26" s="158">
        <v>0.7819748354008057</v>
      </c>
      <c r="J26" s="175"/>
      <c r="K26" s="543" t="s">
        <v>448</v>
      </c>
      <c r="L26" s="544"/>
      <c r="M26" s="294">
        <v>41</v>
      </c>
      <c r="N26" s="294">
        <v>21</v>
      </c>
      <c r="O26" s="295">
        <v>0.51219512195121952</v>
      </c>
      <c r="P26" s="46"/>
      <c r="Q26" s="46"/>
      <c r="R26" s="46"/>
      <c r="S26" s="187"/>
      <c r="T26" s="170"/>
      <c r="U26" s="170"/>
      <c r="V26" s="171"/>
      <c r="W26" s="172"/>
      <c r="X26" s="172"/>
      <c r="Y26" s="173"/>
    </row>
    <row r="27" spans="2:26" ht="26.25" customHeight="1" x14ac:dyDescent="0.4">
      <c r="B27" s="5"/>
      <c r="C27" s="531" t="s">
        <v>335</v>
      </c>
      <c r="D27" s="532"/>
      <c r="E27" s="532"/>
      <c r="F27" s="533"/>
      <c r="G27" s="162">
        <v>29</v>
      </c>
      <c r="H27" s="157">
        <v>28</v>
      </c>
      <c r="I27" s="158">
        <v>0.96551724137931039</v>
      </c>
      <c r="J27" s="175"/>
      <c r="K27" s="175"/>
      <c r="L27" s="175"/>
      <c r="M27" s="175"/>
      <c r="N27" s="46"/>
      <c r="O27" s="46"/>
      <c r="P27" s="46"/>
      <c r="Q27" s="46"/>
      <c r="R27" s="46"/>
      <c r="S27" s="187"/>
      <c r="T27" s="170"/>
      <c r="U27" s="170"/>
      <c r="V27" s="171"/>
      <c r="W27" s="172"/>
      <c r="X27" s="172"/>
      <c r="Y27" s="173"/>
    </row>
    <row r="28" spans="2:26" ht="32.25" customHeight="1" thickBot="1" x14ac:dyDescent="0.45">
      <c r="B28" s="5"/>
      <c r="C28" s="531" t="s">
        <v>336</v>
      </c>
      <c r="D28" s="532"/>
      <c r="E28" s="532"/>
      <c r="F28" s="533"/>
      <c r="G28" s="129">
        <v>15077</v>
      </c>
      <c r="H28" s="125">
        <v>4349</v>
      </c>
      <c r="I28" s="126">
        <v>0.28845260993566357</v>
      </c>
      <c r="J28" s="293" t="s">
        <v>445</v>
      </c>
      <c r="K28" s="175"/>
      <c r="R28" s="46"/>
      <c r="S28" s="187"/>
      <c r="T28" s="170"/>
      <c r="U28" s="170"/>
      <c r="V28" s="171"/>
      <c r="W28" s="172"/>
      <c r="X28" s="172"/>
      <c r="Y28" s="173"/>
    </row>
    <row r="29" spans="2:26" ht="27" customHeight="1" thickBot="1" x14ac:dyDescent="0.45">
      <c r="B29" s="5"/>
      <c r="C29" s="531" t="s">
        <v>337</v>
      </c>
      <c r="D29" s="532"/>
      <c r="E29" s="532"/>
      <c r="F29" s="533"/>
      <c r="G29" s="162">
        <v>101740</v>
      </c>
      <c r="H29" s="157">
        <v>49444</v>
      </c>
      <c r="I29" s="158">
        <v>0.48598388047965402</v>
      </c>
      <c r="J29" s="175"/>
      <c r="K29" s="545" t="s">
        <v>447</v>
      </c>
      <c r="L29" s="546"/>
      <c r="M29" s="546"/>
      <c r="N29" s="546"/>
      <c r="O29" s="547"/>
      <c r="P29" s="551" t="s">
        <v>445</v>
      </c>
      <c r="Q29" s="292"/>
      <c r="R29" s="46"/>
      <c r="S29" s="187"/>
      <c r="T29" s="170"/>
      <c r="U29" s="170"/>
      <c r="V29" s="171"/>
      <c r="W29" s="172"/>
      <c r="X29" s="172"/>
      <c r="Y29" s="173"/>
    </row>
    <row r="30" spans="2:26" ht="32.25" customHeight="1" thickBot="1" x14ac:dyDescent="0.45">
      <c r="B30" s="5"/>
      <c r="C30" s="529" t="s">
        <v>42</v>
      </c>
      <c r="D30" s="530"/>
      <c r="E30" s="530"/>
      <c r="F30" s="530"/>
      <c r="G30" s="230">
        <v>68996</v>
      </c>
      <c r="H30" s="230">
        <v>56996</v>
      </c>
      <c r="I30" s="235">
        <v>0.82607687402168239</v>
      </c>
      <c r="J30" s="175"/>
      <c r="K30" s="548"/>
      <c r="L30" s="549"/>
      <c r="M30" s="549"/>
      <c r="N30" s="549"/>
      <c r="O30" s="550"/>
      <c r="P30" s="551"/>
      <c r="Q30" s="46"/>
      <c r="R30" s="46"/>
      <c r="S30" s="187"/>
      <c r="T30" s="170"/>
      <c r="U30" s="170"/>
      <c r="V30" s="174"/>
      <c r="W30" s="172"/>
      <c r="X30" s="172"/>
      <c r="Y30" s="173"/>
    </row>
    <row r="31" spans="2:26" ht="33.75" customHeight="1" x14ac:dyDescent="0.4">
      <c r="B31" s="5"/>
      <c r="C31" s="526" t="s">
        <v>357</v>
      </c>
      <c r="D31" s="527"/>
      <c r="E31" s="527"/>
      <c r="F31" s="528"/>
      <c r="G31" s="162">
        <v>72</v>
      </c>
      <c r="H31" s="157">
        <v>60</v>
      </c>
      <c r="I31" s="158">
        <v>0.83333333333333337</v>
      </c>
      <c r="J31" s="175"/>
      <c r="K31" s="175"/>
      <c r="L31" s="175"/>
      <c r="M31" s="175"/>
      <c r="N31" s="46"/>
      <c r="O31" s="46"/>
      <c r="P31" s="46"/>
      <c r="Q31" s="46"/>
      <c r="R31" s="46"/>
      <c r="S31" s="187"/>
      <c r="T31" s="170"/>
      <c r="U31" s="170"/>
      <c r="V31" s="171"/>
      <c r="W31" s="172"/>
      <c r="X31" s="172"/>
      <c r="Y31" s="173"/>
    </row>
    <row r="32" spans="2:26" ht="32.25" customHeight="1" x14ac:dyDescent="0.4">
      <c r="B32" s="5"/>
      <c r="C32" s="526" t="s">
        <v>358</v>
      </c>
      <c r="D32" s="527"/>
      <c r="E32" s="527"/>
      <c r="F32" s="528"/>
      <c r="G32" s="162">
        <v>55</v>
      </c>
      <c r="H32" s="157">
        <v>45</v>
      </c>
      <c r="I32" s="158">
        <v>0.81818181818181823</v>
      </c>
      <c r="J32" s="46"/>
      <c r="K32" s="46"/>
      <c r="L32" s="46"/>
      <c r="M32" s="46"/>
      <c r="N32" s="46"/>
      <c r="O32" s="46"/>
      <c r="P32" s="46"/>
      <c r="Q32" s="46"/>
      <c r="R32" s="46"/>
      <c r="S32" s="187"/>
      <c r="T32" s="26"/>
      <c r="U32" s="26"/>
      <c r="V32" s="153"/>
      <c r="W32" s="154"/>
      <c r="X32" s="154"/>
      <c r="Y32" s="155"/>
      <c r="Z32" s="13"/>
    </row>
    <row r="33" spans="2:26" ht="32.25" customHeight="1" x14ac:dyDescent="0.4">
      <c r="B33" s="5"/>
      <c r="C33" s="526" t="s">
        <v>359</v>
      </c>
      <c r="D33" s="527"/>
      <c r="E33" s="527"/>
      <c r="F33" s="528"/>
      <c r="G33" s="162">
        <v>578</v>
      </c>
      <c r="H33" s="157">
        <v>537</v>
      </c>
      <c r="I33" s="158">
        <v>0.9290657439446367</v>
      </c>
      <c r="J33" s="46"/>
      <c r="K33" s="46"/>
      <c r="L33" s="46"/>
      <c r="M33" s="46"/>
      <c r="N33" s="46"/>
      <c r="O33" s="46"/>
      <c r="P33" s="46"/>
      <c r="Q33" s="46"/>
      <c r="R33" s="46"/>
      <c r="S33" s="187"/>
      <c r="T33" s="152"/>
      <c r="U33" s="152"/>
      <c r="V33" s="156"/>
      <c r="W33" s="180"/>
      <c r="X33" s="180"/>
      <c r="Y33" s="176"/>
      <c r="Z33" s="13"/>
    </row>
    <row r="34" spans="2:26" ht="32.25" customHeight="1" x14ac:dyDescent="0.4">
      <c r="B34" s="5"/>
      <c r="C34" s="526" t="s">
        <v>360</v>
      </c>
      <c r="D34" s="527"/>
      <c r="E34" s="527"/>
      <c r="F34" s="528"/>
      <c r="G34" s="162">
        <v>1306</v>
      </c>
      <c r="H34" s="157">
        <v>451</v>
      </c>
      <c r="I34" s="158">
        <v>0.34532924961715161</v>
      </c>
      <c r="J34" s="46"/>
      <c r="K34" s="46"/>
      <c r="L34" s="46"/>
      <c r="M34" s="46"/>
      <c r="N34" s="46"/>
      <c r="O34" s="46"/>
      <c r="P34" s="46"/>
      <c r="Q34" s="46"/>
      <c r="R34" s="46"/>
      <c r="S34" s="187"/>
      <c r="T34" s="26"/>
      <c r="U34" s="26"/>
      <c r="V34" s="153"/>
      <c r="W34" s="154"/>
      <c r="X34" s="154"/>
      <c r="Y34" s="155"/>
      <c r="Z34" s="13"/>
    </row>
    <row r="35" spans="2:26" ht="32.25" customHeight="1" x14ac:dyDescent="0.4">
      <c r="B35" s="5"/>
      <c r="C35" s="526" t="s">
        <v>361</v>
      </c>
      <c r="D35" s="527"/>
      <c r="E35" s="527"/>
      <c r="F35" s="528"/>
      <c r="G35" s="162">
        <v>213</v>
      </c>
      <c r="H35" s="157">
        <v>212</v>
      </c>
      <c r="I35" s="158">
        <v>0.99530516431924887</v>
      </c>
      <c r="J35" s="46"/>
      <c r="K35" s="46"/>
      <c r="L35" s="46"/>
      <c r="M35" s="46"/>
      <c r="N35" s="46"/>
      <c r="O35" s="46"/>
      <c r="P35" s="46"/>
      <c r="Q35" s="46"/>
      <c r="R35" s="46"/>
      <c r="S35" s="187"/>
      <c r="T35" s="26"/>
      <c r="U35" s="26"/>
      <c r="V35" s="153"/>
      <c r="W35" s="154"/>
      <c r="X35" s="154"/>
      <c r="Y35" s="155"/>
      <c r="Z35" s="13"/>
    </row>
    <row r="36" spans="2:26" ht="32.25" customHeight="1" x14ac:dyDescent="0.4">
      <c r="B36" s="5"/>
      <c r="C36" s="526" t="s">
        <v>362</v>
      </c>
      <c r="D36" s="527"/>
      <c r="E36" s="527"/>
      <c r="F36" s="528"/>
      <c r="G36" s="162">
        <v>15843</v>
      </c>
      <c r="H36" s="157">
        <v>12395</v>
      </c>
      <c r="I36" s="158">
        <v>0.78236445117717601</v>
      </c>
      <c r="J36" s="46"/>
      <c r="K36" s="46"/>
      <c r="L36" s="46"/>
      <c r="M36" s="46"/>
      <c r="N36" s="46"/>
      <c r="O36" s="46"/>
      <c r="P36" s="46"/>
      <c r="Q36" s="46"/>
      <c r="R36" s="46"/>
      <c r="S36" s="187"/>
      <c r="T36" s="26"/>
      <c r="U36" s="26"/>
      <c r="V36" s="153"/>
      <c r="W36" s="154"/>
      <c r="X36" s="154"/>
      <c r="Y36" s="155"/>
      <c r="Z36" s="13"/>
    </row>
    <row r="37" spans="2:26" ht="27" customHeight="1" thickBot="1" x14ac:dyDescent="0.45">
      <c r="B37" s="5"/>
      <c r="C37" s="526" t="s">
        <v>363</v>
      </c>
      <c r="D37" s="527"/>
      <c r="E37" s="527"/>
      <c r="F37" s="528"/>
      <c r="G37" s="162">
        <v>50929</v>
      </c>
      <c r="H37" s="157">
        <v>43296</v>
      </c>
      <c r="I37" s="158">
        <v>0.85012468338274849</v>
      </c>
      <c r="J37" s="46"/>
      <c r="K37" s="46"/>
      <c r="L37" s="46"/>
      <c r="M37" s="46"/>
      <c r="N37" s="46"/>
      <c r="O37" s="46"/>
      <c r="P37" s="46"/>
      <c r="Q37" s="46"/>
      <c r="R37" s="46"/>
      <c r="S37" s="187"/>
    </row>
    <row r="38" spans="2:26" ht="32.25" customHeight="1" thickBot="1" x14ac:dyDescent="0.45">
      <c r="B38" s="5"/>
      <c r="C38" s="529" t="s">
        <v>308</v>
      </c>
      <c r="D38" s="530"/>
      <c r="E38" s="530"/>
      <c r="F38" s="530"/>
      <c r="G38" s="236">
        <v>250418</v>
      </c>
      <c r="H38" s="238">
        <v>123918</v>
      </c>
      <c r="I38" s="235">
        <v>0.4948446197957016</v>
      </c>
      <c r="J38" s="46"/>
      <c r="K38" s="46"/>
      <c r="Q38" s="46"/>
      <c r="R38" s="46"/>
      <c r="S38" s="187"/>
    </row>
    <row r="39" spans="2:26" ht="26.25" customHeight="1" x14ac:dyDescent="0.4">
      <c r="B39" s="5"/>
      <c r="C39" s="526" t="s">
        <v>364</v>
      </c>
      <c r="D39" s="527"/>
      <c r="E39" s="527"/>
      <c r="F39" s="528"/>
      <c r="G39" s="162">
        <v>5387</v>
      </c>
      <c r="H39" s="157">
        <v>4197</v>
      </c>
      <c r="I39" s="158">
        <v>0.77909782810469652</v>
      </c>
      <c r="J39" s="46"/>
      <c r="K39" s="46"/>
      <c r="Q39" s="46"/>
      <c r="R39" s="46"/>
      <c r="S39" s="187"/>
    </row>
    <row r="40" spans="2:26" ht="26.25" customHeight="1" x14ac:dyDescent="0.4">
      <c r="B40" s="5"/>
      <c r="C40" s="526" t="s">
        <v>365</v>
      </c>
      <c r="D40" s="527"/>
      <c r="E40" s="527"/>
      <c r="F40" s="528"/>
      <c r="G40" s="162">
        <v>178371</v>
      </c>
      <c r="H40" s="157">
        <v>69229</v>
      </c>
      <c r="I40" s="158">
        <v>0.38811802366976694</v>
      </c>
      <c r="J40" s="46"/>
      <c r="K40" s="46"/>
      <c r="L40" s="46"/>
      <c r="M40" s="46"/>
      <c r="N40" s="46"/>
      <c r="O40" s="46"/>
      <c r="P40" s="46"/>
      <c r="Q40" s="46"/>
      <c r="R40" s="46"/>
      <c r="S40" s="187"/>
    </row>
    <row r="41" spans="2:26" ht="26.25" customHeight="1" x14ac:dyDescent="0.4">
      <c r="B41" s="5"/>
      <c r="C41" s="526" t="s">
        <v>366</v>
      </c>
      <c r="D41" s="527"/>
      <c r="E41" s="527"/>
      <c r="F41" s="528"/>
      <c r="G41" s="162">
        <v>1275</v>
      </c>
      <c r="H41" s="157">
        <v>406</v>
      </c>
      <c r="I41" s="158">
        <v>0.3184313725490196</v>
      </c>
      <c r="J41" s="46"/>
      <c r="K41" s="46"/>
      <c r="L41" s="46"/>
      <c r="M41" s="46"/>
      <c r="N41" s="46"/>
      <c r="O41" s="46"/>
      <c r="P41" s="46"/>
      <c r="Q41" s="46"/>
      <c r="R41" s="46"/>
      <c r="S41" s="187"/>
    </row>
    <row r="42" spans="2:26" ht="36" customHeight="1" x14ac:dyDescent="0.4">
      <c r="B42" s="5"/>
      <c r="C42" s="526" t="s">
        <v>367</v>
      </c>
      <c r="D42" s="527"/>
      <c r="E42" s="527"/>
      <c r="F42" s="528"/>
      <c r="G42" s="162">
        <v>30966</v>
      </c>
      <c r="H42" s="157">
        <v>19172</v>
      </c>
      <c r="I42" s="158">
        <v>0.61913065943292644</v>
      </c>
      <c r="J42" s="46"/>
      <c r="K42" s="46"/>
      <c r="L42" s="46"/>
      <c r="M42" s="46"/>
      <c r="N42" s="46"/>
      <c r="O42" s="46"/>
      <c r="P42" s="46"/>
      <c r="Q42" s="46"/>
      <c r="R42" s="46"/>
      <c r="S42" s="187"/>
    </row>
    <row r="43" spans="2:26" ht="33" customHeight="1" x14ac:dyDescent="0.4">
      <c r="B43" s="5"/>
      <c r="C43" s="526" t="s">
        <v>368</v>
      </c>
      <c r="D43" s="527"/>
      <c r="E43" s="527"/>
      <c r="F43" s="528"/>
      <c r="G43" s="162">
        <v>33679</v>
      </c>
      <c r="H43" s="157">
        <v>30260</v>
      </c>
      <c r="I43" s="158">
        <v>0.898482734047923</v>
      </c>
      <c r="J43" s="46"/>
      <c r="K43" s="46"/>
      <c r="L43" s="46"/>
      <c r="M43" s="46"/>
      <c r="N43" s="46"/>
      <c r="O43" s="46"/>
      <c r="P43" s="46"/>
      <c r="Q43" s="46"/>
      <c r="R43" s="46"/>
      <c r="S43" s="187"/>
    </row>
    <row r="44" spans="2:26" ht="27" customHeight="1" thickBot="1" x14ac:dyDescent="0.45">
      <c r="B44" s="5"/>
      <c r="C44" s="543" t="s">
        <v>369</v>
      </c>
      <c r="D44" s="569"/>
      <c r="E44" s="569"/>
      <c r="F44" s="544"/>
      <c r="G44" s="163">
        <v>740</v>
      </c>
      <c r="H44" s="159">
        <v>654</v>
      </c>
      <c r="I44" s="160">
        <v>0.88378378378378375</v>
      </c>
      <c r="J44" s="164"/>
      <c r="K44" s="164"/>
      <c r="L44" s="164"/>
      <c r="M44" s="164"/>
      <c r="N44" s="164"/>
      <c r="O44" s="164"/>
      <c r="P44" s="164"/>
      <c r="Q44" s="164"/>
      <c r="R44" s="164"/>
      <c r="S44" s="188"/>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65" t="s">
        <v>353</v>
      </c>
      <c r="D49" s="566"/>
      <c r="E49" s="566"/>
      <c r="F49" s="566"/>
      <c r="G49" s="566"/>
      <c r="H49" s="566"/>
      <c r="I49" s="566"/>
      <c r="J49" s="566"/>
      <c r="K49" s="566"/>
      <c r="L49" s="566"/>
      <c r="M49" s="566"/>
      <c r="N49" s="566"/>
      <c r="O49" s="566"/>
      <c r="P49" s="566"/>
      <c r="Q49" s="566"/>
      <c r="R49" s="566"/>
      <c r="S49" s="567"/>
    </row>
    <row r="50" spans="1:19" x14ac:dyDescent="0.2">
      <c r="C50" s="568" t="s">
        <v>287</v>
      </c>
      <c r="D50" s="568"/>
      <c r="E50" s="562" t="s">
        <v>238</v>
      </c>
      <c r="F50" s="563"/>
      <c r="G50" s="564"/>
      <c r="H50" s="562" t="s">
        <v>8</v>
      </c>
      <c r="I50" s="563"/>
      <c r="J50" s="564"/>
      <c r="K50" s="562" t="s">
        <v>43</v>
      </c>
      <c r="L50" s="563"/>
      <c r="M50" s="564"/>
      <c r="N50" s="562" t="s">
        <v>9</v>
      </c>
      <c r="O50" s="563"/>
      <c r="P50" s="564"/>
      <c r="Q50" s="262" t="s">
        <v>10</v>
      </c>
      <c r="R50" s="218" t="s">
        <v>11</v>
      </c>
      <c r="S50" s="218" t="s">
        <v>12</v>
      </c>
    </row>
    <row r="51" spans="1:19" s="10" customFormat="1" ht="51" x14ac:dyDescent="0.2">
      <c r="A51" s="242"/>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74">
        <v>374918</v>
      </c>
      <c r="D52" s="80">
        <v>372.1</v>
      </c>
      <c r="E52" s="81">
        <v>464285</v>
      </c>
      <c r="F52" s="81">
        <v>220604</v>
      </c>
      <c r="G52" s="84">
        <v>0.47514780791970451</v>
      </c>
      <c r="H52" s="81">
        <v>487042</v>
      </c>
      <c r="I52" s="81">
        <v>338109</v>
      </c>
      <c r="J52" s="84">
        <v>0.69420912364847387</v>
      </c>
      <c r="K52" s="81">
        <v>68996</v>
      </c>
      <c r="L52" s="81">
        <v>56996</v>
      </c>
      <c r="M52" s="84">
        <v>0.82607687402168239</v>
      </c>
      <c r="N52" s="81">
        <v>250418</v>
      </c>
      <c r="O52" s="81">
        <v>123918</v>
      </c>
      <c r="P52" s="84">
        <v>0.4948446197957016</v>
      </c>
      <c r="Q52" s="81">
        <v>7439</v>
      </c>
      <c r="R52" s="81">
        <v>4144</v>
      </c>
      <c r="S52" s="83">
        <v>286713</v>
      </c>
    </row>
    <row r="53" spans="1:19" x14ac:dyDescent="0.2">
      <c r="A53" s="70"/>
      <c r="B53" s="92" t="s">
        <v>149</v>
      </c>
      <c r="C53" s="81">
        <v>57805</v>
      </c>
      <c r="D53" s="191">
        <v>441</v>
      </c>
      <c r="E53" s="192">
        <v>86090</v>
      </c>
      <c r="F53" s="192">
        <v>41527</v>
      </c>
      <c r="G53" s="194">
        <v>0.48236729004530143</v>
      </c>
      <c r="H53" s="192">
        <v>79346</v>
      </c>
      <c r="I53" s="192">
        <v>55739</v>
      </c>
      <c r="J53" s="194">
        <v>0.70248027625841247</v>
      </c>
      <c r="K53" s="192">
        <v>11204</v>
      </c>
      <c r="L53" s="192">
        <v>8984</v>
      </c>
      <c r="M53" s="195">
        <v>0.80185647982863262</v>
      </c>
      <c r="N53" s="192">
        <v>52439</v>
      </c>
      <c r="O53" s="192">
        <v>25935</v>
      </c>
      <c r="P53" s="195">
        <v>0.49457464863937145</v>
      </c>
      <c r="Q53" s="192">
        <v>4508</v>
      </c>
      <c r="R53" s="192">
        <v>727</v>
      </c>
      <c r="S53" s="81">
        <v>53689</v>
      </c>
    </row>
    <row r="54" spans="1:19" x14ac:dyDescent="0.2">
      <c r="A54" s="243" t="s">
        <v>166</v>
      </c>
      <c r="B54" s="93" t="s">
        <v>46</v>
      </c>
      <c r="C54" s="82">
        <v>7580</v>
      </c>
      <c r="D54" s="196">
        <v>558</v>
      </c>
      <c r="E54" s="197">
        <v>9231</v>
      </c>
      <c r="F54" s="197">
        <v>5529</v>
      </c>
      <c r="G54" s="198">
        <v>0.59896002599935005</v>
      </c>
      <c r="H54" s="197">
        <v>8806</v>
      </c>
      <c r="I54" s="197">
        <v>7539</v>
      </c>
      <c r="J54" s="198">
        <v>0.85612082670906198</v>
      </c>
      <c r="K54" s="197">
        <v>1100</v>
      </c>
      <c r="L54" s="197">
        <v>949</v>
      </c>
      <c r="M54" s="198">
        <v>0.86272727272727268</v>
      </c>
      <c r="N54" s="197">
        <v>8903</v>
      </c>
      <c r="O54" s="197">
        <v>5391</v>
      </c>
      <c r="P54" s="198">
        <v>0.60552622711445581</v>
      </c>
      <c r="Q54" s="197">
        <v>32</v>
      </c>
      <c r="R54" s="197">
        <v>7</v>
      </c>
      <c r="S54" s="82">
        <v>4898</v>
      </c>
    </row>
    <row r="55" spans="1:19" x14ac:dyDescent="0.2">
      <c r="A55" s="243" t="s">
        <v>159</v>
      </c>
      <c r="B55" s="93" t="s">
        <v>48</v>
      </c>
      <c r="C55" s="82">
        <v>4831</v>
      </c>
      <c r="D55" s="196">
        <v>495.9</v>
      </c>
      <c r="E55" s="197">
        <v>5034</v>
      </c>
      <c r="F55" s="197">
        <v>2873</v>
      </c>
      <c r="G55" s="198">
        <v>0.57071911005164877</v>
      </c>
      <c r="H55" s="197">
        <v>6295</v>
      </c>
      <c r="I55" s="197">
        <v>4930</v>
      </c>
      <c r="J55" s="198">
        <v>0.78316123907863389</v>
      </c>
      <c r="K55" s="197">
        <v>2221</v>
      </c>
      <c r="L55" s="197">
        <v>1707</v>
      </c>
      <c r="M55" s="198">
        <v>0.76857271499324631</v>
      </c>
      <c r="N55" s="197">
        <v>970</v>
      </c>
      <c r="O55" s="197">
        <v>874</v>
      </c>
      <c r="P55" s="198">
        <v>0.90103092783505156</v>
      </c>
      <c r="Q55" s="197">
        <v>1</v>
      </c>
      <c r="R55" s="197">
        <v>7</v>
      </c>
      <c r="S55" s="82">
        <v>3833</v>
      </c>
    </row>
    <row r="56" spans="1:19" x14ac:dyDescent="0.2">
      <c r="A56" s="243" t="s">
        <v>162</v>
      </c>
      <c r="B56" s="93" t="s">
        <v>33</v>
      </c>
      <c r="C56" s="82">
        <v>1784</v>
      </c>
      <c r="D56" s="196">
        <v>176.7</v>
      </c>
      <c r="E56" s="197">
        <v>5973</v>
      </c>
      <c r="F56" s="197">
        <v>3039</v>
      </c>
      <c r="G56" s="198">
        <v>0.50878955298844797</v>
      </c>
      <c r="H56" s="197">
        <v>2604</v>
      </c>
      <c r="I56" s="197">
        <v>1302</v>
      </c>
      <c r="J56" s="198">
        <v>0.5</v>
      </c>
      <c r="K56" s="197">
        <v>79</v>
      </c>
      <c r="L56" s="197">
        <v>40</v>
      </c>
      <c r="M56" s="198">
        <v>0.50632911392405067</v>
      </c>
      <c r="N56" s="197">
        <v>668</v>
      </c>
      <c r="O56" s="197">
        <v>485</v>
      </c>
      <c r="P56" s="198">
        <v>0.7260479041916168</v>
      </c>
      <c r="Q56" s="197">
        <v>1</v>
      </c>
      <c r="R56" s="197">
        <v>6</v>
      </c>
      <c r="S56" s="82">
        <v>1546</v>
      </c>
    </row>
    <row r="57" spans="1:19" x14ac:dyDescent="0.2">
      <c r="A57" s="244" t="s">
        <v>175</v>
      </c>
      <c r="B57" s="93" t="s">
        <v>51</v>
      </c>
      <c r="C57" s="82">
        <v>9642</v>
      </c>
      <c r="D57" s="196">
        <v>635.29999999999995</v>
      </c>
      <c r="E57" s="197">
        <v>9087</v>
      </c>
      <c r="F57" s="197">
        <v>3512</v>
      </c>
      <c r="G57" s="198">
        <v>0.38648618906129634</v>
      </c>
      <c r="H57" s="197">
        <v>11711</v>
      </c>
      <c r="I57" s="197">
        <v>9522</v>
      </c>
      <c r="J57" s="198">
        <v>0.81308171804286566</v>
      </c>
      <c r="K57" s="197">
        <v>1164</v>
      </c>
      <c r="L57" s="197">
        <v>1068</v>
      </c>
      <c r="M57" s="198">
        <v>0.91752577319587625</v>
      </c>
      <c r="N57" s="197">
        <v>12103</v>
      </c>
      <c r="O57" s="197">
        <v>6325</v>
      </c>
      <c r="P57" s="198">
        <v>0.52259770304883091</v>
      </c>
      <c r="Q57" s="197">
        <v>15</v>
      </c>
      <c r="R57" s="197">
        <v>309</v>
      </c>
      <c r="S57" s="82">
        <v>12758</v>
      </c>
    </row>
    <row r="58" spans="1:19" x14ac:dyDescent="0.2">
      <c r="A58" s="244" t="s">
        <v>179</v>
      </c>
      <c r="B58" s="93" t="s">
        <v>55</v>
      </c>
      <c r="C58" s="82">
        <v>3617</v>
      </c>
      <c r="D58" s="196">
        <v>224</v>
      </c>
      <c r="E58" s="197">
        <v>8903</v>
      </c>
      <c r="F58" s="197">
        <v>3694</v>
      </c>
      <c r="G58" s="198">
        <v>0.41491632034145792</v>
      </c>
      <c r="H58" s="197">
        <v>5742</v>
      </c>
      <c r="I58" s="197">
        <v>3848</v>
      </c>
      <c r="J58" s="198">
        <v>0.6701497735980495</v>
      </c>
      <c r="K58" s="197">
        <v>992</v>
      </c>
      <c r="L58" s="197">
        <v>924</v>
      </c>
      <c r="M58" s="198">
        <v>0.93145161290322576</v>
      </c>
      <c r="N58" s="197">
        <v>3039</v>
      </c>
      <c r="O58" s="197">
        <v>889</v>
      </c>
      <c r="P58" s="198">
        <v>0.2925304376439618</v>
      </c>
      <c r="Q58" s="197">
        <v>6</v>
      </c>
      <c r="R58" s="197">
        <v>171</v>
      </c>
      <c r="S58" s="82">
        <v>6034</v>
      </c>
    </row>
    <row r="59" spans="1:19" x14ac:dyDescent="0.2">
      <c r="A59" s="244" t="s">
        <v>163</v>
      </c>
      <c r="B59" s="93" t="s">
        <v>58</v>
      </c>
      <c r="C59" s="82">
        <v>1608</v>
      </c>
      <c r="D59" s="196">
        <v>258.7</v>
      </c>
      <c r="E59" s="197">
        <v>2068</v>
      </c>
      <c r="F59" s="197">
        <v>745</v>
      </c>
      <c r="G59" s="198">
        <v>0.36025145067698261</v>
      </c>
      <c r="H59" s="197">
        <v>2868</v>
      </c>
      <c r="I59" s="197">
        <v>1725</v>
      </c>
      <c r="J59" s="198">
        <v>0.60146443514644354</v>
      </c>
      <c r="K59" s="197">
        <v>219</v>
      </c>
      <c r="L59" s="197">
        <v>158</v>
      </c>
      <c r="M59" s="198">
        <v>0.72146118721461183</v>
      </c>
      <c r="N59" s="197">
        <v>1713</v>
      </c>
      <c r="O59" s="197">
        <v>660</v>
      </c>
      <c r="P59" s="198">
        <v>0.38528896672504376</v>
      </c>
      <c r="Q59" s="197">
        <v>0</v>
      </c>
      <c r="R59" s="197">
        <v>5</v>
      </c>
      <c r="S59" s="82">
        <v>925</v>
      </c>
    </row>
    <row r="60" spans="1:19" x14ac:dyDescent="0.2">
      <c r="A60" s="244" t="s">
        <v>176</v>
      </c>
      <c r="B60" s="93" t="s">
        <v>62</v>
      </c>
      <c r="C60" s="82">
        <v>8219</v>
      </c>
      <c r="D60" s="196">
        <v>453.4</v>
      </c>
      <c r="E60" s="197">
        <v>8994</v>
      </c>
      <c r="F60" s="197">
        <v>4776</v>
      </c>
      <c r="G60" s="198">
        <v>0.53102068045363571</v>
      </c>
      <c r="H60" s="197">
        <v>12194</v>
      </c>
      <c r="I60" s="197">
        <v>7207</v>
      </c>
      <c r="J60" s="198">
        <v>0.5910283746104642</v>
      </c>
      <c r="K60" s="197">
        <v>1475</v>
      </c>
      <c r="L60" s="197">
        <v>1222</v>
      </c>
      <c r="M60" s="198">
        <v>0.82847457627118648</v>
      </c>
      <c r="N60" s="197">
        <v>1779</v>
      </c>
      <c r="O60" s="197">
        <v>1281</v>
      </c>
      <c r="P60" s="198">
        <v>0.7200674536256324</v>
      </c>
      <c r="Q60" s="197">
        <v>3</v>
      </c>
      <c r="R60" s="197">
        <v>201</v>
      </c>
      <c r="S60" s="82">
        <v>7364</v>
      </c>
    </row>
    <row r="61" spans="1:19" x14ac:dyDescent="0.2">
      <c r="A61" s="244" t="s">
        <v>201</v>
      </c>
      <c r="B61" s="93" t="s">
        <v>68</v>
      </c>
      <c r="C61" s="82">
        <v>2120</v>
      </c>
      <c r="D61" s="196">
        <v>386.4</v>
      </c>
      <c r="E61" s="197">
        <v>1443</v>
      </c>
      <c r="F61" s="197">
        <v>683</v>
      </c>
      <c r="G61" s="198">
        <v>0.47331947331947333</v>
      </c>
      <c r="H61" s="197">
        <v>2511</v>
      </c>
      <c r="I61" s="197">
        <v>1885</v>
      </c>
      <c r="J61" s="198">
        <v>0.75069693349263245</v>
      </c>
      <c r="K61" s="197">
        <v>925</v>
      </c>
      <c r="L61" s="197">
        <v>886</v>
      </c>
      <c r="M61" s="198">
        <v>0.95783783783783782</v>
      </c>
      <c r="N61" s="197">
        <v>223</v>
      </c>
      <c r="O61" s="197">
        <v>160</v>
      </c>
      <c r="P61" s="198">
        <v>0.71748878923766812</v>
      </c>
      <c r="Q61" s="197">
        <v>0</v>
      </c>
      <c r="R61" s="197">
        <v>0</v>
      </c>
      <c r="S61" s="82">
        <v>746</v>
      </c>
    </row>
    <row r="62" spans="1:19" x14ac:dyDescent="0.2">
      <c r="A62" s="244" t="s">
        <v>161</v>
      </c>
      <c r="B62" s="93" t="s">
        <v>74</v>
      </c>
      <c r="C62" s="82">
        <v>3350</v>
      </c>
      <c r="D62" s="196">
        <v>232.3</v>
      </c>
      <c r="E62" s="197">
        <v>7310</v>
      </c>
      <c r="F62" s="197">
        <v>4089</v>
      </c>
      <c r="G62" s="198">
        <v>0.55937072503419971</v>
      </c>
      <c r="H62" s="197">
        <v>4841</v>
      </c>
      <c r="I62" s="197">
        <v>2931</v>
      </c>
      <c r="J62" s="198">
        <v>0.60545341871514147</v>
      </c>
      <c r="K62" s="197">
        <v>677</v>
      </c>
      <c r="L62" s="197">
        <v>373</v>
      </c>
      <c r="M62" s="198">
        <v>0.55096011816838997</v>
      </c>
      <c r="N62" s="197">
        <v>436</v>
      </c>
      <c r="O62" s="197">
        <v>363</v>
      </c>
      <c r="P62" s="198">
        <v>0.83256880733944949</v>
      </c>
      <c r="Q62" s="197">
        <v>1</v>
      </c>
      <c r="R62" s="197">
        <v>11</v>
      </c>
      <c r="S62" s="82">
        <v>3621</v>
      </c>
    </row>
    <row r="63" spans="1:19" x14ac:dyDescent="0.2">
      <c r="A63" s="244" t="s">
        <v>164</v>
      </c>
      <c r="B63" s="93" t="s">
        <v>75</v>
      </c>
      <c r="C63" s="82">
        <v>684</v>
      </c>
      <c r="D63" s="196">
        <v>163.30000000000001</v>
      </c>
      <c r="E63" s="197">
        <v>2930</v>
      </c>
      <c r="F63" s="197">
        <v>1226</v>
      </c>
      <c r="G63" s="198">
        <v>0.41843003412969282</v>
      </c>
      <c r="H63" s="197">
        <v>1251</v>
      </c>
      <c r="I63" s="197">
        <v>605</v>
      </c>
      <c r="J63" s="198">
        <v>0.48361310951239006</v>
      </c>
      <c r="K63" s="197">
        <v>112</v>
      </c>
      <c r="L63" s="197">
        <v>86</v>
      </c>
      <c r="M63" s="198">
        <v>0.7678571428571429</v>
      </c>
      <c r="N63" s="197">
        <v>1892</v>
      </c>
      <c r="O63" s="197">
        <v>576</v>
      </c>
      <c r="P63" s="198">
        <v>0.30443974630021142</v>
      </c>
      <c r="Q63" s="197">
        <v>0</v>
      </c>
      <c r="R63" s="197">
        <v>4</v>
      </c>
      <c r="S63" s="82">
        <v>2575</v>
      </c>
    </row>
    <row r="64" spans="1:19" x14ac:dyDescent="0.2">
      <c r="A64" s="244" t="s">
        <v>115</v>
      </c>
      <c r="B64" s="94" t="s">
        <v>77</v>
      </c>
      <c r="C64" s="82">
        <v>7070</v>
      </c>
      <c r="D64" s="196">
        <v>442.8</v>
      </c>
      <c r="E64" s="197">
        <v>14268</v>
      </c>
      <c r="F64" s="197">
        <v>6598</v>
      </c>
      <c r="G64" s="198">
        <v>0.46243341743762267</v>
      </c>
      <c r="H64" s="197">
        <v>9751</v>
      </c>
      <c r="I64" s="197">
        <v>6834</v>
      </c>
      <c r="J64" s="198">
        <v>0.7008511947492565</v>
      </c>
      <c r="K64" s="197">
        <v>753</v>
      </c>
      <c r="L64" s="197">
        <v>373</v>
      </c>
      <c r="M64" s="198">
        <v>0.4953519256308101</v>
      </c>
      <c r="N64" s="197">
        <v>11257</v>
      </c>
      <c r="O64" s="197">
        <v>5884</v>
      </c>
      <c r="P64" s="198">
        <v>0.52269698854046376</v>
      </c>
      <c r="Q64" s="197">
        <v>4449</v>
      </c>
      <c r="R64" s="197">
        <v>0</v>
      </c>
      <c r="S64" s="82">
        <v>3728</v>
      </c>
    </row>
    <row r="65" spans="1:19" x14ac:dyDescent="0.2">
      <c r="A65" s="244" t="s">
        <v>165</v>
      </c>
      <c r="B65" s="93" t="s">
        <v>79</v>
      </c>
      <c r="C65" s="82">
        <v>4328</v>
      </c>
      <c r="D65" s="196">
        <v>413.9</v>
      </c>
      <c r="E65" s="197">
        <v>5625</v>
      </c>
      <c r="F65" s="197">
        <v>2840</v>
      </c>
      <c r="G65" s="198">
        <v>0.50488888888888894</v>
      </c>
      <c r="H65" s="197">
        <v>5733</v>
      </c>
      <c r="I65" s="197">
        <v>4621</v>
      </c>
      <c r="J65" s="198">
        <v>0.80603523460666315</v>
      </c>
      <c r="K65" s="197">
        <v>314</v>
      </c>
      <c r="L65" s="197">
        <v>231</v>
      </c>
      <c r="M65" s="198">
        <v>0.73566878980891715</v>
      </c>
      <c r="N65" s="197">
        <v>3421</v>
      </c>
      <c r="O65" s="197">
        <v>1592</v>
      </c>
      <c r="P65" s="198">
        <v>0.46536100555393162</v>
      </c>
      <c r="Q65" s="197">
        <v>0</v>
      </c>
      <c r="R65" s="197">
        <v>3</v>
      </c>
      <c r="S65" s="82">
        <v>4310</v>
      </c>
    </row>
    <row r="66" spans="1:19" x14ac:dyDescent="0.2">
      <c r="A66" s="244" t="s">
        <v>160</v>
      </c>
      <c r="B66" s="93" t="s">
        <v>81</v>
      </c>
      <c r="C66" s="82">
        <v>731</v>
      </c>
      <c r="D66" s="196">
        <v>160.5</v>
      </c>
      <c r="E66" s="197">
        <v>2220</v>
      </c>
      <c r="F66" s="197">
        <v>597</v>
      </c>
      <c r="G66" s="198">
        <v>0.26891891891891889</v>
      </c>
      <c r="H66" s="197">
        <v>1861</v>
      </c>
      <c r="I66" s="197">
        <v>736</v>
      </c>
      <c r="J66" s="198">
        <v>0.39548629768941429</v>
      </c>
      <c r="K66" s="197">
        <v>488</v>
      </c>
      <c r="L66" s="197">
        <v>473</v>
      </c>
      <c r="M66" s="198">
        <v>0.96926229508196726</v>
      </c>
      <c r="N66" s="197">
        <v>411</v>
      </c>
      <c r="O66" s="197">
        <v>164</v>
      </c>
      <c r="P66" s="198">
        <v>0.39902676399026765</v>
      </c>
      <c r="Q66" s="197">
        <v>0</v>
      </c>
      <c r="R66" s="197">
        <v>3</v>
      </c>
      <c r="S66" s="82">
        <v>618</v>
      </c>
    </row>
    <row r="67" spans="1:19" x14ac:dyDescent="0.2">
      <c r="A67" s="244" t="s">
        <v>203</v>
      </c>
      <c r="B67" s="93" t="s">
        <v>92</v>
      </c>
      <c r="C67" s="82">
        <v>1192</v>
      </c>
      <c r="D67" s="196">
        <v>235.9</v>
      </c>
      <c r="E67" s="197">
        <v>1197</v>
      </c>
      <c r="F67" s="197">
        <v>357</v>
      </c>
      <c r="G67" s="198">
        <v>0.2982456140350877</v>
      </c>
      <c r="H67" s="197">
        <v>1835</v>
      </c>
      <c r="I67" s="197">
        <v>1020</v>
      </c>
      <c r="J67" s="198">
        <v>0.55585831062670299</v>
      </c>
      <c r="K67" s="197">
        <v>610</v>
      </c>
      <c r="L67" s="197">
        <v>430</v>
      </c>
      <c r="M67" s="198">
        <v>0.70491803278688525</v>
      </c>
      <c r="N67" s="197">
        <v>4978</v>
      </c>
      <c r="O67" s="197">
        <v>1039</v>
      </c>
      <c r="P67" s="198">
        <v>0.20871836078746484</v>
      </c>
      <c r="Q67" s="197">
        <v>0</v>
      </c>
      <c r="R67" s="197">
        <v>0</v>
      </c>
      <c r="S67" s="82">
        <v>347</v>
      </c>
    </row>
    <row r="68" spans="1:19" x14ac:dyDescent="0.2">
      <c r="A68" s="244" t="s">
        <v>105</v>
      </c>
      <c r="B68" s="32" t="s">
        <v>155</v>
      </c>
      <c r="C68" s="82">
        <v>480</v>
      </c>
      <c r="D68" s="196">
        <v>384.3</v>
      </c>
      <c r="E68" s="197">
        <v>531</v>
      </c>
      <c r="F68" s="197">
        <v>281</v>
      </c>
      <c r="G68" s="198">
        <v>0.52919020715630882</v>
      </c>
      <c r="H68" s="197">
        <v>692</v>
      </c>
      <c r="I68" s="197">
        <v>529</v>
      </c>
      <c r="J68" s="198">
        <v>0.76445086705202314</v>
      </c>
      <c r="K68" s="197">
        <v>64</v>
      </c>
      <c r="L68" s="197">
        <v>56</v>
      </c>
      <c r="M68" s="198">
        <v>0.875</v>
      </c>
      <c r="N68" s="197">
        <v>101</v>
      </c>
      <c r="O68" s="197">
        <v>81</v>
      </c>
      <c r="P68" s="198">
        <v>0.80198019801980203</v>
      </c>
      <c r="Q68" s="197">
        <v>0</v>
      </c>
      <c r="R68" s="197">
        <v>0</v>
      </c>
      <c r="S68" s="82">
        <v>147</v>
      </c>
    </row>
    <row r="69" spans="1:19" x14ac:dyDescent="0.2">
      <c r="A69" s="244" t="s">
        <v>212</v>
      </c>
      <c r="B69" s="95" t="s">
        <v>96</v>
      </c>
      <c r="C69" s="82">
        <v>569</v>
      </c>
      <c r="D69" s="199">
        <v>453</v>
      </c>
      <c r="E69" s="200">
        <v>1276</v>
      </c>
      <c r="F69" s="200">
        <v>688</v>
      </c>
      <c r="G69" s="201">
        <v>0.53918495297805646</v>
      </c>
      <c r="H69" s="200">
        <v>651</v>
      </c>
      <c r="I69" s="200">
        <v>505</v>
      </c>
      <c r="J69" s="201">
        <v>0.77572964669738864</v>
      </c>
      <c r="K69" s="200">
        <v>11</v>
      </c>
      <c r="L69" s="200">
        <v>8</v>
      </c>
      <c r="M69" s="201">
        <v>0.72727272727272729</v>
      </c>
      <c r="N69" s="200">
        <v>545</v>
      </c>
      <c r="O69" s="200">
        <v>171</v>
      </c>
      <c r="P69" s="201">
        <v>0.31376146788990827</v>
      </c>
      <c r="Q69" s="200">
        <v>0</v>
      </c>
      <c r="R69" s="200">
        <v>0</v>
      </c>
      <c r="S69" s="82">
        <v>239</v>
      </c>
    </row>
    <row r="70" spans="1:19" x14ac:dyDescent="0.2">
      <c r="A70" s="70"/>
      <c r="B70" s="92" t="s">
        <v>20</v>
      </c>
      <c r="C70" s="81">
        <v>167546</v>
      </c>
      <c r="D70" s="202">
        <v>351.7</v>
      </c>
      <c r="E70" s="203">
        <v>155946</v>
      </c>
      <c r="F70" s="203">
        <v>76212</v>
      </c>
      <c r="G70" s="193">
        <v>0.48870762956407987</v>
      </c>
      <c r="H70" s="203">
        <v>200117</v>
      </c>
      <c r="I70" s="203">
        <v>148199</v>
      </c>
      <c r="J70" s="193">
        <v>0.74056177136375223</v>
      </c>
      <c r="K70" s="203">
        <v>24271</v>
      </c>
      <c r="L70" s="203">
        <v>20793</v>
      </c>
      <c r="M70" s="193">
        <v>0.8567014132091797</v>
      </c>
      <c r="N70" s="203">
        <v>71656</v>
      </c>
      <c r="O70" s="203">
        <v>39047</v>
      </c>
      <c r="P70" s="193">
        <v>0.54492296527855311</v>
      </c>
      <c r="Q70" s="203">
        <v>223</v>
      </c>
      <c r="R70" s="203">
        <v>1160</v>
      </c>
      <c r="S70" s="81">
        <v>103792</v>
      </c>
    </row>
    <row r="71" spans="1:19" x14ac:dyDescent="0.2">
      <c r="A71" s="243" t="s">
        <v>168</v>
      </c>
      <c r="B71" s="93" t="s">
        <v>34</v>
      </c>
      <c r="C71" s="82">
        <v>15345</v>
      </c>
      <c r="D71" s="196">
        <v>379.3</v>
      </c>
      <c r="E71" s="197">
        <v>20242</v>
      </c>
      <c r="F71" s="197">
        <v>9801</v>
      </c>
      <c r="G71" s="198">
        <v>0.48419128544610218</v>
      </c>
      <c r="H71" s="197">
        <v>20025</v>
      </c>
      <c r="I71" s="197">
        <v>14140</v>
      </c>
      <c r="J71" s="198">
        <v>0.70611735330836456</v>
      </c>
      <c r="K71" s="197">
        <v>3692</v>
      </c>
      <c r="L71" s="197">
        <v>2901</v>
      </c>
      <c r="M71" s="198">
        <v>0.78575297941495126</v>
      </c>
      <c r="N71" s="197">
        <v>9426</v>
      </c>
      <c r="O71" s="197">
        <v>4733</v>
      </c>
      <c r="P71" s="198">
        <v>0.50212179079142794</v>
      </c>
      <c r="Q71" s="197">
        <v>49</v>
      </c>
      <c r="R71" s="197">
        <v>24</v>
      </c>
      <c r="S71" s="82">
        <v>14794</v>
      </c>
    </row>
    <row r="72" spans="1:19" x14ac:dyDescent="0.2">
      <c r="A72" s="243" t="s">
        <v>171</v>
      </c>
      <c r="B72" s="93" t="s">
        <v>52</v>
      </c>
      <c r="C72" s="82">
        <v>13615</v>
      </c>
      <c r="D72" s="196">
        <v>296.60000000000002</v>
      </c>
      <c r="E72" s="197">
        <v>11832</v>
      </c>
      <c r="F72" s="197">
        <v>5680</v>
      </c>
      <c r="G72" s="198">
        <v>0.48005409060175797</v>
      </c>
      <c r="H72" s="197">
        <v>19788</v>
      </c>
      <c r="I72" s="197">
        <v>12526</v>
      </c>
      <c r="J72" s="198">
        <v>0.63300990499292498</v>
      </c>
      <c r="K72" s="197">
        <v>1489</v>
      </c>
      <c r="L72" s="197">
        <v>1067</v>
      </c>
      <c r="M72" s="198">
        <v>0.71658831430490266</v>
      </c>
      <c r="N72" s="197">
        <v>2552</v>
      </c>
      <c r="O72" s="197">
        <v>2016</v>
      </c>
      <c r="P72" s="198">
        <v>0.78996865203761757</v>
      </c>
      <c r="Q72" s="197">
        <v>3</v>
      </c>
      <c r="R72" s="197">
        <v>51</v>
      </c>
      <c r="S72" s="82">
        <v>9909</v>
      </c>
    </row>
    <row r="73" spans="1:19" x14ac:dyDescent="0.2">
      <c r="A73" s="243" t="s">
        <v>167</v>
      </c>
      <c r="B73" s="93" t="s">
        <v>61</v>
      </c>
      <c r="C73" s="82">
        <v>1840</v>
      </c>
      <c r="D73" s="196">
        <v>232.2</v>
      </c>
      <c r="E73" s="197">
        <v>2637</v>
      </c>
      <c r="F73" s="197">
        <v>587</v>
      </c>
      <c r="G73" s="198">
        <v>0.22260144103147517</v>
      </c>
      <c r="H73" s="197">
        <v>2641</v>
      </c>
      <c r="I73" s="197">
        <v>1559</v>
      </c>
      <c r="J73" s="198">
        <v>0.59030670200681556</v>
      </c>
      <c r="K73" s="197">
        <v>303</v>
      </c>
      <c r="L73" s="197">
        <v>161</v>
      </c>
      <c r="M73" s="198">
        <v>0.53135313531353134</v>
      </c>
      <c r="N73" s="197">
        <v>2249</v>
      </c>
      <c r="O73" s="197">
        <v>1135</v>
      </c>
      <c r="P73" s="198">
        <v>0.50466874166296127</v>
      </c>
      <c r="Q73" s="197">
        <v>2</v>
      </c>
      <c r="R73" s="197">
        <v>14</v>
      </c>
      <c r="S73" s="82">
        <v>2297</v>
      </c>
    </row>
    <row r="74" spans="1:19" x14ac:dyDescent="0.2">
      <c r="A74" s="244" t="s">
        <v>174</v>
      </c>
      <c r="B74" s="32" t="s">
        <v>63</v>
      </c>
      <c r="C74" s="82">
        <v>4431</v>
      </c>
      <c r="D74" s="196">
        <v>392.3</v>
      </c>
      <c r="E74" s="197">
        <v>6868</v>
      </c>
      <c r="F74" s="197">
        <v>4239</v>
      </c>
      <c r="G74" s="198">
        <v>0.61721025043680844</v>
      </c>
      <c r="H74" s="197">
        <v>5312</v>
      </c>
      <c r="I74" s="197">
        <v>4044</v>
      </c>
      <c r="J74" s="198">
        <v>0.7612951807228916</v>
      </c>
      <c r="K74" s="197">
        <v>1129</v>
      </c>
      <c r="L74" s="197">
        <v>1042</v>
      </c>
      <c r="M74" s="198">
        <v>0.92294065544729853</v>
      </c>
      <c r="N74" s="197">
        <v>3292</v>
      </c>
      <c r="O74" s="197">
        <v>2274</v>
      </c>
      <c r="P74" s="198">
        <v>0.69076549210206561</v>
      </c>
      <c r="Q74" s="197">
        <v>75</v>
      </c>
      <c r="R74" s="197">
        <v>146</v>
      </c>
      <c r="S74" s="82">
        <v>4007</v>
      </c>
    </row>
    <row r="75" spans="1:19" x14ac:dyDescent="0.2">
      <c r="A75" s="244" t="s">
        <v>177</v>
      </c>
      <c r="B75" s="93" t="s">
        <v>67</v>
      </c>
      <c r="C75" s="82">
        <v>8931</v>
      </c>
      <c r="D75" s="196">
        <v>453.6</v>
      </c>
      <c r="E75" s="197">
        <v>8440</v>
      </c>
      <c r="F75" s="197">
        <v>5396</v>
      </c>
      <c r="G75" s="198">
        <v>0.63933649289099526</v>
      </c>
      <c r="H75" s="197">
        <v>11709</v>
      </c>
      <c r="I75" s="197">
        <v>8431</v>
      </c>
      <c r="J75" s="198">
        <v>0.72004441028268851</v>
      </c>
      <c r="K75" s="197">
        <v>1464</v>
      </c>
      <c r="L75" s="197">
        <v>1363</v>
      </c>
      <c r="M75" s="198">
        <v>0.93101092896174864</v>
      </c>
      <c r="N75" s="197">
        <v>4541</v>
      </c>
      <c r="O75" s="197">
        <v>1502</v>
      </c>
      <c r="P75" s="198">
        <v>0.33076414886588856</v>
      </c>
      <c r="Q75" s="197">
        <v>72</v>
      </c>
      <c r="R75" s="197">
        <v>218</v>
      </c>
      <c r="S75" s="82">
        <v>4273</v>
      </c>
    </row>
    <row r="76" spans="1:19" x14ac:dyDescent="0.2">
      <c r="A76" s="244" t="s">
        <v>173</v>
      </c>
      <c r="B76" s="93" t="s">
        <v>71</v>
      </c>
      <c r="C76" s="82">
        <v>11535</v>
      </c>
      <c r="D76" s="196">
        <v>384.2</v>
      </c>
      <c r="E76" s="197">
        <v>9502</v>
      </c>
      <c r="F76" s="197">
        <v>5209</v>
      </c>
      <c r="G76" s="198">
        <v>0.54820037886760686</v>
      </c>
      <c r="H76" s="197">
        <v>12537</v>
      </c>
      <c r="I76" s="197">
        <v>9671</v>
      </c>
      <c r="J76" s="198">
        <v>0.77139666586902766</v>
      </c>
      <c r="K76" s="197">
        <v>4430</v>
      </c>
      <c r="L76" s="197">
        <v>4134</v>
      </c>
      <c r="M76" s="198">
        <v>0.93318284424379228</v>
      </c>
      <c r="N76" s="197">
        <v>3447</v>
      </c>
      <c r="O76" s="197">
        <v>2678</v>
      </c>
      <c r="P76" s="198">
        <v>0.77690745575863074</v>
      </c>
      <c r="Q76" s="197">
        <v>2</v>
      </c>
      <c r="R76" s="197">
        <v>280</v>
      </c>
      <c r="S76" s="82">
        <v>10436</v>
      </c>
    </row>
    <row r="77" spans="1:19" x14ac:dyDescent="0.2">
      <c r="A77" s="244" t="s">
        <v>107</v>
      </c>
      <c r="B77" s="93" t="s">
        <v>72</v>
      </c>
      <c r="C77" s="82">
        <v>5630</v>
      </c>
      <c r="D77" s="196">
        <v>247</v>
      </c>
      <c r="E77" s="197">
        <v>10597</v>
      </c>
      <c r="F77" s="197">
        <v>3565</v>
      </c>
      <c r="G77" s="198">
        <v>0.3364159667830518</v>
      </c>
      <c r="H77" s="197">
        <v>8115</v>
      </c>
      <c r="I77" s="197">
        <v>4355</v>
      </c>
      <c r="J77" s="198">
        <v>0.53666050523721498</v>
      </c>
      <c r="K77" s="197">
        <v>1652</v>
      </c>
      <c r="L77" s="197">
        <v>1391</v>
      </c>
      <c r="M77" s="198">
        <v>0.84200968523002417</v>
      </c>
      <c r="N77" s="197">
        <v>2243</v>
      </c>
      <c r="O77" s="197">
        <v>1855</v>
      </c>
      <c r="P77" s="198">
        <v>0.82701738742755238</v>
      </c>
      <c r="Q77" s="197">
        <v>3</v>
      </c>
      <c r="R77" s="197">
        <v>199</v>
      </c>
      <c r="S77" s="82">
        <v>5354</v>
      </c>
    </row>
    <row r="78" spans="1:19" x14ac:dyDescent="0.2">
      <c r="A78" s="244" t="s">
        <v>121</v>
      </c>
      <c r="B78" s="93" t="s">
        <v>83</v>
      </c>
      <c r="C78" s="82">
        <v>16292</v>
      </c>
      <c r="D78" s="196">
        <v>403.6</v>
      </c>
      <c r="E78" s="197">
        <v>15497</v>
      </c>
      <c r="F78" s="197">
        <v>7796</v>
      </c>
      <c r="G78" s="198">
        <v>0.50306510937600823</v>
      </c>
      <c r="H78" s="197">
        <v>18605</v>
      </c>
      <c r="I78" s="197">
        <v>13988</v>
      </c>
      <c r="J78" s="198">
        <v>0.75184090298306905</v>
      </c>
      <c r="K78" s="197">
        <v>2607</v>
      </c>
      <c r="L78" s="197">
        <v>2313</v>
      </c>
      <c r="M78" s="198">
        <v>0.88722669735327964</v>
      </c>
      <c r="N78" s="197">
        <v>6775</v>
      </c>
      <c r="O78" s="197">
        <v>5130</v>
      </c>
      <c r="P78" s="198">
        <v>0.75719557195571952</v>
      </c>
      <c r="Q78" s="197">
        <v>6</v>
      </c>
      <c r="R78" s="197">
        <v>23</v>
      </c>
      <c r="S78" s="82">
        <v>11518</v>
      </c>
    </row>
    <row r="79" spans="1:19" x14ac:dyDescent="0.2">
      <c r="A79" s="244" t="s">
        <v>198</v>
      </c>
      <c r="B79" s="93" t="s">
        <v>86</v>
      </c>
      <c r="C79" s="82">
        <v>2610</v>
      </c>
      <c r="D79" s="196">
        <v>331.4</v>
      </c>
      <c r="E79" s="197">
        <v>3141</v>
      </c>
      <c r="F79" s="197">
        <v>1247</v>
      </c>
      <c r="G79" s="198">
        <v>0.3970073225087552</v>
      </c>
      <c r="H79" s="197">
        <v>3903</v>
      </c>
      <c r="I79" s="197">
        <v>2807</v>
      </c>
      <c r="J79" s="198">
        <v>0.71919036638483214</v>
      </c>
      <c r="K79" s="197">
        <v>675</v>
      </c>
      <c r="L79" s="197">
        <v>595</v>
      </c>
      <c r="M79" s="198">
        <v>0.88148148148148153</v>
      </c>
      <c r="N79" s="197">
        <v>1695</v>
      </c>
      <c r="O79" s="197">
        <v>1194</v>
      </c>
      <c r="P79" s="198">
        <v>0.70442477876106191</v>
      </c>
      <c r="Q79" s="197">
        <v>0</v>
      </c>
      <c r="R79" s="197">
        <v>3</v>
      </c>
      <c r="S79" s="82">
        <v>5589</v>
      </c>
    </row>
    <row r="80" spans="1:19" x14ac:dyDescent="0.2">
      <c r="A80" s="244" t="s">
        <v>169</v>
      </c>
      <c r="B80" s="93" t="s">
        <v>91</v>
      </c>
      <c r="C80" s="82">
        <v>17344</v>
      </c>
      <c r="D80" s="196">
        <v>325.39999999999998</v>
      </c>
      <c r="E80" s="197">
        <v>34074</v>
      </c>
      <c r="F80" s="197">
        <v>17709</v>
      </c>
      <c r="G80" s="198">
        <v>0.51972178200387387</v>
      </c>
      <c r="H80" s="197">
        <v>21116</v>
      </c>
      <c r="I80" s="197">
        <v>14362</v>
      </c>
      <c r="J80" s="198">
        <v>0.68014775525667737</v>
      </c>
      <c r="K80" s="197">
        <v>2394</v>
      </c>
      <c r="L80" s="197">
        <v>1786</v>
      </c>
      <c r="M80" s="198">
        <v>0.74603174603174605</v>
      </c>
      <c r="N80" s="197">
        <v>26438</v>
      </c>
      <c r="O80" s="197">
        <v>11837</v>
      </c>
      <c r="P80" s="198">
        <v>0.44772675694076708</v>
      </c>
      <c r="Q80" s="197">
        <v>10</v>
      </c>
      <c r="R80" s="197">
        <v>184</v>
      </c>
      <c r="S80" s="82">
        <v>26383</v>
      </c>
    </row>
    <row r="81" spans="1:20" x14ac:dyDescent="0.2">
      <c r="A81" s="244" t="s">
        <v>416</v>
      </c>
      <c r="B81" s="96" t="s">
        <v>94</v>
      </c>
      <c r="C81" s="82">
        <v>48236</v>
      </c>
      <c r="D81" s="196">
        <v>321.60000000000002</v>
      </c>
      <c r="E81" s="197">
        <v>1304</v>
      </c>
      <c r="F81" s="197">
        <v>436</v>
      </c>
      <c r="G81" s="198">
        <v>0.33435582822085891</v>
      </c>
      <c r="H81" s="197">
        <v>48910</v>
      </c>
      <c r="I81" s="197">
        <v>43739</v>
      </c>
      <c r="J81" s="198">
        <v>0.89427519934573707</v>
      </c>
      <c r="K81" s="197">
        <v>133</v>
      </c>
      <c r="L81" s="197">
        <v>129</v>
      </c>
      <c r="M81" s="198">
        <v>0.96992481203007519</v>
      </c>
      <c r="N81" s="197">
        <v>763</v>
      </c>
      <c r="O81" s="197">
        <v>649</v>
      </c>
      <c r="P81" s="198">
        <v>0.85058977719528184</v>
      </c>
      <c r="Q81" s="197">
        <v>0</v>
      </c>
      <c r="R81" s="197">
        <v>2</v>
      </c>
      <c r="S81" s="82">
        <v>59</v>
      </c>
    </row>
    <row r="82" spans="1:20" x14ac:dyDescent="0.2">
      <c r="A82" s="244" t="s">
        <v>170</v>
      </c>
      <c r="B82" s="97" t="s">
        <v>97</v>
      </c>
      <c r="C82" s="82">
        <v>21737</v>
      </c>
      <c r="D82" s="204">
        <v>387.4</v>
      </c>
      <c r="E82" s="200">
        <v>31812</v>
      </c>
      <c r="F82" s="200">
        <v>14547</v>
      </c>
      <c r="G82" s="201">
        <v>0.45728027159562429</v>
      </c>
      <c r="H82" s="200">
        <v>27456</v>
      </c>
      <c r="I82" s="200">
        <v>18577</v>
      </c>
      <c r="J82" s="201">
        <v>0.67660984848484851</v>
      </c>
      <c r="K82" s="200">
        <v>4303</v>
      </c>
      <c r="L82" s="200">
        <v>3911</v>
      </c>
      <c r="M82" s="201">
        <v>0.90890076690680921</v>
      </c>
      <c r="N82" s="200">
        <v>8235</v>
      </c>
      <c r="O82" s="200">
        <v>4044</v>
      </c>
      <c r="P82" s="201">
        <v>0.49107468123861564</v>
      </c>
      <c r="Q82" s="200">
        <v>1</v>
      </c>
      <c r="R82" s="200">
        <v>16</v>
      </c>
      <c r="S82" s="82">
        <v>9173</v>
      </c>
    </row>
    <row r="83" spans="1:20" x14ac:dyDescent="0.2">
      <c r="A83" s="70"/>
      <c r="B83" s="572"/>
      <c r="C83" s="572"/>
      <c r="D83" s="572"/>
      <c r="E83" s="572"/>
      <c r="F83" s="572"/>
      <c r="G83" s="572"/>
      <c r="H83" s="572"/>
      <c r="I83" s="572"/>
      <c r="J83" s="572"/>
      <c r="K83" s="572"/>
      <c r="L83" s="572"/>
      <c r="M83" s="572"/>
      <c r="N83" s="572"/>
      <c r="O83" s="572"/>
      <c r="P83" s="572"/>
      <c r="Q83" s="572"/>
      <c r="R83" s="572"/>
      <c r="S83" s="572"/>
    </row>
    <row r="84" spans="1:20" ht="23.25" customHeight="1" x14ac:dyDescent="0.4">
      <c r="A84" s="70"/>
      <c r="B84" s="12"/>
      <c r="C84" s="565" t="s">
        <v>353</v>
      </c>
      <c r="D84" s="566"/>
      <c r="E84" s="566"/>
      <c r="F84" s="566"/>
      <c r="G84" s="566"/>
      <c r="H84" s="566"/>
      <c r="I84" s="566"/>
      <c r="J84" s="566"/>
      <c r="K84" s="566"/>
      <c r="L84" s="566"/>
      <c r="M84" s="566"/>
      <c r="N84" s="566"/>
      <c r="O84" s="566"/>
      <c r="P84" s="566"/>
      <c r="Q84" s="566"/>
      <c r="R84" s="566"/>
      <c r="S84" s="567"/>
    </row>
    <row r="85" spans="1:20" x14ac:dyDescent="0.2">
      <c r="A85" s="70"/>
      <c r="B85" s="28"/>
      <c r="C85" s="568" t="s">
        <v>287</v>
      </c>
      <c r="D85" s="568"/>
      <c r="E85" s="562" t="s">
        <v>238</v>
      </c>
      <c r="F85" s="563"/>
      <c r="G85" s="564"/>
      <c r="H85" s="562" t="s">
        <v>8</v>
      </c>
      <c r="I85" s="563"/>
      <c r="J85" s="564"/>
      <c r="K85" s="562" t="s">
        <v>43</v>
      </c>
      <c r="L85" s="563"/>
      <c r="M85" s="564"/>
      <c r="N85" s="562" t="s">
        <v>9</v>
      </c>
      <c r="O85" s="563"/>
      <c r="P85" s="564"/>
      <c r="Q85" s="262" t="s">
        <v>10</v>
      </c>
      <c r="R85" s="218" t="s">
        <v>11</v>
      </c>
      <c r="S85" s="218" t="s">
        <v>12</v>
      </c>
    </row>
    <row r="86" spans="1:20" s="10" customFormat="1" ht="51" x14ac:dyDescent="0.2">
      <c r="A86" s="242"/>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73">
        <v>64070</v>
      </c>
      <c r="D87" s="191">
        <v>318.3</v>
      </c>
      <c r="E87" s="192">
        <v>114069</v>
      </c>
      <c r="F87" s="192">
        <v>51371</v>
      </c>
      <c r="G87" s="194">
        <v>0.4503502266172229</v>
      </c>
      <c r="H87" s="192">
        <v>92769</v>
      </c>
      <c r="I87" s="192">
        <v>55497</v>
      </c>
      <c r="J87" s="194">
        <v>0.59822785628819974</v>
      </c>
      <c r="K87" s="192">
        <v>14440</v>
      </c>
      <c r="L87" s="192">
        <v>11263</v>
      </c>
      <c r="M87" s="194">
        <v>0.77998614958448753</v>
      </c>
      <c r="N87" s="192">
        <v>63050</v>
      </c>
      <c r="O87" s="192">
        <v>25283</v>
      </c>
      <c r="P87" s="194">
        <v>0.40099920697858843</v>
      </c>
      <c r="Q87" s="192">
        <v>2351</v>
      </c>
      <c r="R87" s="192">
        <v>1537</v>
      </c>
      <c r="S87" s="81">
        <v>71318</v>
      </c>
    </row>
    <row r="88" spans="1:20" x14ac:dyDescent="0.2">
      <c r="A88" s="243" t="s">
        <v>178</v>
      </c>
      <c r="B88" s="93" t="s">
        <v>50</v>
      </c>
      <c r="C88" s="82">
        <v>6241</v>
      </c>
      <c r="D88" s="196">
        <v>503.7</v>
      </c>
      <c r="E88" s="197">
        <v>10901</v>
      </c>
      <c r="F88" s="197">
        <v>6274</v>
      </c>
      <c r="G88" s="198">
        <v>0.57554352811668652</v>
      </c>
      <c r="H88" s="197">
        <v>7907</v>
      </c>
      <c r="I88" s="197">
        <v>5931</v>
      </c>
      <c r="J88" s="198">
        <v>0.750094852662198</v>
      </c>
      <c r="K88" s="197">
        <v>1448</v>
      </c>
      <c r="L88" s="197">
        <v>1379</v>
      </c>
      <c r="M88" s="198">
        <v>0.95234806629834257</v>
      </c>
      <c r="N88" s="197">
        <v>4117</v>
      </c>
      <c r="O88" s="197">
        <v>3177</v>
      </c>
      <c r="P88" s="198">
        <v>0.77167840660675247</v>
      </c>
      <c r="Q88" s="197">
        <v>9</v>
      </c>
      <c r="R88" s="197">
        <v>277</v>
      </c>
      <c r="S88" s="82">
        <v>6923</v>
      </c>
      <c r="T88" s="137"/>
    </row>
    <row r="89" spans="1:20" x14ac:dyDescent="0.2">
      <c r="A89" s="243" t="s">
        <v>182</v>
      </c>
      <c r="B89" s="93" t="s">
        <v>54</v>
      </c>
      <c r="C89" s="82">
        <v>1499</v>
      </c>
      <c r="D89" s="196">
        <v>142.69999999999999</v>
      </c>
      <c r="E89" s="197">
        <v>2663</v>
      </c>
      <c r="F89" s="197">
        <v>671</v>
      </c>
      <c r="G89" s="198">
        <v>0.25197146075854299</v>
      </c>
      <c r="H89" s="197">
        <v>2326</v>
      </c>
      <c r="I89" s="197">
        <v>940</v>
      </c>
      <c r="J89" s="198">
        <v>0.4041272570937231</v>
      </c>
      <c r="K89" s="197">
        <v>300</v>
      </c>
      <c r="L89" s="197">
        <v>136</v>
      </c>
      <c r="M89" s="198">
        <v>0.45333333333333331</v>
      </c>
      <c r="N89" s="197">
        <v>5127</v>
      </c>
      <c r="O89" s="197">
        <v>1154</v>
      </c>
      <c r="P89" s="198">
        <v>0.22508289448020286</v>
      </c>
      <c r="Q89" s="197">
        <v>0</v>
      </c>
      <c r="R89" s="197">
        <v>20</v>
      </c>
      <c r="S89" s="82">
        <v>1107</v>
      </c>
      <c r="T89" s="137"/>
    </row>
    <row r="90" spans="1:20" x14ac:dyDescent="0.2">
      <c r="A90" s="243" t="s">
        <v>207</v>
      </c>
      <c r="B90" s="93" t="s">
        <v>56</v>
      </c>
      <c r="C90" s="82">
        <v>286</v>
      </c>
      <c r="D90" s="196">
        <v>98.6</v>
      </c>
      <c r="E90" s="197">
        <v>1045</v>
      </c>
      <c r="F90" s="197">
        <v>387</v>
      </c>
      <c r="G90" s="198">
        <v>0.37033492822966507</v>
      </c>
      <c r="H90" s="197">
        <v>461</v>
      </c>
      <c r="I90" s="197">
        <v>99</v>
      </c>
      <c r="J90" s="198">
        <v>0.21475054229934923</v>
      </c>
      <c r="K90" s="197">
        <v>37</v>
      </c>
      <c r="L90" s="197">
        <v>27</v>
      </c>
      <c r="M90" s="198">
        <v>0.72972972972972971</v>
      </c>
      <c r="N90" s="197">
        <v>80</v>
      </c>
      <c r="O90" s="197">
        <v>27</v>
      </c>
      <c r="P90" s="198">
        <v>0.33750000000000002</v>
      </c>
      <c r="Q90" s="197">
        <v>0</v>
      </c>
      <c r="R90" s="197">
        <v>1</v>
      </c>
      <c r="S90" s="82">
        <v>427</v>
      </c>
      <c r="T90" s="137"/>
    </row>
    <row r="91" spans="1:20" x14ac:dyDescent="0.2">
      <c r="A91" s="243" t="s">
        <v>200</v>
      </c>
      <c r="B91" s="93" t="s">
        <v>60</v>
      </c>
      <c r="C91" s="82">
        <v>12098</v>
      </c>
      <c r="D91" s="196">
        <v>330.6</v>
      </c>
      <c r="E91" s="197">
        <v>23016</v>
      </c>
      <c r="F91" s="197">
        <v>12682</v>
      </c>
      <c r="G91" s="198">
        <v>0.55100799443865134</v>
      </c>
      <c r="H91" s="197">
        <v>16223</v>
      </c>
      <c r="I91" s="197">
        <v>11832</v>
      </c>
      <c r="J91" s="198">
        <v>0.72933489490229919</v>
      </c>
      <c r="K91" s="197">
        <v>1727</v>
      </c>
      <c r="L91" s="197">
        <v>1190</v>
      </c>
      <c r="M91" s="198">
        <v>0.68905616676317316</v>
      </c>
      <c r="N91" s="197">
        <v>6798</v>
      </c>
      <c r="O91" s="197">
        <v>5591</v>
      </c>
      <c r="P91" s="198">
        <v>0.82244777875845843</v>
      </c>
      <c r="Q91" s="197">
        <v>2</v>
      </c>
      <c r="R91" s="197">
        <v>212</v>
      </c>
      <c r="S91" s="82">
        <v>17419</v>
      </c>
      <c r="T91" s="137"/>
    </row>
    <row r="92" spans="1:20" x14ac:dyDescent="0.2">
      <c r="A92" s="243" t="s">
        <v>183</v>
      </c>
      <c r="B92" s="93" t="s">
        <v>64</v>
      </c>
      <c r="C92" s="82">
        <v>2112</v>
      </c>
      <c r="D92" s="196">
        <v>128.4</v>
      </c>
      <c r="E92" s="197">
        <v>1951</v>
      </c>
      <c r="F92" s="197">
        <v>370</v>
      </c>
      <c r="G92" s="198">
        <v>0.18964633521271143</v>
      </c>
      <c r="H92" s="197">
        <v>4134</v>
      </c>
      <c r="I92" s="197">
        <v>1220</v>
      </c>
      <c r="J92" s="198">
        <v>0.29511369134010645</v>
      </c>
      <c r="K92" s="197">
        <v>614</v>
      </c>
      <c r="L92" s="197">
        <v>449</v>
      </c>
      <c r="M92" s="198">
        <v>0.73127035830618892</v>
      </c>
      <c r="N92" s="197">
        <v>1292</v>
      </c>
      <c r="O92" s="197">
        <v>604</v>
      </c>
      <c r="P92" s="198">
        <v>0.46749226006191952</v>
      </c>
      <c r="Q92" s="197">
        <v>0</v>
      </c>
      <c r="R92" s="197">
        <v>11</v>
      </c>
      <c r="S92" s="82">
        <v>1399</v>
      </c>
      <c r="T92" s="137"/>
    </row>
    <row r="93" spans="1:20" x14ac:dyDescent="0.2">
      <c r="A93" s="243" t="s">
        <v>195</v>
      </c>
      <c r="B93" s="93" t="s">
        <v>65</v>
      </c>
      <c r="C93" s="82">
        <v>4131</v>
      </c>
      <c r="D93" s="196">
        <v>338.7</v>
      </c>
      <c r="E93" s="197">
        <v>4527</v>
      </c>
      <c r="F93" s="197">
        <v>1799</v>
      </c>
      <c r="G93" s="198">
        <v>0.39739341727413297</v>
      </c>
      <c r="H93" s="197">
        <v>7394</v>
      </c>
      <c r="I93" s="197">
        <v>3522</v>
      </c>
      <c r="J93" s="198">
        <v>0.47633216121179334</v>
      </c>
      <c r="K93" s="197">
        <v>2779</v>
      </c>
      <c r="L93" s="197">
        <v>2619</v>
      </c>
      <c r="M93" s="198">
        <v>0.94242533285354446</v>
      </c>
      <c r="N93" s="197">
        <v>26734</v>
      </c>
      <c r="O93" s="197">
        <v>5335</v>
      </c>
      <c r="P93" s="198">
        <v>0.19955861449839157</v>
      </c>
      <c r="Q93" s="197">
        <v>1</v>
      </c>
      <c r="R93" s="197">
        <v>155</v>
      </c>
      <c r="S93" s="82">
        <v>4803</v>
      </c>
      <c r="T93" s="137"/>
    </row>
    <row r="94" spans="1:20" x14ac:dyDescent="0.2">
      <c r="A94" s="243" t="s">
        <v>180</v>
      </c>
      <c r="B94" s="32" t="s">
        <v>70</v>
      </c>
      <c r="C94" s="82">
        <v>3904</v>
      </c>
      <c r="D94" s="196">
        <v>207.3</v>
      </c>
      <c r="E94" s="197">
        <v>6569</v>
      </c>
      <c r="F94" s="197">
        <v>1994</v>
      </c>
      <c r="G94" s="198">
        <v>0.30354696300806822</v>
      </c>
      <c r="H94" s="197">
        <v>7006</v>
      </c>
      <c r="I94" s="197">
        <v>3424</v>
      </c>
      <c r="J94" s="198">
        <v>0.48872395089922921</v>
      </c>
      <c r="K94" s="197">
        <v>326</v>
      </c>
      <c r="L94" s="197">
        <v>197</v>
      </c>
      <c r="M94" s="198">
        <v>0.60429447852760731</v>
      </c>
      <c r="N94" s="197">
        <v>896</v>
      </c>
      <c r="O94" s="197">
        <v>436</v>
      </c>
      <c r="P94" s="198">
        <v>0.48660714285714285</v>
      </c>
      <c r="Q94" s="197">
        <v>2284</v>
      </c>
      <c r="R94" s="197">
        <v>0</v>
      </c>
      <c r="S94" s="82">
        <v>2793</v>
      </c>
      <c r="T94" s="137"/>
    </row>
    <row r="95" spans="1:20" x14ac:dyDescent="0.2">
      <c r="A95" s="243" t="s">
        <v>196</v>
      </c>
      <c r="B95" s="93" t="s">
        <v>36</v>
      </c>
      <c r="C95" s="82">
        <v>4168</v>
      </c>
      <c r="D95" s="196">
        <v>233.9</v>
      </c>
      <c r="E95" s="197">
        <v>9092</v>
      </c>
      <c r="F95" s="197">
        <v>3570</v>
      </c>
      <c r="G95" s="198">
        <v>0.39265288165420148</v>
      </c>
      <c r="H95" s="197">
        <v>7490</v>
      </c>
      <c r="I95" s="197">
        <v>2666</v>
      </c>
      <c r="J95" s="198">
        <v>0.35594125500667556</v>
      </c>
      <c r="K95" s="197">
        <v>1243</v>
      </c>
      <c r="L95" s="197">
        <v>579</v>
      </c>
      <c r="M95" s="198">
        <v>0.46580852775543041</v>
      </c>
      <c r="N95" s="197">
        <v>1014</v>
      </c>
      <c r="O95" s="197">
        <v>379</v>
      </c>
      <c r="P95" s="198">
        <v>0.37376725838264302</v>
      </c>
      <c r="Q95" s="197">
        <v>0</v>
      </c>
      <c r="R95" s="197">
        <v>77</v>
      </c>
      <c r="S95" s="82">
        <v>3580</v>
      </c>
      <c r="T95" s="137"/>
    </row>
    <row r="96" spans="1:20" x14ac:dyDescent="0.2">
      <c r="A96" s="243" t="s">
        <v>172</v>
      </c>
      <c r="B96" s="93" t="s">
        <v>73</v>
      </c>
      <c r="C96" s="82">
        <v>6353</v>
      </c>
      <c r="D96" s="196">
        <v>451</v>
      </c>
      <c r="E96" s="197">
        <v>8011</v>
      </c>
      <c r="F96" s="197">
        <v>3986</v>
      </c>
      <c r="G96" s="198">
        <v>0.49756584696042944</v>
      </c>
      <c r="H96" s="197">
        <v>7380</v>
      </c>
      <c r="I96" s="197">
        <v>5636</v>
      </c>
      <c r="J96" s="198">
        <v>0.76368563685636859</v>
      </c>
      <c r="K96" s="197">
        <v>714</v>
      </c>
      <c r="L96" s="197">
        <v>398</v>
      </c>
      <c r="M96" s="198">
        <v>0.55742296918767509</v>
      </c>
      <c r="N96" s="197">
        <v>1722</v>
      </c>
      <c r="O96" s="197">
        <v>690</v>
      </c>
      <c r="P96" s="198">
        <v>0.40069686411149824</v>
      </c>
      <c r="Q96" s="197">
        <v>3</v>
      </c>
      <c r="R96" s="197">
        <v>303</v>
      </c>
      <c r="S96" s="82">
        <v>5030</v>
      </c>
      <c r="T96" s="137"/>
    </row>
    <row r="97" spans="1:21" x14ac:dyDescent="0.2">
      <c r="A97" s="243" t="s">
        <v>208</v>
      </c>
      <c r="B97" s="93" t="s">
        <v>88</v>
      </c>
      <c r="C97" s="82">
        <v>267</v>
      </c>
      <c r="D97" s="196">
        <v>77.2</v>
      </c>
      <c r="E97" s="197">
        <v>1049</v>
      </c>
      <c r="F97" s="197">
        <v>301</v>
      </c>
      <c r="G97" s="198">
        <v>0.28693994280266921</v>
      </c>
      <c r="H97" s="197">
        <v>465</v>
      </c>
      <c r="I97" s="197">
        <v>66</v>
      </c>
      <c r="J97" s="198">
        <v>0.14193548387096774</v>
      </c>
      <c r="K97" s="197">
        <v>289</v>
      </c>
      <c r="L97" s="197">
        <v>107</v>
      </c>
      <c r="M97" s="198">
        <v>0.37024221453287198</v>
      </c>
      <c r="N97" s="197">
        <v>54</v>
      </c>
      <c r="O97" s="197">
        <v>34</v>
      </c>
      <c r="P97" s="198">
        <v>0.62962962962962965</v>
      </c>
      <c r="Q97" s="197">
        <v>0</v>
      </c>
      <c r="R97" s="197">
        <v>2</v>
      </c>
      <c r="S97" s="82">
        <v>182</v>
      </c>
      <c r="T97" s="137"/>
    </row>
    <row r="98" spans="1:21" x14ac:dyDescent="0.2">
      <c r="A98" s="243" t="s">
        <v>181</v>
      </c>
      <c r="B98" s="93" t="s">
        <v>89</v>
      </c>
      <c r="C98" s="82">
        <v>5053</v>
      </c>
      <c r="D98" s="196">
        <v>309</v>
      </c>
      <c r="E98" s="197">
        <v>8221</v>
      </c>
      <c r="F98" s="197">
        <v>3884</v>
      </c>
      <c r="G98" s="198">
        <v>0.47244860722539839</v>
      </c>
      <c r="H98" s="197">
        <v>8268</v>
      </c>
      <c r="I98" s="197">
        <v>5869</v>
      </c>
      <c r="J98" s="198">
        <v>0.70984518626028059</v>
      </c>
      <c r="K98" s="197">
        <v>2849</v>
      </c>
      <c r="L98" s="197">
        <v>2678</v>
      </c>
      <c r="M98" s="198">
        <v>0.93997893997894</v>
      </c>
      <c r="N98" s="197">
        <v>5373</v>
      </c>
      <c r="O98" s="197">
        <v>3512</v>
      </c>
      <c r="P98" s="198">
        <v>0.65363856318630187</v>
      </c>
      <c r="Q98" s="197">
        <v>46</v>
      </c>
      <c r="R98" s="197">
        <v>214</v>
      </c>
      <c r="S98" s="82">
        <v>5971</v>
      </c>
      <c r="T98" s="137"/>
    </row>
    <row r="99" spans="1:21" x14ac:dyDescent="0.2">
      <c r="A99" s="243" t="s">
        <v>184</v>
      </c>
      <c r="B99" s="98" t="s">
        <v>90</v>
      </c>
      <c r="C99" s="82">
        <v>1834</v>
      </c>
      <c r="D99" s="196">
        <v>178.7</v>
      </c>
      <c r="E99" s="197">
        <v>11071</v>
      </c>
      <c r="F99" s="197">
        <v>3171</v>
      </c>
      <c r="G99" s="198">
        <v>0.28642399060608797</v>
      </c>
      <c r="H99" s="197">
        <v>4728</v>
      </c>
      <c r="I99" s="197">
        <v>1868</v>
      </c>
      <c r="J99" s="198">
        <v>0.39509306260575294</v>
      </c>
      <c r="K99" s="197">
        <v>536</v>
      </c>
      <c r="L99" s="197">
        <v>318</v>
      </c>
      <c r="M99" s="198">
        <v>0.59328358208955223</v>
      </c>
      <c r="N99" s="197">
        <v>2151</v>
      </c>
      <c r="O99" s="197">
        <v>1100</v>
      </c>
      <c r="P99" s="198">
        <v>0.51139005113900515</v>
      </c>
      <c r="Q99" s="197">
        <v>4</v>
      </c>
      <c r="R99" s="197">
        <v>0</v>
      </c>
      <c r="S99" s="82">
        <v>1635</v>
      </c>
      <c r="T99" s="137"/>
    </row>
    <row r="100" spans="1:21" x14ac:dyDescent="0.2">
      <c r="A100" s="243" t="s">
        <v>194</v>
      </c>
      <c r="B100" s="93" t="s">
        <v>93</v>
      </c>
      <c r="C100" s="82">
        <v>14660</v>
      </c>
      <c r="D100" s="196">
        <v>308.3</v>
      </c>
      <c r="E100" s="197">
        <v>22765</v>
      </c>
      <c r="F100" s="197">
        <v>11006</v>
      </c>
      <c r="G100" s="198">
        <v>0.48346145398638263</v>
      </c>
      <c r="H100" s="197">
        <v>16505</v>
      </c>
      <c r="I100" s="197">
        <v>11164</v>
      </c>
      <c r="J100" s="198">
        <v>0.67640109057861253</v>
      </c>
      <c r="K100" s="197">
        <v>1442</v>
      </c>
      <c r="L100" s="197">
        <v>1123</v>
      </c>
      <c r="M100" s="198">
        <v>0.77877947295423022</v>
      </c>
      <c r="N100" s="197">
        <v>5604</v>
      </c>
      <c r="O100" s="197">
        <v>2815</v>
      </c>
      <c r="P100" s="198">
        <v>0.50231977159172025</v>
      </c>
      <c r="Q100" s="197">
        <v>2</v>
      </c>
      <c r="R100" s="197">
        <v>250</v>
      </c>
      <c r="S100" s="82">
        <v>18502</v>
      </c>
      <c r="T100" s="137"/>
    </row>
    <row r="101" spans="1:21" x14ac:dyDescent="0.2">
      <c r="A101" s="243" t="s">
        <v>209</v>
      </c>
      <c r="B101" s="95" t="s">
        <v>95</v>
      </c>
      <c r="C101" s="82">
        <v>1464</v>
      </c>
      <c r="D101" s="196">
        <v>178.3</v>
      </c>
      <c r="E101" s="197">
        <v>3188</v>
      </c>
      <c r="F101" s="197">
        <v>1276</v>
      </c>
      <c r="G101" s="198">
        <v>0.40025094102885822</v>
      </c>
      <c r="H101" s="197">
        <v>2482</v>
      </c>
      <c r="I101" s="197">
        <v>1260</v>
      </c>
      <c r="J101" s="198">
        <v>0.50765511684125708</v>
      </c>
      <c r="K101" s="197">
        <v>136</v>
      </c>
      <c r="L101" s="197">
        <v>63</v>
      </c>
      <c r="M101" s="198">
        <v>0.46323529411764708</v>
      </c>
      <c r="N101" s="197">
        <v>2088</v>
      </c>
      <c r="O101" s="197">
        <v>429</v>
      </c>
      <c r="P101" s="198">
        <v>0.20545977011494254</v>
      </c>
      <c r="Q101" s="197">
        <v>0</v>
      </c>
      <c r="R101" s="197">
        <v>15</v>
      </c>
      <c r="S101" s="82">
        <v>1547</v>
      </c>
      <c r="T101" s="137"/>
    </row>
    <row r="102" spans="1:21" x14ac:dyDescent="0.2">
      <c r="A102" s="243"/>
      <c r="B102" s="92" t="s">
        <v>22</v>
      </c>
      <c r="C102" s="81">
        <v>85424</v>
      </c>
      <c r="D102" s="191">
        <v>405.9</v>
      </c>
      <c r="E102" s="192">
        <v>108163</v>
      </c>
      <c r="F102" s="192">
        <v>51483</v>
      </c>
      <c r="G102" s="194">
        <v>0.47597607314885865</v>
      </c>
      <c r="H102" s="192">
        <v>114742</v>
      </c>
      <c r="I102" s="192">
        <v>78614</v>
      </c>
      <c r="J102" s="194">
        <v>0.68513709016750624</v>
      </c>
      <c r="K102" s="192">
        <v>19079</v>
      </c>
      <c r="L102" s="192">
        <v>15956</v>
      </c>
      <c r="M102" s="194">
        <v>0.83631217569054983</v>
      </c>
      <c r="N102" s="192">
        <v>56193</v>
      </c>
      <c r="O102" s="192">
        <v>32340</v>
      </c>
      <c r="P102" s="194">
        <v>0.57551652341038917</v>
      </c>
      <c r="Q102" s="192">
        <v>357</v>
      </c>
      <c r="R102" s="192">
        <v>707</v>
      </c>
      <c r="S102" s="81">
        <v>44983</v>
      </c>
    </row>
    <row r="103" spans="1:21" x14ac:dyDescent="0.2">
      <c r="A103" s="243" t="s">
        <v>186</v>
      </c>
      <c r="B103" s="93" t="s">
        <v>44</v>
      </c>
      <c r="C103" s="82">
        <v>1663</v>
      </c>
      <c r="D103" s="196">
        <v>252.3</v>
      </c>
      <c r="E103" s="197">
        <v>3767</v>
      </c>
      <c r="F103" s="197">
        <v>1649</v>
      </c>
      <c r="G103" s="198">
        <v>0.43774887178125832</v>
      </c>
      <c r="H103" s="197">
        <v>2617</v>
      </c>
      <c r="I103" s="197">
        <v>1351</v>
      </c>
      <c r="J103" s="198">
        <v>0.51623996943064576</v>
      </c>
      <c r="K103" s="197">
        <v>124</v>
      </c>
      <c r="L103" s="197">
        <v>40</v>
      </c>
      <c r="M103" s="198">
        <v>0.32258064516129031</v>
      </c>
      <c r="N103" s="197">
        <v>473</v>
      </c>
      <c r="O103" s="197">
        <v>363</v>
      </c>
      <c r="P103" s="198">
        <v>0.76744186046511631</v>
      </c>
      <c r="Q103" s="197">
        <v>0</v>
      </c>
      <c r="R103" s="197">
        <v>13</v>
      </c>
      <c r="S103" s="82">
        <v>1915</v>
      </c>
    </row>
    <row r="104" spans="1:21" x14ac:dyDescent="0.2">
      <c r="A104" s="243" t="s">
        <v>420</v>
      </c>
      <c r="B104" s="93" t="s">
        <v>45</v>
      </c>
      <c r="C104" s="82">
        <v>2551</v>
      </c>
      <c r="D104" s="196">
        <v>531.70000000000005</v>
      </c>
      <c r="E104" s="197">
        <v>1171</v>
      </c>
      <c r="F104" s="197">
        <v>308</v>
      </c>
      <c r="G104" s="198">
        <v>0.26302305721605468</v>
      </c>
      <c r="H104" s="197">
        <v>3116</v>
      </c>
      <c r="I104" s="197">
        <v>2492</v>
      </c>
      <c r="J104" s="198">
        <v>0.7997432605905006</v>
      </c>
      <c r="K104" s="197">
        <v>1775</v>
      </c>
      <c r="L104" s="197">
        <v>1589</v>
      </c>
      <c r="M104" s="198">
        <v>0.89521126760563385</v>
      </c>
      <c r="N104" s="197">
        <v>163</v>
      </c>
      <c r="O104" s="197">
        <v>149</v>
      </c>
      <c r="P104" s="198">
        <v>0.91411042944785281</v>
      </c>
      <c r="Q104" s="197">
        <v>0</v>
      </c>
      <c r="R104" s="197">
        <v>3</v>
      </c>
      <c r="S104" s="82">
        <v>259</v>
      </c>
    </row>
    <row r="105" spans="1:21" x14ac:dyDescent="0.2">
      <c r="A105" s="243" t="s">
        <v>192</v>
      </c>
      <c r="B105" s="93" t="s">
        <v>47</v>
      </c>
      <c r="C105" s="82">
        <v>554</v>
      </c>
      <c r="D105" s="196">
        <v>117.5</v>
      </c>
      <c r="E105" s="197">
        <v>1422</v>
      </c>
      <c r="F105" s="197">
        <v>394</v>
      </c>
      <c r="G105" s="198">
        <v>0.27707454289732769</v>
      </c>
      <c r="H105" s="197">
        <v>949</v>
      </c>
      <c r="I105" s="197">
        <v>189</v>
      </c>
      <c r="J105" s="198">
        <v>0.19915700737618547</v>
      </c>
      <c r="K105" s="197">
        <v>269</v>
      </c>
      <c r="L105" s="197">
        <v>161</v>
      </c>
      <c r="M105" s="198">
        <v>0.5985130111524164</v>
      </c>
      <c r="N105" s="197">
        <v>291</v>
      </c>
      <c r="O105" s="197">
        <v>177</v>
      </c>
      <c r="P105" s="198">
        <v>0.60824742268041232</v>
      </c>
      <c r="Q105" s="197">
        <v>0</v>
      </c>
      <c r="R105" s="197">
        <v>7</v>
      </c>
      <c r="S105" s="82">
        <v>994</v>
      </c>
    </row>
    <row r="106" spans="1:21" x14ac:dyDescent="0.2">
      <c r="A106" s="243" t="s">
        <v>421</v>
      </c>
      <c r="B106" s="32" t="s">
        <v>49</v>
      </c>
      <c r="C106" s="82">
        <v>510</v>
      </c>
      <c r="D106" s="196">
        <v>265.8</v>
      </c>
      <c r="E106" s="197">
        <v>950</v>
      </c>
      <c r="F106" s="197">
        <v>217</v>
      </c>
      <c r="G106" s="198">
        <v>0.22842105263157894</v>
      </c>
      <c r="H106" s="197">
        <v>845</v>
      </c>
      <c r="I106" s="197">
        <v>429</v>
      </c>
      <c r="J106" s="198">
        <v>0.50769230769230766</v>
      </c>
      <c r="K106" s="197">
        <v>44</v>
      </c>
      <c r="L106" s="197">
        <v>28</v>
      </c>
      <c r="M106" s="198">
        <v>0.63636363636363635</v>
      </c>
      <c r="N106" s="197">
        <v>1338</v>
      </c>
      <c r="O106" s="197">
        <v>654</v>
      </c>
      <c r="P106" s="198">
        <v>0.48878923766816146</v>
      </c>
      <c r="Q106" s="197">
        <v>15</v>
      </c>
      <c r="R106" s="197">
        <v>6</v>
      </c>
      <c r="S106" s="82">
        <v>297</v>
      </c>
    </row>
    <row r="107" spans="1:21" x14ac:dyDescent="0.2">
      <c r="A107" s="243" t="s">
        <v>185</v>
      </c>
      <c r="B107" s="32" t="s">
        <v>53</v>
      </c>
      <c r="C107" s="82">
        <v>7778</v>
      </c>
      <c r="D107" s="196">
        <v>454.4</v>
      </c>
      <c r="E107" s="197">
        <v>9523</v>
      </c>
      <c r="F107" s="197">
        <v>4988</v>
      </c>
      <c r="G107" s="198">
        <v>0.5237845216843432</v>
      </c>
      <c r="H107" s="197">
        <v>10140</v>
      </c>
      <c r="I107" s="197">
        <v>7631</v>
      </c>
      <c r="J107" s="198">
        <v>0.75256410256410255</v>
      </c>
      <c r="K107" s="197">
        <v>2165</v>
      </c>
      <c r="L107" s="197">
        <v>1814</v>
      </c>
      <c r="M107" s="198">
        <v>0.83787528868360273</v>
      </c>
      <c r="N107" s="197">
        <v>6874</v>
      </c>
      <c r="O107" s="197">
        <v>3361</v>
      </c>
      <c r="P107" s="198">
        <v>0.48894384637765492</v>
      </c>
      <c r="Q107" s="197">
        <v>2</v>
      </c>
      <c r="R107" s="197">
        <v>46</v>
      </c>
      <c r="S107" s="82">
        <v>4972</v>
      </c>
      <c r="U107" s="17"/>
    </row>
    <row r="108" spans="1:21" x14ac:dyDescent="0.2">
      <c r="A108" s="243" t="s">
        <v>206</v>
      </c>
      <c r="B108" s="32" t="s">
        <v>57</v>
      </c>
      <c r="C108" s="82">
        <v>709</v>
      </c>
      <c r="D108" s="196">
        <v>278.8</v>
      </c>
      <c r="E108" s="197">
        <v>726</v>
      </c>
      <c r="F108" s="197">
        <v>100</v>
      </c>
      <c r="G108" s="198">
        <v>0.13774104683195593</v>
      </c>
      <c r="H108" s="197">
        <v>1154</v>
      </c>
      <c r="I108" s="197">
        <v>547</v>
      </c>
      <c r="J108" s="198">
        <v>0.47400346620450606</v>
      </c>
      <c r="K108" s="197">
        <v>276</v>
      </c>
      <c r="L108" s="197">
        <v>187</v>
      </c>
      <c r="M108" s="198">
        <v>0.67753623188405798</v>
      </c>
      <c r="N108" s="197">
        <v>750</v>
      </c>
      <c r="O108" s="197">
        <v>239</v>
      </c>
      <c r="P108" s="198">
        <v>0.31866666666666665</v>
      </c>
      <c r="Q108" s="197">
        <v>0</v>
      </c>
      <c r="R108" s="197">
        <v>4</v>
      </c>
      <c r="S108" s="82">
        <v>299</v>
      </c>
      <c r="U108"/>
    </row>
    <row r="109" spans="1:21" x14ac:dyDescent="0.2">
      <c r="A109" s="243" t="s">
        <v>210</v>
      </c>
      <c r="B109" s="93" t="s">
        <v>59</v>
      </c>
      <c r="C109" s="82">
        <v>1612</v>
      </c>
      <c r="D109" s="196">
        <v>232.1</v>
      </c>
      <c r="E109" s="197">
        <v>3559</v>
      </c>
      <c r="F109" s="197">
        <v>1781</v>
      </c>
      <c r="G109" s="198">
        <v>0.50042146670413035</v>
      </c>
      <c r="H109" s="197">
        <v>2237</v>
      </c>
      <c r="I109" s="197">
        <v>1559</v>
      </c>
      <c r="J109" s="198">
        <v>0.69691551184622258</v>
      </c>
      <c r="K109" s="197">
        <v>444</v>
      </c>
      <c r="L109" s="197">
        <v>398</v>
      </c>
      <c r="M109" s="198">
        <v>0.89639639639639634</v>
      </c>
      <c r="N109" s="197">
        <v>1100</v>
      </c>
      <c r="O109" s="197">
        <v>454</v>
      </c>
      <c r="P109" s="198">
        <v>0.41272727272727272</v>
      </c>
      <c r="Q109" s="197">
        <v>0</v>
      </c>
      <c r="R109" s="197">
        <v>5</v>
      </c>
      <c r="S109" s="82">
        <v>1021</v>
      </c>
      <c r="U109"/>
    </row>
    <row r="110" spans="1:21" x14ac:dyDescent="0.2">
      <c r="A110" s="243" t="s">
        <v>189</v>
      </c>
      <c r="B110" s="93" t="s">
        <v>66</v>
      </c>
      <c r="C110" s="82">
        <v>6518</v>
      </c>
      <c r="D110" s="196">
        <v>425</v>
      </c>
      <c r="E110" s="197">
        <v>15717</v>
      </c>
      <c r="F110" s="197">
        <v>9229</v>
      </c>
      <c r="G110" s="198">
        <v>0.58719857479162685</v>
      </c>
      <c r="H110" s="197">
        <v>8327</v>
      </c>
      <c r="I110" s="197">
        <v>6144</v>
      </c>
      <c r="J110" s="198">
        <v>0.73784075897682233</v>
      </c>
      <c r="K110" s="197">
        <v>1230</v>
      </c>
      <c r="L110" s="197">
        <v>1129</v>
      </c>
      <c r="M110" s="198">
        <v>0.91788617886178858</v>
      </c>
      <c r="N110" s="197">
        <v>5467</v>
      </c>
      <c r="O110" s="197">
        <v>2717</v>
      </c>
      <c r="P110" s="198">
        <v>0.49698189134808851</v>
      </c>
      <c r="Q110" s="197">
        <v>2</v>
      </c>
      <c r="R110" s="197">
        <v>35</v>
      </c>
      <c r="S110" s="82">
        <v>4485</v>
      </c>
      <c r="U110"/>
    </row>
    <row r="111" spans="1:21" x14ac:dyDescent="0.2">
      <c r="A111" s="243" t="s">
        <v>199</v>
      </c>
      <c r="B111" s="93" t="s">
        <v>69</v>
      </c>
      <c r="C111" s="82">
        <v>823</v>
      </c>
      <c r="D111" s="196">
        <v>155.9</v>
      </c>
      <c r="E111" s="197">
        <v>1456</v>
      </c>
      <c r="F111" s="197">
        <v>673</v>
      </c>
      <c r="G111" s="198">
        <v>0.46222527472527475</v>
      </c>
      <c r="H111" s="197">
        <v>900</v>
      </c>
      <c r="I111" s="197">
        <v>355</v>
      </c>
      <c r="J111" s="198">
        <v>0.39444444444444443</v>
      </c>
      <c r="K111" s="197">
        <v>156</v>
      </c>
      <c r="L111" s="197">
        <v>124</v>
      </c>
      <c r="M111" s="198">
        <v>0.79487179487179482</v>
      </c>
      <c r="N111" s="197">
        <v>1202</v>
      </c>
      <c r="O111" s="197">
        <v>536</v>
      </c>
      <c r="P111" s="198">
        <v>0.44592346089850249</v>
      </c>
      <c r="Q111" s="197">
        <v>319</v>
      </c>
      <c r="R111" s="197">
        <v>134</v>
      </c>
      <c r="S111" s="82">
        <v>1049</v>
      </c>
      <c r="U111"/>
    </row>
    <row r="112" spans="1:21" x14ac:dyDescent="0.2">
      <c r="A112" s="243" t="s">
        <v>188</v>
      </c>
      <c r="B112" s="93" t="s">
        <v>76</v>
      </c>
      <c r="C112" s="82">
        <v>9398</v>
      </c>
      <c r="D112" s="196">
        <v>438.2</v>
      </c>
      <c r="E112" s="197">
        <v>16992</v>
      </c>
      <c r="F112" s="197">
        <v>9230</v>
      </c>
      <c r="G112" s="198">
        <v>0.54319679849340863</v>
      </c>
      <c r="H112" s="197">
        <v>12327</v>
      </c>
      <c r="I112" s="197">
        <v>9880</v>
      </c>
      <c r="J112" s="198">
        <v>0.80149265839214734</v>
      </c>
      <c r="K112" s="197">
        <v>1833</v>
      </c>
      <c r="L112" s="197">
        <v>1692</v>
      </c>
      <c r="M112" s="198">
        <v>0.92307692307692313</v>
      </c>
      <c r="N112" s="197">
        <v>14643</v>
      </c>
      <c r="O112" s="197">
        <v>9411</v>
      </c>
      <c r="P112" s="198">
        <v>0.64269616881786518</v>
      </c>
      <c r="Q112" s="197">
        <v>0</v>
      </c>
      <c r="R112" s="197">
        <v>37</v>
      </c>
      <c r="S112" s="82">
        <v>8522</v>
      </c>
      <c r="U112"/>
    </row>
    <row r="113" spans="1:21" x14ac:dyDescent="0.2">
      <c r="A113" s="243" t="s">
        <v>190</v>
      </c>
      <c r="B113" s="93" t="s">
        <v>78</v>
      </c>
      <c r="C113" s="82">
        <v>5420</v>
      </c>
      <c r="D113" s="196">
        <v>358.3</v>
      </c>
      <c r="E113" s="197">
        <v>5873</v>
      </c>
      <c r="F113" s="197">
        <v>2450</v>
      </c>
      <c r="G113" s="198">
        <v>0.41716328963051252</v>
      </c>
      <c r="H113" s="197">
        <v>6821</v>
      </c>
      <c r="I113" s="197">
        <v>4938</v>
      </c>
      <c r="J113" s="198">
        <v>0.72394077114792554</v>
      </c>
      <c r="K113" s="197">
        <v>405</v>
      </c>
      <c r="L113" s="197">
        <v>314</v>
      </c>
      <c r="M113" s="198">
        <v>0.77530864197530869</v>
      </c>
      <c r="N113" s="197">
        <v>5994</v>
      </c>
      <c r="O113" s="197">
        <v>3225</v>
      </c>
      <c r="P113" s="198">
        <v>0.53803803803803807</v>
      </c>
      <c r="Q113" s="197">
        <v>1</v>
      </c>
      <c r="R113" s="197">
        <v>52</v>
      </c>
      <c r="S113" s="82">
        <v>6497</v>
      </c>
      <c r="U113"/>
    </row>
    <row r="114" spans="1:21" x14ac:dyDescent="0.2">
      <c r="A114" s="243" t="s">
        <v>193</v>
      </c>
      <c r="B114" s="93" t="s">
        <v>80</v>
      </c>
      <c r="C114" s="82">
        <v>8352</v>
      </c>
      <c r="D114" s="196">
        <v>440.4</v>
      </c>
      <c r="E114" s="197">
        <v>6979</v>
      </c>
      <c r="F114" s="197">
        <v>3309</v>
      </c>
      <c r="G114" s="198">
        <v>0.47413669580169077</v>
      </c>
      <c r="H114" s="197">
        <v>10373</v>
      </c>
      <c r="I114" s="197">
        <v>7816</v>
      </c>
      <c r="J114" s="198">
        <v>0.75349464957100165</v>
      </c>
      <c r="K114" s="197">
        <v>3494</v>
      </c>
      <c r="L114" s="197">
        <v>3011</v>
      </c>
      <c r="M114" s="198">
        <v>0.86176302232398394</v>
      </c>
      <c r="N114" s="197">
        <v>1423</v>
      </c>
      <c r="O114" s="197">
        <v>944</v>
      </c>
      <c r="P114" s="198">
        <v>0.66338721011946589</v>
      </c>
      <c r="Q114" s="197">
        <v>3</v>
      </c>
      <c r="R114" s="197">
        <v>61</v>
      </c>
      <c r="S114" s="82">
        <v>5296</v>
      </c>
      <c r="U114"/>
    </row>
    <row r="115" spans="1:21" x14ac:dyDescent="0.2">
      <c r="A115" s="243" t="s">
        <v>197</v>
      </c>
      <c r="B115" s="93" t="s">
        <v>82</v>
      </c>
      <c r="C115" s="82">
        <v>3795</v>
      </c>
      <c r="D115" s="196">
        <v>462</v>
      </c>
      <c r="E115" s="197">
        <v>6117</v>
      </c>
      <c r="F115" s="197">
        <v>3704</v>
      </c>
      <c r="G115" s="198">
        <v>0.60552558443681548</v>
      </c>
      <c r="H115" s="197">
        <v>4216</v>
      </c>
      <c r="I115" s="197">
        <v>3421</v>
      </c>
      <c r="J115" s="198">
        <v>0.81143263757115747</v>
      </c>
      <c r="K115" s="197">
        <v>379</v>
      </c>
      <c r="L115" s="197">
        <v>363</v>
      </c>
      <c r="M115" s="198">
        <v>0.95778364116094983</v>
      </c>
      <c r="N115" s="197">
        <v>3509</v>
      </c>
      <c r="O115" s="197">
        <v>1634</v>
      </c>
      <c r="P115" s="198">
        <v>0.46565973211741235</v>
      </c>
      <c r="Q115" s="197">
        <v>1</v>
      </c>
      <c r="R115" s="197">
        <v>85</v>
      </c>
      <c r="S115" s="82">
        <v>1969</v>
      </c>
      <c r="U115"/>
    </row>
    <row r="116" spans="1:21" ht="13.5" customHeight="1" x14ac:dyDescent="0.2">
      <c r="A116" s="243" t="s">
        <v>187</v>
      </c>
      <c r="B116" s="32" t="s">
        <v>84</v>
      </c>
      <c r="C116" s="82">
        <v>11691</v>
      </c>
      <c r="D116" s="196">
        <v>419.6</v>
      </c>
      <c r="E116" s="197">
        <v>6441</v>
      </c>
      <c r="F116" s="197">
        <v>2263</v>
      </c>
      <c r="G116" s="198">
        <v>0.35134295916783109</v>
      </c>
      <c r="H116" s="197">
        <v>17097</v>
      </c>
      <c r="I116" s="197">
        <v>9256</v>
      </c>
      <c r="J116" s="198">
        <v>0.5413815289232029</v>
      </c>
      <c r="K116" s="197">
        <v>839</v>
      </c>
      <c r="L116" s="197">
        <v>239</v>
      </c>
      <c r="M116" s="198">
        <v>0.28486293206197855</v>
      </c>
      <c r="N116" s="197">
        <v>342</v>
      </c>
      <c r="O116" s="197">
        <v>233</v>
      </c>
      <c r="P116" s="198">
        <v>0.68128654970760238</v>
      </c>
      <c r="Q116" s="197">
        <v>0</v>
      </c>
      <c r="R116" s="197">
        <v>7</v>
      </c>
      <c r="S116" s="82">
        <v>445</v>
      </c>
      <c r="U116"/>
    </row>
    <row r="117" spans="1:21" x14ac:dyDescent="0.2">
      <c r="A117" s="243" t="s">
        <v>202</v>
      </c>
      <c r="B117" s="32" t="s">
        <v>85</v>
      </c>
      <c r="C117" s="82">
        <v>9433</v>
      </c>
      <c r="D117" s="196">
        <v>334</v>
      </c>
      <c r="E117" s="197">
        <v>12823</v>
      </c>
      <c r="F117" s="197">
        <v>3479</v>
      </c>
      <c r="G117" s="198">
        <v>0.27130936598299932</v>
      </c>
      <c r="H117" s="197">
        <v>13662</v>
      </c>
      <c r="I117" s="197">
        <v>7858</v>
      </c>
      <c r="J117" s="198">
        <v>0.5751720099546187</v>
      </c>
      <c r="K117" s="197">
        <v>1511</v>
      </c>
      <c r="L117" s="197">
        <v>1045</v>
      </c>
      <c r="M117" s="198">
        <v>0.69159497021839844</v>
      </c>
      <c r="N117" s="197">
        <v>1836</v>
      </c>
      <c r="O117" s="197">
        <v>1188</v>
      </c>
      <c r="P117" s="198">
        <v>0.6470588235294118</v>
      </c>
      <c r="Q117" s="197">
        <v>0</v>
      </c>
      <c r="R117" s="197">
        <v>60</v>
      </c>
      <c r="S117" s="82">
        <v>3423</v>
      </c>
      <c r="U117"/>
    </row>
    <row r="118" spans="1:21" x14ac:dyDescent="0.2">
      <c r="A118" s="243" t="s">
        <v>191</v>
      </c>
      <c r="B118" s="93" t="s">
        <v>87</v>
      </c>
      <c r="C118" s="82">
        <v>14617</v>
      </c>
      <c r="D118" s="205">
        <v>420.6</v>
      </c>
      <c r="E118" s="197">
        <v>14647</v>
      </c>
      <c r="F118" s="197">
        <v>7709</v>
      </c>
      <c r="G118" s="198">
        <v>0.52631938280876633</v>
      </c>
      <c r="H118" s="197">
        <v>19961</v>
      </c>
      <c r="I118" s="197">
        <v>14748</v>
      </c>
      <c r="J118" s="198">
        <v>0.73884073944191175</v>
      </c>
      <c r="K118" s="197">
        <v>4135</v>
      </c>
      <c r="L118" s="197">
        <v>3822</v>
      </c>
      <c r="M118" s="198">
        <v>0.92430471584038698</v>
      </c>
      <c r="N118" s="197">
        <v>10788</v>
      </c>
      <c r="O118" s="197">
        <v>7055</v>
      </c>
      <c r="P118" s="198">
        <v>0.65396737115313308</v>
      </c>
      <c r="Q118" s="197">
        <v>14</v>
      </c>
      <c r="R118" s="197">
        <v>152</v>
      </c>
      <c r="S118" s="82">
        <v>3540</v>
      </c>
      <c r="U118"/>
    </row>
    <row r="119" spans="1:21" x14ac:dyDescent="0.2">
      <c r="A119" s="243"/>
      <c r="B119" s="272" t="s">
        <v>435</v>
      </c>
      <c r="C119" s="276">
        <v>73</v>
      </c>
      <c r="D119" s="202">
        <v>556.20000000000005</v>
      </c>
      <c r="E119" s="203">
        <v>17</v>
      </c>
      <c r="F119" s="203">
        <v>11</v>
      </c>
      <c r="G119" s="193">
        <v>0.6470588235294118</v>
      </c>
      <c r="H119" s="203">
        <v>68</v>
      </c>
      <c r="I119" s="203">
        <v>60</v>
      </c>
      <c r="J119" s="193">
        <v>0.88235294117647056</v>
      </c>
      <c r="K119" s="203">
        <v>2</v>
      </c>
      <c r="L119" s="203">
        <v>0</v>
      </c>
      <c r="M119" s="193">
        <v>0</v>
      </c>
      <c r="N119" s="203">
        <v>7080</v>
      </c>
      <c r="O119" s="203">
        <v>1313</v>
      </c>
      <c r="P119" s="193">
        <v>0.18545197740112995</v>
      </c>
      <c r="Q119" s="203">
        <v>0</v>
      </c>
      <c r="R119" s="203">
        <v>13</v>
      </c>
      <c r="S119" s="273">
        <v>12931</v>
      </c>
      <c r="U119"/>
    </row>
    <row r="120" spans="1:21" ht="17.25" customHeight="1" x14ac:dyDescent="0.2">
      <c r="B120" s="572"/>
      <c r="C120" s="572"/>
      <c r="D120" s="572"/>
      <c r="E120" s="572"/>
      <c r="F120" s="572"/>
      <c r="G120" s="572"/>
      <c r="H120" s="572"/>
      <c r="I120" s="572"/>
      <c r="J120" s="572"/>
      <c r="K120" s="572"/>
      <c r="L120" s="572"/>
      <c r="M120" s="572"/>
      <c r="N120" s="572"/>
      <c r="O120" s="572"/>
      <c r="P120" s="572"/>
      <c r="Q120" s="572"/>
      <c r="R120" s="572"/>
      <c r="S120" s="572"/>
    </row>
    <row r="121" spans="1:21" ht="27" customHeight="1" x14ac:dyDescent="0.4">
      <c r="B121" s="13"/>
      <c r="C121" s="565" t="s">
        <v>354</v>
      </c>
      <c r="D121" s="566"/>
      <c r="E121" s="566"/>
      <c r="F121" s="566"/>
      <c r="G121" s="566"/>
      <c r="H121" s="566"/>
      <c r="I121" s="566"/>
      <c r="J121" s="566"/>
      <c r="K121" s="566"/>
      <c r="L121" s="566"/>
      <c r="M121" s="566"/>
      <c r="N121" s="566"/>
      <c r="O121" s="566"/>
      <c r="P121" s="566"/>
      <c r="Q121" s="566"/>
      <c r="R121" s="566"/>
      <c r="S121" s="567"/>
    </row>
    <row r="122" spans="1:21" x14ac:dyDescent="0.2">
      <c r="B122" s="30"/>
      <c r="C122" s="568" t="s">
        <v>287</v>
      </c>
      <c r="D122" s="568"/>
      <c r="E122" s="562" t="s">
        <v>238</v>
      </c>
      <c r="F122" s="563"/>
      <c r="G122" s="564"/>
      <c r="H122" s="562" t="s">
        <v>8</v>
      </c>
      <c r="I122" s="563"/>
      <c r="J122" s="564"/>
      <c r="K122" s="562" t="s">
        <v>43</v>
      </c>
      <c r="L122" s="563"/>
      <c r="M122" s="564"/>
      <c r="N122" s="562" t="s">
        <v>9</v>
      </c>
      <c r="O122" s="563"/>
      <c r="P122" s="564"/>
      <c r="Q122" s="262" t="s">
        <v>10</v>
      </c>
      <c r="R122" s="218" t="s">
        <v>11</v>
      </c>
      <c r="S122" s="218"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75">
        <v>26546</v>
      </c>
      <c r="D124" s="206">
        <v>68.3</v>
      </c>
      <c r="E124" s="207">
        <v>20017</v>
      </c>
      <c r="F124" s="207">
        <v>1758</v>
      </c>
      <c r="G124" s="208">
        <v>8.7825348453814261E-2</v>
      </c>
      <c r="H124" s="207">
        <v>48516</v>
      </c>
      <c r="I124" s="207">
        <v>6094</v>
      </c>
      <c r="J124" s="208">
        <v>0.12560804682991178</v>
      </c>
      <c r="K124" s="207">
        <v>6319</v>
      </c>
      <c r="L124" s="207">
        <v>6055</v>
      </c>
      <c r="M124" s="208">
        <v>0.95822123753758504</v>
      </c>
      <c r="N124" s="207">
        <v>3085</v>
      </c>
      <c r="O124" s="207">
        <v>616</v>
      </c>
      <c r="P124" s="208">
        <v>0.19967585089141004</v>
      </c>
      <c r="Q124" s="207">
        <v>5849</v>
      </c>
      <c r="R124" s="207">
        <v>3765</v>
      </c>
      <c r="S124" s="85">
        <v>6396</v>
      </c>
    </row>
    <row r="125" spans="1:21" x14ac:dyDescent="0.2">
      <c r="A125" s="243" t="s">
        <v>414</v>
      </c>
      <c r="B125" s="15" t="s">
        <v>283</v>
      </c>
      <c r="C125" s="82">
        <v>13112</v>
      </c>
      <c r="D125" s="196">
        <v>83.6</v>
      </c>
      <c r="E125" s="197">
        <v>9170</v>
      </c>
      <c r="F125" s="197">
        <v>921</v>
      </c>
      <c r="G125" s="198">
        <v>0.10043620501635769</v>
      </c>
      <c r="H125" s="197">
        <v>20210</v>
      </c>
      <c r="I125" s="197">
        <v>3577</v>
      </c>
      <c r="J125" s="198">
        <v>0.17699158832261258</v>
      </c>
      <c r="K125" s="197">
        <v>5682</v>
      </c>
      <c r="L125" s="197">
        <v>5620</v>
      </c>
      <c r="M125" s="198">
        <v>0.98908834917282651</v>
      </c>
      <c r="N125" s="197">
        <v>2335</v>
      </c>
      <c r="O125" s="197">
        <v>264</v>
      </c>
      <c r="P125" s="198">
        <v>0.11306209850107066</v>
      </c>
      <c r="Q125" s="197">
        <v>1372</v>
      </c>
      <c r="R125" s="197">
        <v>1828</v>
      </c>
      <c r="S125" s="82">
        <v>2102</v>
      </c>
    </row>
    <row r="126" spans="1:21" x14ac:dyDescent="0.2">
      <c r="A126" s="245" t="s">
        <v>418</v>
      </c>
      <c r="B126" s="15" t="s">
        <v>284</v>
      </c>
      <c r="C126" s="82">
        <v>5744</v>
      </c>
      <c r="D126" s="196">
        <v>52.6</v>
      </c>
      <c r="E126" s="197">
        <v>5016</v>
      </c>
      <c r="F126" s="197">
        <v>439</v>
      </c>
      <c r="G126" s="198">
        <v>8.7519936204146734E-2</v>
      </c>
      <c r="H126" s="197">
        <v>11387</v>
      </c>
      <c r="I126" s="197">
        <v>411</v>
      </c>
      <c r="J126" s="198">
        <v>3.6093791165364014E-2</v>
      </c>
      <c r="K126" s="197">
        <v>156</v>
      </c>
      <c r="L126" s="197">
        <v>0</v>
      </c>
      <c r="M126" s="198">
        <v>0</v>
      </c>
      <c r="N126" s="197">
        <v>393</v>
      </c>
      <c r="O126" s="197">
        <v>102</v>
      </c>
      <c r="P126" s="198">
        <v>0.25954198473282442</v>
      </c>
      <c r="Q126" s="197">
        <v>594</v>
      </c>
      <c r="R126" s="197">
        <v>400</v>
      </c>
      <c r="S126" s="82">
        <v>2414</v>
      </c>
    </row>
    <row r="127" spans="1:21" x14ac:dyDescent="0.2">
      <c r="A127" s="243" t="s">
        <v>419</v>
      </c>
      <c r="B127" s="18" t="s">
        <v>285</v>
      </c>
      <c r="C127" s="82">
        <v>7690</v>
      </c>
      <c r="D127" s="196">
        <v>53.8</v>
      </c>
      <c r="E127" s="197">
        <v>5556</v>
      </c>
      <c r="F127" s="197">
        <v>259</v>
      </c>
      <c r="G127" s="198">
        <v>4.6616270698344134E-2</v>
      </c>
      <c r="H127" s="197">
        <v>14725</v>
      </c>
      <c r="I127" s="197">
        <v>166</v>
      </c>
      <c r="J127" s="198">
        <v>1.1273344651952462E-2</v>
      </c>
      <c r="K127" s="197">
        <v>118</v>
      </c>
      <c r="L127" s="197">
        <v>101</v>
      </c>
      <c r="M127" s="198">
        <v>0.85593220338983056</v>
      </c>
      <c r="N127" s="197">
        <v>127</v>
      </c>
      <c r="O127" s="197">
        <v>37</v>
      </c>
      <c r="P127" s="198">
        <v>0.29133858267716534</v>
      </c>
      <c r="Q127" s="197">
        <v>3774</v>
      </c>
      <c r="R127" s="197">
        <v>1537</v>
      </c>
      <c r="S127" s="82">
        <v>1880</v>
      </c>
    </row>
    <row r="128" spans="1:21" x14ac:dyDescent="0.2">
      <c r="A128" s="70"/>
      <c r="B128" s="18" t="s">
        <v>27</v>
      </c>
      <c r="C128" s="209" t="s">
        <v>31</v>
      </c>
      <c r="D128" s="209" t="s">
        <v>31</v>
      </c>
      <c r="E128" s="210">
        <v>275</v>
      </c>
      <c r="F128" s="210">
        <v>139</v>
      </c>
      <c r="G128" s="211">
        <v>0.50545454545454549</v>
      </c>
      <c r="H128" s="210">
        <v>2194</v>
      </c>
      <c r="I128" s="210">
        <v>1940</v>
      </c>
      <c r="J128" s="211">
        <v>0.88422971741112122</v>
      </c>
      <c r="K128" s="210">
        <v>363</v>
      </c>
      <c r="L128" s="210">
        <v>334</v>
      </c>
      <c r="M128" s="211">
        <v>0.92011019283746553</v>
      </c>
      <c r="N128" s="210">
        <v>230</v>
      </c>
      <c r="O128" s="210">
        <v>213</v>
      </c>
      <c r="P128" s="211">
        <v>0.92608695652173911</v>
      </c>
      <c r="Q128" s="210">
        <v>109</v>
      </c>
      <c r="R128" s="210"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70"/>
      <c r="H131" s="570"/>
      <c r="I131" s="570"/>
      <c r="J131" s="570"/>
      <c r="K131" s="570"/>
      <c r="L131" s="570"/>
      <c r="M131" s="570"/>
      <c r="N131" s="570"/>
      <c r="O131" s="570"/>
    </row>
    <row r="132" spans="2:19" x14ac:dyDescent="0.2">
      <c r="D132" s="48"/>
      <c r="G132" s="13"/>
      <c r="H132" s="571"/>
      <c r="I132" s="571"/>
      <c r="J132" s="571"/>
      <c r="K132" s="571"/>
      <c r="L132" s="571"/>
      <c r="M132" s="571"/>
      <c r="N132" s="571"/>
      <c r="O132" s="571"/>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76"/>
      <c r="H139" s="476"/>
      <c r="I139" s="476"/>
      <c r="J139" s="476"/>
      <c r="K139" s="476"/>
      <c r="L139" s="476"/>
      <c r="M139" s="476"/>
      <c r="N139" s="476"/>
      <c r="O139" s="476"/>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7">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4:R14"/>
    <mergeCell ref="Q7:R7"/>
    <mergeCell ref="Q8:R8"/>
    <mergeCell ref="Q9:R9"/>
    <mergeCell ref="Q10:R10"/>
    <mergeCell ref="Q11:R11"/>
    <mergeCell ref="Q13:R13"/>
    <mergeCell ref="Q15:R15"/>
    <mergeCell ref="T22:U22"/>
    <mergeCell ref="Q16:R16"/>
    <mergeCell ref="Q18:R18"/>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90" priority="117" stopIfTrue="1">
      <formula>ISERROR(B47)</formula>
    </cfRule>
  </conditionalFormatting>
  <conditionalFormatting sqref="D52">
    <cfRule type="expression" dxfId="89" priority="94" stopIfTrue="1">
      <formula>ISERROR(D52)</formula>
    </cfRule>
  </conditionalFormatting>
  <conditionalFormatting sqref="D129">
    <cfRule type="expression" dxfId="88" priority="93" stopIfTrue="1">
      <formula>ISERROR(D129)</formula>
    </cfRule>
  </conditionalFormatting>
  <conditionalFormatting sqref="Y29:Y32 I12:I13 O10">
    <cfRule type="expression" dxfId="87" priority="63" stopIfTrue="1">
      <formula>ISERROR(I10)</formula>
    </cfRule>
  </conditionalFormatting>
  <conditionalFormatting sqref="Y34:Y36">
    <cfRule type="expression" dxfId="86" priority="64" stopIfTrue="1">
      <formula>ISERROR(Y34)</formula>
    </cfRule>
  </conditionalFormatting>
  <conditionalFormatting sqref="Y23:Y28">
    <cfRule type="expression" dxfId="85" priority="62" stopIfTrue="1">
      <formula>ISERROR(Y23)</formula>
    </cfRule>
  </conditionalFormatting>
  <conditionalFormatting sqref="Y22">
    <cfRule type="expression" dxfId="84" priority="48" stopIfTrue="1">
      <formula>ISERROR(Y22)</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73" t="s">
        <v>280</v>
      </c>
      <c r="B1" s="573"/>
      <c r="C1" s="573"/>
      <c r="D1" s="38"/>
      <c r="E1" s="575" t="s">
        <v>280</v>
      </c>
      <c r="F1" s="576"/>
      <c r="G1" s="576"/>
      <c r="H1" s="576"/>
      <c r="I1" s="576"/>
      <c r="J1" s="576"/>
      <c r="K1" s="576"/>
      <c r="L1" s="576"/>
      <c r="M1" s="576"/>
      <c r="N1" s="576"/>
      <c r="O1" s="576"/>
      <c r="P1" s="576"/>
      <c r="Q1" s="576"/>
      <c r="R1" s="263"/>
      <c r="T1" s="574" t="s">
        <v>281</v>
      </c>
      <c r="U1" s="574"/>
      <c r="V1" s="574"/>
      <c r="W1" s="574"/>
      <c r="X1" s="574"/>
      <c r="Y1" s="574"/>
      <c r="Z1" s="574"/>
      <c r="AA1" s="574"/>
      <c r="AB1" s="574"/>
      <c r="AC1" s="574"/>
      <c r="AD1" s="574"/>
      <c r="AE1" s="574"/>
      <c r="AF1" s="574"/>
      <c r="AG1" s="574"/>
      <c r="AH1" s="574"/>
      <c r="AI1" s="251"/>
      <c r="AJ1" s="251"/>
      <c r="AK1" s="574" t="s">
        <v>423</v>
      </c>
      <c r="AL1" s="574"/>
      <c r="AM1" s="574"/>
      <c r="AN1" s="574"/>
      <c r="AO1" s="574"/>
      <c r="AP1" s="574"/>
      <c r="AQ1" s="574"/>
      <c r="AR1" s="574"/>
      <c r="AS1" s="574"/>
      <c r="AT1" s="574"/>
      <c r="AU1" s="574"/>
      <c r="AV1" s="574"/>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41" t="s">
        <v>401</v>
      </c>
      <c r="AM2" s="241" t="s">
        <v>402</v>
      </c>
      <c r="AN2" s="241" t="s">
        <v>403</v>
      </c>
      <c r="AO2" s="241" t="s">
        <v>404</v>
      </c>
      <c r="AP2" s="241" t="s">
        <v>405</v>
      </c>
      <c r="AQ2" s="241" t="s">
        <v>406</v>
      </c>
      <c r="AR2" s="241" t="s">
        <v>407</v>
      </c>
      <c r="AS2" s="241" t="s">
        <v>408</v>
      </c>
      <c r="AT2" s="241" t="s">
        <v>409</v>
      </c>
      <c r="AU2" s="241" t="s">
        <v>410</v>
      </c>
      <c r="AV2" s="241" t="s">
        <v>411</v>
      </c>
      <c r="AX2" t="s">
        <v>463</v>
      </c>
      <c r="AY2" t="s">
        <v>464</v>
      </c>
      <c r="AZ2" t="s">
        <v>465</v>
      </c>
    </row>
    <row r="3" spans="1:52" x14ac:dyDescent="0.2">
      <c r="B3">
        <v>537209</v>
      </c>
      <c r="C3">
        <v>347665</v>
      </c>
      <c r="E3" t="s">
        <v>9</v>
      </c>
      <c r="F3">
        <v>17</v>
      </c>
      <c r="G3">
        <v>11</v>
      </c>
      <c r="H3">
        <v>68</v>
      </c>
      <c r="I3">
        <v>60</v>
      </c>
      <c r="J3">
        <v>2</v>
      </c>
      <c r="L3">
        <v>7080</v>
      </c>
      <c r="M3">
        <v>1313</v>
      </c>
      <c r="N3">
        <v>0</v>
      </c>
      <c r="O3">
        <v>13</v>
      </c>
      <c r="P3">
        <v>556.20000000000005</v>
      </c>
      <c r="Q3">
        <v>73</v>
      </c>
      <c r="T3" t="s">
        <v>44</v>
      </c>
      <c r="U3">
        <v>3807</v>
      </c>
      <c r="V3">
        <v>127.4</v>
      </c>
      <c r="W3">
        <v>0.42685000000000001</v>
      </c>
      <c r="X3">
        <v>458</v>
      </c>
      <c r="Y3">
        <v>3075</v>
      </c>
      <c r="Z3">
        <v>183.6</v>
      </c>
      <c r="AA3">
        <v>189.9</v>
      </c>
      <c r="AB3">
        <v>3667</v>
      </c>
      <c r="AC3">
        <v>132.69999999999999</v>
      </c>
      <c r="AD3">
        <v>0.49496000000000001</v>
      </c>
      <c r="AE3">
        <v>484</v>
      </c>
      <c r="AF3">
        <v>3237</v>
      </c>
      <c r="AG3">
        <v>186.5</v>
      </c>
      <c r="AH3">
        <v>191.5</v>
      </c>
      <c r="AK3" t="s">
        <v>159</v>
      </c>
      <c r="AV3">
        <v>3833</v>
      </c>
      <c r="AX3">
        <v>12</v>
      </c>
      <c r="AY3">
        <v>23723</v>
      </c>
      <c r="AZ3" s="446">
        <v>41986</v>
      </c>
    </row>
    <row r="4" spans="1:52" x14ac:dyDescent="0.2">
      <c r="A4" t="s">
        <v>114</v>
      </c>
      <c r="B4">
        <v>112698</v>
      </c>
      <c r="C4">
        <v>88127</v>
      </c>
      <c r="E4" t="s">
        <v>9</v>
      </c>
      <c r="F4">
        <v>17</v>
      </c>
      <c r="G4">
        <v>11</v>
      </c>
      <c r="H4">
        <v>68</v>
      </c>
      <c r="I4">
        <v>60</v>
      </c>
      <c r="J4">
        <v>2</v>
      </c>
      <c r="L4">
        <v>7080</v>
      </c>
      <c r="M4">
        <v>1313</v>
      </c>
      <c r="N4">
        <v>0</v>
      </c>
      <c r="O4">
        <v>13</v>
      </c>
      <c r="P4">
        <v>556.20000000000005</v>
      </c>
      <c r="Q4">
        <v>73</v>
      </c>
      <c r="T4" t="s">
        <v>45</v>
      </c>
      <c r="U4">
        <v>1252</v>
      </c>
      <c r="V4">
        <v>91.4</v>
      </c>
      <c r="W4">
        <v>0.25</v>
      </c>
      <c r="X4">
        <v>187</v>
      </c>
      <c r="Y4">
        <v>1229</v>
      </c>
      <c r="Z4">
        <v>153.6</v>
      </c>
      <c r="AA4">
        <v>153.30000000000001</v>
      </c>
      <c r="AB4">
        <v>1209</v>
      </c>
      <c r="AC4">
        <v>93.8</v>
      </c>
      <c r="AD4">
        <v>0.25641000000000003</v>
      </c>
      <c r="AE4">
        <v>193</v>
      </c>
      <c r="AF4">
        <v>1263</v>
      </c>
      <c r="AG4">
        <v>155.4</v>
      </c>
      <c r="AH4">
        <v>153.6</v>
      </c>
      <c r="AK4" t="s">
        <v>160</v>
      </c>
      <c r="AV4">
        <v>618</v>
      </c>
    </row>
    <row r="5" spans="1:52" x14ac:dyDescent="0.2">
      <c r="A5" t="s">
        <v>106</v>
      </c>
      <c r="B5">
        <v>6428</v>
      </c>
      <c r="C5">
        <v>939</v>
      </c>
      <c r="E5" t="s">
        <v>93</v>
      </c>
      <c r="F5">
        <v>22765</v>
      </c>
      <c r="G5">
        <v>11006</v>
      </c>
      <c r="H5">
        <v>16505</v>
      </c>
      <c r="I5">
        <v>11164</v>
      </c>
      <c r="J5">
        <v>1442</v>
      </c>
      <c r="K5">
        <v>1123</v>
      </c>
      <c r="L5">
        <v>5604</v>
      </c>
      <c r="M5">
        <v>2815</v>
      </c>
      <c r="N5">
        <v>2</v>
      </c>
      <c r="O5">
        <v>250</v>
      </c>
      <c r="P5">
        <v>308.3</v>
      </c>
      <c r="Q5">
        <v>14660</v>
      </c>
      <c r="T5" t="s">
        <v>34</v>
      </c>
      <c r="U5">
        <v>20291</v>
      </c>
      <c r="V5">
        <v>151.9</v>
      </c>
      <c r="W5">
        <v>0.48785000000000001</v>
      </c>
      <c r="X5">
        <v>3334</v>
      </c>
      <c r="Y5">
        <v>21079</v>
      </c>
      <c r="Z5">
        <v>214.2</v>
      </c>
      <c r="AA5">
        <v>214.9</v>
      </c>
      <c r="AB5">
        <v>17369</v>
      </c>
      <c r="AC5">
        <v>146.69999999999999</v>
      </c>
      <c r="AD5">
        <v>0.48541000000000001</v>
      </c>
      <c r="AE5">
        <v>2801</v>
      </c>
      <c r="AF5">
        <v>18326</v>
      </c>
      <c r="AG5">
        <v>212.9</v>
      </c>
      <c r="AH5">
        <v>205.5</v>
      </c>
      <c r="AK5" t="s">
        <v>161</v>
      </c>
      <c r="AV5">
        <v>3621</v>
      </c>
    </row>
    <row r="6" spans="1:52" x14ac:dyDescent="0.2">
      <c r="A6" t="s">
        <v>107</v>
      </c>
      <c r="B6">
        <v>1194</v>
      </c>
      <c r="C6">
        <v>141</v>
      </c>
      <c r="E6" t="s">
        <v>56</v>
      </c>
      <c r="F6">
        <v>1045</v>
      </c>
      <c r="G6">
        <v>387</v>
      </c>
      <c r="H6">
        <v>461</v>
      </c>
      <c r="I6">
        <v>99</v>
      </c>
      <c r="J6">
        <v>37</v>
      </c>
      <c r="K6">
        <v>27</v>
      </c>
      <c r="L6">
        <v>80</v>
      </c>
      <c r="M6">
        <v>27</v>
      </c>
      <c r="N6">
        <v>0</v>
      </c>
      <c r="O6">
        <v>1</v>
      </c>
      <c r="P6">
        <v>98.6</v>
      </c>
      <c r="Q6">
        <v>286</v>
      </c>
      <c r="T6" t="s">
        <v>46</v>
      </c>
      <c r="U6">
        <v>9253</v>
      </c>
      <c r="V6">
        <v>198.8</v>
      </c>
      <c r="W6">
        <v>0.60855999999999999</v>
      </c>
      <c r="X6">
        <v>976</v>
      </c>
      <c r="Y6">
        <v>6124</v>
      </c>
      <c r="Z6">
        <v>279.10000000000002</v>
      </c>
      <c r="AA6">
        <v>287.60000000000002</v>
      </c>
      <c r="AB6">
        <v>2467</v>
      </c>
      <c r="AC6">
        <v>153.69999999999999</v>
      </c>
      <c r="AD6">
        <v>0.47222999999999998</v>
      </c>
      <c r="AE6">
        <v>346</v>
      </c>
      <c r="AF6">
        <v>1874</v>
      </c>
      <c r="AG6">
        <v>294.2</v>
      </c>
      <c r="AH6">
        <v>353.6</v>
      </c>
      <c r="AK6" t="s">
        <v>162</v>
      </c>
      <c r="AV6">
        <v>1546</v>
      </c>
    </row>
    <row r="7" spans="1:52" x14ac:dyDescent="0.2">
      <c r="A7" t="s">
        <v>116</v>
      </c>
      <c r="B7">
        <v>238</v>
      </c>
      <c r="C7">
        <v>183</v>
      </c>
      <c r="E7" t="s">
        <v>50</v>
      </c>
      <c r="F7">
        <v>10901</v>
      </c>
      <c r="G7">
        <v>6274</v>
      </c>
      <c r="H7">
        <v>7907</v>
      </c>
      <c r="I7">
        <v>5931</v>
      </c>
      <c r="J7">
        <v>1448</v>
      </c>
      <c r="K7">
        <v>1379</v>
      </c>
      <c r="L7">
        <v>4117</v>
      </c>
      <c r="M7">
        <v>3177</v>
      </c>
      <c r="N7">
        <v>9</v>
      </c>
      <c r="O7">
        <v>277</v>
      </c>
      <c r="P7">
        <v>503.7</v>
      </c>
      <c r="Q7">
        <v>6241</v>
      </c>
      <c r="T7" t="s">
        <v>47</v>
      </c>
      <c r="U7">
        <v>1478</v>
      </c>
      <c r="V7">
        <v>98.3</v>
      </c>
      <c r="W7">
        <v>0.26995999999999998</v>
      </c>
      <c r="X7">
        <v>343</v>
      </c>
      <c r="Y7">
        <v>2057</v>
      </c>
      <c r="Z7">
        <v>137.80000000000001</v>
      </c>
      <c r="AA7">
        <v>156.30000000000001</v>
      </c>
      <c r="AB7">
        <v>2506</v>
      </c>
      <c r="AC7">
        <v>113</v>
      </c>
      <c r="AD7">
        <v>0.31603999999999999</v>
      </c>
      <c r="AE7">
        <v>419</v>
      </c>
      <c r="AF7">
        <v>2486</v>
      </c>
      <c r="AG7">
        <v>156.19999999999999</v>
      </c>
      <c r="AH7">
        <v>166.5</v>
      </c>
      <c r="AK7" t="s">
        <v>163</v>
      </c>
      <c r="AV7">
        <v>925</v>
      </c>
    </row>
    <row r="8" spans="1:52" x14ac:dyDescent="0.2">
      <c r="A8" t="s">
        <v>108</v>
      </c>
      <c r="B8">
        <v>141</v>
      </c>
      <c r="C8">
        <v>91</v>
      </c>
      <c r="E8" t="s">
        <v>60</v>
      </c>
      <c r="F8">
        <v>23016</v>
      </c>
      <c r="G8">
        <v>12682</v>
      </c>
      <c r="H8">
        <v>16223</v>
      </c>
      <c r="I8">
        <v>11832</v>
      </c>
      <c r="J8">
        <v>1727</v>
      </c>
      <c r="K8">
        <v>1190</v>
      </c>
      <c r="L8">
        <v>6798</v>
      </c>
      <c r="M8">
        <v>5591</v>
      </c>
      <c r="N8">
        <v>2</v>
      </c>
      <c r="O8">
        <v>212</v>
      </c>
      <c r="P8">
        <v>330.6</v>
      </c>
      <c r="Q8">
        <v>12098</v>
      </c>
      <c r="T8" t="s">
        <v>48</v>
      </c>
      <c r="U8">
        <v>5273</v>
      </c>
      <c r="V8">
        <v>171.3</v>
      </c>
      <c r="W8">
        <v>0.55225000000000002</v>
      </c>
      <c r="X8">
        <v>735</v>
      </c>
      <c r="Y8">
        <v>4071</v>
      </c>
      <c r="Z8">
        <v>217.6</v>
      </c>
      <c r="AA8">
        <v>245.3</v>
      </c>
      <c r="AB8">
        <v>3752</v>
      </c>
      <c r="AC8">
        <v>161.1</v>
      </c>
      <c r="AD8">
        <v>0.504</v>
      </c>
      <c r="AE8">
        <v>567</v>
      </c>
      <c r="AF8">
        <v>3395</v>
      </c>
      <c r="AG8">
        <v>201.6</v>
      </c>
      <c r="AH8">
        <v>241.6</v>
      </c>
      <c r="AK8" t="s">
        <v>164</v>
      </c>
      <c r="AV8">
        <v>2575</v>
      </c>
    </row>
    <row r="9" spans="1:52" x14ac:dyDescent="0.2">
      <c r="A9" t="s">
        <v>466</v>
      </c>
      <c r="B9">
        <v>1</v>
      </c>
      <c r="C9">
        <v>1</v>
      </c>
      <c r="E9" t="s">
        <v>64</v>
      </c>
      <c r="F9">
        <v>1951</v>
      </c>
      <c r="G9">
        <v>370</v>
      </c>
      <c r="H9">
        <v>4134</v>
      </c>
      <c r="I9">
        <v>1220</v>
      </c>
      <c r="J9">
        <v>614</v>
      </c>
      <c r="K9">
        <v>449</v>
      </c>
      <c r="L9">
        <v>1292</v>
      </c>
      <c r="M9">
        <v>604</v>
      </c>
      <c r="N9">
        <v>0</v>
      </c>
      <c r="O9">
        <v>11</v>
      </c>
      <c r="P9">
        <v>128.4</v>
      </c>
      <c r="Q9">
        <v>2112</v>
      </c>
      <c r="T9" t="s">
        <v>33</v>
      </c>
      <c r="U9">
        <v>5946</v>
      </c>
      <c r="V9">
        <v>149</v>
      </c>
      <c r="W9">
        <v>0.51463000000000003</v>
      </c>
      <c r="X9">
        <v>731</v>
      </c>
      <c r="Y9">
        <v>4524</v>
      </c>
      <c r="Z9">
        <v>231.1</v>
      </c>
      <c r="AA9">
        <v>237.4</v>
      </c>
      <c r="AB9">
        <v>4843</v>
      </c>
      <c r="AC9">
        <v>148.4</v>
      </c>
      <c r="AD9">
        <v>0.49370000000000003</v>
      </c>
      <c r="AE9">
        <v>691</v>
      </c>
      <c r="AF9">
        <v>4325</v>
      </c>
      <c r="AG9">
        <v>230.9</v>
      </c>
      <c r="AH9">
        <v>236.7</v>
      </c>
      <c r="AK9" t="s">
        <v>115</v>
      </c>
      <c r="AV9">
        <v>3728</v>
      </c>
    </row>
    <row r="10" spans="1:52" x14ac:dyDescent="0.2">
      <c r="A10" t="s">
        <v>113</v>
      </c>
      <c r="B10">
        <v>280</v>
      </c>
      <c r="C10">
        <v>191</v>
      </c>
      <c r="E10" t="s">
        <v>95</v>
      </c>
      <c r="F10">
        <v>3188</v>
      </c>
      <c r="G10">
        <v>1276</v>
      </c>
      <c r="H10">
        <v>2482</v>
      </c>
      <c r="I10">
        <v>1260</v>
      </c>
      <c r="J10">
        <v>136</v>
      </c>
      <c r="K10">
        <v>63</v>
      </c>
      <c r="L10">
        <v>2088</v>
      </c>
      <c r="M10">
        <v>429</v>
      </c>
      <c r="N10">
        <v>0</v>
      </c>
      <c r="O10">
        <v>15</v>
      </c>
      <c r="P10">
        <v>178.3</v>
      </c>
      <c r="Q10">
        <v>1464</v>
      </c>
      <c r="T10" t="s">
        <v>151</v>
      </c>
      <c r="U10">
        <v>111159</v>
      </c>
      <c r="V10">
        <v>143.9</v>
      </c>
      <c r="W10">
        <v>0.46084999999999998</v>
      </c>
      <c r="X10">
        <v>16767</v>
      </c>
      <c r="Y10">
        <v>98616</v>
      </c>
      <c r="Z10">
        <v>193.8</v>
      </c>
      <c r="AA10">
        <v>197.9</v>
      </c>
      <c r="AB10">
        <v>117583</v>
      </c>
      <c r="AC10">
        <v>147.5</v>
      </c>
      <c r="AD10">
        <v>0.47436</v>
      </c>
      <c r="AE10">
        <v>18246</v>
      </c>
      <c r="AF10">
        <v>107976</v>
      </c>
      <c r="AG10">
        <v>198.2</v>
      </c>
      <c r="AH10">
        <v>205.1</v>
      </c>
      <c r="AK10" t="s">
        <v>165</v>
      </c>
      <c r="AV10">
        <v>2851</v>
      </c>
    </row>
    <row r="11" spans="1:52" x14ac:dyDescent="0.2">
      <c r="A11" t="s">
        <v>140</v>
      </c>
      <c r="B11">
        <v>516</v>
      </c>
      <c r="C11">
        <v>245</v>
      </c>
      <c r="E11" t="s">
        <v>36</v>
      </c>
      <c r="F11">
        <v>9092</v>
      </c>
      <c r="G11">
        <v>3570</v>
      </c>
      <c r="H11">
        <v>7490</v>
      </c>
      <c r="I11">
        <v>2666</v>
      </c>
      <c r="J11">
        <v>1243</v>
      </c>
      <c r="K11">
        <v>579</v>
      </c>
      <c r="L11">
        <v>1014</v>
      </c>
      <c r="M11">
        <v>379</v>
      </c>
      <c r="N11">
        <v>0</v>
      </c>
      <c r="O11">
        <v>77</v>
      </c>
      <c r="P11">
        <v>233.9</v>
      </c>
      <c r="Q11">
        <v>4168</v>
      </c>
      <c r="T11" t="s">
        <v>49</v>
      </c>
      <c r="U11">
        <v>987</v>
      </c>
      <c r="V11">
        <v>94.6</v>
      </c>
      <c r="W11">
        <v>0.21581</v>
      </c>
      <c r="X11">
        <v>149</v>
      </c>
      <c r="Y11">
        <v>1088</v>
      </c>
      <c r="Z11">
        <v>143.69999999999999</v>
      </c>
      <c r="AA11">
        <v>148.5</v>
      </c>
      <c r="AB11">
        <v>1465</v>
      </c>
      <c r="AC11">
        <v>101.3</v>
      </c>
      <c r="AD11">
        <v>0.27986</v>
      </c>
      <c r="AE11">
        <v>187</v>
      </c>
      <c r="AF11">
        <v>1304</v>
      </c>
      <c r="AG11">
        <v>152</v>
      </c>
      <c r="AH11">
        <v>168.5</v>
      </c>
      <c r="AK11" t="s">
        <v>166</v>
      </c>
      <c r="AV11">
        <v>4898</v>
      </c>
    </row>
    <row r="12" spans="1:52" x14ac:dyDescent="0.2">
      <c r="A12" t="s">
        <v>130</v>
      </c>
      <c r="B12">
        <v>6148</v>
      </c>
      <c r="C12">
        <v>351</v>
      </c>
      <c r="E12" t="s">
        <v>90</v>
      </c>
      <c r="F12">
        <v>11071</v>
      </c>
      <c r="G12">
        <v>3171</v>
      </c>
      <c r="H12">
        <v>4728</v>
      </c>
      <c r="I12">
        <v>1868</v>
      </c>
      <c r="J12">
        <v>536</v>
      </c>
      <c r="K12">
        <v>318</v>
      </c>
      <c r="L12">
        <v>2151</v>
      </c>
      <c r="M12">
        <v>1100</v>
      </c>
      <c r="N12">
        <v>4</v>
      </c>
      <c r="O12">
        <v>0</v>
      </c>
      <c r="P12">
        <v>178.7</v>
      </c>
      <c r="Q12">
        <v>1834</v>
      </c>
      <c r="T12" t="s">
        <v>50</v>
      </c>
      <c r="U12">
        <v>11133</v>
      </c>
      <c r="V12">
        <v>175.2</v>
      </c>
      <c r="W12">
        <v>0.57406000000000001</v>
      </c>
      <c r="X12">
        <v>1460</v>
      </c>
      <c r="Y12">
        <v>8555</v>
      </c>
      <c r="Z12">
        <v>231.8</v>
      </c>
      <c r="AA12">
        <v>254.2</v>
      </c>
      <c r="AB12">
        <v>7447</v>
      </c>
      <c r="AC12">
        <v>188.8</v>
      </c>
      <c r="AD12">
        <v>0.61931000000000003</v>
      </c>
      <c r="AE12">
        <v>914</v>
      </c>
      <c r="AF12">
        <v>6350</v>
      </c>
      <c r="AG12">
        <v>265.10000000000002</v>
      </c>
      <c r="AH12">
        <v>276.5</v>
      </c>
      <c r="AK12" t="s">
        <v>175</v>
      </c>
      <c r="AV12">
        <v>12758</v>
      </c>
    </row>
    <row r="13" spans="1:52" x14ac:dyDescent="0.2">
      <c r="A13" t="s">
        <v>148</v>
      </c>
      <c r="B13">
        <v>596</v>
      </c>
      <c r="C13">
        <v>27</v>
      </c>
      <c r="E13" t="s">
        <v>70</v>
      </c>
      <c r="F13">
        <v>6569</v>
      </c>
      <c r="G13">
        <v>1994</v>
      </c>
      <c r="H13">
        <v>7006</v>
      </c>
      <c r="I13">
        <v>3424</v>
      </c>
      <c r="J13">
        <v>326</v>
      </c>
      <c r="K13">
        <v>197</v>
      </c>
      <c r="L13">
        <v>896</v>
      </c>
      <c r="M13">
        <v>436</v>
      </c>
      <c r="N13">
        <v>2284</v>
      </c>
      <c r="O13">
        <v>0</v>
      </c>
      <c r="P13">
        <v>207.3</v>
      </c>
      <c r="Q13">
        <v>3904</v>
      </c>
      <c r="T13" t="s">
        <v>51</v>
      </c>
      <c r="U13">
        <v>9293</v>
      </c>
      <c r="V13">
        <v>130</v>
      </c>
      <c r="W13">
        <v>0.38039000000000001</v>
      </c>
      <c r="X13">
        <v>1862</v>
      </c>
      <c r="Y13">
        <v>12088</v>
      </c>
      <c r="Z13">
        <v>174.5</v>
      </c>
      <c r="AA13">
        <v>176.1</v>
      </c>
      <c r="AB13">
        <v>14024</v>
      </c>
      <c r="AC13">
        <v>153.4</v>
      </c>
      <c r="AD13">
        <v>0.49380000000000002</v>
      </c>
      <c r="AE13">
        <v>2273</v>
      </c>
      <c r="AF13">
        <v>13377</v>
      </c>
      <c r="AG13">
        <v>182.2</v>
      </c>
      <c r="AH13">
        <v>181.1</v>
      </c>
      <c r="AK13" t="s">
        <v>176</v>
      </c>
      <c r="AV13">
        <v>7364</v>
      </c>
    </row>
    <row r="14" spans="1:52" x14ac:dyDescent="0.2">
      <c r="A14" t="s">
        <v>137</v>
      </c>
      <c r="B14">
        <v>5</v>
      </c>
      <c r="C14">
        <v>3</v>
      </c>
      <c r="E14" t="s">
        <v>89</v>
      </c>
      <c r="F14">
        <v>8221</v>
      </c>
      <c r="G14">
        <v>3884</v>
      </c>
      <c r="H14">
        <v>8268</v>
      </c>
      <c r="I14">
        <v>5869</v>
      </c>
      <c r="J14">
        <v>2849</v>
      </c>
      <c r="K14">
        <v>2678</v>
      </c>
      <c r="L14">
        <v>5373</v>
      </c>
      <c r="M14">
        <v>3512</v>
      </c>
      <c r="N14">
        <v>46</v>
      </c>
      <c r="O14">
        <v>214</v>
      </c>
      <c r="P14">
        <v>309</v>
      </c>
      <c r="Q14">
        <v>5053</v>
      </c>
      <c r="T14" t="s">
        <v>52</v>
      </c>
      <c r="U14">
        <v>12130</v>
      </c>
      <c r="V14">
        <v>144.9</v>
      </c>
      <c r="W14">
        <v>0.48021000000000003</v>
      </c>
      <c r="X14">
        <v>2157</v>
      </c>
      <c r="Y14">
        <v>13101</v>
      </c>
      <c r="Z14">
        <v>209.6</v>
      </c>
      <c r="AA14">
        <v>216.3</v>
      </c>
      <c r="AB14">
        <v>12671</v>
      </c>
      <c r="AC14">
        <v>133.9</v>
      </c>
      <c r="AD14">
        <v>0.43075000000000002</v>
      </c>
      <c r="AE14">
        <v>1924</v>
      </c>
      <c r="AF14">
        <v>11614</v>
      </c>
      <c r="AG14">
        <v>210.9</v>
      </c>
      <c r="AH14">
        <v>215.3</v>
      </c>
      <c r="AK14" t="s">
        <v>179</v>
      </c>
      <c r="AV14">
        <v>6034</v>
      </c>
    </row>
    <row r="15" spans="1:52" x14ac:dyDescent="0.2">
      <c r="A15" t="s">
        <v>467</v>
      </c>
      <c r="B15">
        <v>1</v>
      </c>
      <c r="E15" t="s">
        <v>54</v>
      </c>
      <c r="F15">
        <v>2663</v>
      </c>
      <c r="G15">
        <v>671</v>
      </c>
      <c r="H15">
        <v>2326</v>
      </c>
      <c r="I15">
        <v>940</v>
      </c>
      <c r="J15">
        <v>300</v>
      </c>
      <c r="K15">
        <v>136</v>
      </c>
      <c r="L15">
        <v>5127</v>
      </c>
      <c r="M15">
        <v>1154</v>
      </c>
      <c r="N15">
        <v>0</v>
      </c>
      <c r="O15">
        <v>20</v>
      </c>
      <c r="P15">
        <v>142.69999999999999</v>
      </c>
      <c r="Q15">
        <v>1499</v>
      </c>
      <c r="T15" t="s">
        <v>53</v>
      </c>
      <c r="U15">
        <v>9335</v>
      </c>
      <c r="V15">
        <v>149.4</v>
      </c>
      <c r="W15">
        <v>0.48881000000000002</v>
      </c>
      <c r="X15">
        <v>1237</v>
      </c>
      <c r="Y15">
        <v>7187</v>
      </c>
      <c r="Z15">
        <v>216.9</v>
      </c>
      <c r="AA15">
        <v>228.9</v>
      </c>
      <c r="AB15">
        <v>8501</v>
      </c>
      <c r="AC15">
        <v>155.1</v>
      </c>
      <c r="AD15">
        <v>0.51100000000000001</v>
      </c>
      <c r="AE15">
        <v>1202</v>
      </c>
      <c r="AF15">
        <v>7487</v>
      </c>
      <c r="AG15">
        <v>218.1</v>
      </c>
      <c r="AH15">
        <v>233.7</v>
      </c>
      <c r="AK15" t="s">
        <v>412</v>
      </c>
      <c r="AV15">
        <v>1459</v>
      </c>
    </row>
    <row r="16" spans="1:52" x14ac:dyDescent="0.2">
      <c r="A16" t="s">
        <v>138</v>
      </c>
      <c r="B16">
        <v>347</v>
      </c>
      <c r="C16">
        <v>100</v>
      </c>
      <c r="E16" t="s">
        <v>65</v>
      </c>
      <c r="F16">
        <v>4527</v>
      </c>
      <c r="G16">
        <v>1799</v>
      </c>
      <c r="H16">
        <v>7394</v>
      </c>
      <c r="I16">
        <v>3522</v>
      </c>
      <c r="J16">
        <v>2779</v>
      </c>
      <c r="K16">
        <v>2619</v>
      </c>
      <c r="L16">
        <v>26734</v>
      </c>
      <c r="M16">
        <v>5335</v>
      </c>
      <c r="N16">
        <v>1</v>
      </c>
      <c r="O16">
        <v>155</v>
      </c>
      <c r="P16">
        <v>338.7</v>
      </c>
      <c r="Q16">
        <v>4131</v>
      </c>
      <c r="T16" t="s">
        <v>54</v>
      </c>
      <c r="U16">
        <v>2731</v>
      </c>
      <c r="V16">
        <v>100.5</v>
      </c>
      <c r="W16">
        <v>0.24936</v>
      </c>
      <c r="X16">
        <v>395</v>
      </c>
      <c r="Y16">
        <v>3338</v>
      </c>
      <c r="Z16">
        <v>184</v>
      </c>
      <c r="AA16">
        <v>161.30000000000001</v>
      </c>
      <c r="AB16">
        <v>4857</v>
      </c>
      <c r="AC16">
        <v>135.4</v>
      </c>
      <c r="AD16">
        <v>0.40786</v>
      </c>
      <c r="AE16">
        <v>592</v>
      </c>
      <c r="AF16">
        <v>4240</v>
      </c>
      <c r="AG16">
        <v>214.2</v>
      </c>
      <c r="AH16">
        <v>182.3</v>
      </c>
      <c r="AK16" t="s">
        <v>201</v>
      </c>
      <c r="AV16">
        <v>746</v>
      </c>
    </row>
    <row r="17" spans="1:48" x14ac:dyDescent="0.2">
      <c r="A17" t="s">
        <v>110</v>
      </c>
      <c r="B17">
        <v>29</v>
      </c>
      <c r="C17">
        <v>28</v>
      </c>
      <c r="E17" t="s">
        <v>73</v>
      </c>
      <c r="F17">
        <v>8011</v>
      </c>
      <c r="G17">
        <v>3986</v>
      </c>
      <c r="H17">
        <v>7380</v>
      </c>
      <c r="I17">
        <v>5636</v>
      </c>
      <c r="J17">
        <v>714</v>
      </c>
      <c r="K17">
        <v>398</v>
      </c>
      <c r="L17">
        <v>1722</v>
      </c>
      <c r="M17">
        <v>690</v>
      </c>
      <c r="N17">
        <v>3</v>
      </c>
      <c r="O17">
        <v>303</v>
      </c>
      <c r="P17">
        <v>451</v>
      </c>
      <c r="Q17">
        <v>6353</v>
      </c>
      <c r="T17" t="s">
        <v>55</v>
      </c>
      <c r="U17">
        <v>9124</v>
      </c>
      <c r="V17">
        <v>127.9</v>
      </c>
      <c r="W17">
        <v>0.41615999999999997</v>
      </c>
      <c r="X17">
        <v>1571</v>
      </c>
      <c r="Y17">
        <v>9737</v>
      </c>
      <c r="Z17">
        <v>184.6</v>
      </c>
      <c r="AA17">
        <v>187</v>
      </c>
      <c r="AB17">
        <v>10046</v>
      </c>
      <c r="AC17">
        <v>130.19999999999999</v>
      </c>
      <c r="AD17">
        <v>0.42354999999999998</v>
      </c>
      <c r="AE17">
        <v>1691</v>
      </c>
      <c r="AF17">
        <v>10372</v>
      </c>
      <c r="AG17">
        <v>186.5</v>
      </c>
      <c r="AH17">
        <v>186.7</v>
      </c>
      <c r="AK17" t="s">
        <v>203</v>
      </c>
      <c r="AV17">
        <v>347</v>
      </c>
    </row>
    <row r="18" spans="1:48" x14ac:dyDescent="0.2">
      <c r="A18" t="s">
        <v>142</v>
      </c>
      <c r="B18">
        <v>41</v>
      </c>
      <c r="C18">
        <v>21</v>
      </c>
      <c r="E18" t="s">
        <v>88</v>
      </c>
      <c r="F18">
        <v>1049</v>
      </c>
      <c r="G18">
        <v>301</v>
      </c>
      <c r="H18">
        <v>465</v>
      </c>
      <c r="I18">
        <v>66</v>
      </c>
      <c r="J18">
        <v>289</v>
      </c>
      <c r="K18">
        <v>107</v>
      </c>
      <c r="L18">
        <v>54</v>
      </c>
      <c r="M18">
        <v>34</v>
      </c>
      <c r="N18">
        <v>0</v>
      </c>
      <c r="O18">
        <v>2</v>
      </c>
      <c r="P18">
        <v>77.2</v>
      </c>
      <c r="Q18">
        <v>267</v>
      </c>
      <c r="T18" t="s">
        <v>149</v>
      </c>
      <c r="U18">
        <v>85767</v>
      </c>
      <c r="V18">
        <v>152.80000000000001</v>
      </c>
      <c r="W18">
        <v>0.49203000000000002</v>
      </c>
      <c r="X18">
        <v>13731</v>
      </c>
      <c r="Y18">
        <v>84918</v>
      </c>
      <c r="Z18">
        <v>199.5</v>
      </c>
      <c r="AA18">
        <v>200.8</v>
      </c>
      <c r="AB18">
        <v>88904</v>
      </c>
      <c r="AC18">
        <v>152.80000000000001</v>
      </c>
      <c r="AD18">
        <v>0.49220999999999998</v>
      </c>
      <c r="AE18">
        <v>14496</v>
      </c>
      <c r="AF18">
        <v>88015</v>
      </c>
      <c r="AG18">
        <v>197.9</v>
      </c>
      <c r="AH18">
        <v>199.3</v>
      </c>
      <c r="AK18" t="s">
        <v>413</v>
      </c>
      <c r="AV18">
        <v>17</v>
      </c>
    </row>
    <row r="19" spans="1:48" x14ac:dyDescent="0.2">
      <c r="A19" t="s">
        <v>135</v>
      </c>
      <c r="B19">
        <v>18359</v>
      </c>
      <c r="C19">
        <v>1177</v>
      </c>
      <c r="E19" t="s">
        <v>151</v>
      </c>
      <c r="F19">
        <v>114069</v>
      </c>
      <c r="G19">
        <v>51371</v>
      </c>
      <c r="H19">
        <v>92769</v>
      </c>
      <c r="I19">
        <v>55497</v>
      </c>
      <c r="J19">
        <v>14440</v>
      </c>
      <c r="K19">
        <v>11263</v>
      </c>
      <c r="L19">
        <v>63050</v>
      </c>
      <c r="M19">
        <v>25283</v>
      </c>
      <c r="N19">
        <v>2351</v>
      </c>
      <c r="O19">
        <v>1537</v>
      </c>
      <c r="P19">
        <v>318.3</v>
      </c>
      <c r="Q19">
        <v>64070</v>
      </c>
      <c r="T19" t="s">
        <v>56</v>
      </c>
      <c r="U19">
        <v>1096</v>
      </c>
      <c r="V19">
        <v>112.6</v>
      </c>
      <c r="W19">
        <v>0.35400999999999999</v>
      </c>
      <c r="X19">
        <v>209</v>
      </c>
      <c r="Y19">
        <v>1248</v>
      </c>
      <c r="Z19">
        <v>140</v>
      </c>
      <c r="AA19">
        <v>143.5</v>
      </c>
      <c r="AB19">
        <v>1575</v>
      </c>
      <c r="AC19">
        <v>119.4</v>
      </c>
      <c r="AD19">
        <v>0.37269999999999998</v>
      </c>
      <c r="AE19">
        <v>267</v>
      </c>
      <c r="AF19">
        <v>1518</v>
      </c>
      <c r="AG19">
        <v>147.69999999999999</v>
      </c>
      <c r="AH19">
        <v>161.9</v>
      </c>
      <c r="AK19" t="s">
        <v>105</v>
      </c>
      <c r="AV19">
        <v>130</v>
      </c>
    </row>
    <row r="20" spans="1:48" x14ac:dyDescent="0.2">
      <c r="A20" t="s">
        <v>468</v>
      </c>
      <c r="B20">
        <v>1</v>
      </c>
      <c r="E20" t="s">
        <v>92</v>
      </c>
      <c r="F20">
        <v>1197</v>
      </c>
      <c r="G20">
        <v>357</v>
      </c>
      <c r="H20">
        <v>1835</v>
      </c>
      <c r="I20">
        <v>1020</v>
      </c>
      <c r="J20">
        <v>610</v>
      </c>
      <c r="K20">
        <v>430</v>
      </c>
      <c r="L20">
        <v>4978</v>
      </c>
      <c r="M20">
        <v>1039</v>
      </c>
      <c r="N20">
        <v>0</v>
      </c>
      <c r="O20">
        <v>0</v>
      </c>
      <c r="P20">
        <v>235.9</v>
      </c>
      <c r="Q20">
        <v>1192</v>
      </c>
      <c r="T20" t="s">
        <v>205</v>
      </c>
      <c r="U20">
        <v>756</v>
      </c>
      <c r="V20">
        <v>72.5</v>
      </c>
      <c r="W20">
        <v>0.13228000000000001</v>
      </c>
      <c r="X20">
        <v>172</v>
      </c>
      <c r="Y20">
        <v>1493</v>
      </c>
      <c r="Z20">
        <v>99.8</v>
      </c>
      <c r="AA20">
        <v>106</v>
      </c>
      <c r="AB20">
        <v>2449</v>
      </c>
      <c r="AC20">
        <v>121.2</v>
      </c>
      <c r="AD20">
        <v>0.42220999999999997</v>
      </c>
      <c r="AE20">
        <v>274</v>
      </c>
      <c r="AF20">
        <v>2196</v>
      </c>
      <c r="AG20">
        <v>128.19999999999999</v>
      </c>
      <c r="AH20">
        <v>144.6</v>
      </c>
      <c r="AK20" t="s">
        <v>212</v>
      </c>
      <c r="AV20">
        <v>239</v>
      </c>
    </row>
    <row r="21" spans="1:48" x14ac:dyDescent="0.2">
      <c r="A21" t="s">
        <v>123</v>
      </c>
      <c r="B21">
        <v>55</v>
      </c>
      <c r="C21">
        <v>45</v>
      </c>
      <c r="E21" t="s">
        <v>48</v>
      </c>
      <c r="F21">
        <v>5034</v>
      </c>
      <c r="G21">
        <v>2873</v>
      </c>
      <c r="H21">
        <v>6295</v>
      </c>
      <c r="I21">
        <v>4930</v>
      </c>
      <c r="J21">
        <v>2221</v>
      </c>
      <c r="K21">
        <v>1707</v>
      </c>
      <c r="L21">
        <v>970</v>
      </c>
      <c r="M21">
        <v>874</v>
      </c>
      <c r="N21">
        <v>1</v>
      </c>
      <c r="O21">
        <v>7</v>
      </c>
      <c r="P21">
        <v>495.9</v>
      </c>
      <c r="Q21">
        <v>4831</v>
      </c>
      <c r="T21" t="s">
        <v>58</v>
      </c>
      <c r="U21">
        <v>2190</v>
      </c>
      <c r="V21">
        <v>111.5</v>
      </c>
      <c r="W21">
        <v>0.34521000000000002</v>
      </c>
      <c r="X21">
        <v>298</v>
      </c>
      <c r="Y21">
        <v>2525</v>
      </c>
      <c r="Z21">
        <v>162.5</v>
      </c>
      <c r="AA21">
        <v>159.4</v>
      </c>
      <c r="AB21">
        <v>3507</v>
      </c>
      <c r="AC21">
        <v>136.9</v>
      </c>
      <c r="AD21">
        <v>0.44624999999999998</v>
      </c>
      <c r="AE21">
        <v>565</v>
      </c>
      <c r="AF21">
        <v>3457</v>
      </c>
      <c r="AG21">
        <v>199.9</v>
      </c>
      <c r="AH21">
        <v>175.5</v>
      </c>
      <c r="AK21" t="s">
        <v>414</v>
      </c>
      <c r="AV21">
        <v>2102</v>
      </c>
    </row>
    <row r="22" spans="1:48" x14ac:dyDescent="0.2">
      <c r="A22" t="s">
        <v>121</v>
      </c>
      <c r="B22">
        <v>72</v>
      </c>
      <c r="C22">
        <v>60</v>
      </c>
      <c r="E22" t="s">
        <v>75</v>
      </c>
      <c r="F22">
        <v>2930</v>
      </c>
      <c r="G22">
        <v>1226</v>
      </c>
      <c r="H22">
        <v>1251</v>
      </c>
      <c r="I22">
        <v>605</v>
      </c>
      <c r="J22">
        <v>112</v>
      </c>
      <c r="K22">
        <v>86</v>
      </c>
      <c r="L22">
        <v>1892</v>
      </c>
      <c r="M22">
        <v>576</v>
      </c>
      <c r="N22">
        <v>0</v>
      </c>
      <c r="O22">
        <v>4</v>
      </c>
      <c r="P22">
        <v>163.30000000000001</v>
      </c>
      <c r="Q22">
        <v>684</v>
      </c>
      <c r="T22" t="s">
        <v>59</v>
      </c>
      <c r="U22">
        <v>3452</v>
      </c>
      <c r="V22">
        <v>150.4</v>
      </c>
      <c r="W22">
        <v>0.51071999999999995</v>
      </c>
      <c r="X22">
        <v>480</v>
      </c>
      <c r="Y22">
        <v>2962</v>
      </c>
      <c r="Z22">
        <v>227.1</v>
      </c>
      <c r="AA22">
        <v>225.8</v>
      </c>
      <c r="AB22">
        <v>2841</v>
      </c>
      <c r="AC22">
        <v>141.5</v>
      </c>
      <c r="AD22">
        <v>0.46111000000000002</v>
      </c>
      <c r="AE22">
        <v>401</v>
      </c>
      <c r="AF22">
        <v>2572</v>
      </c>
      <c r="AG22">
        <v>220</v>
      </c>
      <c r="AH22">
        <v>222.2</v>
      </c>
      <c r="AK22" t="s">
        <v>415</v>
      </c>
      <c r="AV22">
        <v>55791</v>
      </c>
    </row>
    <row r="23" spans="1:48" x14ac:dyDescent="0.2">
      <c r="A23" t="s">
        <v>112</v>
      </c>
      <c r="B23">
        <v>101740</v>
      </c>
      <c r="C23">
        <v>49444</v>
      </c>
      <c r="E23" t="s">
        <v>33</v>
      </c>
      <c r="F23">
        <v>5973</v>
      </c>
      <c r="G23">
        <v>3039</v>
      </c>
      <c r="H23">
        <v>2604</v>
      </c>
      <c r="I23">
        <v>1302</v>
      </c>
      <c r="J23">
        <v>79</v>
      </c>
      <c r="K23">
        <v>40</v>
      </c>
      <c r="L23">
        <v>668</v>
      </c>
      <c r="M23">
        <v>485</v>
      </c>
      <c r="N23">
        <v>1</v>
      </c>
      <c r="O23">
        <v>6</v>
      </c>
      <c r="P23">
        <v>176.7</v>
      </c>
      <c r="Q23">
        <v>1784</v>
      </c>
      <c r="T23" t="s">
        <v>60</v>
      </c>
      <c r="U23">
        <v>23258</v>
      </c>
      <c r="V23">
        <v>171.8</v>
      </c>
      <c r="W23">
        <v>0.54712000000000005</v>
      </c>
      <c r="X23">
        <v>3188</v>
      </c>
      <c r="Y23">
        <v>18162</v>
      </c>
      <c r="Z23">
        <v>220.4</v>
      </c>
      <c r="AA23">
        <v>223.1</v>
      </c>
      <c r="AB23">
        <v>16853</v>
      </c>
      <c r="AC23">
        <v>177.3</v>
      </c>
      <c r="AD23">
        <v>0.54234000000000004</v>
      </c>
      <c r="AE23">
        <v>2203</v>
      </c>
      <c r="AF23">
        <v>14534</v>
      </c>
      <c r="AG23">
        <v>233.1</v>
      </c>
      <c r="AH23">
        <v>234.3</v>
      </c>
      <c r="AK23" t="s">
        <v>121</v>
      </c>
      <c r="AV23">
        <v>11518</v>
      </c>
    </row>
    <row r="24" spans="1:48" x14ac:dyDescent="0.2">
      <c r="A24" t="s">
        <v>28</v>
      </c>
      <c r="B24">
        <v>616</v>
      </c>
      <c r="C24">
        <v>465</v>
      </c>
      <c r="E24" t="s">
        <v>55</v>
      </c>
      <c r="F24">
        <v>8903</v>
      </c>
      <c r="G24">
        <v>3694</v>
      </c>
      <c r="H24">
        <v>5742</v>
      </c>
      <c r="I24">
        <v>3848</v>
      </c>
      <c r="J24">
        <v>992</v>
      </c>
      <c r="K24">
        <v>924</v>
      </c>
      <c r="L24">
        <v>3039</v>
      </c>
      <c r="M24">
        <v>889</v>
      </c>
      <c r="N24">
        <v>6</v>
      </c>
      <c r="O24">
        <v>171</v>
      </c>
      <c r="P24">
        <v>224</v>
      </c>
      <c r="Q24">
        <v>3617</v>
      </c>
      <c r="T24" t="s">
        <v>61</v>
      </c>
      <c r="U24">
        <v>2837</v>
      </c>
      <c r="V24">
        <v>95</v>
      </c>
      <c r="W24">
        <v>0.21184</v>
      </c>
      <c r="X24">
        <v>410</v>
      </c>
      <c r="Y24">
        <v>3686</v>
      </c>
      <c r="Z24">
        <v>154</v>
      </c>
      <c r="AA24">
        <v>154.9</v>
      </c>
      <c r="AB24">
        <v>6311</v>
      </c>
      <c r="AC24">
        <v>140</v>
      </c>
      <c r="AD24">
        <v>0.41214000000000001</v>
      </c>
      <c r="AE24">
        <v>1020</v>
      </c>
      <c r="AF24">
        <v>6421</v>
      </c>
      <c r="AG24">
        <v>171.4</v>
      </c>
      <c r="AH24">
        <v>170.1</v>
      </c>
      <c r="AK24" t="s">
        <v>167</v>
      </c>
      <c r="AV24">
        <v>2297</v>
      </c>
    </row>
    <row r="25" spans="1:48" x14ac:dyDescent="0.2">
      <c r="A25" t="s">
        <v>104</v>
      </c>
      <c r="B25">
        <v>114326</v>
      </c>
      <c r="C25">
        <v>56132</v>
      </c>
      <c r="E25" t="s">
        <v>58</v>
      </c>
      <c r="F25">
        <v>2068</v>
      </c>
      <c r="G25">
        <v>745</v>
      </c>
      <c r="H25">
        <v>2868</v>
      </c>
      <c r="I25">
        <v>1725</v>
      </c>
      <c r="J25">
        <v>219</v>
      </c>
      <c r="K25">
        <v>158</v>
      </c>
      <c r="L25">
        <v>1713</v>
      </c>
      <c r="M25">
        <v>660</v>
      </c>
      <c r="N25">
        <v>0</v>
      </c>
      <c r="O25">
        <v>5</v>
      </c>
      <c r="P25">
        <v>258.7</v>
      </c>
      <c r="Q25">
        <v>1608</v>
      </c>
      <c r="T25" t="s">
        <v>62</v>
      </c>
      <c r="U25">
        <v>9155</v>
      </c>
      <c r="V25">
        <v>163.4</v>
      </c>
      <c r="W25">
        <v>0.52758000000000005</v>
      </c>
      <c r="X25">
        <v>1122</v>
      </c>
      <c r="Y25">
        <v>6706</v>
      </c>
      <c r="Z25">
        <v>250.8</v>
      </c>
      <c r="AA25">
        <v>239.8</v>
      </c>
      <c r="AB25">
        <v>6759</v>
      </c>
      <c r="AC25">
        <v>162.80000000000001</v>
      </c>
      <c r="AD25">
        <v>0.52685000000000004</v>
      </c>
      <c r="AE25">
        <v>772</v>
      </c>
      <c r="AF25">
        <v>5560</v>
      </c>
      <c r="AG25">
        <v>263.8</v>
      </c>
      <c r="AH25">
        <v>244.5</v>
      </c>
      <c r="AK25" t="s">
        <v>168</v>
      </c>
      <c r="AV25">
        <v>14794</v>
      </c>
    </row>
    <row r="26" spans="1:48" x14ac:dyDescent="0.2">
      <c r="A26" t="s">
        <v>133</v>
      </c>
      <c r="B26">
        <v>20023</v>
      </c>
      <c r="C26">
        <v>1698</v>
      </c>
      <c r="E26" t="s">
        <v>74</v>
      </c>
      <c r="F26">
        <v>7310</v>
      </c>
      <c r="G26">
        <v>4089</v>
      </c>
      <c r="H26">
        <v>4841</v>
      </c>
      <c r="I26">
        <v>2931</v>
      </c>
      <c r="J26">
        <v>677</v>
      </c>
      <c r="K26">
        <v>373</v>
      </c>
      <c r="L26">
        <v>436</v>
      </c>
      <c r="M26">
        <v>363</v>
      </c>
      <c r="N26">
        <v>1</v>
      </c>
      <c r="O26">
        <v>11</v>
      </c>
      <c r="P26">
        <v>232.3</v>
      </c>
      <c r="Q26">
        <v>3350</v>
      </c>
      <c r="T26" t="s">
        <v>63</v>
      </c>
      <c r="U26">
        <v>6866</v>
      </c>
      <c r="V26">
        <v>195.7</v>
      </c>
      <c r="W26">
        <v>0.61084000000000005</v>
      </c>
      <c r="X26">
        <v>1106</v>
      </c>
      <c r="Y26">
        <v>5429</v>
      </c>
      <c r="Z26">
        <v>283.39999999999998</v>
      </c>
      <c r="AA26">
        <v>283.5</v>
      </c>
      <c r="AB26">
        <v>5471</v>
      </c>
      <c r="AC26">
        <v>192.2</v>
      </c>
      <c r="AD26">
        <v>0.59240000000000004</v>
      </c>
      <c r="AE26">
        <v>997</v>
      </c>
      <c r="AF26">
        <v>5267</v>
      </c>
      <c r="AG26">
        <v>291.89999999999998</v>
      </c>
      <c r="AH26">
        <v>286.7</v>
      </c>
      <c r="AK26" t="s">
        <v>169</v>
      </c>
      <c r="AV26">
        <v>26383</v>
      </c>
    </row>
    <row r="27" spans="1:48" x14ac:dyDescent="0.2">
      <c r="A27" t="s">
        <v>141</v>
      </c>
      <c r="B27">
        <v>262</v>
      </c>
      <c r="C27">
        <v>16</v>
      </c>
      <c r="E27" t="s">
        <v>46</v>
      </c>
      <c r="F27">
        <v>9231</v>
      </c>
      <c r="G27">
        <v>5529</v>
      </c>
      <c r="H27">
        <v>8806</v>
      </c>
      <c r="I27">
        <v>7539</v>
      </c>
      <c r="J27">
        <v>1100</v>
      </c>
      <c r="K27">
        <v>949</v>
      </c>
      <c r="L27">
        <v>8903</v>
      </c>
      <c r="M27">
        <v>5391</v>
      </c>
      <c r="N27">
        <v>32</v>
      </c>
      <c r="O27">
        <v>7</v>
      </c>
      <c r="P27">
        <v>558</v>
      </c>
      <c r="Q27">
        <v>7580</v>
      </c>
      <c r="T27" t="s">
        <v>64</v>
      </c>
      <c r="U27">
        <v>2030</v>
      </c>
      <c r="V27">
        <v>84.8</v>
      </c>
      <c r="W27">
        <v>0.18276000000000001</v>
      </c>
      <c r="X27">
        <v>313</v>
      </c>
      <c r="Y27">
        <v>2728</v>
      </c>
      <c r="Z27">
        <v>141.30000000000001</v>
      </c>
      <c r="AA27">
        <v>120.5</v>
      </c>
      <c r="AB27">
        <v>6582</v>
      </c>
      <c r="AC27">
        <v>138.9</v>
      </c>
      <c r="AD27">
        <v>0.42965999999999999</v>
      </c>
      <c r="AE27">
        <v>1102</v>
      </c>
      <c r="AF27">
        <v>6814</v>
      </c>
      <c r="AG27">
        <v>188</v>
      </c>
      <c r="AH27">
        <v>179.1</v>
      </c>
      <c r="AK27" t="s">
        <v>170</v>
      </c>
      <c r="AV27">
        <v>9173</v>
      </c>
    </row>
    <row r="28" spans="1:48" x14ac:dyDescent="0.2">
      <c r="A28" t="s">
        <v>109</v>
      </c>
      <c r="B28">
        <v>129</v>
      </c>
      <c r="C28">
        <v>117</v>
      </c>
      <c r="E28" t="s">
        <v>51</v>
      </c>
      <c r="F28">
        <v>9087</v>
      </c>
      <c r="G28">
        <v>3512</v>
      </c>
      <c r="H28">
        <v>11711</v>
      </c>
      <c r="I28">
        <v>9522</v>
      </c>
      <c r="J28">
        <v>1164</v>
      </c>
      <c r="K28">
        <v>1068</v>
      </c>
      <c r="L28">
        <v>12103</v>
      </c>
      <c r="M28">
        <v>6325</v>
      </c>
      <c r="N28">
        <v>15</v>
      </c>
      <c r="O28">
        <v>309</v>
      </c>
      <c r="P28">
        <v>635.29999999999995</v>
      </c>
      <c r="Q28">
        <v>9642</v>
      </c>
      <c r="T28" t="s">
        <v>65</v>
      </c>
      <c r="U28">
        <v>4691</v>
      </c>
      <c r="V28">
        <v>122</v>
      </c>
      <c r="W28">
        <v>0.38775999999999999</v>
      </c>
      <c r="X28">
        <v>847</v>
      </c>
      <c r="Y28">
        <v>5158</v>
      </c>
      <c r="Z28">
        <v>167.3</v>
      </c>
      <c r="AA28">
        <v>188</v>
      </c>
      <c r="AB28">
        <v>5790</v>
      </c>
      <c r="AC28">
        <v>132.1</v>
      </c>
      <c r="AD28">
        <v>0.42193000000000003</v>
      </c>
      <c r="AE28">
        <v>948</v>
      </c>
      <c r="AF28">
        <v>5475</v>
      </c>
      <c r="AG28">
        <v>169.9</v>
      </c>
      <c r="AH28">
        <v>190.3</v>
      </c>
      <c r="AK28" t="s">
        <v>171</v>
      </c>
      <c r="AV28">
        <v>9909</v>
      </c>
    </row>
    <row r="29" spans="1:48" x14ac:dyDescent="0.2">
      <c r="A29" t="s">
        <v>30</v>
      </c>
      <c r="B29">
        <v>290994</v>
      </c>
      <c r="C29">
        <v>137837</v>
      </c>
      <c r="E29" t="s">
        <v>68</v>
      </c>
      <c r="F29">
        <v>1443</v>
      </c>
      <c r="G29">
        <v>683</v>
      </c>
      <c r="H29">
        <v>2511</v>
      </c>
      <c r="I29">
        <v>1885</v>
      </c>
      <c r="J29">
        <v>925</v>
      </c>
      <c r="K29">
        <v>886</v>
      </c>
      <c r="L29">
        <v>223</v>
      </c>
      <c r="M29">
        <v>160</v>
      </c>
      <c r="N29">
        <v>0</v>
      </c>
      <c r="O29">
        <v>0</v>
      </c>
      <c r="P29">
        <v>386.4</v>
      </c>
      <c r="Q29">
        <v>2120</v>
      </c>
      <c r="T29" t="s">
        <v>66</v>
      </c>
      <c r="U29">
        <v>15970</v>
      </c>
      <c r="V29">
        <v>166.1</v>
      </c>
      <c r="W29">
        <v>0.58184000000000002</v>
      </c>
      <c r="X29">
        <v>1972</v>
      </c>
      <c r="Y29">
        <v>10866</v>
      </c>
      <c r="Z29">
        <v>235.7</v>
      </c>
      <c r="AA29">
        <v>254.5</v>
      </c>
      <c r="AB29">
        <v>10334</v>
      </c>
      <c r="AC29">
        <v>165.9</v>
      </c>
      <c r="AD29">
        <v>0.56289999999999996</v>
      </c>
      <c r="AE29">
        <v>1414</v>
      </c>
      <c r="AF29">
        <v>8523</v>
      </c>
      <c r="AG29">
        <v>255.5</v>
      </c>
      <c r="AH29">
        <v>266.7</v>
      </c>
      <c r="AK29" t="s">
        <v>107</v>
      </c>
      <c r="AV29">
        <v>5354</v>
      </c>
    </row>
    <row r="30" spans="1:48" x14ac:dyDescent="0.2">
      <c r="A30" t="s">
        <v>105</v>
      </c>
      <c r="B30">
        <v>6</v>
      </c>
      <c r="C30">
        <v>1</v>
      </c>
      <c r="E30" t="s">
        <v>79</v>
      </c>
      <c r="F30">
        <v>5625</v>
      </c>
      <c r="G30">
        <v>2840</v>
      </c>
      <c r="H30">
        <v>5733</v>
      </c>
      <c r="I30">
        <v>4621</v>
      </c>
      <c r="J30">
        <v>314</v>
      </c>
      <c r="K30">
        <v>231</v>
      </c>
      <c r="L30">
        <v>3421</v>
      </c>
      <c r="M30">
        <v>1592</v>
      </c>
      <c r="N30">
        <v>0</v>
      </c>
      <c r="O30">
        <v>3</v>
      </c>
      <c r="P30">
        <v>413.9</v>
      </c>
      <c r="Q30">
        <v>4328</v>
      </c>
      <c r="T30" t="s">
        <v>67</v>
      </c>
      <c r="U30">
        <v>8532</v>
      </c>
      <c r="V30">
        <v>200.6</v>
      </c>
      <c r="W30">
        <v>0.62248000000000003</v>
      </c>
      <c r="X30">
        <v>1015</v>
      </c>
      <c r="Y30">
        <v>7959</v>
      </c>
      <c r="Z30">
        <v>245.5</v>
      </c>
      <c r="AA30">
        <v>221.3</v>
      </c>
      <c r="AB30">
        <v>9313</v>
      </c>
      <c r="AC30">
        <v>198.8</v>
      </c>
      <c r="AD30">
        <v>0.61656</v>
      </c>
      <c r="AE30">
        <v>1046</v>
      </c>
      <c r="AF30">
        <v>8074</v>
      </c>
      <c r="AG30">
        <v>248.5</v>
      </c>
      <c r="AH30">
        <v>222.8</v>
      </c>
      <c r="AK30" t="s">
        <v>173</v>
      </c>
      <c r="AV30">
        <v>10436</v>
      </c>
    </row>
    <row r="31" spans="1:48" x14ac:dyDescent="0.2">
      <c r="A31" t="s">
        <v>118</v>
      </c>
      <c r="B31">
        <v>578</v>
      </c>
      <c r="C31">
        <v>537</v>
      </c>
      <c r="E31" t="s">
        <v>81</v>
      </c>
      <c r="F31">
        <v>2220</v>
      </c>
      <c r="G31">
        <v>597</v>
      </c>
      <c r="H31">
        <v>1861</v>
      </c>
      <c r="I31">
        <v>736</v>
      </c>
      <c r="J31">
        <v>488</v>
      </c>
      <c r="K31">
        <v>473</v>
      </c>
      <c r="L31">
        <v>411</v>
      </c>
      <c r="M31">
        <v>164</v>
      </c>
      <c r="N31">
        <v>0</v>
      </c>
      <c r="O31">
        <v>3</v>
      </c>
      <c r="P31">
        <v>160.5</v>
      </c>
      <c r="Q31">
        <v>731</v>
      </c>
      <c r="T31" t="s">
        <v>68</v>
      </c>
      <c r="U31">
        <v>1509</v>
      </c>
      <c r="V31">
        <v>134.80000000000001</v>
      </c>
      <c r="W31">
        <v>0.45461000000000001</v>
      </c>
      <c r="X31">
        <v>207</v>
      </c>
      <c r="Y31">
        <v>1433</v>
      </c>
      <c r="Z31">
        <v>195.1</v>
      </c>
      <c r="AA31">
        <v>193.1</v>
      </c>
      <c r="AB31">
        <v>1862</v>
      </c>
      <c r="AC31">
        <v>133.1</v>
      </c>
      <c r="AD31">
        <v>0.41567999999999999</v>
      </c>
      <c r="AE31">
        <v>238</v>
      </c>
      <c r="AF31">
        <v>1679</v>
      </c>
      <c r="AG31">
        <v>211.9</v>
      </c>
      <c r="AH31">
        <v>210.7</v>
      </c>
      <c r="AK31" t="s">
        <v>174</v>
      </c>
      <c r="AV31">
        <v>4007</v>
      </c>
    </row>
    <row r="32" spans="1:48" x14ac:dyDescent="0.2">
      <c r="A32" t="s">
        <v>111</v>
      </c>
      <c r="B32">
        <v>533</v>
      </c>
      <c r="C32">
        <v>511</v>
      </c>
      <c r="E32" t="s">
        <v>96</v>
      </c>
      <c r="F32">
        <v>1276</v>
      </c>
      <c r="G32">
        <v>688</v>
      </c>
      <c r="H32">
        <v>651</v>
      </c>
      <c r="I32">
        <v>505</v>
      </c>
      <c r="J32">
        <v>11</v>
      </c>
      <c r="K32">
        <v>8</v>
      </c>
      <c r="L32">
        <v>545</v>
      </c>
      <c r="M32">
        <v>171</v>
      </c>
      <c r="N32">
        <v>0</v>
      </c>
      <c r="O32">
        <v>0</v>
      </c>
      <c r="P32">
        <v>453</v>
      </c>
      <c r="Q32">
        <v>569</v>
      </c>
      <c r="T32" t="s">
        <v>69</v>
      </c>
      <c r="U32">
        <v>1377</v>
      </c>
      <c r="V32">
        <v>142.5</v>
      </c>
      <c r="W32">
        <v>0.46478000000000003</v>
      </c>
      <c r="X32">
        <v>248</v>
      </c>
      <c r="Y32">
        <v>1503</v>
      </c>
      <c r="Z32">
        <v>162.4</v>
      </c>
      <c r="AA32">
        <v>173.3</v>
      </c>
      <c r="AB32">
        <v>2732</v>
      </c>
      <c r="AC32">
        <v>172.3</v>
      </c>
      <c r="AD32">
        <v>0.55306999999999995</v>
      </c>
      <c r="AE32">
        <v>474</v>
      </c>
      <c r="AF32">
        <v>2738</v>
      </c>
      <c r="AG32">
        <v>217.2</v>
      </c>
      <c r="AH32">
        <v>226.7</v>
      </c>
      <c r="AK32" t="s">
        <v>177</v>
      </c>
      <c r="AV32">
        <v>4273</v>
      </c>
    </row>
    <row r="33" spans="1:48" x14ac:dyDescent="0.2">
      <c r="A33" t="s">
        <v>134</v>
      </c>
      <c r="B33">
        <v>4673</v>
      </c>
      <c r="C33">
        <v>1871</v>
      </c>
      <c r="E33" t="s">
        <v>62</v>
      </c>
      <c r="F33">
        <v>8994</v>
      </c>
      <c r="G33">
        <v>4776</v>
      </c>
      <c r="H33">
        <v>12194</v>
      </c>
      <c r="I33">
        <v>7207</v>
      </c>
      <c r="J33">
        <v>1475</v>
      </c>
      <c r="K33">
        <v>1222</v>
      </c>
      <c r="L33">
        <v>1779</v>
      </c>
      <c r="M33">
        <v>1281</v>
      </c>
      <c r="N33">
        <v>3</v>
      </c>
      <c r="O33">
        <v>201</v>
      </c>
      <c r="P33">
        <v>453.4</v>
      </c>
      <c r="Q33">
        <v>8219</v>
      </c>
      <c r="T33" t="s">
        <v>242</v>
      </c>
      <c r="U33">
        <v>4943</v>
      </c>
      <c r="V33">
        <v>120.3</v>
      </c>
      <c r="W33">
        <v>0.36070999999999998</v>
      </c>
      <c r="X33">
        <v>935</v>
      </c>
      <c r="Y33">
        <v>5466</v>
      </c>
      <c r="Z33">
        <v>158.80000000000001</v>
      </c>
      <c r="AA33">
        <v>172.2</v>
      </c>
      <c r="AB33">
        <v>6578</v>
      </c>
      <c r="AC33">
        <v>128.19999999999999</v>
      </c>
      <c r="AD33">
        <v>0.38477</v>
      </c>
      <c r="AE33">
        <v>1163</v>
      </c>
      <c r="AF33">
        <v>6346</v>
      </c>
      <c r="AG33">
        <v>162.6</v>
      </c>
      <c r="AH33">
        <v>179.5</v>
      </c>
      <c r="AK33" t="s">
        <v>198</v>
      </c>
      <c r="AV33">
        <v>5589</v>
      </c>
    </row>
    <row r="34" spans="1:48" x14ac:dyDescent="0.2">
      <c r="A34" t="s">
        <v>115</v>
      </c>
      <c r="B34">
        <v>15077</v>
      </c>
      <c r="C34">
        <v>4349</v>
      </c>
      <c r="E34" t="s">
        <v>77</v>
      </c>
      <c r="F34">
        <v>14268</v>
      </c>
      <c r="G34">
        <v>6598</v>
      </c>
      <c r="H34">
        <v>9751</v>
      </c>
      <c r="I34">
        <v>6834</v>
      </c>
      <c r="J34">
        <v>753</v>
      </c>
      <c r="K34">
        <v>373</v>
      </c>
      <c r="L34">
        <v>11257</v>
      </c>
      <c r="M34">
        <v>5884</v>
      </c>
      <c r="N34">
        <v>4449</v>
      </c>
      <c r="O34">
        <v>0</v>
      </c>
      <c r="P34">
        <v>442.8</v>
      </c>
      <c r="Q34">
        <v>7070</v>
      </c>
      <c r="T34" t="s">
        <v>243</v>
      </c>
      <c r="U34">
        <v>4756</v>
      </c>
      <c r="V34">
        <v>52.4</v>
      </c>
      <c r="W34">
        <v>8.5580000000000003E-2</v>
      </c>
      <c r="X34">
        <v>2670</v>
      </c>
      <c r="Y34">
        <v>16166</v>
      </c>
      <c r="Z34">
        <v>58.5</v>
      </c>
      <c r="AA34">
        <v>57.6</v>
      </c>
      <c r="AB34">
        <v>4763</v>
      </c>
      <c r="AC34">
        <v>52.6</v>
      </c>
      <c r="AD34">
        <v>8.6080000000000004E-2</v>
      </c>
      <c r="AE34">
        <v>2671</v>
      </c>
      <c r="AF34">
        <v>16183</v>
      </c>
      <c r="AG34">
        <v>58.6</v>
      </c>
      <c r="AH34">
        <v>57.9</v>
      </c>
      <c r="AK34" t="s">
        <v>416</v>
      </c>
      <c r="AV34">
        <v>59</v>
      </c>
    </row>
    <row r="35" spans="1:48" x14ac:dyDescent="0.2">
      <c r="A35" t="s">
        <v>143</v>
      </c>
      <c r="B35">
        <v>2266</v>
      </c>
      <c r="C35">
        <v>334</v>
      </c>
      <c r="E35" t="s">
        <v>155</v>
      </c>
      <c r="F35">
        <v>531</v>
      </c>
      <c r="G35">
        <v>281</v>
      </c>
      <c r="H35">
        <v>692</v>
      </c>
      <c r="I35">
        <v>529</v>
      </c>
      <c r="J35">
        <v>64</v>
      </c>
      <c r="K35">
        <v>56</v>
      </c>
      <c r="L35">
        <v>101</v>
      </c>
      <c r="M35">
        <v>81</v>
      </c>
      <c r="N35">
        <v>0</v>
      </c>
      <c r="O35">
        <v>0</v>
      </c>
      <c r="P35">
        <v>384.3</v>
      </c>
      <c r="Q35">
        <v>480</v>
      </c>
      <c r="T35" t="s">
        <v>71</v>
      </c>
      <c r="U35">
        <v>9473</v>
      </c>
      <c r="V35">
        <v>153.80000000000001</v>
      </c>
      <c r="W35">
        <v>0.5484</v>
      </c>
      <c r="X35">
        <v>1341</v>
      </c>
      <c r="Y35">
        <v>8495</v>
      </c>
      <c r="Z35">
        <v>218.1</v>
      </c>
      <c r="AA35">
        <v>218.1</v>
      </c>
      <c r="AB35">
        <v>10174</v>
      </c>
      <c r="AC35">
        <v>154.5</v>
      </c>
      <c r="AD35">
        <v>0.55249000000000004</v>
      </c>
      <c r="AE35">
        <v>1465</v>
      </c>
      <c r="AF35">
        <v>9005</v>
      </c>
      <c r="AG35">
        <v>216.7</v>
      </c>
      <c r="AH35">
        <v>214.2</v>
      </c>
      <c r="AK35" t="s">
        <v>415</v>
      </c>
      <c r="AV35">
        <v>103792</v>
      </c>
    </row>
    <row r="36" spans="1:48" x14ac:dyDescent="0.2">
      <c r="A36" t="s">
        <v>132</v>
      </c>
      <c r="B36">
        <v>9242</v>
      </c>
      <c r="C36">
        <v>1083</v>
      </c>
      <c r="E36" t="s">
        <v>149</v>
      </c>
      <c r="F36">
        <v>86090</v>
      </c>
      <c r="G36">
        <v>41527</v>
      </c>
      <c r="H36">
        <v>79346</v>
      </c>
      <c r="I36">
        <v>55739</v>
      </c>
      <c r="J36">
        <v>11204</v>
      </c>
      <c r="K36">
        <v>8984</v>
      </c>
      <c r="L36">
        <v>52439</v>
      </c>
      <c r="M36">
        <v>25935</v>
      </c>
      <c r="N36">
        <v>4508</v>
      </c>
      <c r="O36">
        <v>727</v>
      </c>
      <c r="P36">
        <v>441</v>
      </c>
      <c r="Q36">
        <v>57805</v>
      </c>
      <c r="T36" t="s">
        <v>36</v>
      </c>
      <c r="U36">
        <v>9190</v>
      </c>
      <c r="V36">
        <v>116.1</v>
      </c>
      <c r="W36">
        <v>0.38651000000000002</v>
      </c>
      <c r="X36">
        <v>1384</v>
      </c>
      <c r="Y36">
        <v>7742</v>
      </c>
      <c r="Z36">
        <v>180.2</v>
      </c>
      <c r="AA36">
        <v>173</v>
      </c>
      <c r="AB36">
        <v>13088</v>
      </c>
      <c r="AC36">
        <v>130.30000000000001</v>
      </c>
      <c r="AD36">
        <v>0.45905000000000001</v>
      </c>
      <c r="AE36">
        <v>2202</v>
      </c>
      <c r="AF36">
        <v>11032</v>
      </c>
      <c r="AG36">
        <v>188.6</v>
      </c>
      <c r="AH36">
        <v>193</v>
      </c>
      <c r="AK36" t="s">
        <v>172</v>
      </c>
      <c r="AV36">
        <v>5030</v>
      </c>
    </row>
    <row r="37" spans="1:48" x14ac:dyDescent="0.2">
      <c r="A37" t="s">
        <v>131</v>
      </c>
      <c r="B37">
        <v>4627</v>
      </c>
      <c r="C37">
        <v>324</v>
      </c>
      <c r="E37" t="s">
        <v>82</v>
      </c>
      <c r="F37">
        <v>6117</v>
      </c>
      <c r="G37">
        <v>3704</v>
      </c>
      <c r="H37">
        <v>4216</v>
      </c>
      <c r="I37">
        <v>3421</v>
      </c>
      <c r="J37">
        <v>379</v>
      </c>
      <c r="K37">
        <v>363</v>
      </c>
      <c r="L37">
        <v>3509</v>
      </c>
      <c r="M37">
        <v>1634</v>
      </c>
      <c r="N37">
        <v>1</v>
      </c>
      <c r="O37">
        <v>85</v>
      </c>
      <c r="P37">
        <v>462</v>
      </c>
      <c r="Q37">
        <v>3795</v>
      </c>
      <c r="T37" t="s">
        <v>72</v>
      </c>
      <c r="U37">
        <v>11162</v>
      </c>
      <c r="V37">
        <v>112.6</v>
      </c>
      <c r="W37">
        <v>0.31777</v>
      </c>
      <c r="X37">
        <v>1898</v>
      </c>
      <c r="Y37">
        <v>11799</v>
      </c>
      <c r="Z37">
        <v>151.69999999999999</v>
      </c>
      <c r="AA37">
        <v>168.2</v>
      </c>
      <c r="AB37">
        <v>14041</v>
      </c>
      <c r="AC37">
        <v>122.9</v>
      </c>
      <c r="AD37">
        <v>0.36308000000000001</v>
      </c>
      <c r="AE37">
        <v>2064</v>
      </c>
      <c r="AF37">
        <v>12919</v>
      </c>
      <c r="AG37">
        <v>158.80000000000001</v>
      </c>
      <c r="AH37">
        <v>174.6</v>
      </c>
      <c r="AK37" t="s">
        <v>178</v>
      </c>
      <c r="AV37">
        <v>6923</v>
      </c>
    </row>
    <row r="38" spans="1:48" x14ac:dyDescent="0.2">
      <c r="A38" t="s">
        <v>147</v>
      </c>
      <c r="B38">
        <v>50929</v>
      </c>
      <c r="C38">
        <v>43296</v>
      </c>
      <c r="E38" t="s">
        <v>47</v>
      </c>
      <c r="F38">
        <v>1422</v>
      </c>
      <c r="G38">
        <v>394</v>
      </c>
      <c r="H38">
        <v>949</v>
      </c>
      <c r="I38">
        <v>189</v>
      </c>
      <c r="J38">
        <v>269</v>
      </c>
      <c r="K38">
        <v>161</v>
      </c>
      <c r="L38">
        <v>291</v>
      </c>
      <c r="M38">
        <v>177</v>
      </c>
      <c r="N38">
        <v>0</v>
      </c>
      <c r="O38">
        <v>7</v>
      </c>
      <c r="P38">
        <v>117.5</v>
      </c>
      <c r="Q38">
        <v>554</v>
      </c>
      <c r="T38" t="s">
        <v>73</v>
      </c>
      <c r="U38">
        <v>8344</v>
      </c>
      <c r="V38">
        <v>134.5</v>
      </c>
      <c r="W38">
        <v>0.48035</v>
      </c>
      <c r="X38">
        <v>935</v>
      </c>
      <c r="Y38">
        <v>5355</v>
      </c>
      <c r="Z38">
        <v>184.3</v>
      </c>
      <c r="AA38">
        <v>207.2</v>
      </c>
      <c r="AB38">
        <v>5536</v>
      </c>
      <c r="AC38">
        <v>135.5</v>
      </c>
      <c r="AD38">
        <v>0.49874000000000002</v>
      </c>
      <c r="AE38">
        <v>771</v>
      </c>
      <c r="AF38">
        <v>4812</v>
      </c>
      <c r="AG38">
        <v>181</v>
      </c>
      <c r="AH38">
        <v>206.7</v>
      </c>
      <c r="AK38" t="s">
        <v>180</v>
      </c>
      <c r="AV38">
        <v>2793</v>
      </c>
    </row>
    <row r="39" spans="1:48" x14ac:dyDescent="0.2">
      <c r="A39" t="s">
        <v>145</v>
      </c>
      <c r="B39">
        <v>7909</v>
      </c>
      <c r="C39">
        <v>4861</v>
      </c>
      <c r="E39" t="s">
        <v>53</v>
      </c>
      <c r="F39">
        <v>9523</v>
      </c>
      <c r="G39">
        <v>4988</v>
      </c>
      <c r="H39">
        <v>10140</v>
      </c>
      <c r="I39">
        <v>7631</v>
      </c>
      <c r="J39">
        <v>2165</v>
      </c>
      <c r="K39">
        <v>1814</v>
      </c>
      <c r="L39">
        <v>6874</v>
      </c>
      <c r="M39">
        <v>3361</v>
      </c>
      <c r="N39">
        <v>2</v>
      </c>
      <c r="O39">
        <v>46</v>
      </c>
      <c r="P39">
        <v>454.4</v>
      </c>
      <c r="Q39">
        <v>7778</v>
      </c>
      <c r="T39" t="s">
        <v>74</v>
      </c>
      <c r="U39">
        <v>7562</v>
      </c>
      <c r="V39">
        <v>155</v>
      </c>
      <c r="W39">
        <v>0.54774</v>
      </c>
      <c r="X39">
        <v>1008</v>
      </c>
      <c r="Y39">
        <v>5363</v>
      </c>
      <c r="Z39">
        <v>215</v>
      </c>
      <c r="AA39">
        <v>234.5</v>
      </c>
      <c r="AB39">
        <v>5594</v>
      </c>
      <c r="AC39">
        <v>130.30000000000001</v>
      </c>
      <c r="AD39">
        <v>0.39989000000000002</v>
      </c>
      <c r="AE39">
        <v>899</v>
      </c>
      <c r="AF39">
        <v>5118</v>
      </c>
      <c r="AG39">
        <v>215.3</v>
      </c>
      <c r="AH39">
        <v>233.5</v>
      </c>
      <c r="AK39" t="s">
        <v>181</v>
      </c>
      <c r="AV39">
        <v>5971</v>
      </c>
    </row>
    <row r="40" spans="1:48" x14ac:dyDescent="0.2">
      <c r="A40" t="s">
        <v>119</v>
      </c>
      <c r="B40">
        <v>213</v>
      </c>
      <c r="C40">
        <v>212</v>
      </c>
      <c r="E40" t="s">
        <v>69</v>
      </c>
      <c r="F40">
        <v>1456</v>
      </c>
      <c r="G40">
        <v>673</v>
      </c>
      <c r="H40">
        <v>900</v>
      </c>
      <c r="I40">
        <v>355</v>
      </c>
      <c r="J40">
        <v>156</v>
      </c>
      <c r="K40">
        <v>124</v>
      </c>
      <c r="L40">
        <v>1202</v>
      </c>
      <c r="M40">
        <v>536</v>
      </c>
      <c r="N40">
        <v>319</v>
      </c>
      <c r="O40">
        <v>134</v>
      </c>
      <c r="P40">
        <v>155.9</v>
      </c>
      <c r="Q40">
        <v>823</v>
      </c>
      <c r="T40" t="s">
        <v>75</v>
      </c>
      <c r="U40">
        <v>3052</v>
      </c>
      <c r="V40">
        <v>121.9</v>
      </c>
      <c r="W40">
        <v>0.40300999999999998</v>
      </c>
      <c r="X40">
        <v>498</v>
      </c>
      <c r="Y40">
        <v>2648</v>
      </c>
      <c r="Z40">
        <v>172.1</v>
      </c>
      <c r="AA40">
        <v>172.5</v>
      </c>
      <c r="AB40">
        <v>3082</v>
      </c>
      <c r="AC40">
        <v>121.5</v>
      </c>
      <c r="AD40">
        <v>0.41433999999999999</v>
      </c>
      <c r="AE40">
        <v>527</v>
      </c>
      <c r="AF40">
        <v>2923</v>
      </c>
      <c r="AG40">
        <v>172.8</v>
      </c>
      <c r="AH40">
        <v>174.3</v>
      </c>
      <c r="AK40" t="s">
        <v>182</v>
      </c>
      <c r="AV40">
        <v>1107</v>
      </c>
    </row>
    <row r="41" spans="1:48" x14ac:dyDescent="0.2">
      <c r="A41" t="s">
        <v>120</v>
      </c>
      <c r="B41">
        <v>15843</v>
      </c>
      <c r="C41">
        <v>12395</v>
      </c>
      <c r="E41" t="s">
        <v>76</v>
      </c>
      <c r="F41">
        <v>16992</v>
      </c>
      <c r="G41">
        <v>9230</v>
      </c>
      <c r="H41">
        <v>12327</v>
      </c>
      <c r="I41">
        <v>9880</v>
      </c>
      <c r="J41">
        <v>1833</v>
      </c>
      <c r="K41">
        <v>1692</v>
      </c>
      <c r="L41">
        <v>14643</v>
      </c>
      <c r="M41">
        <v>9411</v>
      </c>
      <c r="N41">
        <v>0</v>
      </c>
      <c r="O41">
        <v>37</v>
      </c>
      <c r="P41">
        <v>438.2</v>
      </c>
      <c r="Q41">
        <v>9398</v>
      </c>
      <c r="T41" t="s">
        <v>76</v>
      </c>
      <c r="U41">
        <v>16974</v>
      </c>
      <c r="V41">
        <v>169.8</v>
      </c>
      <c r="W41">
        <v>0.54671999999999998</v>
      </c>
      <c r="X41">
        <v>2121</v>
      </c>
      <c r="Y41">
        <v>13165</v>
      </c>
      <c r="Z41">
        <v>236.7</v>
      </c>
      <c r="AA41">
        <v>244.8</v>
      </c>
      <c r="AB41">
        <v>10806</v>
      </c>
      <c r="AC41">
        <v>165.8</v>
      </c>
      <c r="AD41">
        <v>0.50841999999999998</v>
      </c>
      <c r="AE41">
        <v>1318</v>
      </c>
      <c r="AF41">
        <v>8799</v>
      </c>
      <c r="AG41">
        <v>246.9</v>
      </c>
      <c r="AH41">
        <v>255.9</v>
      </c>
      <c r="AK41" t="s">
        <v>183</v>
      </c>
      <c r="AV41">
        <v>1399</v>
      </c>
    </row>
    <row r="42" spans="1:48" x14ac:dyDescent="0.2">
      <c r="A42" t="s">
        <v>136</v>
      </c>
      <c r="B42">
        <v>4864</v>
      </c>
      <c r="C42">
        <v>1321</v>
      </c>
      <c r="E42" t="s">
        <v>78</v>
      </c>
      <c r="F42">
        <v>5873</v>
      </c>
      <c r="G42">
        <v>2450</v>
      </c>
      <c r="H42">
        <v>6821</v>
      </c>
      <c r="I42">
        <v>4938</v>
      </c>
      <c r="J42">
        <v>405</v>
      </c>
      <c r="K42">
        <v>314</v>
      </c>
      <c r="L42">
        <v>5994</v>
      </c>
      <c r="M42">
        <v>3225</v>
      </c>
      <c r="N42">
        <v>1</v>
      </c>
      <c r="O42">
        <v>52</v>
      </c>
      <c r="P42">
        <v>358.3</v>
      </c>
      <c r="Q42">
        <v>5420</v>
      </c>
      <c r="T42" t="s">
        <v>9</v>
      </c>
      <c r="U42">
        <v>1003</v>
      </c>
      <c r="V42">
        <v>131.80000000000001</v>
      </c>
      <c r="W42">
        <v>0.35393999999999998</v>
      </c>
      <c r="X42">
        <v>44</v>
      </c>
      <c r="Y42">
        <v>187</v>
      </c>
      <c r="Z42">
        <v>264.10000000000002</v>
      </c>
      <c r="AA42">
        <v>251.7</v>
      </c>
      <c r="AB42">
        <v>2822</v>
      </c>
      <c r="AC42">
        <v>125.8</v>
      </c>
      <c r="AD42">
        <v>0.32495000000000002</v>
      </c>
      <c r="AE42">
        <v>24</v>
      </c>
      <c r="AF42">
        <v>99</v>
      </c>
      <c r="AG42">
        <v>230.9</v>
      </c>
      <c r="AH42">
        <v>242.9</v>
      </c>
      <c r="AK42" t="s">
        <v>184</v>
      </c>
      <c r="AV42">
        <v>1635</v>
      </c>
    </row>
    <row r="43" spans="1:48" x14ac:dyDescent="0.2">
      <c r="A43" t="s">
        <v>29</v>
      </c>
      <c r="B43">
        <v>49916</v>
      </c>
      <c r="C43">
        <v>24369</v>
      </c>
      <c r="E43" t="s">
        <v>87</v>
      </c>
      <c r="F43">
        <v>14647</v>
      </c>
      <c r="G43">
        <v>7709</v>
      </c>
      <c r="H43">
        <v>19961</v>
      </c>
      <c r="I43">
        <v>14748</v>
      </c>
      <c r="J43">
        <v>4135</v>
      </c>
      <c r="K43">
        <v>3822</v>
      </c>
      <c r="L43">
        <v>10788</v>
      </c>
      <c r="M43">
        <v>7055</v>
      </c>
      <c r="N43">
        <v>14</v>
      </c>
      <c r="O43">
        <v>152</v>
      </c>
      <c r="P43">
        <v>420.6</v>
      </c>
      <c r="Q43">
        <v>14617</v>
      </c>
      <c r="T43" t="s">
        <v>434</v>
      </c>
      <c r="U43">
        <v>2094</v>
      </c>
      <c r="V43">
        <v>75.5</v>
      </c>
      <c r="W43">
        <v>0.17860999999999999</v>
      </c>
      <c r="X43">
        <v>155</v>
      </c>
      <c r="Y43">
        <v>843</v>
      </c>
      <c r="Z43">
        <v>136.69999999999999</v>
      </c>
      <c r="AA43">
        <v>158</v>
      </c>
      <c r="AB43">
        <v>1344</v>
      </c>
      <c r="AC43">
        <v>92.6</v>
      </c>
      <c r="AD43">
        <v>0.25744</v>
      </c>
      <c r="AE43">
        <v>157</v>
      </c>
      <c r="AF43">
        <v>857</v>
      </c>
      <c r="AG43">
        <v>136.1</v>
      </c>
      <c r="AH43">
        <v>158.30000000000001</v>
      </c>
      <c r="AK43" t="s">
        <v>194</v>
      </c>
      <c r="AV43">
        <v>18502</v>
      </c>
    </row>
    <row r="44" spans="1:48" x14ac:dyDescent="0.2">
      <c r="A44" t="s">
        <v>117</v>
      </c>
      <c r="B44">
        <v>256980</v>
      </c>
      <c r="C44">
        <v>195787</v>
      </c>
      <c r="E44" t="s">
        <v>49</v>
      </c>
      <c r="F44">
        <v>950</v>
      </c>
      <c r="G44">
        <v>217</v>
      </c>
      <c r="H44">
        <v>845</v>
      </c>
      <c r="I44">
        <v>429</v>
      </c>
      <c r="J44">
        <v>44</v>
      </c>
      <c r="K44">
        <v>28</v>
      </c>
      <c r="L44">
        <v>1338</v>
      </c>
      <c r="M44">
        <v>654</v>
      </c>
      <c r="N44">
        <v>15</v>
      </c>
      <c r="O44">
        <v>6</v>
      </c>
      <c r="P44">
        <v>265.8</v>
      </c>
      <c r="Q44">
        <v>510</v>
      </c>
      <c r="T44" t="s">
        <v>433</v>
      </c>
      <c r="U44">
        <v>643</v>
      </c>
      <c r="V44">
        <v>177.3</v>
      </c>
      <c r="W44">
        <v>0.54742999999999997</v>
      </c>
      <c r="X44">
        <v>347</v>
      </c>
      <c r="Y44">
        <v>2316</v>
      </c>
      <c r="Z44">
        <v>68.8</v>
      </c>
      <c r="AA44">
        <v>61.7</v>
      </c>
      <c r="AB44">
        <v>626</v>
      </c>
      <c r="AC44">
        <v>177.7</v>
      </c>
      <c r="AD44">
        <v>0.55271999999999999</v>
      </c>
      <c r="AE44">
        <v>337</v>
      </c>
      <c r="AF44">
        <v>2257</v>
      </c>
      <c r="AG44">
        <v>66.400000000000006</v>
      </c>
      <c r="AH44">
        <v>57</v>
      </c>
      <c r="AK44" t="s">
        <v>195</v>
      </c>
      <c r="AV44">
        <v>4803</v>
      </c>
    </row>
    <row r="45" spans="1:48" x14ac:dyDescent="0.2">
      <c r="A45" t="s">
        <v>144</v>
      </c>
      <c r="B45">
        <v>13288</v>
      </c>
      <c r="C45">
        <v>1792</v>
      </c>
      <c r="E45" t="s">
        <v>59</v>
      </c>
      <c r="F45">
        <v>3559</v>
      </c>
      <c r="G45">
        <v>1781</v>
      </c>
      <c r="H45">
        <v>2237</v>
      </c>
      <c r="I45">
        <v>1559</v>
      </c>
      <c r="J45">
        <v>444</v>
      </c>
      <c r="K45">
        <v>398</v>
      </c>
      <c r="L45">
        <v>1100</v>
      </c>
      <c r="M45">
        <v>454</v>
      </c>
      <c r="N45">
        <v>0</v>
      </c>
      <c r="O45">
        <v>5</v>
      </c>
      <c r="P45">
        <v>232.1</v>
      </c>
      <c r="Q45">
        <v>1612</v>
      </c>
      <c r="T45" s="17" t="s">
        <v>432</v>
      </c>
      <c r="U45">
        <v>2989</v>
      </c>
      <c r="V45">
        <v>72.400000000000006</v>
      </c>
      <c r="W45">
        <v>0.17430999999999999</v>
      </c>
      <c r="X45">
        <v>301</v>
      </c>
      <c r="Y45">
        <v>1118</v>
      </c>
      <c r="Z45">
        <v>137.6</v>
      </c>
      <c r="AA45">
        <v>134.19999999999999</v>
      </c>
      <c r="AB45">
        <v>867</v>
      </c>
      <c r="AC45">
        <v>86.6</v>
      </c>
      <c r="AD45">
        <v>0.28027999999999997</v>
      </c>
      <c r="AE45">
        <v>61</v>
      </c>
      <c r="AF45">
        <v>354</v>
      </c>
      <c r="AG45">
        <v>200</v>
      </c>
      <c r="AH45">
        <v>205.4</v>
      </c>
      <c r="AK45" t="s">
        <v>196</v>
      </c>
      <c r="AV45">
        <v>3580</v>
      </c>
    </row>
    <row r="46" spans="1:48" x14ac:dyDescent="0.2">
      <c r="A46" t="s">
        <v>139</v>
      </c>
      <c r="B46">
        <v>5967</v>
      </c>
      <c r="C46">
        <v>5952</v>
      </c>
      <c r="E46" t="s">
        <v>80</v>
      </c>
      <c r="F46">
        <v>6979</v>
      </c>
      <c r="G46">
        <v>3309</v>
      </c>
      <c r="H46">
        <v>10373</v>
      </c>
      <c r="I46">
        <v>7816</v>
      </c>
      <c r="J46">
        <v>3494</v>
      </c>
      <c r="K46">
        <v>3011</v>
      </c>
      <c r="L46">
        <v>1423</v>
      </c>
      <c r="M46">
        <v>944</v>
      </c>
      <c r="N46">
        <v>3</v>
      </c>
      <c r="O46">
        <v>61</v>
      </c>
      <c r="P46">
        <v>440.4</v>
      </c>
      <c r="Q46">
        <v>8352</v>
      </c>
      <c r="T46" t="s">
        <v>244</v>
      </c>
      <c r="U46">
        <v>12022</v>
      </c>
      <c r="V46">
        <v>167.2</v>
      </c>
      <c r="W46">
        <v>0.54915999999999998</v>
      </c>
      <c r="X46">
        <v>1890</v>
      </c>
      <c r="Y46">
        <v>11615</v>
      </c>
      <c r="Z46">
        <v>253.6</v>
      </c>
      <c r="AA46">
        <v>256.5</v>
      </c>
      <c r="AB46">
        <v>11919</v>
      </c>
      <c r="AC46">
        <v>166.6</v>
      </c>
      <c r="AD46">
        <v>0.54510000000000003</v>
      </c>
      <c r="AE46">
        <v>1878</v>
      </c>
      <c r="AF46">
        <v>11501</v>
      </c>
      <c r="AG46">
        <v>254.2</v>
      </c>
      <c r="AH46">
        <v>257.7</v>
      </c>
      <c r="AK46" t="s">
        <v>417</v>
      </c>
      <c r="AV46">
        <v>28</v>
      </c>
    </row>
    <row r="47" spans="1:48" x14ac:dyDescent="0.2">
      <c r="A47" t="s">
        <v>122</v>
      </c>
      <c r="B47">
        <v>1306</v>
      </c>
      <c r="C47">
        <v>451</v>
      </c>
      <c r="E47" t="s">
        <v>45</v>
      </c>
      <c r="F47">
        <v>1171</v>
      </c>
      <c r="G47">
        <v>308</v>
      </c>
      <c r="H47">
        <v>3116</v>
      </c>
      <c r="I47">
        <v>2492</v>
      </c>
      <c r="J47">
        <v>1775</v>
      </c>
      <c r="K47">
        <v>1589</v>
      </c>
      <c r="L47">
        <v>163</v>
      </c>
      <c r="M47">
        <v>149</v>
      </c>
      <c r="N47">
        <v>0</v>
      </c>
      <c r="O47">
        <v>3</v>
      </c>
      <c r="P47">
        <v>531.70000000000005</v>
      </c>
      <c r="Q47">
        <v>2551</v>
      </c>
      <c r="T47" t="s">
        <v>245</v>
      </c>
      <c r="U47">
        <v>6779</v>
      </c>
      <c r="V47">
        <v>64.8</v>
      </c>
      <c r="W47">
        <v>0.10031</v>
      </c>
      <c r="X47">
        <v>2720</v>
      </c>
      <c r="Y47">
        <v>17442</v>
      </c>
      <c r="Z47">
        <v>77.5</v>
      </c>
      <c r="AA47">
        <v>74.7</v>
      </c>
      <c r="AB47">
        <v>6782</v>
      </c>
      <c r="AC47">
        <v>64.8</v>
      </c>
      <c r="AD47">
        <v>0.10041</v>
      </c>
      <c r="AE47">
        <v>2724</v>
      </c>
      <c r="AF47">
        <v>17467</v>
      </c>
      <c r="AG47">
        <v>77.599999999999994</v>
      </c>
      <c r="AH47">
        <v>75</v>
      </c>
      <c r="AK47" t="s">
        <v>200</v>
      </c>
      <c r="AV47">
        <v>17391</v>
      </c>
    </row>
    <row r="48" spans="1:48" x14ac:dyDescent="0.2">
      <c r="A48" t="s">
        <v>125</v>
      </c>
      <c r="B48">
        <v>30966</v>
      </c>
      <c r="C48">
        <v>19172</v>
      </c>
      <c r="E48" t="s">
        <v>85</v>
      </c>
      <c r="F48">
        <v>12823</v>
      </c>
      <c r="G48">
        <v>3479</v>
      </c>
      <c r="H48">
        <v>13662</v>
      </c>
      <c r="I48">
        <v>7858</v>
      </c>
      <c r="J48">
        <v>1511</v>
      </c>
      <c r="K48">
        <v>1045</v>
      </c>
      <c r="L48">
        <v>1836</v>
      </c>
      <c r="M48">
        <v>1188</v>
      </c>
      <c r="N48">
        <v>0</v>
      </c>
      <c r="O48">
        <v>60</v>
      </c>
      <c r="P48">
        <v>334</v>
      </c>
      <c r="Q48">
        <v>9433</v>
      </c>
      <c r="T48" t="s">
        <v>78</v>
      </c>
      <c r="U48">
        <v>6137</v>
      </c>
      <c r="V48">
        <v>132.4</v>
      </c>
      <c r="W48">
        <v>0.41796</v>
      </c>
      <c r="X48">
        <v>1354</v>
      </c>
      <c r="Y48">
        <v>8385</v>
      </c>
      <c r="Z48">
        <v>163.1</v>
      </c>
      <c r="AA48">
        <v>179.9</v>
      </c>
      <c r="AB48">
        <v>9881</v>
      </c>
      <c r="AC48">
        <v>159.19999999999999</v>
      </c>
      <c r="AD48">
        <v>0.52059999999999995</v>
      </c>
      <c r="AE48">
        <v>1749</v>
      </c>
      <c r="AF48">
        <v>10145</v>
      </c>
      <c r="AG48">
        <v>175</v>
      </c>
      <c r="AH48">
        <v>187</v>
      </c>
      <c r="AK48" t="s">
        <v>207</v>
      </c>
      <c r="AV48">
        <v>427</v>
      </c>
    </row>
    <row r="49" spans="1:48" x14ac:dyDescent="0.2">
      <c r="A49" t="s">
        <v>124</v>
      </c>
      <c r="B49">
        <v>5387</v>
      </c>
      <c r="C49">
        <v>4197</v>
      </c>
      <c r="E49" t="s">
        <v>44</v>
      </c>
      <c r="F49">
        <v>3767</v>
      </c>
      <c r="G49">
        <v>1649</v>
      </c>
      <c r="H49">
        <v>2617</v>
      </c>
      <c r="I49">
        <v>1351</v>
      </c>
      <c r="J49">
        <v>124</v>
      </c>
      <c r="K49">
        <v>40</v>
      </c>
      <c r="L49">
        <v>473</v>
      </c>
      <c r="M49">
        <v>363</v>
      </c>
      <c r="N49">
        <v>0</v>
      </c>
      <c r="O49">
        <v>13</v>
      </c>
      <c r="P49">
        <v>252.3</v>
      </c>
      <c r="Q49">
        <v>1663</v>
      </c>
      <c r="T49" t="s">
        <v>79</v>
      </c>
      <c r="U49">
        <v>5792</v>
      </c>
      <c r="V49">
        <v>166.9</v>
      </c>
      <c r="W49">
        <v>0.53073000000000004</v>
      </c>
      <c r="X49">
        <v>822</v>
      </c>
      <c r="Y49">
        <v>4829</v>
      </c>
      <c r="Z49">
        <v>240</v>
      </c>
      <c r="AA49">
        <v>233.6</v>
      </c>
      <c r="AB49">
        <v>5020</v>
      </c>
      <c r="AC49">
        <v>161.5</v>
      </c>
      <c r="AD49">
        <v>0.48964000000000002</v>
      </c>
      <c r="AE49">
        <v>705</v>
      </c>
      <c r="AF49">
        <v>4402</v>
      </c>
      <c r="AG49">
        <v>236.8</v>
      </c>
      <c r="AH49">
        <v>233.6</v>
      </c>
      <c r="AK49" t="s">
        <v>208</v>
      </c>
      <c r="AV49">
        <v>182</v>
      </c>
    </row>
    <row r="50" spans="1:48" x14ac:dyDescent="0.2">
      <c r="A50" t="s">
        <v>126</v>
      </c>
      <c r="B50">
        <v>178371</v>
      </c>
      <c r="C50">
        <v>69229</v>
      </c>
      <c r="E50" t="s">
        <v>66</v>
      </c>
      <c r="F50">
        <v>15717</v>
      </c>
      <c r="G50">
        <v>9229</v>
      </c>
      <c r="H50">
        <v>8327</v>
      </c>
      <c r="I50">
        <v>6144</v>
      </c>
      <c r="J50">
        <v>1230</v>
      </c>
      <c r="K50">
        <v>1129</v>
      </c>
      <c r="L50">
        <v>5467</v>
      </c>
      <c r="M50">
        <v>2717</v>
      </c>
      <c r="N50">
        <v>2</v>
      </c>
      <c r="O50">
        <v>35</v>
      </c>
      <c r="P50">
        <v>425</v>
      </c>
      <c r="Q50">
        <v>6518</v>
      </c>
      <c r="T50" t="s">
        <v>80</v>
      </c>
      <c r="U50">
        <v>7407</v>
      </c>
      <c r="V50">
        <v>146.6</v>
      </c>
      <c r="W50">
        <v>0.45429999999999998</v>
      </c>
      <c r="X50">
        <v>1063</v>
      </c>
      <c r="Y50">
        <v>6631</v>
      </c>
      <c r="Z50">
        <v>193.9</v>
      </c>
      <c r="AA50">
        <v>209.9</v>
      </c>
      <c r="AB50">
        <v>7365</v>
      </c>
      <c r="AC50">
        <v>146.1</v>
      </c>
      <c r="AD50">
        <v>0.45282</v>
      </c>
      <c r="AE50">
        <v>1068</v>
      </c>
      <c r="AF50">
        <v>6630</v>
      </c>
      <c r="AG50">
        <v>194.2</v>
      </c>
      <c r="AH50">
        <v>210</v>
      </c>
      <c r="AK50" t="s">
        <v>209</v>
      </c>
      <c r="AV50">
        <v>1547</v>
      </c>
    </row>
    <row r="51" spans="1:48" x14ac:dyDescent="0.2">
      <c r="A51" t="s">
        <v>127</v>
      </c>
      <c r="B51">
        <v>740</v>
      </c>
      <c r="C51">
        <v>654</v>
      </c>
      <c r="E51" t="s">
        <v>57</v>
      </c>
      <c r="F51">
        <v>726</v>
      </c>
      <c r="G51">
        <v>100</v>
      </c>
      <c r="H51">
        <v>1154</v>
      </c>
      <c r="I51">
        <v>547</v>
      </c>
      <c r="J51">
        <v>276</v>
      </c>
      <c r="K51">
        <v>187</v>
      </c>
      <c r="L51">
        <v>750</v>
      </c>
      <c r="M51">
        <v>239</v>
      </c>
      <c r="N51">
        <v>0</v>
      </c>
      <c r="O51">
        <v>4</v>
      </c>
      <c r="P51">
        <v>278.8</v>
      </c>
      <c r="Q51">
        <v>709</v>
      </c>
      <c r="T51" t="s">
        <v>81</v>
      </c>
      <c r="U51">
        <v>2465</v>
      </c>
      <c r="V51">
        <v>90.4</v>
      </c>
      <c r="W51">
        <v>0.24948999999999999</v>
      </c>
      <c r="X51">
        <v>1590</v>
      </c>
      <c r="Y51">
        <v>9977</v>
      </c>
      <c r="Z51">
        <v>60.1</v>
      </c>
      <c r="AA51">
        <v>62.2</v>
      </c>
      <c r="AB51">
        <v>6731</v>
      </c>
      <c r="AC51">
        <v>136</v>
      </c>
      <c r="AD51">
        <v>0.45341999999999999</v>
      </c>
      <c r="AE51">
        <v>1974</v>
      </c>
      <c r="AF51">
        <v>11244</v>
      </c>
      <c r="AG51">
        <v>86.6</v>
      </c>
      <c r="AH51">
        <v>74.7</v>
      </c>
      <c r="AK51" t="s">
        <v>418</v>
      </c>
      <c r="AV51">
        <v>2414</v>
      </c>
    </row>
    <row r="52" spans="1:48" x14ac:dyDescent="0.2">
      <c r="A52" t="s">
        <v>129</v>
      </c>
      <c r="B52">
        <v>1275</v>
      </c>
      <c r="C52">
        <v>406</v>
      </c>
      <c r="E52" t="s">
        <v>84</v>
      </c>
      <c r="F52">
        <v>6441</v>
      </c>
      <c r="G52">
        <v>2263</v>
      </c>
      <c r="H52">
        <v>17097</v>
      </c>
      <c r="I52">
        <v>9256</v>
      </c>
      <c r="J52">
        <v>839</v>
      </c>
      <c r="K52">
        <v>239</v>
      </c>
      <c r="L52">
        <v>342</v>
      </c>
      <c r="M52">
        <v>233</v>
      </c>
      <c r="N52">
        <v>0</v>
      </c>
      <c r="O52">
        <v>7</v>
      </c>
      <c r="P52">
        <v>419.6</v>
      </c>
      <c r="Q52">
        <v>11691</v>
      </c>
      <c r="T52" t="s">
        <v>82</v>
      </c>
      <c r="U52">
        <v>6120</v>
      </c>
      <c r="V52">
        <v>192.8</v>
      </c>
      <c r="W52">
        <v>0.60948000000000002</v>
      </c>
      <c r="X52">
        <v>633</v>
      </c>
      <c r="Y52">
        <v>3619</v>
      </c>
      <c r="Z52">
        <v>266.3</v>
      </c>
      <c r="AA52">
        <v>256.8</v>
      </c>
      <c r="AB52">
        <v>2709</v>
      </c>
      <c r="AC52">
        <v>225</v>
      </c>
      <c r="AD52">
        <v>0.63492000000000004</v>
      </c>
      <c r="AE52">
        <v>335</v>
      </c>
      <c r="AF52">
        <v>2126</v>
      </c>
      <c r="AG52">
        <v>296.8</v>
      </c>
      <c r="AH52">
        <v>288.3</v>
      </c>
      <c r="AK52" t="s">
        <v>419</v>
      </c>
      <c r="AV52">
        <v>1880</v>
      </c>
    </row>
    <row r="53" spans="1:48" x14ac:dyDescent="0.2">
      <c r="A53" t="s">
        <v>128</v>
      </c>
      <c r="B53">
        <v>33679</v>
      </c>
      <c r="C53">
        <v>30260</v>
      </c>
      <c r="E53" t="s">
        <v>152</v>
      </c>
      <c r="F53">
        <v>108163</v>
      </c>
      <c r="G53">
        <v>51483</v>
      </c>
      <c r="H53">
        <v>114742</v>
      </c>
      <c r="I53">
        <v>78614</v>
      </c>
      <c r="J53">
        <v>19079</v>
      </c>
      <c r="K53">
        <v>15956</v>
      </c>
      <c r="L53">
        <v>56193</v>
      </c>
      <c r="M53">
        <v>32340</v>
      </c>
      <c r="N53">
        <v>357</v>
      </c>
      <c r="O53">
        <v>707</v>
      </c>
      <c r="P53">
        <v>405.9</v>
      </c>
      <c r="Q53">
        <v>85424</v>
      </c>
      <c r="T53" t="s">
        <v>83</v>
      </c>
      <c r="U53">
        <v>15301</v>
      </c>
      <c r="V53">
        <v>153.80000000000001</v>
      </c>
      <c r="W53">
        <v>0.51473999999999998</v>
      </c>
      <c r="X53">
        <v>2286</v>
      </c>
      <c r="Y53">
        <v>14464</v>
      </c>
      <c r="Z53">
        <v>220</v>
      </c>
      <c r="AA53">
        <v>235.7</v>
      </c>
      <c r="AB53">
        <v>14699</v>
      </c>
      <c r="AC53">
        <v>143.19999999999999</v>
      </c>
      <c r="AD53">
        <v>0.48507</v>
      </c>
      <c r="AE53">
        <v>2148</v>
      </c>
      <c r="AF53">
        <v>13333</v>
      </c>
      <c r="AG53">
        <v>210.4</v>
      </c>
      <c r="AH53">
        <v>226.2</v>
      </c>
      <c r="AK53" t="s">
        <v>415</v>
      </c>
      <c r="AV53">
        <v>75612</v>
      </c>
    </row>
    <row r="54" spans="1:48" x14ac:dyDescent="0.2">
      <c r="E54" t="s">
        <v>34</v>
      </c>
      <c r="F54">
        <v>20242</v>
      </c>
      <c r="G54">
        <v>9801</v>
      </c>
      <c r="H54">
        <v>20025</v>
      </c>
      <c r="I54">
        <v>14140</v>
      </c>
      <c r="J54">
        <v>3692</v>
      </c>
      <c r="K54">
        <v>2901</v>
      </c>
      <c r="L54">
        <v>9426</v>
      </c>
      <c r="M54">
        <v>4733</v>
      </c>
      <c r="N54">
        <v>49</v>
      </c>
      <c r="O54">
        <v>24</v>
      </c>
      <c r="P54">
        <v>379.3</v>
      </c>
      <c r="Q54">
        <v>15345</v>
      </c>
      <c r="T54" t="s">
        <v>246</v>
      </c>
      <c r="U54">
        <v>1681</v>
      </c>
      <c r="V54">
        <v>95.3</v>
      </c>
      <c r="W54">
        <v>0.23616999999999999</v>
      </c>
      <c r="X54">
        <v>243</v>
      </c>
      <c r="Y54">
        <v>2160</v>
      </c>
      <c r="Z54">
        <v>157.4</v>
      </c>
      <c r="AA54">
        <v>154.1</v>
      </c>
      <c r="AB54">
        <v>4544</v>
      </c>
      <c r="AC54">
        <v>143.9</v>
      </c>
      <c r="AD54">
        <v>0.43419999999999997</v>
      </c>
      <c r="AE54">
        <v>720</v>
      </c>
      <c r="AF54">
        <v>3195</v>
      </c>
      <c r="AG54">
        <v>199.9</v>
      </c>
      <c r="AH54">
        <v>168.8</v>
      </c>
      <c r="AK54" t="s">
        <v>185</v>
      </c>
      <c r="AV54">
        <v>4972</v>
      </c>
    </row>
    <row r="55" spans="1:48" x14ac:dyDescent="0.2">
      <c r="E55" t="s">
        <v>63</v>
      </c>
      <c r="F55">
        <v>6868</v>
      </c>
      <c r="G55">
        <v>4239</v>
      </c>
      <c r="H55">
        <v>5312</v>
      </c>
      <c r="I55">
        <v>4044</v>
      </c>
      <c r="J55">
        <v>1129</v>
      </c>
      <c r="K55">
        <v>1042</v>
      </c>
      <c r="L55">
        <v>3292</v>
      </c>
      <c r="M55">
        <v>2274</v>
      </c>
      <c r="N55">
        <v>75</v>
      </c>
      <c r="O55">
        <v>146</v>
      </c>
      <c r="P55">
        <v>392.3</v>
      </c>
      <c r="Q55">
        <v>4431</v>
      </c>
      <c r="T55" t="s">
        <v>247</v>
      </c>
      <c r="U55">
        <v>4786</v>
      </c>
      <c r="V55">
        <v>106</v>
      </c>
      <c r="W55">
        <v>0.39177000000000001</v>
      </c>
      <c r="X55">
        <v>835</v>
      </c>
      <c r="Y55">
        <v>5358</v>
      </c>
      <c r="Z55">
        <v>183.7</v>
      </c>
      <c r="AA55">
        <v>184.2</v>
      </c>
      <c r="AB55">
        <v>4866</v>
      </c>
      <c r="AC55">
        <v>105.5</v>
      </c>
      <c r="AD55">
        <v>0.38861000000000001</v>
      </c>
      <c r="AE55">
        <v>835</v>
      </c>
      <c r="AF55">
        <v>5344</v>
      </c>
      <c r="AG55">
        <v>183.7</v>
      </c>
      <c r="AH55">
        <v>184.3</v>
      </c>
      <c r="AK55" t="s">
        <v>186</v>
      </c>
      <c r="AV55">
        <v>1915</v>
      </c>
    </row>
    <row r="56" spans="1:48" x14ac:dyDescent="0.2">
      <c r="E56" t="s">
        <v>83</v>
      </c>
      <c r="F56">
        <v>15497</v>
      </c>
      <c r="G56">
        <v>7796</v>
      </c>
      <c r="H56">
        <v>18605</v>
      </c>
      <c r="I56">
        <v>13988</v>
      </c>
      <c r="J56">
        <v>2607</v>
      </c>
      <c r="K56">
        <v>2313</v>
      </c>
      <c r="L56">
        <v>6775</v>
      </c>
      <c r="M56">
        <v>5130</v>
      </c>
      <c r="N56">
        <v>6</v>
      </c>
      <c r="O56">
        <v>23</v>
      </c>
      <c r="P56">
        <v>403.6</v>
      </c>
      <c r="Q56">
        <v>16292</v>
      </c>
      <c r="T56" t="s">
        <v>248</v>
      </c>
      <c r="U56">
        <v>10443</v>
      </c>
      <c r="V56">
        <v>101.6</v>
      </c>
      <c r="W56">
        <v>0.26869999999999999</v>
      </c>
      <c r="X56">
        <v>1861</v>
      </c>
      <c r="Y56">
        <v>12968</v>
      </c>
      <c r="Z56">
        <v>168</v>
      </c>
      <c r="AA56">
        <v>175.8</v>
      </c>
      <c r="AB56">
        <v>15866</v>
      </c>
      <c r="AC56">
        <v>129.1</v>
      </c>
      <c r="AD56">
        <v>0.41044000000000003</v>
      </c>
      <c r="AE56">
        <v>2302</v>
      </c>
      <c r="AF56">
        <v>14661</v>
      </c>
      <c r="AG56">
        <v>173.6</v>
      </c>
      <c r="AH56">
        <v>181</v>
      </c>
      <c r="AK56" t="s">
        <v>187</v>
      </c>
      <c r="AV56">
        <v>445</v>
      </c>
    </row>
    <row r="57" spans="1:48" x14ac:dyDescent="0.2">
      <c r="E57" t="s">
        <v>52</v>
      </c>
      <c r="F57">
        <v>11832</v>
      </c>
      <c r="G57">
        <v>5680</v>
      </c>
      <c r="H57">
        <v>19788</v>
      </c>
      <c r="I57">
        <v>12526</v>
      </c>
      <c r="J57">
        <v>1489</v>
      </c>
      <c r="K57">
        <v>1067</v>
      </c>
      <c r="L57">
        <v>2552</v>
      </c>
      <c r="M57">
        <v>2016</v>
      </c>
      <c r="N57">
        <v>3</v>
      </c>
      <c r="O57">
        <v>51</v>
      </c>
      <c r="P57">
        <v>296.60000000000002</v>
      </c>
      <c r="Q57">
        <v>13615</v>
      </c>
      <c r="T57" t="s">
        <v>249</v>
      </c>
      <c r="U57">
        <v>2693</v>
      </c>
      <c r="V57">
        <v>88.5</v>
      </c>
      <c r="W57">
        <v>0.26401999999999998</v>
      </c>
      <c r="X57">
        <v>638</v>
      </c>
      <c r="Y57">
        <v>4462</v>
      </c>
      <c r="Z57">
        <v>139.19999999999999</v>
      </c>
      <c r="AA57">
        <v>120.1</v>
      </c>
      <c r="AB57">
        <v>4004</v>
      </c>
      <c r="AC57">
        <v>84.4</v>
      </c>
      <c r="AD57">
        <v>0.23901</v>
      </c>
      <c r="AE57">
        <v>862</v>
      </c>
      <c r="AF57">
        <v>5193</v>
      </c>
      <c r="AG57">
        <v>134.30000000000001</v>
      </c>
      <c r="AH57">
        <v>117.4</v>
      </c>
      <c r="AK57" t="s">
        <v>188</v>
      </c>
      <c r="AV57">
        <v>8522</v>
      </c>
    </row>
    <row r="58" spans="1:48" x14ac:dyDescent="0.2">
      <c r="E58" t="s">
        <v>86</v>
      </c>
      <c r="F58">
        <v>3141</v>
      </c>
      <c r="G58">
        <v>1247</v>
      </c>
      <c r="H58">
        <v>3903</v>
      </c>
      <c r="I58">
        <v>2807</v>
      </c>
      <c r="J58">
        <v>675</v>
      </c>
      <c r="K58">
        <v>595</v>
      </c>
      <c r="L58">
        <v>1695</v>
      </c>
      <c r="M58">
        <v>1194</v>
      </c>
      <c r="N58">
        <v>0</v>
      </c>
      <c r="O58">
        <v>3</v>
      </c>
      <c r="P58">
        <v>331.4</v>
      </c>
      <c r="Q58">
        <v>2610</v>
      </c>
      <c r="T58" t="s">
        <v>86</v>
      </c>
      <c r="U58">
        <v>3122</v>
      </c>
      <c r="V58">
        <v>124.4</v>
      </c>
      <c r="W58">
        <v>0.39238000000000001</v>
      </c>
      <c r="X58">
        <v>574</v>
      </c>
      <c r="Y58">
        <v>3752</v>
      </c>
      <c r="Z58">
        <v>186.4</v>
      </c>
      <c r="AA58">
        <v>178.8</v>
      </c>
      <c r="AB58">
        <v>4260</v>
      </c>
      <c r="AC58">
        <v>124.3</v>
      </c>
      <c r="AD58">
        <v>0.39506999999999998</v>
      </c>
      <c r="AE58">
        <v>686</v>
      </c>
      <c r="AF58">
        <v>4306</v>
      </c>
      <c r="AG58">
        <v>187.1</v>
      </c>
      <c r="AH58">
        <v>175.8</v>
      </c>
      <c r="AK58" t="s">
        <v>189</v>
      </c>
      <c r="AV58">
        <v>4485</v>
      </c>
    </row>
    <row r="59" spans="1:48" x14ac:dyDescent="0.2">
      <c r="E59" t="s">
        <v>72</v>
      </c>
      <c r="F59">
        <v>10597</v>
      </c>
      <c r="G59">
        <v>3565</v>
      </c>
      <c r="H59">
        <v>8115</v>
      </c>
      <c r="I59">
        <v>4355</v>
      </c>
      <c r="J59">
        <v>1652</v>
      </c>
      <c r="K59">
        <v>1391</v>
      </c>
      <c r="L59">
        <v>2243</v>
      </c>
      <c r="M59">
        <v>1855</v>
      </c>
      <c r="N59">
        <v>3</v>
      </c>
      <c r="O59">
        <v>199</v>
      </c>
      <c r="P59">
        <v>247</v>
      </c>
      <c r="Q59">
        <v>5630</v>
      </c>
      <c r="T59" t="s">
        <v>87</v>
      </c>
      <c r="U59">
        <v>14849</v>
      </c>
      <c r="V59">
        <v>170.5</v>
      </c>
      <c r="W59">
        <v>0.53202000000000005</v>
      </c>
      <c r="X59">
        <v>4044</v>
      </c>
      <c r="Y59">
        <v>26792</v>
      </c>
      <c r="Z59">
        <v>148.80000000000001</v>
      </c>
      <c r="AA59">
        <v>147.1</v>
      </c>
      <c r="AB59">
        <v>11294</v>
      </c>
      <c r="AC59">
        <v>156.80000000000001</v>
      </c>
      <c r="AD59">
        <v>0.47902</v>
      </c>
      <c r="AE59">
        <v>3555</v>
      </c>
      <c r="AF59">
        <v>24508</v>
      </c>
      <c r="AG59">
        <v>132.6</v>
      </c>
      <c r="AH59">
        <v>136.30000000000001</v>
      </c>
      <c r="AK59" t="s">
        <v>190</v>
      </c>
      <c r="AV59">
        <v>6497</v>
      </c>
    </row>
    <row r="60" spans="1:48" x14ac:dyDescent="0.2">
      <c r="E60" t="s">
        <v>61</v>
      </c>
      <c r="F60">
        <v>2637</v>
      </c>
      <c r="G60">
        <v>587</v>
      </c>
      <c r="H60">
        <v>2641</v>
      </c>
      <c r="I60">
        <v>1559</v>
      </c>
      <c r="J60">
        <v>303</v>
      </c>
      <c r="K60">
        <v>161</v>
      </c>
      <c r="L60">
        <v>2249</v>
      </c>
      <c r="M60">
        <v>1135</v>
      </c>
      <c r="N60">
        <v>2</v>
      </c>
      <c r="O60">
        <v>14</v>
      </c>
      <c r="P60">
        <v>232.2</v>
      </c>
      <c r="Q60">
        <v>1840</v>
      </c>
      <c r="T60" t="s">
        <v>88</v>
      </c>
      <c r="U60">
        <v>1119</v>
      </c>
      <c r="V60">
        <v>96.9</v>
      </c>
      <c r="W60">
        <v>0.27167000000000002</v>
      </c>
      <c r="X60">
        <v>195</v>
      </c>
      <c r="Y60">
        <v>1428</v>
      </c>
      <c r="Z60">
        <v>143.19999999999999</v>
      </c>
      <c r="AA60">
        <v>149.1</v>
      </c>
      <c r="AB60">
        <v>2343</v>
      </c>
      <c r="AC60">
        <v>133.1</v>
      </c>
      <c r="AD60">
        <v>0.35980000000000001</v>
      </c>
      <c r="AE60">
        <v>372</v>
      </c>
      <c r="AF60">
        <v>2250</v>
      </c>
      <c r="AG60">
        <v>171.2</v>
      </c>
      <c r="AH60">
        <v>178.9</v>
      </c>
      <c r="AK60" t="s">
        <v>191</v>
      </c>
      <c r="AV60">
        <v>3540</v>
      </c>
    </row>
    <row r="61" spans="1:48" x14ac:dyDescent="0.2">
      <c r="E61" t="s">
        <v>67</v>
      </c>
      <c r="F61">
        <v>8440</v>
      </c>
      <c r="G61">
        <v>5396</v>
      </c>
      <c r="H61">
        <v>11709</v>
      </c>
      <c r="I61">
        <v>8431</v>
      </c>
      <c r="J61">
        <v>1464</v>
      </c>
      <c r="K61">
        <v>1363</v>
      </c>
      <c r="L61">
        <v>4541</v>
      </c>
      <c r="M61">
        <v>1502</v>
      </c>
      <c r="N61">
        <v>72</v>
      </c>
      <c r="O61">
        <v>218</v>
      </c>
      <c r="P61">
        <v>453.6</v>
      </c>
      <c r="Q61">
        <v>8931</v>
      </c>
      <c r="T61" t="s">
        <v>150</v>
      </c>
      <c r="U61">
        <v>149752</v>
      </c>
      <c r="V61">
        <v>153.4</v>
      </c>
      <c r="W61">
        <v>0.49399999999999999</v>
      </c>
      <c r="X61">
        <v>21815</v>
      </c>
      <c r="Y61">
        <v>137978</v>
      </c>
      <c r="Z61">
        <v>218.3</v>
      </c>
      <c r="AA61">
        <v>220.2</v>
      </c>
      <c r="AB61">
        <v>142228</v>
      </c>
      <c r="AC61">
        <v>151.5</v>
      </c>
      <c r="AD61">
        <v>0.48743999999999998</v>
      </c>
      <c r="AE61">
        <v>20061</v>
      </c>
      <c r="AF61">
        <v>128919</v>
      </c>
      <c r="AG61">
        <v>218.6</v>
      </c>
      <c r="AH61">
        <v>217.1</v>
      </c>
      <c r="AK61" t="s">
        <v>192</v>
      </c>
      <c r="AV61">
        <v>994</v>
      </c>
    </row>
    <row r="62" spans="1:48" x14ac:dyDescent="0.2">
      <c r="E62" t="s">
        <v>71</v>
      </c>
      <c r="F62">
        <v>9502</v>
      </c>
      <c r="G62">
        <v>5209</v>
      </c>
      <c r="H62">
        <v>12537</v>
      </c>
      <c r="I62">
        <v>9671</v>
      </c>
      <c r="J62">
        <v>4430</v>
      </c>
      <c r="K62">
        <v>4134</v>
      </c>
      <c r="L62">
        <v>3447</v>
      </c>
      <c r="M62">
        <v>2678</v>
      </c>
      <c r="N62">
        <v>2</v>
      </c>
      <c r="O62">
        <v>280</v>
      </c>
      <c r="P62">
        <v>384.2</v>
      </c>
      <c r="Q62">
        <v>11535</v>
      </c>
      <c r="T62" t="s">
        <v>89</v>
      </c>
      <c r="U62">
        <v>8439</v>
      </c>
      <c r="V62">
        <v>139.6</v>
      </c>
      <c r="W62">
        <v>0.47256999999999999</v>
      </c>
      <c r="X62">
        <v>1511</v>
      </c>
      <c r="Y62">
        <v>8253</v>
      </c>
      <c r="Z62">
        <v>195.1</v>
      </c>
      <c r="AA62">
        <v>203.2</v>
      </c>
      <c r="AB62">
        <v>8837</v>
      </c>
      <c r="AC62">
        <v>138.9</v>
      </c>
      <c r="AD62">
        <v>0.46112999999999998</v>
      </c>
      <c r="AE62">
        <v>1573</v>
      </c>
      <c r="AF62">
        <v>8772</v>
      </c>
      <c r="AG62">
        <v>195.3</v>
      </c>
      <c r="AH62">
        <v>206.2</v>
      </c>
      <c r="AK62" t="s">
        <v>193</v>
      </c>
      <c r="AV62">
        <v>5296</v>
      </c>
    </row>
    <row r="63" spans="1:48" x14ac:dyDescent="0.2">
      <c r="E63" t="s">
        <v>94</v>
      </c>
      <c r="F63">
        <v>1304</v>
      </c>
      <c r="G63">
        <v>436</v>
      </c>
      <c r="H63">
        <v>48910</v>
      </c>
      <c r="I63">
        <v>43739</v>
      </c>
      <c r="J63">
        <v>133</v>
      </c>
      <c r="K63">
        <v>129</v>
      </c>
      <c r="L63">
        <v>763</v>
      </c>
      <c r="M63">
        <v>649</v>
      </c>
      <c r="N63">
        <v>0</v>
      </c>
      <c r="O63">
        <v>2</v>
      </c>
      <c r="P63">
        <v>321.60000000000002</v>
      </c>
      <c r="Q63">
        <v>48236</v>
      </c>
      <c r="T63" t="s">
        <v>250</v>
      </c>
      <c r="U63">
        <v>8312</v>
      </c>
      <c r="V63">
        <v>120.6</v>
      </c>
      <c r="W63">
        <v>0.35503000000000001</v>
      </c>
      <c r="X63">
        <v>1448</v>
      </c>
      <c r="Y63">
        <v>8269</v>
      </c>
      <c r="Z63">
        <v>166.4</v>
      </c>
      <c r="AA63">
        <v>155.5</v>
      </c>
      <c r="AB63">
        <v>13043</v>
      </c>
      <c r="AC63">
        <v>140.69999999999999</v>
      </c>
      <c r="AD63">
        <v>0.45863999999999999</v>
      </c>
      <c r="AE63">
        <v>2254</v>
      </c>
      <c r="AF63">
        <v>12410</v>
      </c>
      <c r="AG63">
        <v>190.4</v>
      </c>
      <c r="AH63">
        <v>186.2</v>
      </c>
      <c r="AK63" t="s">
        <v>197</v>
      </c>
      <c r="AV63">
        <v>1969</v>
      </c>
    </row>
    <row r="64" spans="1:48" x14ac:dyDescent="0.2">
      <c r="E64" t="s">
        <v>97</v>
      </c>
      <c r="F64">
        <v>31812</v>
      </c>
      <c r="G64">
        <v>14547</v>
      </c>
      <c r="H64">
        <v>27456</v>
      </c>
      <c r="I64">
        <v>18577</v>
      </c>
      <c r="J64">
        <v>4303</v>
      </c>
      <c r="K64">
        <v>3911</v>
      </c>
      <c r="L64">
        <v>8235</v>
      </c>
      <c r="M64">
        <v>4044</v>
      </c>
      <c r="N64">
        <v>1</v>
      </c>
      <c r="O64">
        <v>16</v>
      </c>
      <c r="P64">
        <v>387.4</v>
      </c>
      <c r="Q64">
        <v>21737</v>
      </c>
      <c r="T64" t="s">
        <v>251</v>
      </c>
      <c r="U64">
        <v>6786</v>
      </c>
      <c r="V64">
        <v>52.6</v>
      </c>
      <c r="W64">
        <v>6.2780000000000002E-2</v>
      </c>
      <c r="X64">
        <v>3513</v>
      </c>
      <c r="Y64">
        <v>22014</v>
      </c>
      <c r="Z64">
        <v>63.9</v>
      </c>
      <c r="AA64">
        <v>64.2</v>
      </c>
      <c r="AB64">
        <v>6793</v>
      </c>
      <c r="AC64">
        <v>52.7</v>
      </c>
      <c r="AD64">
        <v>6.3009999999999997E-2</v>
      </c>
      <c r="AE64">
        <v>3518</v>
      </c>
      <c r="AF64">
        <v>22031</v>
      </c>
      <c r="AG64">
        <v>64</v>
      </c>
      <c r="AH64">
        <v>64.2</v>
      </c>
      <c r="AK64" t="s">
        <v>199</v>
      </c>
      <c r="AV64">
        <v>1049</v>
      </c>
    </row>
    <row r="65" spans="5:48" x14ac:dyDescent="0.2">
      <c r="E65" t="s">
        <v>91</v>
      </c>
      <c r="F65">
        <v>34074</v>
      </c>
      <c r="G65">
        <v>17709</v>
      </c>
      <c r="H65">
        <v>21116</v>
      </c>
      <c r="I65">
        <v>14362</v>
      </c>
      <c r="J65">
        <v>2394</v>
      </c>
      <c r="K65">
        <v>1786</v>
      </c>
      <c r="L65">
        <v>26438</v>
      </c>
      <c r="M65">
        <v>11837</v>
      </c>
      <c r="N65">
        <v>10</v>
      </c>
      <c r="O65">
        <v>184</v>
      </c>
      <c r="P65">
        <v>325.39999999999998</v>
      </c>
      <c r="Q65">
        <v>17344</v>
      </c>
      <c r="T65" t="s">
        <v>91</v>
      </c>
      <c r="U65">
        <v>34413</v>
      </c>
      <c r="V65">
        <v>159.69999999999999</v>
      </c>
      <c r="W65">
        <v>0.52529999999999999</v>
      </c>
      <c r="X65">
        <v>4257</v>
      </c>
      <c r="Y65">
        <v>28190</v>
      </c>
      <c r="Z65">
        <v>231.5</v>
      </c>
      <c r="AA65">
        <v>238.1</v>
      </c>
      <c r="AB65">
        <v>29661</v>
      </c>
      <c r="AC65">
        <v>158</v>
      </c>
      <c r="AD65">
        <v>0.51458000000000004</v>
      </c>
      <c r="AE65">
        <v>3362</v>
      </c>
      <c r="AF65">
        <v>23798</v>
      </c>
      <c r="AG65">
        <v>241.2</v>
      </c>
      <c r="AH65">
        <v>240.2</v>
      </c>
      <c r="AK65" t="s">
        <v>420</v>
      </c>
      <c r="AV65">
        <v>259</v>
      </c>
    </row>
    <row r="66" spans="5:48" x14ac:dyDescent="0.2">
      <c r="E66" t="s">
        <v>150</v>
      </c>
      <c r="F66">
        <v>155946</v>
      </c>
      <c r="G66">
        <v>76212</v>
      </c>
      <c r="H66">
        <v>200117</v>
      </c>
      <c r="I66">
        <v>148199</v>
      </c>
      <c r="J66">
        <v>24271</v>
      </c>
      <c r="K66">
        <v>20793</v>
      </c>
      <c r="L66">
        <v>71656</v>
      </c>
      <c r="M66">
        <v>39047</v>
      </c>
      <c r="N66">
        <v>223</v>
      </c>
      <c r="O66">
        <v>1160</v>
      </c>
      <c r="P66">
        <v>351.7</v>
      </c>
      <c r="Q66">
        <v>167546</v>
      </c>
      <c r="T66" t="s">
        <v>92</v>
      </c>
      <c r="U66">
        <v>1305</v>
      </c>
      <c r="V66">
        <v>104.1</v>
      </c>
      <c r="W66">
        <v>0.27433000000000002</v>
      </c>
      <c r="X66">
        <v>169</v>
      </c>
      <c r="Y66">
        <v>1758</v>
      </c>
      <c r="Z66">
        <v>131.4</v>
      </c>
      <c r="AA66">
        <v>121.3</v>
      </c>
      <c r="AB66">
        <v>7503</v>
      </c>
      <c r="AC66">
        <v>197</v>
      </c>
      <c r="AD66">
        <v>0.62627999999999995</v>
      </c>
      <c r="AE66">
        <v>1087</v>
      </c>
      <c r="AF66">
        <v>7089</v>
      </c>
      <c r="AG66">
        <v>213.1</v>
      </c>
      <c r="AH66">
        <v>204.8</v>
      </c>
      <c r="AK66" t="s">
        <v>202</v>
      </c>
      <c r="AV66">
        <v>3423</v>
      </c>
    </row>
    <row r="67" spans="5:48" x14ac:dyDescent="0.2">
      <c r="E67" t="s">
        <v>278</v>
      </c>
      <c r="F67">
        <v>464285</v>
      </c>
      <c r="G67">
        <v>220604</v>
      </c>
      <c r="H67">
        <v>487042</v>
      </c>
      <c r="I67">
        <v>338109</v>
      </c>
      <c r="J67">
        <v>68996</v>
      </c>
      <c r="K67">
        <v>56996</v>
      </c>
      <c r="L67">
        <v>250418</v>
      </c>
      <c r="M67">
        <v>123918</v>
      </c>
      <c r="N67">
        <v>7439</v>
      </c>
      <c r="O67">
        <v>4144</v>
      </c>
      <c r="P67">
        <v>372.1</v>
      </c>
      <c r="Q67">
        <v>374918</v>
      </c>
      <c r="T67" t="s">
        <v>7</v>
      </c>
      <c r="U67">
        <v>488859</v>
      </c>
      <c r="V67">
        <v>144.4</v>
      </c>
      <c r="W67">
        <v>0.45929999999999999</v>
      </c>
      <c r="X67">
        <v>81118</v>
      </c>
      <c r="Y67">
        <v>504599</v>
      </c>
      <c r="Z67">
        <v>184.6</v>
      </c>
      <c r="AA67">
        <v>186.2</v>
      </c>
      <c r="AB67">
        <v>488859</v>
      </c>
      <c r="AC67">
        <v>144.4</v>
      </c>
      <c r="AD67">
        <v>0.45929999999999999</v>
      </c>
      <c r="AE67">
        <v>81118</v>
      </c>
      <c r="AF67">
        <v>504599</v>
      </c>
      <c r="AG67">
        <v>184.6</v>
      </c>
      <c r="AH67">
        <v>186.2</v>
      </c>
      <c r="AK67" t="s">
        <v>206</v>
      </c>
      <c r="AV67">
        <v>299</v>
      </c>
    </row>
    <row r="68" spans="5:48" x14ac:dyDescent="0.2">
      <c r="E68" t="s">
        <v>243</v>
      </c>
      <c r="F68">
        <v>5016</v>
      </c>
      <c r="G68">
        <v>439</v>
      </c>
      <c r="H68">
        <v>11387</v>
      </c>
      <c r="I68">
        <v>411</v>
      </c>
      <c r="J68">
        <v>156</v>
      </c>
      <c r="L68">
        <v>393</v>
      </c>
      <c r="M68">
        <v>102</v>
      </c>
      <c r="N68">
        <v>594</v>
      </c>
      <c r="O68">
        <v>400</v>
      </c>
      <c r="P68">
        <v>52.6</v>
      </c>
      <c r="Q68">
        <v>5744</v>
      </c>
      <c r="T68" t="s">
        <v>252</v>
      </c>
      <c r="U68">
        <v>10719</v>
      </c>
      <c r="V68">
        <v>93.7</v>
      </c>
      <c r="W68">
        <v>0.30451</v>
      </c>
      <c r="X68">
        <v>1414</v>
      </c>
      <c r="Y68">
        <v>9783</v>
      </c>
      <c r="Z68">
        <v>168.7</v>
      </c>
      <c r="AA68">
        <v>153.1</v>
      </c>
      <c r="AB68">
        <v>10719</v>
      </c>
      <c r="AC68">
        <v>93.7</v>
      </c>
      <c r="AD68">
        <v>0.30451</v>
      </c>
      <c r="AE68">
        <v>1414</v>
      </c>
      <c r="AF68">
        <v>9783</v>
      </c>
      <c r="AG68">
        <v>168.7</v>
      </c>
      <c r="AH68">
        <v>153.1</v>
      </c>
      <c r="AK68" t="s">
        <v>421</v>
      </c>
      <c r="AV68">
        <v>297</v>
      </c>
    </row>
    <row r="69" spans="5:48" x14ac:dyDescent="0.2">
      <c r="E69" t="s">
        <v>279</v>
      </c>
      <c r="F69">
        <v>275</v>
      </c>
      <c r="G69">
        <v>139</v>
      </c>
      <c r="H69">
        <v>2194</v>
      </c>
      <c r="I69">
        <v>1940</v>
      </c>
      <c r="J69">
        <v>363</v>
      </c>
      <c r="K69">
        <v>334</v>
      </c>
      <c r="L69">
        <v>230</v>
      </c>
      <c r="M69">
        <v>213</v>
      </c>
      <c r="N69">
        <v>109</v>
      </c>
      <c r="O69">
        <v>0</v>
      </c>
      <c r="Q69">
        <v>0</v>
      </c>
      <c r="T69" t="s">
        <v>253</v>
      </c>
      <c r="U69">
        <v>18964</v>
      </c>
      <c r="V69">
        <v>61.1</v>
      </c>
      <c r="W69">
        <v>9.8339999999999997E-2</v>
      </c>
      <c r="X69">
        <v>9250</v>
      </c>
      <c r="Y69">
        <v>57938</v>
      </c>
      <c r="Z69">
        <v>66.5</v>
      </c>
      <c r="AA69">
        <v>65.400000000000006</v>
      </c>
      <c r="AB69">
        <v>18964</v>
      </c>
      <c r="AC69">
        <v>61.1</v>
      </c>
      <c r="AD69">
        <v>9.8339999999999997E-2</v>
      </c>
      <c r="AE69">
        <v>9250</v>
      </c>
      <c r="AF69">
        <v>57938</v>
      </c>
      <c r="AG69">
        <v>66.5</v>
      </c>
      <c r="AH69">
        <v>65.400000000000006</v>
      </c>
      <c r="AK69" t="s">
        <v>210</v>
      </c>
      <c r="AV69">
        <v>1021</v>
      </c>
    </row>
    <row r="70" spans="5:48" x14ac:dyDescent="0.2">
      <c r="E70" t="s">
        <v>245</v>
      </c>
      <c r="F70">
        <v>9170</v>
      </c>
      <c r="G70">
        <v>921</v>
      </c>
      <c r="H70">
        <v>20210</v>
      </c>
      <c r="I70">
        <v>3577</v>
      </c>
      <c r="J70">
        <v>5682</v>
      </c>
      <c r="K70">
        <v>5620</v>
      </c>
      <c r="L70">
        <v>2335</v>
      </c>
      <c r="M70">
        <v>264</v>
      </c>
      <c r="N70">
        <v>1372</v>
      </c>
      <c r="O70">
        <v>1828</v>
      </c>
      <c r="P70">
        <v>83.6</v>
      </c>
      <c r="Q70">
        <v>13112</v>
      </c>
      <c r="T70" t="s">
        <v>254</v>
      </c>
      <c r="U70">
        <v>9470</v>
      </c>
      <c r="V70">
        <v>90.7</v>
      </c>
      <c r="W70">
        <v>0.28448000000000001</v>
      </c>
      <c r="X70">
        <v>1532</v>
      </c>
      <c r="Y70">
        <v>9999</v>
      </c>
      <c r="Z70">
        <v>148.9</v>
      </c>
      <c r="AA70">
        <v>132.6</v>
      </c>
      <c r="AB70">
        <v>9470</v>
      </c>
      <c r="AC70">
        <v>90.7</v>
      </c>
      <c r="AD70">
        <v>0.28448000000000001</v>
      </c>
      <c r="AE70">
        <v>1532</v>
      </c>
      <c r="AF70">
        <v>9999</v>
      </c>
      <c r="AG70">
        <v>148.9</v>
      </c>
      <c r="AH70">
        <v>132.6</v>
      </c>
      <c r="AK70" t="s">
        <v>415</v>
      </c>
      <c r="AV70">
        <v>44983</v>
      </c>
    </row>
    <row r="71" spans="5:48" x14ac:dyDescent="0.2">
      <c r="E71" t="s">
        <v>251</v>
      </c>
      <c r="F71">
        <v>5556</v>
      </c>
      <c r="G71">
        <v>259</v>
      </c>
      <c r="H71">
        <v>14725</v>
      </c>
      <c r="I71">
        <v>166</v>
      </c>
      <c r="J71">
        <v>118</v>
      </c>
      <c r="K71">
        <v>101</v>
      </c>
      <c r="L71">
        <v>127</v>
      </c>
      <c r="M71">
        <v>37</v>
      </c>
      <c r="N71">
        <v>3774</v>
      </c>
      <c r="O71">
        <v>1537</v>
      </c>
      <c r="P71">
        <v>53.8</v>
      </c>
      <c r="Q71">
        <v>7690</v>
      </c>
      <c r="T71" t="s">
        <v>255</v>
      </c>
      <c r="U71">
        <v>449706</v>
      </c>
      <c r="V71">
        <v>150.30000000000001</v>
      </c>
      <c r="W71">
        <v>0.4819</v>
      </c>
      <c r="X71">
        <v>68922</v>
      </c>
      <c r="Y71">
        <v>426879</v>
      </c>
      <c r="Z71">
        <v>201.6</v>
      </c>
      <c r="AA71">
        <v>204.7</v>
      </c>
      <c r="AB71">
        <v>449706</v>
      </c>
      <c r="AC71">
        <v>150.30000000000001</v>
      </c>
      <c r="AD71">
        <v>0.4819</v>
      </c>
      <c r="AE71">
        <v>68922</v>
      </c>
      <c r="AF71">
        <v>426879</v>
      </c>
      <c r="AG71">
        <v>201.6</v>
      </c>
      <c r="AH71">
        <v>204.7</v>
      </c>
      <c r="AK71" t="s">
        <v>7</v>
      </c>
      <c r="AL71">
        <v>198532</v>
      </c>
      <c r="AM71">
        <v>407.7</v>
      </c>
      <c r="AN71">
        <v>20040</v>
      </c>
      <c r="AO71">
        <v>59685</v>
      </c>
      <c r="AP71">
        <v>634.20000000000005</v>
      </c>
      <c r="AQ71">
        <v>21526</v>
      </c>
      <c r="AR71">
        <v>547.20000000000005</v>
      </c>
      <c r="AS71">
        <v>12931</v>
      </c>
      <c r="AT71">
        <v>175</v>
      </c>
      <c r="AU71">
        <v>435</v>
      </c>
      <c r="AV71">
        <v>293109</v>
      </c>
    </row>
    <row r="72" spans="5:48" x14ac:dyDescent="0.2">
      <c r="E72" t="s">
        <v>253</v>
      </c>
      <c r="F72">
        <v>20017</v>
      </c>
      <c r="G72">
        <v>1758</v>
      </c>
      <c r="H72">
        <v>48516</v>
      </c>
      <c r="I72">
        <v>6094</v>
      </c>
      <c r="J72">
        <v>6319</v>
      </c>
      <c r="K72">
        <v>6055</v>
      </c>
      <c r="L72">
        <v>3085</v>
      </c>
      <c r="M72">
        <v>616</v>
      </c>
      <c r="N72">
        <v>5849</v>
      </c>
      <c r="O72">
        <v>3765</v>
      </c>
      <c r="P72">
        <v>68.3</v>
      </c>
      <c r="Q72">
        <v>26546</v>
      </c>
      <c r="T72" t="s">
        <v>93</v>
      </c>
      <c r="U72">
        <v>22672</v>
      </c>
      <c r="V72">
        <v>152.19999999999999</v>
      </c>
      <c r="W72">
        <v>0.48580000000000001</v>
      </c>
      <c r="X72">
        <v>3384</v>
      </c>
      <c r="Y72">
        <v>19969</v>
      </c>
      <c r="Z72">
        <v>200</v>
      </c>
      <c r="AA72">
        <v>206.7</v>
      </c>
      <c r="AB72">
        <v>21928</v>
      </c>
      <c r="AC72">
        <v>153.69999999999999</v>
      </c>
      <c r="AD72">
        <v>0.49220000000000003</v>
      </c>
      <c r="AE72">
        <v>3336</v>
      </c>
      <c r="AF72">
        <v>20474</v>
      </c>
      <c r="AG72">
        <v>201.7</v>
      </c>
      <c r="AH72">
        <v>211.2</v>
      </c>
    </row>
    <row r="73" spans="5:48" x14ac:dyDescent="0.2">
      <c r="T73" t="s">
        <v>430</v>
      </c>
      <c r="U73">
        <v>1003</v>
      </c>
      <c r="V73">
        <v>131.80000000000001</v>
      </c>
      <c r="W73">
        <v>0.35393999999999998</v>
      </c>
      <c r="X73">
        <v>44</v>
      </c>
      <c r="Y73">
        <v>187</v>
      </c>
      <c r="Z73">
        <v>264.10000000000002</v>
      </c>
      <c r="AA73">
        <v>251.7</v>
      </c>
      <c r="AB73">
        <v>2822</v>
      </c>
      <c r="AC73">
        <v>125.8</v>
      </c>
      <c r="AD73">
        <v>0.32495000000000002</v>
      </c>
      <c r="AE73">
        <v>24</v>
      </c>
      <c r="AF73">
        <v>99</v>
      </c>
      <c r="AG73">
        <v>230.9</v>
      </c>
      <c r="AH73">
        <v>242.9</v>
      </c>
    </row>
    <row r="74" spans="5:48" x14ac:dyDescent="0.2">
      <c r="T74" t="s">
        <v>152</v>
      </c>
      <c r="U74">
        <v>102025</v>
      </c>
      <c r="V74">
        <v>150.69999999999999</v>
      </c>
      <c r="W74">
        <v>0.47978999999999999</v>
      </c>
      <c r="X74">
        <v>16565</v>
      </c>
      <c r="Y74">
        <v>105180</v>
      </c>
      <c r="Z74">
        <v>189</v>
      </c>
      <c r="AA74">
        <v>193.6</v>
      </c>
      <c r="AB74">
        <v>98169</v>
      </c>
      <c r="AC74">
        <v>150.30000000000001</v>
      </c>
      <c r="AD74">
        <v>0.47805999999999998</v>
      </c>
      <c r="AE74">
        <v>16095</v>
      </c>
      <c r="AF74">
        <v>101870</v>
      </c>
      <c r="AG74">
        <v>187.4</v>
      </c>
      <c r="AH74">
        <v>193.1</v>
      </c>
    </row>
    <row r="75" spans="5:48" x14ac:dyDescent="0.2">
      <c r="T75" t="s">
        <v>256</v>
      </c>
      <c r="U75">
        <v>533</v>
      </c>
      <c r="V75">
        <v>149.4</v>
      </c>
      <c r="W75">
        <v>0.52532999999999996</v>
      </c>
      <c r="X75">
        <v>107</v>
      </c>
      <c r="Y75">
        <v>565</v>
      </c>
      <c r="Z75">
        <v>223.5</v>
      </c>
      <c r="AA75">
        <v>170</v>
      </c>
      <c r="AB75">
        <v>778</v>
      </c>
      <c r="AC75">
        <v>162.80000000000001</v>
      </c>
      <c r="AD75">
        <v>0.56040999999999996</v>
      </c>
      <c r="AE75">
        <v>157</v>
      </c>
      <c r="AF75">
        <v>847</v>
      </c>
      <c r="AG75">
        <v>244.7</v>
      </c>
      <c r="AH75">
        <v>203</v>
      </c>
    </row>
    <row r="76" spans="5:48" x14ac:dyDescent="0.2">
      <c r="T76" t="s">
        <v>95</v>
      </c>
      <c r="U76">
        <v>3201</v>
      </c>
      <c r="V76">
        <v>121.3</v>
      </c>
      <c r="W76">
        <v>0.39144000000000001</v>
      </c>
      <c r="X76">
        <v>563</v>
      </c>
      <c r="Y76">
        <v>2945</v>
      </c>
      <c r="Z76">
        <v>196</v>
      </c>
      <c r="AA76">
        <v>198.4</v>
      </c>
      <c r="AB76">
        <v>3126</v>
      </c>
      <c r="AC76">
        <v>120.6</v>
      </c>
      <c r="AD76">
        <v>0.38163999999999998</v>
      </c>
      <c r="AE76">
        <v>549</v>
      </c>
      <c r="AF76">
        <v>2949</v>
      </c>
      <c r="AG76">
        <v>197.7</v>
      </c>
      <c r="AH76">
        <v>199.9</v>
      </c>
    </row>
    <row r="77" spans="5:48" x14ac:dyDescent="0.2">
      <c r="P77" s="17"/>
      <c r="Q77" s="17"/>
      <c r="R77" s="17"/>
      <c r="S77" s="17"/>
      <c r="T77" t="s">
        <v>96</v>
      </c>
      <c r="U77">
        <v>1293</v>
      </c>
      <c r="V77">
        <v>157.19999999999999</v>
      </c>
      <c r="W77">
        <v>0.53519000000000005</v>
      </c>
      <c r="X77">
        <v>145</v>
      </c>
      <c r="Y77">
        <v>955</v>
      </c>
      <c r="Z77">
        <v>219.5</v>
      </c>
      <c r="AA77">
        <v>237.8</v>
      </c>
      <c r="AB77">
        <v>1017</v>
      </c>
      <c r="AC77">
        <v>168.4</v>
      </c>
      <c r="AD77">
        <v>0.56637000000000004</v>
      </c>
      <c r="AE77">
        <v>126</v>
      </c>
      <c r="AF77">
        <v>852</v>
      </c>
      <c r="AG77">
        <v>216.5</v>
      </c>
      <c r="AH77">
        <v>226</v>
      </c>
    </row>
    <row r="78" spans="5:48" x14ac:dyDescent="0.2">
      <c r="T78" t="s">
        <v>257</v>
      </c>
      <c r="U78">
        <v>25625</v>
      </c>
      <c r="V78">
        <v>150.69999999999999</v>
      </c>
      <c r="W78">
        <v>0.47719</v>
      </c>
      <c r="X78">
        <v>3437</v>
      </c>
      <c r="Y78">
        <v>20024</v>
      </c>
      <c r="Z78">
        <v>231</v>
      </c>
      <c r="AA78">
        <v>225.8</v>
      </c>
      <c r="AB78">
        <v>18258</v>
      </c>
      <c r="AC78">
        <v>159.1</v>
      </c>
      <c r="AD78">
        <v>0.49621999999999999</v>
      </c>
      <c r="AE78">
        <v>2548</v>
      </c>
      <c r="AF78">
        <v>15856</v>
      </c>
      <c r="AG78">
        <v>243.7</v>
      </c>
      <c r="AH78">
        <v>230.4</v>
      </c>
    </row>
    <row r="79" spans="5:48" x14ac:dyDescent="0.2">
      <c r="T79" t="s">
        <v>258</v>
      </c>
      <c r="U79">
        <v>3839</v>
      </c>
      <c r="V79">
        <v>88.5</v>
      </c>
      <c r="W79">
        <v>0.26439000000000001</v>
      </c>
      <c r="X79">
        <v>424</v>
      </c>
      <c r="Y79">
        <v>3582</v>
      </c>
      <c r="Z79">
        <v>150.80000000000001</v>
      </c>
      <c r="AA79">
        <v>105.4</v>
      </c>
      <c r="AB79">
        <v>4509</v>
      </c>
      <c r="AC79">
        <v>81.400000000000006</v>
      </c>
      <c r="AD79">
        <v>0.22777</v>
      </c>
      <c r="AE79">
        <v>422</v>
      </c>
      <c r="AF79">
        <v>3582</v>
      </c>
      <c r="AG79">
        <v>151.1</v>
      </c>
      <c r="AH79">
        <v>105.3</v>
      </c>
    </row>
    <row r="80" spans="5:48" x14ac:dyDescent="0.2">
      <c r="T80" t="s">
        <v>259</v>
      </c>
      <c r="U80">
        <v>3788</v>
      </c>
      <c r="V80">
        <v>106.7</v>
      </c>
      <c r="W80">
        <v>0.38596000000000003</v>
      </c>
      <c r="X80">
        <v>593</v>
      </c>
      <c r="Y80">
        <v>4419</v>
      </c>
      <c r="Z80">
        <v>165.1</v>
      </c>
      <c r="AA80">
        <v>144.9</v>
      </c>
      <c r="AB80">
        <v>4599</v>
      </c>
      <c r="AC80">
        <v>97</v>
      </c>
      <c r="AD80">
        <v>0.32485000000000003</v>
      </c>
      <c r="AE80">
        <v>609</v>
      </c>
      <c r="AF80">
        <v>4452</v>
      </c>
      <c r="AG80">
        <v>164.5</v>
      </c>
      <c r="AH80">
        <v>144.69999999999999</v>
      </c>
      <c r="AI80" s="17"/>
      <c r="AJ80" s="17"/>
    </row>
    <row r="81" spans="3:34" x14ac:dyDescent="0.2">
      <c r="T81" s="17"/>
      <c r="U81" s="17"/>
      <c r="V81" s="17"/>
      <c r="W81" s="17"/>
      <c r="X81" s="17"/>
      <c r="Y81" s="17"/>
      <c r="Z81" s="17"/>
      <c r="AA81" s="17"/>
      <c r="AB81" s="17"/>
      <c r="AC81" s="17"/>
      <c r="AD81" s="17"/>
      <c r="AE81" s="17"/>
      <c r="AF81" s="17"/>
      <c r="AG81" s="17"/>
      <c r="AH81" s="17"/>
    </row>
    <row r="83" spans="3:34" x14ac:dyDescent="0.2">
      <c r="C83" s="17"/>
      <c r="D83" s="17"/>
      <c r="E83" s="17"/>
      <c r="F83" s="17"/>
      <c r="G83" s="17"/>
      <c r="H83" s="17"/>
      <c r="I83" s="17"/>
      <c r="J83" s="17"/>
      <c r="K83" s="17"/>
      <c r="L83" s="17"/>
      <c r="M83" s="17"/>
      <c r="N83" s="17"/>
      <c r="O83" s="17"/>
    </row>
    <row r="113" spans="1:37" x14ac:dyDescent="0.2">
      <c r="D113" s="300"/>
    </row>
    <row r="114" spans="1:37" x14ac:dyDescent="0.2">
      <c r="A114" s="299" t="s">
        <v>454</v>
      </c>
      <c r="B114" s="300"/>
      <c r="C114" s="300"/>
      <c r="D114" s="300"/>
    </row>
    <row r="115" spans="1:37" ht="13.5" thickBot="1" x14ac:dyDescent="0.25">
      <c r="A115" s="298" t="s">
        <v>449</v>
      </c>
      <c r="B115" s="298" t="s">
        <v>450</v>
      </c>
      <c r="C115" s="298" t="s">
        <v>451</v>
      </c>
      <c r="D115" s="298" t="s">
        <v>452</v>
      </c>
      <c r="E115" s="298" t="s">
        <v>453</v>
      </c>
    </row>
    <row r="116" spans="1:37" ht="13.5" thickBot="1" x14ac:dyDescent="0.25">
      <c r="A116" s="296" t="s">
        <v>264</v>
      </c>
      <c r="B116" s="297"/>
      <c r="C116" s="297"/>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H124" s="37"/>
      <c r="I124" s="37"/>
      <c r="J124" s="37"/>
      <c r="K124" s="37"/>
      <c r="L124" s="37"/>
      <c r="M124" s="37"/>
      <c r="N124" s="37"/>
      <c r="O124" s="37"/>
      <c r="P124" s="37"/>
      <c r="Q124" s="37"/>
      <c r="R124" s="37"/>
      <c r="S124" s="37"/>
    </row>
    <row r="125" spans="1:37" ht="21" customHeight="1" x14ac:dyDescent="0.2">
      <c r="A125" s="37"/>
      <c r="B125" s="37"/>
      <c r="C125" s="37"/>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601" t="s">
        <v>455</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41"/>
      <c r="AC1" s="37"/>
      <c r="AD1" s="577" t="s">
        <v>456</v>
      </c>
      <c r="AE1" s="577"/>
      <c r="AF1" s="577"/>
      <c r="AG1" s="577"/>
      <c r="AH1" s="577"/>
      <c r="AI1" s="577"/>
      <c r="AJ1" s="577"/>
      <c r="AK1" s="577"/>
      <c r="AL1" s="577"/>
      <c r="AM1" s="577"/>
      <c r="AN1" s="577"/>
      <c r="AO1" s="577"/>
      <c r="AP1" s="577"/>
      <c r="AQ1" s="577"/>
    </row>
    <row r="2" spans="1:43" ht="13.5" customHeight="1" thickBot="1" x14ac:dyDescent="0.25">
      <c r="A2" s="37"/>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41"/>
      <c r="AC2" s="37"/>
      <c r="AD2" s="577"/>
      <c r="AE2" s="577"/>
      <c r="AF2" s="577"/>
      <c r="AG2" s="577"/>
      <c r="AH2" s="577"/>
      <c r="AI2" s="577"/>
      <c r="AJ2" s="577"/>
      <c r="AK2" s="577"/>
      <c r="AL2" s="577"/>
      <c r="AM2" s="577"/>
      <c r="AN2" s="577"/>
      <c r="AO2" s="577"/>
      <c r="AP2" s="577"/>
      <c r="AQ2" s="577"/>
    </row>
    <row r="3" spans="1:43" ht="21" thickTop="1" x14ac:dyDescent="0.2">
      <c r="A3" s="37"/>
      <c r="B3" s="599" t="s">
        <v>458</v>
      </c>
      <c r="C3" s="600"/>
      <c r="D3" s="600"/>
      <c r="E3" s="600"/>
      <c r="F3" s="606" t="s">
        <v>436</v>
      </c>
      <c r="G3" s="606"/>
      <c r="H3" s="606"/>
      <c r="I3" s="606"/>
      <c r="J3" s="606"/>
      <c r="K3" s="606"/>
      <c r="L3" s="606"/>
      <c r="M3" s="606"/>
      <c r="N3" s="607"/>
      <c r="O3" s="41"/>
      <c r="P3" s="599" t="s">
        <v>458</v>
      </c>
      <c r="Q3" s="600"/>
      <c r="R3" s="600"/>
      <c r="S3" s="600"/>
      <c r="T3" s="606" t="s">
        <v>437</v>
      </c>
      <c r="U3" s="606"/>
      <c r="V3" s="606"/>
      <c r="W3" s="606"/>
      <c r="X3" s="606"/>
      <c r="Y3" s="606"/>
      <c r="Z3" s="606"/>
      <c r="AA3" s="606"/>
      <c r="AB3" s="607"/>
      <c r="AC3" s="37"/>
      <c r="AF3" s="582" t="s">
        <v>220</v>
      </c>
      <c r="AG3" s="583"/>
      <c r="AH3" s="584"/>
      <c r="AI3" s="582" t="s">
        <v>221</v>
      </c>
      <c r="AJ3" s="583"/>
      <c r="AK3" s="584"/>
      <c r="AL3" s="582" t="s">
        <v>219</v>
      </c>
      <c r="AM3" s="583"/>
      <c r="AN3" s="584"/>
      <c r="AO3" s="582" t="s">
        <v>218</v>
      </c>
      <c r="AP3" s="583"/>
      <c r="AQ3" s="588"/>
    </row>
    <row r="4" spans="1:43" ht="13.5" customHeight="1" thickBot="1" x14ac:dyDescent="0.25">
      <c r="A4" s="37"/>
      <c r="B4" s="319"/>
      <c r="C4" s="591" t="s">
        <v>459</v>
      </c>
      <c r="D4" s="592"/>
      <c r="E4" s="602" t="s">
        <v>439</v>
      </c>
      <c r="F4" s="602"/>
      <c r="G4" s="602"/>
      <c r="H4" s="326"/>
      <c r="I4" s="326"/>
      <c r="J4" s="326"/>
      <c r="K4" s="602" t="s">
        <v>438</v>
      </c>
      <c r="L4" s="602"/>
      <c r="M4" s="603"/>
      <c r="N4" s="320"/>
      <c r="O4" s="41"/>
      <c r="P4" s="319"/>
      <c r="Q4" s="591" t="s">
        <v>459</v>
      </c>
      <c r="R4" s="592"/>
      <c r="S4" s="602" t="s">
        <v>439</v>
      </c>
      <c r="T4" s="602"/>
      <c r="U4" s="602"/>
      <c r="V4" s="326"/>
      <c r="W4" s="326"/>
      <c r="X4" s="326"/>
      <c r="Y4" s="602" t="s">
        <v>217</v>
      </c>
      <c r="Z4" s="602"/>
      <c r="AA4" s="603"/>
      <c r="AB4" s="320"/>
      <c r="AC4" s="37"/>
      <c r="AD4" s="590"/>
      <c r="AE4" s="590"/>
      <c r="AF4" s="585"/>
      <c r="AG4" s="586"/>
      <c r="AH4" s="587"/>
      <c r="AI4" s="585"/>
      <c r="AJ4" s="586"/>
      <c r="AK4" s="587"/>
      <c r="AL4" s="585"/>
      <c r="AM4" s="586"/>
      <c r="AN4" s="587"/>
      <c r="AO4" s="585"/>
      <c r="AP4" s="586"/>
      <c r="AQ4" s="589"/>
    </row>
    <row r="5" spans="1:43" ht="12.75" customHeight="1" thickBot="1" x14ac:dyDescent="0.25">
      <c r="A5" s="37"/>
      <c r="B5" s="316"/>
      <c r="C5" s="595" t="s">
        <v>460</v>
      </c>
      <c r="D5" s="596"/>
      <c r="E5" s="578" t="s">
        <v>221</v>
      </c>
      <c r="F5" s="578"/>
      <c r="G5" s="578"/>
      <c r="H5" s="327"/>
      <c r="I5" s="327"/>
      <c r="J5" s="327"/>
      <c r="K5" s="578" t="s">
        <v>220</v>
      </c>
      <c r="L5" s="578"/>
      <c r="M5" s="580"/>
      <c r="N5" s="312"/>
      <c r="O5" s="37"/>
      <c r="P5" s="316"/>
      <c r="Q5" s="604" t="s">
        <v>460</v>
      </c>
      <c r="R5" s="605"/>
      <c r="S5" s="578" t="s">
        <v>219</v>
      </c>
      <c r="T5" s="578"/>
      <c r="U5" s="578"/>
      <c r="V5" s="327"/>
      <c r="W5" s="327"/>
      <c r="X5" s="327"/>
      <c r="Y5" s="578" t="s">
        <v>218</v>
      </c>
      <c r="Z5" s="578"/>
      <c r="AA5" s="580"/>
      <c r="AB5" s="312"/>
      <c r="AC5" s="37"/>
      <c r="AD5" s="307"/>
      <c r="AE5" s="307"/>
      <c r="AF5" s="374"/>
      <c r="AG5" s="330"/>
      <c r="AH5" s="375"/>
      <c r="AI5" s="330"/>
      <c r="AJ5" s="330"/>
      <c r="AK5" s="330"/>
      <c r="AL5" s="374"/>
      <c r="AM5" s="330"/>
      <c r="AN5" s="375"/>
      <c r="AO5" s="330"/>
      <c r="AP5" s="330"/>
      <c r="AQ5" s="331"/>
    </row>
    <row r="6" spans="1:43" ht="13.5" thickTop="1" x14ac:dyDescent="0.2">
      <c r="A6" s="37"/>
      <c r="B6" s="316"/>
      <c r="C6" s="597"/>
      <c r="D6" s="598"/>
      <c r="E6" s="579"/>
      <c r="F6" s="579"/>
      <c r="G6" s="579"/>
      <c r="H6" s="329"/>
      <c r="I6" s="329"/>
      <c r="J6" s="329"/>
      <c r="K6" s="579"/>
      <c r="L6" s="579"/>
      <c r="M6" s="581"/>
      <c r="N6" s="312"/>
      <c r="O6" s="37"/>
      <c r="P6" s="316"/>
      <c r="Q6" s="328"/>
      <c r="R6" s="329"/>
      <c r="S6" s="579"/>
      <c r="T6" s="579"/>
      <c r="U6" s="579"/>
      <c r="V6" s="329"/>
      <c r="W6" s="329"/>
      <c r="X6" s="329"/>
      <c r="Y6" s="579"/>
      <c r="Z6" s="579"/>
      <c r="AA6" s="581"/>
      <c r="AB6" s="312"/>
      <c r="AC6" s="37"/>
      <c r="AD6" s="341"/>
      <c r="AE6" s="366"/>
      <c r="AF6" s="376" t="s">
        <v>158</v>
      </c>
      <c r="AG6" s="343" t="s">
        <v>156</v>
      </c>
      <c r="AH6" s="377" t="s">
        <v>157</v>
      </c>
      <c r="AI6" s="342" t="s">
        <v>158</v>
      </c>
      <c r="AJ6" s="343" t="s">
        <v>156</v>
      </c>
      <c r="AK6" s="393" t="s">
        <v>157</v>
      </c>
      <c r="AL6" s="376" t="s">
        <v>158</v>
      </c>
      <c r="AM6" s="343" t="s">
        <v>156</v>
      </c>
      <c r="AN6" s="377" t="s">
        <v>157</v>
      </c>
      <c r="AO6" s="342" t="s">
        <v>158</v>
      </c>
      <c r="AP6" s="343" t="s">
        <v>156</v>
      </c>
      <c r="AQ6" s="344" t="s">
        <v>157</v>
      </c>
    </row>
    <row r="7" spans="1:43" ht="13.5" thickBot="1" x14ac:dyDescent="0.25">
      <c r="A7" s="37"/>
      <c r="B7" s="316"/>
      <c r="C7" s="593" t="s">
        <v>461</v>
      </c>
      <c r="D7" s="594"/>
      <c r="E7" s="594"/>
      <c r="F7" s="594"/>
      <c r="G7" s="594"/>
      <c r="H7" s="37"/>
      <c r="I7" s="593" t="s">
        <v>461</v>
      </c>
      <c r="J7" s="594"/>
      <c r="K7" s="594"/>
      <c r="L7" s="594"/>
      <c r="M7" s="594"/>
      <c r="N7" s="312"/>
      <c r="O7" s="37"/>
      <c r="P7" s="316"/>
      <c r="Q7" s="593" t="s">
        <v>461</v>
      </c>
      <c r="R7" s="594"/>
      <c r="S7" s="594"/>
      <c r="T7" s="594"/>
      <c r="U7" s="594"/>
      <c r="V7" s="37"/>
      <c r="W7" s="593" t="s">
        <v>461</v>
      </c>
      <c r="X7" s="594"/>
      <c r="Y7" s="594"/>
      <c r="Z7" s="594"/>
      <c r="AA7" s="594"/>
      <c r="AB7" s="312"/>
      <c r="AC7" s="37"/>
      <c r="AD7" s="345" t="s">
        <v>7</v>
      </c>
      <c r="AE7" s="367" t="s">
        <v>214</v>
      </c>
      <c r="AF7" s="378">
        <v>0.96220000000000006</v>
      </c>
      <c r="AG7" s="278">
        <v>570</v>
      </c>
      <c r="AH7" s="379">
        <v>15089</v>
      </c>
      <c r="AI7" s="304">
        <v>0.91549999999999998</v>
      </c>
      <c r="AJ7" s="278">
        <v>296</v>
      </c>
      <c r="AK7" s="394">
        <v>3503</v>
      </c>
      <c r="AL7" s="378">
        <v>0.90890000000000004</v>
      </c>
      <c r="AM7" s="278">
        <v>1309</v>
      </c>
      <c r="AN7" s="379">
        <v>14372</v>
      </c>
      <c r="AO7" s="304">
        <v>0.92310000000000003</v>
      </c>
      <c r="AP7" s="278">
        <v>1072</v>
      </c>
      <c r="AQ7" s="346">
        <v>13939</v>
      </c>
    </row>
    <row r="8" spans="1:43" ht="13.5" thickTop="1" x14ac:dyDescent="0.2">
      <c r="A8" s="37"/>
      <c r="B8" s="316"/>
      <c r="C8" s="407"/>
      <c r="D8" s="408"/>
      <c r="E8" s="409" t="s">
        <v>156</v>
      </c>
      <c r="F8" s="410" t="s">
        <v>157</v>
      </c>
      <c r="G8" s="411" t="s">
        <v>158</v>
      </c>
      <c r="H8" s="37"/>
      <c r="I8" s="420"/>
      <c r="J8" s="421"/>
      <c r="K8" s="422" t="s">
        <v>156</v>
      </c>
      <c r="L8" s="421" t="s">
        <v>157</v>
      </c>
      <c r="M8" s="423" t="s">
        <v>158</v>
      </c>
      <c r="N8" s="313"/>
      <c r="O8" s="37"/>
      <c r="P8" s="316"/>
      <c r="Q8" s="420"/>
      <c r="R8" s="421"/>
      <c r="S8" s="422" t="s">
        <v>156</v>
      </c>
      <c r="T8" s="421" t="s">
        <v>157</v>
      </c>
      <c r="U8" s="423" t="s">
        <v>158</v>
      </c>
      <c r="V8" s="37"/>
      <c r="W8" s="420"/>
      <c r="X8" s="421"/>
      <c r="Y8" s="422" t="s">
        <v>156</v>
      </c>
      <c r="Z8" s="421" t="s">
        <v>157</v>
      </c>
      <c r="AA8" s="423" t="s">
        <v>158</v>
      </c>
      <c r="AB8" s="313"/>
      <c r="AC8" s="37"/>
      <c r="AD8" s="347" t="s">
        <v>19</v>
      </c>
      <c r="AE8" s="280"/>
      <c r="AF8" s="380">
        <v>0.95624029000517863</v>
      </c>
      <c r="AG8" s="281">
        <v>169</v>
      </c>
      <c r="AH8" s="381">
        <v>3862</v>
      </c>
      <c r="AI8" s="368">
        <v>0.91120080726538855</v>
      </c>
      <c r="AJ8" s="281">
        <v>88</v>
      </c>
      <c r="AK8" s="395">
        <v>991</v>
      </c>
      <c r="AL8" s="380">
        <v>0.90029688273132114</v>
      </c>
      <c r="AM8" s="281">
        <v>403</v>
      </c>
      <c r="AN8" s="381">
        <v>4042</v>
      </c>
      <c r="AO8" s="368">
        <v>0.90366972477064222</v>
      </c>
      <c r="AP8" s="281">
        <v>378</v>
      </c>
      <c r="AQ8" s="348">
        <v>3924</v>
      </c>
    </row>
    <row r="9" spans="1:43" x14ac:dyDescent="0.2">
      <c r="A9" s="37"/>
      <c r="B9" s="316"/>
      <c r="C9" s="412" t="s">
        <v>48</v>
      </c>
      <c r="D9" s="413" t="s">
        <v>159</v>
      </c>
      <c r="E9" s="414">
        <v>6</v>
      </c>
      <c r="F9" s="414">
        <v>60</v>
      </c>
      <c r="G9" s="415">
        <v>0.9</v>
      </c>
      <c r="H9" s="37"/>
      <c r="I9" s="412" t="s">
        <v>48</v>
      </c>
      <c r="J9" s="413" t="s">
        <v>159</v>
      </c>
      <c r="K9" s="424">
        <v>8</v>
      </c>
      <c r="L9" s="424">
        <v>207</v>
      </c>
      <c r="M9" s="425">
        <v>0.96140000000000003</v>
      </c>
      <c r="N9" s="314"/>
      <c r="O9" s="37"/>
      <c r="P9" s="316"/>
      <c r="Q9" s="412" t="s">
        <v>48</v>
      </c>
      <c r="R9" s="413" t="s">
        <v>159</v>
      </c>
      <c r="S9" s="424">
        <v>14</v>
      </c>
      <c r="T9" s="424">
        <v>249</v>
      </c>
      <c r="U9" s="425">
        <v>0.94379999999999997</v>
      </c>
      <c r="V9" s="37"/>
      <c r="W9" s="412" t="s">
        <v>48</v>
      </c>
      <c r="X9" s="413" t="s">
        <v>159</v>
      </c>
      <c r="Y9" s="424">
        <v>26</v>
      </c>
      <c r="Z9" s="424">
        <v>252</v>
      </c>
      <c r="AA9" s="425">
        <v>0.89680000000000004</v>
      </c>
      <c r="AB9" s="314"/>
      <c r="AC9" s="37"/>
      <c r="AD9" s="349" t="s">
        <v>46</v>
      </c>
      <c r="AE9" s="282" t="s">
        <v>166</v>
      </c>
      <c r="AF9" s="382">
        <v>0.9476</v>
      </c>
      <c r="AG9" s="283">
        <v>10</v>
      </c>
      <c r="AH9" s="383">
        <v>191</v>
      </c>
      <c r="AI9" s="369">
        <v>0.8871</v>
      </c>
      <c r="AJ9" s="283">
        <v>7</v>
      </c>
      <c r="AK9" s="396">
        <v>62</v>
      </c>
      <c r="AL9" s="382">
        <v>0.81889999999999996</v>
      </c>
      <c r="AM9" s="283">
        <v>46</v>
      </c>
      <c r="AN9" s="383">
        <v>254</v>
      </c>
      <c r="AO9" s="369">
        <v>0.84619999999999995</v>
      </c>
      <c r="AP9" s="283">
        <v>36</v>
      </c>
      <c r="AQ9" s="350">
        <v>234</v>
      </c>
    </row>
    <row r="10" spans="1:43" x14ac:dyDescent="0.2">
      <c r="A10" s="37"/>
      <c r="B10" s="316"/>
      <c r="C10" s="412" t="s">
        <v>81</v>
      </c>
      <c r="D10" s="413" t="s">
        <v>160</v>
      </c>
      <c r="E10" s="414">
        <v>4</v>
      </c>
      <c r="F10" s="414">
        <v>64</v>
      </c>
      <c r="G10" s="415">
        <v>0.9375</v>
      </c>
      <c r="H10" s="37"/>
      <c r="I10" s="412" t="s">
        <v>81</v>
      </c>
      <c r="J10" s="413" t="s">
        <v>160</v>
      </c>
      <c r="K10" s="424">
        <v>4</v>
      </c>
      <c r="L10" s="424">
        <v>258</v>
      </c>
      <c r="M10" s="425">
        <v>0.98450000000000004</v>
      </c>
      <c r="N10" s="314"/>
      <c r="O10" s="37"/>
      <c r="P10" s="316"/>
      <c r="Q10" s="412" t="s">
        <v>81</v>
      </c>
      <c r="R10" s="413" t="s">
        <v>160</v>
      </c>
      <c r="S10" s="424">
        <v>16</v>
      </c>
      <c r="T10" s="424">
        <v>283</v>
      </c>
      <c r="U10" s="425">
        <v>0.94350000000000001</v>
      </c>
      <c r="V10" s="37"/>
      <c r="W10" s="412" t="s">
        <v>81</v>
      </c>
      <c r="X10" s="413" t="s">
        <v>160</v>
      </c>
      <c r="Y10" s="424">
        <v>22</v>
      </c>
      <c r="Z10" s="424">
        <v>265</v>
      </c>
      <c r="AA10" s="425">
        <v>0.91700000000000004</v>
      </c>
      <c r="AB10" s="314"/>
      <c r="AC10" s="37"/>
      <c r="AD10" s="349" t="s">
        <v>48</v>
      </c>
      <c r="AE10" s="282" t="s">
        <v>159</v>
      </c>
      <c r="AF10" s="382">
        <v>0.96140000000000003</v>
      </c>
      <c r="AG10" s="283">
        <v>8</v>
      </c>
      <c r="AH10" s="383">
        <v>207</v>
      </c>
      <c r="AI10" s="369">
        <v>0.9</v>
      </c>
      <c r="AJ10" s="283">
        <v>6</v>
      </c>
      <c r="AK10" s="396">
        <v>60</v>
      </c>
      <c r="AL10" s="382">
        <v>0.94379999999999997</v>
      </c>
      <c r="AM10" s="283">
        <v>14</v>
      </c>
      <c r="AN10" s="383">
        <v>249</v>
      </c>
      <c r="AO10" s="369">
        <v>0.89680000000000004</v>
      </c>
      <c r="AP10" s="283">
        <v>26</v>
      </c>
      <c r="AQ10" s="350">
        <v>252</v>
      </c>
    </row>
    <row r="11" spans="1:43" x14ac:dyDescent="0.2">
      <c r="A11" s="37"/>
      <c r="B11" s="316"/>
      <c r="C11" s="412" t="s">
        <v>74</v>
      </c>
      <c r="D11" s="413" t="s">
        <v>161</v>
      </c>
      <c r="E11" s="414">
        <v>6</v>
      </c>
      <c r="F11" s="414">
        <v>61</v>
      </c>
      <c r="G11" s="415">
        <v>0.90159999999999996</v>
      </c>
      <c r="H11" s="37"/>
      <c r="I11" s="412" t="s">
        <v>74</v>
      </c>
      <c r="J11" s="413" t="s">
        <v>161</v>
      </c>
      <c r="K11" s="424">
        <v>18</v>
      </c>
      <c r="L11" s="424">
        <v>284</v>
      </c>
      <c r="M11" s="425">
        <v>0.93659999999999999</v>
      </c>
      <c r="N11" s="314"/>
      <c r="O11" s="37"/>
      <c r="P11" s="316"/>
      <c r="Q11" s="412" t="s">
        <v>74</v>
      </c>
      <c r="R11" s="413" t="s">
        <v>161</v>
      </c>
      <c r="S11" s="424">
        <v>19</v>
      </c>
      <c r="T11" s="424">
        <v>247</v>
      </c>
      <c r="U11" s="425">
        <v>0.92310000000000003</v>
      </c>
      <c r="V11" s="37"/>
      <c r="W11" s="412" t="s">
        <v>74</v>
      </c>
      <c r="X11" s="413" t="s">
        <v>161</v>
      </c>
      <c r="Y11" s="424">
        <v>25</v>
      </c>
      <c r="Z11" s="424">
        <v>234</v>
      </c>
      <c r="AA11" s="425">
        <v>0.89319999999999999</v>
      </c>
      <c r="AB11" s="314"/>
      <c r="AC11" s="37"/>
      <c r="AD11" s="349" t="s">
        <v>33</v>
      </c>
      <c r="AE11" s="282" t="s">
        <v>162</v>
      </c>
      <c r="AF11" s="382">
        <v>0.95309999999999995</v>
      </c>
      <c r="AG11" s="283">
        <v>10</v>
      </c>
      <c r="AH11" s="383">
        <v>213</v>
      </c>
      <c r="AI11" s="369">
        <v>0.89710000000000001</v>
      </c>
      <c r="AJ11" s="283">
        <v>7</v>
      </c>
      <c r="AK11" s="396">
        <v>68</v>
      </c>
      <c r="AL11" s="382">
        <v>0.89680000000000004</v>
      </c>
      <c r="AM11" s="283">
        <v>26</v>
      </c>
      <c r="AN11" s="383">
        <v>252</v>
      </c>
      <c r="AO11" s="369">
        <v>0.88429999999999997</v>
      </c>
      <c r="AP11" s="283">
        <v>28</v>
      </c>
      <c r="AQ11" s="350">
        <v>242</v>
      </c>
    </row>
    <row r="12" spans="1:43" x14ac:dyDescent="0.2">
      <c r="A12" s="37"/>
      <c r="B12" s="316"/>
      <c r="C12" s="412" t="s">
        <v>33</v>
      </c>
      <c r="D12" s="413" t="s">
        <v>162</v>
      </c>
      <c r="E12" s="414">
        <v>7</v>
      </c>
      <c r="F12" s="414">
        <v>68</v>
      </c>
      <c r="G12" s="415">
        <v>0.89710000000000001</v>
      </c>
      <c r="H12" s="37"/>
      <c r="I12" s="412" t="s">
        <v>33</v>
      </c>
      <c r="J12" s="413" t="s">
        <v>162</v>
      </c>
      <c r="K12" s="424">
        <v>10</v>
      </c>
      <c r="L12" s="424">
        <v>213</v>
      </c>
      <c r="M12" s="425">
        <v>0.95309999999999995</v>
      </c>
      <c r="N12" s="314"/>
      <c r="O12" s="37"/>
      <c r="P12" s="316"/>
      <c r="Q12" s="412" t="s">
        <v>33</v>
      </c>
      <c r="R12" s="413" t="s">
        <v>162</v>
      </c>
      <c r="S12" s="424">
        <v>26</v>
      </c>
      <c r="T12" s="424">
        <v>252</v>
      </c>
      <c r="U12" s="425">
        <v>0.89680000000000004</v>
      </c>
      <c r="V12" s="37"/>
      <c r="W12" s="412" t="s">
        <v>33</v>
      </c>
      <c r="X12" s="413" t="s">
        <v>162</v>
      </c>
      <c r="Y12" s="424">
        <v>28</v>
      </c>
      <c r="Z12" s="424">
        <v>242</v>
      </c>
      <c r="AA12" s="425">
        <v>0.88429999999999997</v>
      </c>
      <c r="AB12" s="314"/>
      <c r="AC12" s="37"/>
      <c r="AD12" s="349" t="s">
        <v>51</v>
      </c>
      <c r="AE12" s="282" t="s">
        <v>175</v>
      </c>
      <c r="AF12" s="382">
        <v>0.96909999999999996</v>
      </c>
      <c r="AG12" s="283">
        <v>8</v>
      </c>
      <c r="AH12" s="383">
        <v>259</v>
      </c>
      <c r="AI12" s="369">
        <v>0.9355</v>
      </c>
      <c r="AJ12" s="283">
        <v>4</v>
      </c>
      <c r="AK12" s="396">
        <v>62</v>
      </c>
      <c r="AL12" s="382">
        <v>0.91369999999999996</v>
      </c>
      <c r="AM12" s="283">
        <v>22</v>
      </c>
      <c r="AN12" s="383">
        <v>255</v>
      </c>
      <c r="AO12" s="369">
        <v>0.93600000000000005</v>
      </c>
      <c r="AP12" s="283">
        <v>16</v>
      </c>
      <c r="AQ12" s="350">
        <v>250</v>
      </c>
    </row>
    <row r="13" spans="1:43" x14ac:dyDescent="0.2">
      <c r="A13" s="37"/>
      <c r="B13" s="316"/>
      <c r="C13" s="412" t="s">
        <v>58</v>
      </c>
      <c r="D13" s="413" t="s">
        <v>163</v>
      </c>
      <c r="E13" s="414">
        <v>4</v>
      </c>
      <c r="F13" s="414">
        <v>64</v>
      </c>
      <c r="G13" s="415">
        <v>0.9375</v>
      </c>
      <c r="H13" s="37"/>
      <c r="I13" s="412" t="s">
        <v>58</v>
      </c>
      <c r="J13" s="413" t="s">
        <v>163</v>
      </c>
      <c r="K13" s="424">
        <v>8</v>
      </c>
      <c r="L13" s="424">
        <v>233</v>
      </c>
      <c r="M13" s="425">
        <v>0.9657</v>
      </c>
      <c r="N13" s="314"/>
      <c r="O13" s="37"/>
      <c r="P13" s="316"/>
      <c r="Q13" s="412" t="s">
        <v>58</v>
      </c>
      <c r="R13" s="413" t="s">
        <v>163</v>
      </c>
      <c r="S13" s="424">
        <v>13</v>
      </c>
      <c r="T13" s="424">
        <v>250</v>
      </c>
      <c r="U13" s="425">
        <v>0.94799999999999995</v>
      </c>
      <c r="V13" s="37"/>
      <c r="W13" s="412" t="s">
        <v>58</v>
      </c>
      <c r="X13" s="413" t="s">
        <v>163</v>
      </c>
      <c r="Y13" s="424">
        <v>10</v>
      </c>
      <c r="Z13" s="424">
        <v>245</v>
      </c>
      <c r="AA13" s="425">
        <v>0.95920000000000005</v>
      </c>
      <c r="AB13" s="314"/>
      <c r="AC13" s="37"/>
      <c r="AD13" s="349" t="s">
        <v>55</v>
      </c>
      <c r="AE13" s="282" t="s">
        <v>179</v>
      </c>
      <c r="AF13" s="382">
        <v>0.94899999999999995</v>
      </c>
      <c r="AG13" s="283">
        <v>15</v>
      </c>
      <c r="AH13" s="383">
        <v>294</v>
      </c>
      <c r="AI13" s="369">
        <v>0.92310000000000003</v>
      </c>
      <c r="AJ13" s="283">
        <v>5</v>
      </c>
      <c r="AK13" s="396">
        <v>65</v>
      </c>
      <c r="AL13" s="382">
        <v>0.89059999999999995</v>
      </c>
      <c r="AM13" s="283">
        <v>28</v>
      </c>
      <c r="AN13" s="383">
        <v>256</v>
      </c>
      <c r="AO13" s="369">
        <v>0.89680000000000004</v>
      </c>
      <c r="AP13" s="283">
        <v>26</v>
      </c>
      <c r="AQ13" s="350">
        <v>252</v>
      </c>
    </row>
    <row r="14" spans="1:43" x14ac:dyDescent="0.2">
      <c r="A14" s="37"/>
      <c r="B14" s="316"/>
      <c r="C14" s="412" t="s">
        <v>75</v>
      </c>
      <c r="D14" s="413" t="s">
        <v>164</v>
      </c>
      <c r="E14" s="414">
        <v>5</v>
      </c>
      <c r="F14" s="414">
        <v>58</v>
      </c>
      <c r="G14" s="415">
        <v>0.91379999999999995</v>
      </c>
      <c r="H14" s="37"/>
      <c r="I14" s="412" t="s">
        <v>75</v>
      </c>
      <c r="J14" s="413" t="s">
        <v>164</v>
      </c>
      <c r="K14" s="424">
        <v>13</v>
      </c>
      <c r="L14" s="424">
        <v>198</v>
      </c>
      <c r="M14" s="425">
        <v>0.93430000000000002</v>
      </c>
      <c r="N14" s="314"/>
      <c r="O14" s="37"/>
      <c r="P14" s="316"/>
      <c r="Q14" s="412" t="s">
        <v>75</v>
      </c>
      <c r="R14" s="413" t="s">
        <v>164</v>
      </c>
      <c r="S14" s="424">
        <v>40</v>
      </c>
      <c r="T14" s="424">
        <v>246</v>
      </c>
      <c r="U14" s="425">
        <v>0.83740000000000003</v>
      </c>
      <c r="V14" s="37"/>
      <c r="W14" s="412" t="s">
        <v>75</v>
      </c>
      <c r="X14" s="413" t="s">
        <v>164</v>
      </c>
      <c r="Y14" s="424">
        <v>40</v>
      </c>
      <c r="Z14" s="424">
        <v>246</v>
      </c>
      <c r="AA14" s="425">
        <v>0.83740000000000003</v>
      </c>
      <c r="AB14" s="314"/>
      <c r="AC14" s="37"/>
      <c r="AD14" s="349" t="s">
        <v>58</v>
      </c>
      <c r="AE14" s="282" t="s">
        <v>163</v>
      </c>
      <c r="AF14" s="382">
        <v>0.9657</v>
      </c>
      <c r="AG14" s="283">
        <v>8</v>
      </c>
      <c r="AH14" s="383">
        <v>233</v>
      </c>
      <c r="AI14" s="369">
        <v>0.9375</v>
      </c>
      <c r="AJ14" s="283">
        <v>4</v>
      </c>
      <c r="AK14" s="396">
        <v>64</v>
      </c>
      <c r="AL14" s="382">
        <v>0.94799999999999995</v>
      </c>
      <c r="AM14" s="283">
        <v>13</v>
      </c>
      <c r="AN14" s="383">
        <v>250</v>
      </c>
      <c r="AO14" s="369">
        <v>0.95920000000000005</v>
      </c>
      <c r="AP14" s="283">
        <v>10</v>
      </c>
      <c r="AQ14" s="350">
        <v>245</v>
      </c>
    </row>
    <row r="15" spans="1:43" x14ac:dyDescent="0.2">
      <c r="A15" s="37"/>
      <c r="B15" s="316"/>
      <c r="C15" s="412" t="s">
        <v>77</v>
      </c>
      <c r="D15" s="413" t="s">
        <v>115</v>
      </c>
      <c r="E15" s="414">
        <v>3</v>
      </c>
      <c r="F15" s="414">
        <v>56</v>
      </c>
      <c r="G15" s="415">
        <v>0.94640000000000002</v>
      </c>
      <c r="H15" s="37"/>
      <c r="I15" s="412" t="s">
        <v>77</v>
      </c>
      <c r="J15" s="413" t="s">
        <v>115</v>
      </c>
      <c r="K15" s="424">
        <v>5</v>
      </c>
      <c r="L15" s="424">
        <v>194</v>
      </c>
      <c r="M15" s="425">
        <v>0.97419999999999995</v>
      </c>
      <c r="N15" s="314"/>
      <c r="O15" s="37"/>
      <c r="P15" s="316"/>
      <c r="Q15" s="412" t="s">
        <v>77</v>
      </c>
      <c r="R15" s="413" t="s">
        <v>115</v>
      </c>
      <c r="S15" s="424">
        <v>28</v>
      </c>
      <c r="T15" s="424">
        <v>246</v>
      </c>
      <c r="U15" s="425">
        <v>0.88619999999999999</v>
      </c>
      <c r="V15" s="37"/>
      <c r="W15" s="412" t="s">
        <v>77</v>
      </c>
      <c r="X15" s="413" t="s">
        <v>115</v>
      </c>
      <c r="Y15" s="424">
        <v>21</v>
      </c>
      <c r="Z15" s="424">
        <v>238</v>
      </c>
      <c r="AA15" s="425">
        <v>0.91180000000000005</v>
      </c>
      <c r="AB15" s="314"/>
      <c r="AC15" s="37"/>
      <c r="AD15" s="349" t="s">
        <v>62</v>
      </c>
      <c r="AE15" s="282" t="s">
        <v>176</v>
      </c>
      <c r="AF15" s="382">
        <v>0.95220000000000005</v>
      </c>
      <c r="AG15" s="283">
        <v>11</v>
      </c>
      <c r="AH15" s="383">
        <v>230</v>
      </c>
      <c r="AI15" s="369">
        <v>0.92059999999999997</v>
      </c>
      <c r="AJ15" s="283">
        <v>5</v>
      </c>
      <c r="AK15" s="396">
        <v>63</v>
      </c>
      <c r="AL15" s="382">
        <v>0.92520000000000002</v>
      </c>
      <c r="AM15" s="283">
        <v>19</v>
      </c>
      <c r="AN15" s="383">
        <v>254</v>
      </c>
      <c r="AO15" s="369">
        <v>0.91249999999999998</v>
      </c>
      <c r="AP15" s="283">
        <v>21</v>
      </c>
      <c r="AQ15" s="350">
        <v>240</v>
      </c>
    </row>
    <row r="16" spans="1:43" x14ac:dyDescent="0.2">
      <c r="A16" s="37"/>
      <c r="B16" s="316"/>
      <c r="C16" s="412" t="s">
        <v>79</v>
      </c>
      <c r="D16" s="413" t="s">
        <v>165</v>
      </c>
      <c r="E16" s="414">
        <v>3</v>
      </c>
      <c r="F16" s="414">
        <v>63</v>
      </c>
      <c r="G16" s="415">
        <v>0.95240000000000002</v>
      </c>
      <c r="H16" s="37"/>
      <c r="I16" s="412" t="s">
        <v>79</v>
      </c>
      <c r="J16" s="413" t="s">
        <v>165</v>
      </c>
      <c r="K16" s="424">
        <v>10</v>
      </c>
      <c r="L16" s="424">
        <v>352</v>
      </c>
      <c r="M16" s="425">
        <v>0.97160000000000002</v>
      </c>
      <c r="N16" s="314"/>
      <c r="O16" s="37"/>
      <c r="P16" s="316"/>
      <c r="Q16" s="412" t="s">
        <v>79</v>
      </c>
      <c r="R16" s="413" t="s">
        <v>165</v>
      </c>
      <c r="S16" s="424">
        <v>28</v>
      </c>
      <c r="T16" s="424">
        <v>250</v>
      </c>
      <c r="U16" s="425">
        <v>0.88800000000000001</v>
      </c>
      <c r="V16" s="37"/>
      <c r="W16" s="412" t="s">
        <v>79</v>
      </c>
      <c r="X16" s="413" t="s">
        <v>165</v>
      </c>
      <c r="Y16" s="424">
        <v>21</v>
      </c>
      <c r="Z16" s="424">
        <v>248</v>
      </c>
      <c r="AA16" s="425">
        <v>0.9153</v>
      </c>
      <c r="AB16" s="314"/>
      <c r="AC16" s="37"/>
      <c r="AD16" s="349" t="s">
        <v>68</v>
      </c>
      <c r="AE16" s="282" t="s">
        <v>201</v>
      </c>
      <c r="AF16" s="382">
        <v>0.94020000000000004</v>
      </c>
      <c r="AG16" s="283">
        <v>14</v>
      </c>
      <c r="AH16" s="383">
        <v>234</v>
      </c>
      <c r="AI16" s="369">
        <v>0.9375</v>
      </c>
      <c r="AJ16" s="283">
        <v>4</v>
      </c>
      <c r="AK16" s="396">
        <v>64</v>
      </c>
      <c r="AL16" s="382">
        <v>0.90439999999999998</v>
      </c>
      <c r="AM16" s="283">
        <v>24</v>
      </c>
      <c r="AN16" s="383">
        <v>251</v>
      </c>
      <c r="AO16" s="369">
        <v>0.91569999999999996</v>
      </c>
      <c r="AP16" s="283">
        <v>21</v>
      </c>
      <c r="AQ16" s="350">
        <v>249</v>
      </c>
    </row>
    <row r="17" spans="1:43" x14ac:dyDescent="0.2">
      <c r="A17" s="37"/>
      <c r="B17" s="316"/>
      <c r="C17" s="412" t="s">
        <v>46</v>
      </c>
      <c r="D17" s="413" t="s">
        <v>166</v>
      </c>
      <c r="E17" s="414">
        <v>7</v>
      </c>
      <c r="F17" s="414">
        <v>62</v>
      </c>
      <c r="G17" s="415">
        <v>0.8871</v>
      </c>
      <c r="H17" s="37"/>
      <c r="I17" s="412" t="s">
        <v>46</v>
      </c>
      <c r="J17" s="413" t="s">
        <v>166</v>
      </c>
      <c r="K17" s="424">
        <v>10</v>
      </c>
      <c r="L17" s="424">
        <v>191</v>
      </c>
      <c r="M17" s="425">
        <v>0.9476</v>
      </c>
      <c r="N17" s="314"/>
      <c r="O17" s="37"/>
      <c r="P17" s="316"/>
      <c r="Q17" s="412" t="s">
        <v>46</v>
      </c>
      <c r="R17" s="413" t="s">
        <v>166</v>
      </c>
      <c r="S17" s="424">
        <v>46</v>
      </c>
      <c r="T17" s="424">
        <v>254</v>
      </c>
      <c r="U17" s="425">
        <v>0.81889999999999996</v>
      </c>
      <c r="V17" s="37"/>
      <c r="W17" s="412" t="s">
        <v>46</v>
      </c>
      <c r="X17" s="413" t="s">
        <v>166</v>
      </c>
      <c r="Y17" s="424">
        <v>36</v>
      </c>
      <c r="Z17" s="424">
        <v>234</v>
      </c>
      <c r="AA17" s="425">
        <v>0.84619999999999995</v>
      </c>
      <c r="AB17" s="314"/>
      <c r="AC17" s="37"/>
      <c r="AD17" s="349" t="s">
        <v>74</v>
      </c>
      <c r="AE17" s="282" t="s">
        <v>161</v>
      </c>
      <c r="AF17" s="382">
        <v>0.93659999999999999</v>
      </c>
      <c r="AG17" s="283">
        <v>18</v>
      </c>
      <c r="AH17" s="383">
        <v>284</v>
      </c>
      <c r="AI17" s="369">
        <v>0.90159999999999996</v>
      </c>
      <c r="AJ17" s="283">
        <v>6</v>
      </c>
      <c r="AK17" s="396">
        <v>61</v>
      </c>
      <c r="AL17" s="382">
        <v>0.92310000000000003</v>
      </c>
      <c r="AM17" s="283">
        <v>19</v>
      </c>
      <c r="AN17" s="383">
        <v>247</v>
      </c>
      <c r="AO17" s="369">
        <v>0.89319999999999999</v>
      </c>
      <c r="AP17" s="283">
        <v>25</v>
      </c>
      <c r="AQ17" s="350">
        <v>234</v>
      </c>
    </row>
    <row r="18" spans="1:43" x14ac:dyDescent="0.2">
      <c r="A18" s="37"/>
      <c r="B18" s="316"/>
      <c r="C18" s="412" t="s">
        <v>83</v>
      </c>
      <c r="D18" s="413" t="s">
        <v>121</v>
      </c>
      <c r="E18" s="414">
        <v>4</v>
      </c>
      <c r="F18" s="414">
        <v>63</v>
      </c>
      <c r="G18" s="415">
        <v>0.9365</v>
      </c>
      <c r="H18" s="37"/>
      <c r="I18" s="412" t="s">
        <v>83</v>
      </c>
      <c r="J18" s="413" t="s">
        <v>121</v>
      </c>
      <c r="K18" s="424">
        <v>5</v>
      </c>
      <c r="L18" s="424">
        <v>348</v>
      </c>
      <c r="M18" s="425">
        <v>0.98560000000000003</v>
      </c>
      <c r="N18" s="314"/>
      <c r="O18" s="37"/>
      <c r="P18" s="316"/>
      <c r="Q18" s="412" t="s">
        <v>83</v>
      </c>
      <c r="R18" s="413" t="s">
        <v>121</v>
      </c>
      <c r="S18" s="424">
        <v>18</v>
      </c>
      <c r="T18" s="424">
        <v>251</v>
      </c>
      <c r="U18" s="425">
        <v>0.92830000000000001</v>
      </c>
      <c r="V18" s="37"/>
      <c r="W18" s="412" t="s">
        <v>83</v>
      </c>
      <c r="X18" s="413" t="s">
        <v>121</v>
      </c>
      <c r="Y18" s="424">
        <v>8</v>
      </c>
      <c r="Z18" s="424">
        <v>252</v>
      </c>
      <c r="AA18" s="425">
        <v>0.96830000000000005</v>
      </c>
      <c r="AB18" s="314"/>
      <c r="AC18" s="37"/>
      <c r="AD18" s="349" t="s">
        <v>75</v>
      </c>
      <c r="AE18" s="282" t="s">
        <v>164</v>
      </c>
      <c r="AF18" s="382">
        <v>0.93430000000000002</v>
      </c>
      <c r="AG18" s="283">
        <v>13</v>
      </c>
      <c r="AH18" s="383">
        <v>198</v>
      </c>
      <c r="AI18" s="369">
        <v>0.91379999999999995</v>
      </c>
      <c r="AJ18" s="283">
        <v>5</v>
      </c>
      <c r="AK18" s="396">
        <v>58</v>
      </c>
      <c r="AL18" s="382">
        <v>0.83740000000000003</v>
      </c>
      <c r="AM18" s="283">
        <v>40</v>
      </c>
      <c r="AN18" s="383">
        <v>246</v>
      </c>
      <c r="AO18" s="369">
        <v>0.83740000000000003</v>
      </c>
      <c r="AP18" s="283">
        <v>40</v>
      </c>
      <c r="AQ18" s="350">
        <v>246</v>
      </c>
    </row>
    <row r="19" spans="1:43" x14ac:dyDescent="0.2">
      <c r="A19" s="37"/>
      <c r="B19" s="316"/>
      <c r="C19" s="412" t="s">
        <v>61</v>
      </c>
      <c r="D19" s="413" t="s">
        <v>167</v>
      </c>
      <c r="E19" s="414">
        <v>5</v>
      </c>
      <c r="F19" s="414">
        <v>63</v>
      </c>
      <c r="G19" s="415">
        <v>0.92059999999999997</v>
      </c>
      <c r="H19" s="37"/>
      <c r="I19" s="412" t="s">
        <v>61</v>
      </c>
      <c r="J19" s="413" t="s">
        <v>167</v>
      </c>
      <c r="K19" s="424">
        <v>9</v>
      </c>
      <c r="L19" s="424">
        <v>279</v>
      </c>
      <c r="M19" s="425">
        <v>0.9677</v>
      </c>
      <c r="N19" s="314"/>
      <c r="O19" s="37"/>
      <c r="P19" s="316"/>
      <c r="Q19" s="412" t="s">
        <v>61</v>
      </c>
      <c r="R19" s="413" t="s">
        <v>167</v>
      </c>
      <c r="S19" s="424">
        <v>24</v>
      </c>
      <c r="T19" s="424">
        <v>256</v>
      </c>
      <c r="U19" s="425">
        <v>0.90629999999999999</v>
      </c>
      <c r="V19" s="37"/>
      <c r="W19" s="412" t="s">
        <v>61</v>
      </c>
      <c r="X19" s="413" t="s">
        <v>167</v>
      </c>
      <c r="Y19" s="424">
        <v>15</v>
      </c>
      <c r="Z19" s="424">
        <v>254</v>
      </c>
      <c r="AA19" s="425">
        <v>0.94089999999999996</v>
      </c>
      <c r="AB19" s="314"/>
      <c r="AC19" s="37"/>
      <c r="AD19" s="349" t="s">
        <v>244</v>
      </c>
      <c r="AE19" s="282" t="s">
        <v>115</v>
      </c>
      <c r="AF19" s="382">
        <v>0.97419999999999995</v>
      </c>
      <c r="AG19" s="283">
        <v>5</v>
      </c>
      <c r="AH19" s="383">
        <v>194</v>
      </c>
      <c r="AI19" s="369">
        <v>0.94640000000000002</v>
      </c>
      <c r="AJ19" s="283">
        <v>3</v>
      </c>
      <c r="AK19" s="396">
        <v>56</v>
      </c>
      <c r="AL19" s="382">
        <v>0.88619999999999999</v>
      </c>
      <c r="AM19" s="283">
        <v>28</v>
      </c>
      <c r="AN19" s="383">
        <v>246</v>
      </c>
      <c r="AO19" s="369">
        <v>0.91180000000000005</v>
      </c>
      <c r="AP19" s="283">
        <v>21</v>
      </c>
      <c r="AQ19" s="350">
        <v>238</v>
      </c>
    </row>
    <row r="20" spans="1:43" x14ac:dyDescent="0.2">
      <c r="A20" s="37"/>
      <c r="B20" s="316"/>
      <c r="C20" s="412" t="s">
        <v>34</v>
      </c>
      <c r="D20" s="413" t="s">
        <v>168</v>
      </c>
      <c r="E20" s="414">
        <v>5</v>
      </c>
      <c r="F20" s="414">
        <v>58</v>
      </c>
      <c r="G20" s="415">
        <v>0.91379999999999995</v>
      </c>
      <c r="H20" s="37"/>
      <c r="I20" s="412" t="s">
        <v>34</v>
      </c>
      <c r="J20" s="413" t="s">
        <v>168</v>
      </c>
      <c r="K20" s="426">
        <v>12</v>
      </c>
      <c r="L20" s="426">
        <v>264</v>
      </c>
      <c r="M20" s="427">
        <v>0.95450000000000002</v>
      </c>
      <c r="N20" s="311"/>
      <c r="O20" s="37"/>
      <c r="P20" s="316"/>
      <c r="Q20" s="412" t="s">
        <v>34</v>
      </c>
      <c r="R20" s="413" t="s">
        <v>168</v>
      </c>
      <c r="S20" s="426">
        <v>19</v>
      </c>
      <c r="T20" s="426">
        <v>248</v>
      </c>
      <c r="U20" s="427">
        <v>0.9234</v>
      </c>
      <c r="V20" s="37"/>
      <c r="W20" s="412" t="s">
        <v>34</v>
      </c>
      <c r="X20" s="413" t="s">
        <v>168</v>
      </c>
      <c r="Y20" s="426">
        <v>37</v>
      </c>
      <c r="Z20" s="426">
        <v>240</v>
      </c>
      <c r="AA20" s="427">
        <v>0.8458</v>
      </c>
      <c r="AB20" s="311"/>
      <c r="AC20" s="37"/>
      <c r="AD20" s="349" t="s">
        <v>79</v>
      </c>
      <c r="AE20" s="282" t="s">
        <v>165</v>
      </c>
      <c r="AF20" s="382">
        <v>0.97160000000000002</v>
      </c>
      <c r="AG20" s="283">
        <v>10</v>
      </c>
      <c r="AH20" s="383">
        <v>352</v>
      </c>
      <c r="AI20" s="369">
        <v>0.95240000000000002</v>
      </c>
      <c r="AJ20" s="283">
        <v>3</v>
      </c>
      <c r="AK20" s="396">
        <v>63</v>
      </c>
      <c r="AL20" s="382">
        <v>0.88800000000000001</v>
      </c>
      <c r="AM20" s="283">
        <v>28</v>
      </c>
      <c r="AN20" s="383">
        <v>250</v>
      </c>
      <c r="AO20" s="369">
        <v>0.9153</v>
      </c>
      <c r="AP20" s="283">
        <v>21</v>
      </c>
      <c r="AQ20" s="350">
        <v>248</v>
      </c>
    </row>
    <row r="21" spans="1:43" x14ac:dyDescent="0.2">
      <c r="A21" s="37"/>
      <c r="B21" s="316"/>
      <c r="C21" s="412" t="s">
        <v>91</v>
      </c>
      <c r="D21" s="413" t="s">
        <v>169</v>
      </c>
      <c r="E21" s="414">
        <v>4</v>
      </c>
      <c r="F21" s="414">
        <v>56</v>
      </c>
      <c r="G21" s="415">
        <v>0.92859999999999998</v>
      </c>
      <c r="H21" s="37"/>
      <c r="I21" s="412" t="s">
        <v>91</v>
      </c>
      <c r="J21" s="413" t="s">
        <v>169</v>
      </c>
      <c r="K21" s="424">
        <v>7</v>
      </c>
      <c r="L21" s="424">
        <v>180</v>
      </c>
      <c r="M21" s="425">
        <v>0.96109999999999995</v>
      </c>
      <c r="N21" s="314"/>
      <c r="O21" s="37"/>
      <c r="P21" s="316"/>
      <c r="Q21" s="412" t="s">
        <v>91</v>
      </c>
      <c r="R21" s="413" t="s">
        <v>169</v>
      </c>
      <c r="S21" s="424">
        <v>23</v>
      </c>
      <c r="T21" s="424">
        <v>243</v>
      </c>
      <c r="U21" s="425">
        <v>0.90529999999999999</v>
      </c>
      <c r="V21" s="37"/>
      <c r="W21" s="412" t="s">
        <v>91</v>
      </c>
      <c r="X21" s="413" t="s">
        <v>169</v>
      </c>
      <c r="Y21" s="424">
        <v>16</v>
      </c>
      <c r="Z21" s="424">
        <v>251</v>
      </c>
      <c r="AA21" s="425">
        <v>0.93630000000000002</v>
      </c>
      <c r="AB21" s="314"/>
      <c r="AC21" s="37"/>
      <c r="AD21" s="349" t="s">
        <v>81</v>
      </c>
      <c r="AE21" s="282" t="s">
        <v>160</v>
      </c>
      <c r="AF21" s="382">
        <v>0.98450000000000004</v>
      </c>
      <c r="AG21" s="283">
        <v>4</v>
      </c>
      <c r="AH21" s="383">
        <v>258</v>
      </c>
      <c r="AI21" s="369">
        <v>0.9375</v>
      </c>
      <c r="AJ21" s="283">
        <v>4</v>
      </c>
      <c r="AK21" s="396">
        <v>64</v>
      </c>
      <c r="AL21" s="382">
        <v>0.94350000000000001</v>
      </c>
      <c r="AM21" s="283">
        <v>16</v>
      </c>
      <c r="AN21" s="383">
        <v>283</v>
      </c>
      <c r="AO21" s="369">
        <v>0.91700000000000004</v>
      </c>
      <c r="AP21" s="283">
        <v>22</v>
      </c>
      <c r="AQ21" s="350">
        <v>265</v>
      </c>
    </row>
    <row r="22" spans="1:43" x14ac:dyDescent="0.2">
      <c r="A22" s="37"/>
      <c r="B22" s="316"/>
      <c r="C22" s="412" t="s">
        <v>97</v>
      </c>
      <c r="D22" s="413" t="s">
        <v>170</v>
      </c>
      <c r="E22" s="414">
        <v>7</v>
      </c>
      <c r="F22" s="414">
        <v>65</v>
      </c>
      <c r="G22" s="415">
        <v>0.89229999999999998</v>
      </c>
      <c r="H22" s="37"/>
      <c r="I22" s="412" t="s">
        <v>97</v>
      </c>
      <c r="J22" s="413" t="s">
        <v>170</v>
      </c>
      <c r="K22" s="424">
        <v>17</v>
      </c>
      <c r="L22" s="424">
        <v>544</v>
      </c>
      <c r="M22" s="425">
        <v>0.96879999999999999</v>
      </c>
      <c r="N22" s="314"/>
      <c r="O22" s="37"/>
      <c r="P22" s="316"/>
      <c r="Q22" s="412" t="s">
        <v>97</v>
      </c>
      <c r="R22" s="413" t="s">
        <v>170</v>
      </c>
      <c r="S22" s="424">
        <v>26</v>
      </c>
      <c r="T22" s="424">
        <v>255</v>
      </c>
      <c r="U22" s="425">
        <v>0.89800000000000002</v>
      </c>
      <c r="V22" s="37"/>
      <c r="W22" s="412" t="s">
        <v>97</v>
      </c>
      <c r="X22" s="413" t="s">
        <v>170</v>
      </c>
      <c r="Y22" s="424">
        <v>22</v>
      </c>
      <c r="Z22" s="424">
        <v>249</v>
      </c>
      <c r="AA22" s="425">
        <v>0.91159999999999997</v>
      </c>
      <c r="AB22" s="314"/>
      <c r="AC22" s="37"/>
      <c r="AD22" s="351" t="s">
        <v>92</v>
      </c>
      <c r="AE22" s="282" t="s">
        <v>203</v>
      </c>
      <c r="AF22" s="382">
        <v>0.97509999999999997</v>
      </c>
      <c r="AG22" s="283">
        <v>7</v>
      </c>
      <c r="AH22" s="383">
        <v>281</v>
      </c>
      <c r="AI22" s="369">
        <v>0.90629999999999999</v>
      </c>
      <c r="AJ22" s="283">
        <v>6</v>
      </c>
      <c r="AK22" s="396">
        <v>64</v>
      </c>
      <c r="AL22" s="382">
        <v>0.93310000000000004</v>
      </c>
      <c r="AM22" s="283">
        <v>17</v>
      </c>
      <c r="AN22" s="383">
        <v>254</v>
      </c>
      <c r="AO22" s="369">
        <v>0.97640000000000005</v>
      </c>
      <c r="AP22" s="283">
        <v>6</v>
      </c>
      <c r="AQ22" s="350">
        <v>254</v>
      </c>
    </row>
    <row r="23" spans="1:43" x14ac:dyDescent="0.2">
      <c r="A23" s="37"/>
      <c r="B23" s="316"/>
      <c r="C23" s="412" t="s">
        <v>52</v>
      </c>
      <c r="D23" s="413" t="s">
        <v>171</v>
      </c>
      <c r="E23" s="414">
        <v>3</v>
      </c>
      <c r="F23" s="414">
        <v>64</v>
      </c>
      <c r="G23" s="415">
        <v>0.95309999999999995</v>
      </c>
      <c r="H23" s="37"/>
      <c r="I23" s="412" t="s">
        <v>52</v>
      </c>
      <c r="J23" s="413" t="s">
        <v>171</v>
      </c>
      <c r="K23" s="424">
        <v>6</v>
      </c>
      <c r="L23" s="424">
        <v>328</v>
      </c>
      <c r="M23" s="425">
        <v>0.98170000000000002</v>
      </c>
      <c r="N23" s="314"/>
      <c r="O23" s="37"/>
      <c r="P23" s="316"/>
      <c r="Q23" s="412" t="s">
        <v>52</v>
      </c>
      <c r="R23" s="413" t="s">
        <v>171</v>
      </c>
      <c r="S23" s="424">
        <v>16</v>
      </c>
      <c r="T23" s="424">
        <v>255</v>
      </c>
      <c r="U23" s="425">
        <v>0.93730000000000002</v>
      </c>
      <c r="V23" s="37"/>
      <c r="W23" s="412" t="s">
        <v>52</v>
      </c>
      <c r="X23" s="413" t="s">
        <v>171</v>
      </c>
      <c r="Y23" s="424">
        <v>14</v>
      </c>
      <c r="Z23" s="424">
        <v>247</v>
      </c>
      <c r="AA23" s="425">
        <v>0.94330000000000003</v>
      </c>
      <c r="AB23" s="314"/>
      <c r="AC23" s="37"/>
      <c r="AD23" s="349" t="s">
        <v>256</v>
      </c>
      <c r="AE23" s="282" t="s">
        <v>105</v>
      </c>
      <c r="AF23" s="382">
        <v>0.93910000000000005</v>
      </c>
      <c r="AG23" s="283">
        <v>12</v>
      </c>
      <c r="AH23" s="383">
        <v>197</v>
      </c>
      <c r="AI23" s="369">
        <v>0.86670000000000003</v>
      </c>
      <c r="AJ23" s="283">
        <v>8</v>
      </c>
      <c r="AK23" s="396">
        <v>60</v>
      </c>
      <c r="AL23" s="382">
        <v>0.87549999999999994</v>
      </c>
      <c r="AM23" s="283">
        <v>31</v>
      </c>
      <c r="AN23" s="383">
        <v>249</v>
      </c>
      <c r="AO23" s="369">
        <v>0.84230000000000005</v>
      </c>
      <c r="AP23" s="283">
        <v>38</v>
      </c>
      <c r="AQ23" s="350">
        <v>241</v>
      </c>
    </row>
    <row r="24" spans="1:43" ht="13.5" thickBot="1" x14ac:dyDescent="0.25">
      <c r="A24" s="37"/>
      <c r="B24" s="316"/>
      <c r="C24" s="412" t="s">
        <v>72</v>
      </c>
      <c r="D24" s="413" t="s">
        <v>107</v>
      </c>
      <c r="E24" s="414">
        <v>7</v>
      </c>
      <c r="F24" s="414">
        <v>60</v>
      </c>
      <c r="G24" s="415">
        <v>0.88329999999999997</v>
      </c>
      <c r="H24" s="37"/>
      <c r="I24" s="412" t="s">
        <v>72</v>
      </c>
      <c r="J24" s="413" t="s">
        <v>107</v>
      </c>
      <c r="K24" s="424">
        <v>13</v>
      </c>
      <c r="L24" s="424">
        <v>286</v>
      </c>
      <c r="M24" s="425">
        <v>0.95450000000000002</v>
      </c>
      <c r="N24" s="314"/>
      <c r="O24" s="37"/>
      <c r="P24" s="316"/>
      <c r="Q24" s="412" t="s">
        <v>72</v>
      </c>
      <c r="R24" s="413" t="s">
        <v>107</v>
      </c>
      <c r="S24" s="424">
        <v>25</v>
      </c>
      <c r="T24" s="424">
        <v>253</v>
      </c>
      <c r="U24" s="425">
        <v>0.9012</v>
      </c>
      <c r="V24" s="37"/>
      <c r="W24" s="412" t="s">
        <v>72</v>
      </c>
      <c r="X24" s="413" t="s">
        <v>107</v>
      </c>
      <c r="Y24" s="424">
        <v>12</v>
      </c>
      <c r="Z24" s="424">
        <v>245</v>
      </c>
      <c r="AA24" s="425">
        <v>0.95099999999999996</v>
      </c>
      <c r="AB24" s="314"/>
      <c r="AC24" s="37"/>
      <c r="AD24" s="352" t="s">
        <v>96</v>
      </c>
      <c r="AE24" s="284" t="s">
        <v>212</v>
      </c>
      <c r="AF24" s="384">
        <v>0.9325</v>
      </c>
      <c r="AG24" s="285">
        <v>16</v>
      </c>
      <c r="AH24" s="385">
        <v>237</v>
      </c>
      <c r="AI24" s="370">
        <v>0.80700000000000005</v>
      </c>
      <c r="AJ24" s="285">
        <v>11</v>
      </c>
      <c r="AK24" s="397">
        <v>57</v>
      </c>
      <c r="AL24" s="384">
        <v>0.86990000000000001</v>
      </c>
      <c r="AM24" s="285">
        <v>32</v>
      </c>
      <c r="AN24" s="385">
        <v>246</v>
      </c>
      <c r="AO24" s="370">
        <v>0.9103</v>
      </c>
      <c r="AP24" s="285">
        <v>21</v>
      </c>
      <c r="AQ24" s="353">
        <v>234</v>
      </c>
    </row>
    <row r="25" spans="1:43" x14ac:dyDescent="0.2">
      <c r="A25" s="37"/>
      <c r="B25" s="316"/>
      <c r="C25" s="412" t="s">
        <v>73</v>
      </c>
      <c r="D25" s="413" t="s">
        <v>172</v>
      </c>
      <c r="E25" s="414">
        <v>3</v>
      </c>
      <c r="F25" s="414">
        <v>60</v>
      </c>
      <c r="G25" s="415">
        <v>0.95</v>
      </c>
      <c r="H25" s="37"/>
      <c r="I25" s="412" t="s">
        <v>73</v>
      </c>
      <c r="J25" s="413" t="s">
        <v>172</v>
      </c>
      <c r="K25" s="424">
        <v>7</v>
      </c>
      <c r="L25" s="424">
        <v>263</v>
      </c>
      <c r="M25" s="425">
        <v>0.97340000000000004</v>
      </c>
      <c r="N25" s="314"/>
      <c r="O25" s="37"/>
      <c r="P25" s="316"/>
      <c r="Q25" s="412" t="s">
        <v>73</v>
      </c>
      <c r="R25" s="413" t="s">
        <v>172</v>
      </c>
      <c r="S25" s="424">
        <v>22</v>
      </c>
      <c r="T25" s="424">
        <v>252</v>
      </c>
      <c r="U25" s="425">
        <v>0.91269999999999996</v>
      </c>
      <c r="V25" s="37"/>
      <c r="W25" s="412" t="s">
        <v>73</v>
      </c>
      <c r="X25" s="413" t="s">
        <v>172</v>
      </c>
      <c r="Y25" s="424">
        <v>17</v>
      </c>
      <c r="Z25" s="424">
        <v>253</v>
      </c>
      <c r="AA25" s="425">
        <v>0.93279999999999996</v>
      </c>
      <c r="AB25" s="314"/>
      <c r="AC25" s="37"/>
      <c r="AD25" s="347" t="s">
        <v>20</v>
      </c>
      <c r="AE25" s="280"/>
      <c r="AF25" s="380">
        <v>0.9642201834862385</v>
      </c>
      <c r="AG25" s="281">
        <v>117</v>
      </c>
      <c r="AH25" s="381">
        <v>3270</v>
      </c>
      <c r="AI25" s="368">
        <v>0.91394658753709201</v>
      </c>
      <c r="AJ25" s="281">
        <v>58</v>
      </c>
      <c r="AK25" s="395">
        <v>674</v>
      </c>
      <c r="AL25" s="380">
        <v>0.90866255889815151</v>
      </c>
      <c r="AM25" s="281">
        <v>252</v>
      </c>
      <c r="AN25" s="381">
        <v>2759</v>
      </c>
      <c r="AO25" s="368">
        <v>0.9156492785793563</v>
      </c>
      <c r="AP25" s="281">
        <v>228</v>
      </c>
      <c r="AQ25" s="348">
        <v>2703</v>
      </c>
    </row>
    <row r="26" spans="1:43" x14ac:dyDescent="0.2">
      <c r="A26" s="37"/>
      <c r="B26" s="316"/>
      <c r="C26" s="412" t="s">
        <v>71</v>
      </c>
      <c r="D26" s="413" t="s">
        <v>173</v>
      </c>
      <c r="E26" s="414">
        <v>9</v>
      </c>
      <c r="F26" s="414">
        <v>63</v>
      </c>
      <c r="G26" s="415">
        <v>0.85709999999999997</v>
      </c>
      <c r="H26" s="37"/>
      <c r="I26" s="412" t="s">
        <v>71</v>
      </c>
      <c r="J26" s="413" t="s">
        <v>173</v>
      </c>
      <c r="K26" s="424">
        <v>22</v>
      </c>
      <c r="L26" s="424">
        <v>314</v>
      </c>
      <c r="M26" s="425">
        <v>0.92989999999999995</v>
      </c>
      <c r="N26" s="314"/>
      <c r="O26" s="37"/>
      <c r="P26" s="316"/>
      <c r="Q26" s="412" t="s">
        <v>71</v>
      </c>
      <c r="R26" s="413" t="s">
        <v>173</v>
      </c>
      <c r="S26" s="424">
        <v>27</v>
      </c>
      <c r="T26" s="424">
        <v>250</v>
      </c>
      <c r="U26" s="425">
        <v>0.89200000000000002</v>
      </c>
      <c r="V26" s="37"/>
      <c r="W26" s="412" t="s">
        <v>71</v>
      </c>
      <c r="X26" s="413" t="s">
        <v>173</v>
      </c>
      <c r="Y26" s="424">
        <v>17</v>
      </c>
      <c r="Z26" s="424">
        <v>239</v>
      </c>
      <c r="AA26" s="425">
        <v>0.92889999999999995</v>
      </c>
      <c r="AB26" s="314"/>
      <c r="AC26" s="37"/>
      <c r="AD26" s="349" t="s">
        <v>34</v>
      </c>
      <c r="AE26" s="282" t="s">
        <v>168</v>
      </c>
      <c r="AF26" s="382">
        <v>0.95450000000000002</v>
      </c>
      <c r="AG26" s="283">
        <v>12</v>
      </c>
      <c r="AH26" s="383">
        <v>264</v>
      </c>
      <c r="AI26" s="369">
        <v>0.91379999999999995</v>
      </c>
      <c r="AJ26" s="283">
        <v>5</v>
      </c>
      <c r="AK26" s="396">
        <v>58</v>
      </c>
      <c r="AL26" s="382">
        <v>0.9234</v>
      </c>
      <c r="AM26" s="283">
        <v>19</v>
      </c>
      <c r="AN26" s="383">
        <v>248</v>
      </c>
      <c r="AO26" s="369">
        <v>0.8458</v>
      </c>
      <c r="AP26" s="283">
        <v>37</v>
      </c>
      <c r="AQ26" s="350">
        <v>240</v>
      </c>
    </row>
    <row r="27" spans="1:43" x14ac:dyDescent="0.2">
      <c r="A27" s="37"/>
      <c r="B27" s="316"/>
      <c r="C27" s="412" t="s">
        <v>63</v>
      </c>
      <c r="D27" s="413" t="s">
        <v>174</v>
      </c>
      <c r="E27" s="414">
        <v>4</v>
      </c>
      <c r="F27" s="414">
        <v>58</v>
      </c>
      <c r="G27" s="415">
        <v>0.93100000000000005</v>
      </c>
      <c r="H27" s="37"/>
      <c r="I27" s="412" t="s">
        <v>63</v>
      </c>
      <c r="J27" s="413" t="s">
        <v>174</v>
      </c>
      <c r="K27" s="424">
        <v>10</v>
      </c>
      <c r="L27" s="424">
        <v>241</v>
      </c>
      <c r="M27" s="425">
        <v>0.95850000000000002</v>
      </c>
      <c r="N27" s="314"/>
      <c r="O27" s="37"/>
      <c r="P27" s="316"/>
      <c r="Q27" s="412" t="s">
        <v>63</v>
      </c>
      <c r="R27" s="413" t="s">
        <v>174</v>
      </c>
      <c r="S27" s="424">
        <v>18</v>
      </c>
      <c r="T27" s="424">
        <v>245</v>
      </c>
      <c r="U27" s="425">
        <v>0.92649999999999999</v>
      </c>
      <c r="V27" s="37"/>
      <c r="W27" s="412" t="s">
        <v>63</v>
      </c>
      <c r="X27" s="413" t="s">
        <v>174</v>
      </c>
      <c r="Y27" s="424">
        <v>31</v>
      </c>
      <c r="Z27" s="424">
        <v>251</v>
      </c>
      <c r="AA27" s="425">
        <v>0.87649999999999995</v>
      </c>
      <c r="AB27" s="314"/>
      <c r="AC27" s="37"/>
      <c r="AD27" s="349" t="s">
        <v>52</v>
      </c>
      <c r="AE27" s="282" t="s">
        <v>171</v>
      </c>
      <c r="AF27" s="382">
        <v>0.98170000000000002</v>
      </c>
      <c r="AG27" s="283">
        <v>6</v>
      </c>
      <c r="AH27" s="383">
        <v>328</v>
      </c>
      <c r="AI27" s="369">
        <v>0.95309999999999995</v>
      </c>
      <c r="AJ27" s="283">
        <v>3</v>
      </c>
      <c r="AK27" s="396">
        <v>64</v>
      </c>
      <c r="AL27" s="382">
        <v>0.93730000000000002</v>
      </c>
      <c r="AM27" s="283">
        <v>16</v>
      </c>
      <c r="AN27" s="383">
        <v>255</v>
      </c>
      <c r="AO27" s="369">
        <v>0.94330000000000003</v>
      </c>
      <c r="AP27" s="283">
        <v>14</v>
      </c>
      <c r="AQ27" s="350">
        <v>247</v>
      </c>
    </row>
    <row r="28" spans="1:43" x14ac:dyDescent="0.2">
      <c r="A28" s="37"/>
      <c r="B28" s="316"/>
      <c r="C28" s="412" t="s">
        <v>51</v>
      </c>
      <c r="D28" s="413" t="s">
        <v>175</v>
      </c>
      <c r="E28" s="414">
        <v>4</v>
      </c>
      <c r="F28" s="414">
        <v>62</v>
      </c>
      <c r="G28" s="415">
        <v>0.9355</v>
      </c>
      <c r="H28" s="37"/>
      <c r="I28" s="412" t="s">
        <v>51</v>
      </c>
      <c r="J28" s="413" t="s">
        <v>175</v>
      </c>
      <c r="K28" s="424">
        <v>8</v>
      </c>
      <c r="L28" s="424">
        <v>259</v>
      </c>
      <c r="M28" s="425">
        <v>0.96909999999999996</v>
      </c>
      <c r="N28" s="314"/>
      <c r="O28" s="37"/>
      <c r="P28" s="316"/>
      <c r="Q28" s="412" t="s">
        <v>51</v>
      </c>
      <c r="R28" s="413" t="s">
        <v>175</v>
      </c>
      <c r="S28" s="424">
        <v>22</v>
      </c>
      <c r="T28" s="424">
        <v>255</v>
      </c>
      <c r="U28" s="425">
        <v>0.91369999999999996</v>
      </c>
      <c r="V28" s="37"/>
      <c r="W28" s="412" t="s">
        <v>51</v>
      </c>
      <c r="X28" s="413" t="s">
        <v>175</v>
      </c>
      <c r="Y28" s="424">
        <v>16</v>
      </c>
      <c r="Z28" s="424">
        <v>250</v>
      </c>
      <c r="AA28" s="425">
        <v>0.93600000000000005</v>
      </c>
      <c r="AB28" s="314"/>
      <c r="AC28" s="37"/>
      <c r="AD28" s="349" t="s">
        <v>61</v>
      </c>
      <c r="AE28" s="282" t="s">
        <v>167</v>
      </c>
      <c r="AF28" s="382">
        <v>0.9677</v>
      </c>
      <c r="AG28" s="283">
        <v>9</v>
      </c>
      <c r="AH28" s="383">
        <v>279</v>
      </c>
      <c r="AI28" s="369">
        <v>0.92059999999999997</v>
      </c>
      <c r="AJ28" s="283">
        <v>5</v>
      </c>
      <c r="AK28" s="396">
        <v>63</v>
      </c>
      <c r="AL28" s="382">
        <v>0.90629999999999999</v>
      </c>
      <c r="AM28" s="283">
        <v>24</v>
      </c>
      <c r="AN28" s="383">
        <v>256</v>
      </c>
      <c r="AO28" s="369">
        <v>0.94089999999999996</v>
      </c>
      <c r="AP28" s="283">
        <v>15</v>
      </c>
      <c r="AQ28" s="350">
        <v>254</v>
      </c>
    </row>
    <row r="29" spans="1:43" x14ac:dyDescent="0.2">
      <c r="A29" s="37"/>
      <c r="B29" s="316"/>
      <c r="C29" s="412" t="s">
        <v>62</v>
      </c>
      <c r="D29" s="413" t="s">
        <v>176</v>
      </c>
      <c r="E29" s="414">
        <v>5</v>
      </c>
      <c r="F29" s="414">
        <v>63</v>
      </c>
      <c r="G29" s="415">
        <v>0.92059999999999997</v>
      </c>
      <c r="H29" s="37"/>
      <c r="I29" s="412" t="s">
        <v>62</v>
      </c>
      <c r="J29" s="413" t="s">
        <v>176</v>
      </c>
      <c r="K29" s="424">
        <v>11</v>
      </c>
      <c r="L29" s="424">
        <v>230</v>
      </c>
      <c r="M29" s="425">
        <v>0.95220000000000005</v>
      </c>
      <c r="N29" s="314"/>
      <c r="O29" s="37"/>
      <c r="P29" s="316"/>
      <c r="Q29" s="412" t="s">
        <v>62</v>
      </c>
      <c r="R29" s="413" t="s">
        <v>176</v>
      </c>
      <c r="S29" s="424">
        <v>19</v>
      </c>
      <c r="T29" s="424">
        <v>254</v>
      </c>
      <c r="U29" s="425">
        <v>0.92520000000000002</v>
      </c>
      <c r="V29" s="37"/>
      <c r="W29" s="412" t="s">
        <v>62</v>
      </c>
      <c r="X29" s="413" t="s">
        <v>176</v>
      </c>
      <c r="Y29" s="424">
        <v>21</v>
      </c>
      <c r="Z29" s="424">
        <v>240</v>
      </c>
      <c r="AA29" s="425">
        <v>0.91249999999999998</v>
      </c>
      <c r="AB29" s="314"/>
      <c r="AC29" s="37"/>
      <c r="AD29" s="349" t="s">
        <v>63</v>
      </c>
      <c r="AE29" s="282" t="s">
        <v>174</v>
      </c>
      <c r="AF29" s="382">
        <v>0.95850000000000002</v>
      </c>
      <c r="AG29" s="283">
        <v>10</v>
      </c>
      <c r="AH29" s="383">
        <v>241</v>
      </c>
      <c r="AI29" s="369">
        <v>0.93100000000000005</v>
      </c>
      <c r="AJ29" s="283">
        <v>4</v>
      </c>
      <c r="AK29" s="396">
        <v>58</v>
      </c>
      <c r="AL29" s="382">
        <v>0.92649999999999999</v>
      </c>
      <c r="AM29" s="283">
        <v>18</v>
      </c>
      <c r="AN29" s="383">
        <v>245</v>
      </c>
      <c r="AO29" s="369">
        <v>0.87649999999999995</v>
      </c>
      <c r="AP29" s="283">
        <v>31</v>
      </c>
      <c r="AQ29" s="350">
        <v>251</v>
      </c>
    </row>
    <row r="30" spans="1:43" x14ac:dyDescent="0.2">
      <c r="A30" s="37"/>
      <c r="B30" s="316"/>
      <c r="C30" s="412" t="s">
        <v>67</v>
      </c>
      <c r="D30" s="413" t="s">
        <v>177</v>
      </c>
      <c r="E30" s="414">
        <v>5</v>
      </c>
      <c r="F30" s="414">
        <v>61</v>
      </c>
      <c r="G30" s="415">
        <v>0.91800000000000004</v>
      </c>
      <c r="H30" s="37"/>
      <c r="I30" s="412" t="s">
        <v>67</v>
      </c>
      <c r="J30" s="413" t="s">
        <v>177</v>
      </c>
      <c r="K30" s="424">
        <v>10</v>
      </c>
      <c r="L30" s="424">
        <v>188</v>
      </c>
      <c r="M30" s="425">
        <v>0.94679999999999997</v>
      </c>
      <c r="N30" s="314"/>
      <c r="O30" s="37"/>
      <c r="P30" s="316"/>
      <c r="Q30" s="412" t="s">
        <v>67</v>
      </c>
      <c r="R30" s="413" t="s">
        <v>177</v>
      </c>
      <c r="S30" s="424">
        <v>29</v>
      </c>
      <c r="T30" s="424">
        <v>256</v>
      </c>
      <c r="U30" s="425">
        <v>0.88670000000000004</v>
      </c>
      <c r="V30" s="37"/>
      <c r="W30" s="412" t="s">
        <v>67</v>
      </c>
      <c r="X30" s="413" t="s">
        <v>177</v>
      </c>
      <c r="Y30" s="424">
        <v>30</v>
      </c>
      <c r="Z30" s="424">
        <v>223</v>
      </c>
      <c r="AA30" s="425">
        <v>0.86550000000000005</v>
      </c>
      <c r="AB30" s="314"/>
      <c r="AC30" s="37"/>
      <c r="AD30" s="349" t="s">
        <v>67</v>
      </c>
      <c r="AE30" s="282" t="s">
        <v>177</v>
      </c>
      <c r="AF30" s="382">
        <v>0.94679999999999997</v>
      </c>
      <c r="AG30" s="283">
        <v>10</v>
      </c>
      <c r="AH30" s="383">
        <v>188</v>
      </c>
      <c r="AI30" s="369">
        <v>0.91800000000000004</v>
      </c>
      <c r="AJ30" s="283">
        <v>5</v>
      </c>
      <c r="AK30" s="396">
        <v>61</v>
      </c>
      <c r="AL30" s="382">
        <v>0.88670000000000004</v>
      </c>
      <c r="AM30" s="283">
        <v>29</v>
      </c>
      <c r="AN30" s="383">
        <v>256</v>
      </c>
      <c r="AO30" s="369">
        <v>0.86550000000000005</v>
      </c>
      <c r="AP30" s="283">
        <v>30</v>
      </c>
      <c r="AQ30" s="350">
        <v>223</v>
      </c>
    </row>
    <row r="31" spans="1:43" x14ac:dyDescent="0.2">
      <c r="A31" s="37"/>
      <c r="B31" s="316"/>
      <c r="C31" s="412" t="s">
        <v>50</v>
      </c>
      <c r="D31" s="413" t="s">
        <v>178</v>
      </c>
      <c r="E31" s="414">
        <v>8</v>
      </c>
      <c r="F31" s="414">
        <v>54</v>
      </c>
      <c r="G31" s="415">
        <v>0.85189999999999999</v>
      </c>
      <c r="H31" s="37"/>
      <c r="I31" s="412" t="s">
        <v>50</v>
      </c>
      <c r="J31" s="413" t="s">
        <v>178</v>
      </c>
      <c r="K31" s="424">
        <v>14</v>
      </c>
      <c r="L31" s="424">
        <v>199</v>
      </c>
      <c r="M31" s="425">
        <v>0.92959999999999998</v>
      </c>
      <c r="N31" s="314"/>
      <c r="O31" s="37"/>
      <c r="P31" s="316"/>
      <c r="Q31" s="412" t="s">
        <v>50</v>
      </c>
      <c r="R31" s="413" t="s">
        <v>178</v>
      </c>
      <c r="S31" s="424">
        <v>28</v>
      </c>
      <c r="T31" s="424">
        <v>244</v>
      </c>
      <c r="U31" s="425">
        <v>0.88519999999999999</v>
      </c>
      <c r="V31" s="37"/>
      <c r="W31" s="412" t="s">
        <v>50</v>
      </c>
      <c r="X31" s="413" t="s">
        <v>178</v>
      </c>
      <c r="Y31" s="424">
        <v>26</v>
      </c>
      <c r="Z31" s="424">
        <v>224</v>
      </c>
      <c r="AA31" s="425">
        <v>0.88390000000000002</v>
      </c>
      <c r="AB31" s="314"/>
      <c r="AC31" s="37"/>
      <c r="AD31" s="349" t="s">
        <v>71</v>
      </c>
      <c r="AE31" s="282" t="s">
        <v>173</v>
      </c>
      <c r="AF31" s="382">
        <v>0.92989999999999995</v>
      </c>
      <c r="AG31" s="283">
        <v>22</v>
      </c>
      <c r="AH31" s="383">
        <v>314</v>
      </c>
      <c r="AI31" s="369">
        <v>0.85709999999999997</v>
      </c>
      <c r="AJ31" s="283">
        <v>9</v>
      </c>
      <c r="AK31" s="396">
        <v>63</v>
      </c>
      <c r="AL31" s="382">
        <v>0.89200000000000002</v>
      </c>
      <c r="AM31" s="283">
        <v>27</v>
      </c>
      <c r="AN31" s="383">
        <v>250</v>
      </c>
      <c r="AO31" s="369">
        <v>0.92889999999999995</v>
      </c>
      <c r="AP31" s="283">
        <v>17</v>
      </c>
      <c r="AQ31" s="350">
        <v>239</v>
      </c>
    </row>
    <row r="32" spans="1:43" x14ac:dyDescent="0.2">
      <c r="A32" s="37"/>
      <c r="B32" s="316"/>
      <c r="C32" s="412" t="s">
        <v>55</v>
      </c>
      <c r="D32" s="413" t="s">
        <v>179</v>
      </c>
      <c r="E32" s="414">
        <v>5</v>
      </c>
      <c r="F32" s="414">
        <v>65</v>
      </c>
      <c r="G32" s="415">
        <v>0.92310000000000003</v>
      </c>
      <c r="H32" s="37"/>
      <c r="I32" s="412" t="s">
        <v>55</v>
      </c>
      <c r="J32" s="413" t="s">
        <v>179</v>
      </c>
      <c r="K32" s="424">
        <v>15</v>
      </c>
      <c r="L32" s="424">
        <v>294</v>
      </c>
      <c r="M32" s="425">
        <v>0.94899999999999995</v>
      </c>
      <c r="N32" s="314"/>
      <c r="O32" s="37"/>
      <c r="P32" s="316"/>
      <c r="Q32" s="412" t="s">
        <v>55</v>
      </c>
      <c r="R32" s="413" t="s">
        <v>179</v>
      </c>
      <c r="S32" s="424">
        <v>28</v>
      </c>
      <c r="T32" s="424">
        <v>256</v>
      </c>
      <c r="U32" s="425">
        <v>0.89059999999999995</v>
      </c>
      <c r="V32" s="37"/>
      <c r="W32" s="412" t="s">
        <v>55</v>
      </c>
      <c r="X32" s="413" t="s">
        <v>179</v>
      </c>
      <c r="Y32" s="424">
        <v>26</v>
      </c>
      <c r="Z32" s="424">
        <v>252</v>
      </c>
      <c r="AA32" s="425">
        <v>0.89680000000000004</v>
      </c>
      <c r="AB32" s="314"/>
      <c r="AC32" s="37"/>
      <c r="AD32" s="349" t="s">
        <v>72</v>
      </c>
      <c r="AE32" s="282" t="s">
        <v>107</v>
      </c>
      <c r="AF32" s="382">
        <v>0.95450000000000002</v>
      </c>
      <c r="AG32" s="283">
        <v>13</v>
      </c>
      <c r="AH32" s="383">
        <v>286</v>
      </c>
      <c r="AI32" s="369">
        <v>0.88329999999999997</v>
      </c>
      <c r="AJ32" s="283">
        <v>7</v>
      </c>
      <c r="AK32" s="396">
        <v>60</v>
      </c>
      <c r="AL32" s="382">
        <v>0.9012</v>
      </c>
      <c r="AM32" s="283">
        <v>25</v>
      </c>
      <c r="AN32" s="383">
        <v>253</v>
      </c>
      <c r="AO32" s="369">
        <v>0.95099999999999996</v>
      </c>
      <c r="AP32" s="283">
        <v>12</v>
      </c>
      <c r="AQ32" s="350">
        <v>245</v>
      </c>
    </row>
    <row r="33" spans="1:43" x14ac:dyDescent="0.2">
      <c r="A33" s="37"/>
      <c r="B33" s="316"/>
      <c r="C33" s="412" t="s">
        <v>70</v>
      </c>
      <c r="D33" s="413" t="s">
        <v>180</v>
      </c>
      <c r="E33" s="414">
        <v>5</v>
      </c>
      <c r="F33" s="414">
        <v>64</v>
      </c>
      <c r="G33" s="415">
        <v>0.92190000000000005</v>
      </c>
      <c r="H33" s="37"/>
      <c r="I33" s="412" t="s">
        <v>70</v>
      </c>
      <c r="J33" s="413" t="s">
        <v>180</v>
      </c>
      <c r="K33" s="424">
        <v>10</v>
      </c>
      <c r="L33" s="424">
        <v>229</v>
      </c>
      <c r="M33" s="425">
        <v>0.95630000000000004</v>
      </c>
      <c r="N33" s="314"/>
      <c r="O33" s="37"/>
      <c r="P33" s="316"/>
      <c r="Q33" s="412" t="s">
        <v>70</v>
      </c>
      <c r="R33" s="413" t="s">
        <v>180</v>
      </c>
      <c r="S33" s="424">
        <v>12</v>
      </c>
      <c r="T33" s="424">
        <v>255</v>
      </c>
      <c r="U33" s="425">
        <v>0.95289999999999997</v>
      </c>
      <c r="V33" s="37"/>
      <c r="W33" s="412" t="s">
        <v>70</v>
      </c>
      <c r="X33" s="413" t="s">
        <v>180</v>
      </c>
      <c r="Y33" s="424">
        <v>11</v>
      </c>
      <c r="Z33" s="424">
        <v>244</v>
      </c>
      <c r="AA33" s="425">
        <v>0.95489999999999997</v>
      </c>
      <c r="AB33" s="314"/>
      <c r="AC33" s="37"/>
      <c r="AD33" s="349" t="s">
        <v>83</v>
      </c>
      <c r="AE33" s="282" t="s">
        <v>121</v>
      </c>
      <c r="AF33" s="382">
        <v>0.98560000000000003</v>
      </c>
      <c r="AG33" s="283">
        <v>5</v>
      </c>
      <c r="AH33" s="383">
        <v>348</v>
      </c>
      <c r="AI33" s="369">
        <v>0.9365</v>
      </c>
      <c r="AJ33" s="283">
        <v>4</v>
      </c>
      <c r="AK33" s="396">
        <v>63</v>
      </c>
      <c r="AL33" s="382">
        <v>0.92830000000000001</v>
      </c>
      <c r="AM33" s="283">
        <v>18</v>
      </c>
      <c r="AN33" s="383">
        <v>251</v>
      </c>
      <c r="AO33" s="369">
        <v>0.96830000000000005</v>
      </c>
      <c r="AP33" s="283">
        <v>8</v>
      </c>
      <c r="AQ33" s="350">
        <v>252</v>
      </c>
    </row>
    <row r="34" spans="1:43" x14ac:dyDescent="0.2">
      <c r="A34" s="37"/>
      <c r="B34" s="316"/>
      <c r="C34" s="412" t="s">
        <v>89</v>
      </c>
      <c r="D34" s="413" t="s">
        <v>181</v>
      </c>
      <c r="E34" s="414">
        <v>4</v>
      </c>
      <c r="F34" s="414">
        <v>60</v>
      </c>
      <c r="G34" s="415">
        <v>0.93330000000000002</v>
      </c>
      <c r="H34" s="37"/>
      <c r="I34" s="412" t="s">
        <v>89</v>
      </c>
      <c r="J34" s="413" t="s">
        <v>181</v>
      </c>
      <c r="K34" s="424">
        <v>8</v>
      </c>
      <c r="L34" s="424">
        <v>199</v>
      </c>
      <c r="M34" s="425">
        <v>0.95979999999999999</v>
      </c>
      <c r="N34" s="314"/>
      <c r="O34" s="37"/>
      <c r="P34" s="316"/>
      <c r="Q34" s="412" t="s">
        <v>89</v>
      </c>
      <c r="R34" s="413" t="s">
        <v>181</v>
      </c>
      <c r="S34" s="424">
        <v>21</v>
      </c>
      <c r="T34" s="424">
        <v>248</v>
      </c>
      <c r="U34" s="425">
        <v>0.9153</v>
      </c>
      <c r="V34" s="37"/>
      <c r="W34" s="412" t="s">
        <v>89</v>
      </c>
      <c r="X34" s="413" t="s">
        <v>181</v>
      </c>
      <c r="Y34" s="424">
        <v>20</v>
      </c>
      <c r="Z34" s="424">
        <v>227</v>
      </c>
      <c r="AA34" s="425">
        <v>0.91190000000000004</v>
      </c>
      <c r="AB34" s="314"/>
      <c r="AC34" s="37"/>
      <c r="AD34" s="349" t="s">
        <v>86</v>
      </c>
      <c r="AE34" s="282" t="s">
        <v>198</v>
      </c>
      <c r="AF34" s="382">
        <v>0.97989999999999999</v>
      </c>
      <c r="AG34" s="283">
        <v>6</v>
      </c>
      <c r="AH34" s="383">
        <v>298</v>
      </c>
      <c r="AI34" s="369">
        <v>0.92059999999999997</v>
      </c>
      <c r="AJ34" s="283">
        <v>5</v>
      </c>
      <c r="AK34" s="396">
        <v>63</v>
      </c>
      <c r="AL34" s="382">
        <v>0.89070000000000005</v>
      </c>
      <c r="AM34" s="283">
        <v>27</v>
      </c>
      <c r="AN34" s="383">
        <v>247</v>
      </c>
      <c r="AO34" s="369">
        <v>0.89680000000000004</v>
      </c>
      <c r="AP34" s="283">
        <v>26</v>
      </c>
      <c r="AQ34" s="350">
        <v>252</v>
      </c>
    </row>
    <row r="35" spans="1:43" x14ac:dyDescent="0.2">
      <c r="A35" s="37"/>
      <c r="B35" s="316"/>
      <c r="C35" s="412" t="s">
        <v>54</v>
      </c>
      <c r="D35" s="413" t="s">
        <v>182</v>
      </c>
      <c r="E35" s="414">
        <v>3</v>
      </c>
      <c r="F35" s="414">
        <v>61</v>
      </c>
      <c r="G35" s="415">
        <v>0.95079999999999998</v>
      </c>
      <c r="H35" s="37"/>
      <c r="I35" s="412" t="s">
        <v>54</v>
      </c>
      <c r="J35" s="413" t="s">
        <v>182</v>
      </c>
      <c r="K35" s="424">
        <v>9</v>
      </c>
      <c r="L35" s="424">
        <v>298</v>
      </c>
      <c r="M35" s="425">
        <v>0.9698</v>
      </c>
      <c r="N35" s="314"/>
      <c r="O35" s="37"/>
      <c r="P35" s="316"/>
      <c r="Q35" s="412" t="s">
        <v>54</v>
      </c>
      <c r="R35" s="413" t="s">
        <v>182</v>
      </c>
      <c r="S35" s="424">
        <v>10</v>
      </c>
      <c r="T35" s="424">
        <v>252</v>
      </c>
      <c r="U35" s="425">
        <v>0.96030000000000004</v>
      </c>
      <c r="V35" s="37"/>
      <c r="W35" s="412" t="s">
        <v>54</v>
      </c>
      <c r="X35" s="413" t="s">
        <v>182</v>
      </c>
      <c r="Y35" s="424">
        <v>17</v>
      </c>
      <c r="Z35" s="424">
        <v>252</v>
      </c>
      <c r="AA35" s="425">
        <v>0.9325</v>
      </c>
      <c r="AB35" s="314"/>
      <c r="AC35" s="37"/>
      <c r="AD35" s="349" t="s">
        <v>91</v>
      </c>
      <c r="AE35" s="282" t="s">
        <v>169</v>
      </c>
      <c r="AF35" s="382">
        <v>0.96109999999999995</v>
      </c>
      <c r="AG35" s="283">
        <v>7</v>
      </c>
      <c r="AH35" s="386">
        <v>180</v>
      </c>
      <c r="AI35" s="369">
        <v>0.92859999999999998</v>
      </c>
      <c r="AJ35" s="283">
        <v>4</v>
      </c>
      <c r="AK35" s="398">
        <v>56</v>
      </c>
      <c r="AL35" s="382">
        <v>0.90529999999999999</v>
      </c>
      <c r="AM35" s="283">
        <v>23</v>
      </c>
      <c r="AN35" s="386">
        <v>243</v>
      </c>
      <c r="AO35" s="369">
        <v>0.93630000000000002</v>
      </c>
      <c r="AP35" s="283">
        <v>16</v>
      </c>
      <c r="AQ35" s="354">
        <v>251</v>
      </c>
    </row>
    <row r="36" spans="1:43" x14ac:dyDescent="0.2">
      <c r="A36" s="37"/>
      <c r="B36" s="316"/>
      <c r="C36" s="412" t="s">
        <v>64</v>
      </c>
      <c r="D36" s="413" t="s">
        <v>183</v>
      </c>
      <c r="E36" s="414">
        <v>1</v>
      </c>
      <c r="F36" s="414">
        <v>61</v>
      </c>
      <c r="G36" s="415">
        <v>0.98360000000000003</v>
      </c>
      <c r="H36" s="37"/>
      <c r="I36" s="412" t="s">
        <v>64</v>
      </c>
      <c r="J36" s="413" t="s">
        <v>183</v>
      </c>
      <c r="K36" s="424">
        <v>2</v>
      </c>
      <c r="L36" s="424">
        <v>216</v>
      </c>
      <c r="M36" s="425">
        <v>0.99070000000000003</v>
      </c>
      <c r="N36" s="314"/>
      <c r="O36" s="37"/>
      <c r="P36" s="316"/>
      <c r="Q36" s="412" t="s">
        <v>64</v>
      </c>
      <c r="R36" s="413" t="s">
        <v>183</v>
      </c>
      <c r="S36" s="424">
        <v>11</v>
      </c>
      <c r="T36" s="424">
        <v>254</v>
      </c>
      <c r="U36" s="425">
        <v>0.95669999999999999</v>
      </c>
      <c r="V36" s="37"/>
      <c r="W36" s="412" t="s">
        <v>64</v>
      </c>
      <c r="X36" s="413" t="s">
        <v>183</v>
      </c>
      <c r="Y36" s="424">
        <v>1</v>
      </c>
      <c r="Z36" s="424">
        <v>246</v>
      </c>
      <c r="AA36" s="425">
        <v>0.99590000000000001</v>
      </c>
      <c r="AB36" s="314"/>
      <c r="AC36" s="37"/>
      <c r="AD36" s="349" t="s">
        <v>94</v>
      </c>
      <c r="AE36" s="282">
        <v>372</v>
      </c>
      <c r="AF36" s="382" t="s">
        <v>31</v>
      </c>
      <c r="AG36" s="283"/>
      <c r="AH36" s="383"/>
      <c r="AI36" s="369" t="s">
        <v>31</v>
      </c>
      <c r="AJ36" s="283"/>
      <c r="AK36" s="396"/>
      <c r="AL36" s="382" t="s">
        <v>31</v>
      </c>
      <c r="AM36" s="283"/>
      <c r="AN36" s="383"/>
      <c r="AO36" s="369" t="s">
        <v>31</v>
      </c>
      <c r="AP36" s="283"/>
      <c r="AQ36" s="350"/>
    </row>
    <row r="37" spans="1:43" ht="13.5" thickBot="1" x14ac:dyDescent="0.25">
      <c r="A37" s="37"/>
      <c r="B37" s="316"/>
      <c r="C37" s="412" t="s">
        <v>90</v>
      </c>
      <c r="D37" s="413" t="s">
        <v>184</v>
      </c>
      <c r="E37" s="414">
        <v>10</v>
      </c>
      <c r="F37" s="414">
        <v>62</v>
      </c>
      <c r="G37" s="415">
        <v>0.8387</v>
      </c>
      <c r="H37" s="37"/>
      <c r="I37" s="412" t="s">
        <v>90</v>
      </c>
      <c r="J37" s="413" t="s">
        <v>184</v>
      </c>
      <c r="K37" s="424">
        <v>13</v>
      </c>
      <c r="L37" s="424">
        <v>208</v>
      </c>
      <c r="M37" s="425">
        <v>0.9375</v>
      </c>
      <c r="N37" s="314"/>
      <c r="O37" s="37"/>
      <c r="P37" s="316"/>
      <c r="Q37" s="412" t="s">
        <v>90</v>
      </c>
      <c r="R37" s="413" t="s">
        <v>184</v>
      </c>
      <c r="S37" s="424">
        <v>17</v>
      </c>
      <c r="T37" s="424">
        <v>255</v>
      </c>
      <c r="U37" s="425">
        <v>0.93330000000000002</v>
      </c>
      <c r="V37" s="37"/>
      <c r="W37" s="412" t="s">
        <v>90</v>
      </c>
      <c r="X37" s="413" t="s">
        <v>184</v>
      </c>
      <c r="Y37" s="424">
        <v>15</v>
      </c>
      <c r="Z37" s="424">
        <v>247</v>
      </c>
      <c r="AA37" s="425">
        <v>0.93930000000000002</v>
      </c>
      <c r="AB37" s="314"/>
      <c r="AC37" s="37"/>
      <c r="AD37" s="352" t="s">
        <v>257</v>
      </c>
      <c r="AE37" s="284" t="s">
        <v>170</v>
      </c>
      <c r="AF37" s="384">
        <v>0.96879999999999999</v>
      </c>
      <c r="AG37" s="285">
        <v>17</v>
      </c>
      <c r="AH37" s="385">
        <v>544</v>
      </c>
      <c r="AI37" s="370">
        <v>0.89229999999999998</v>
      </c>
      <c r="AJ37" s="285">
        <v>7</v>
      </c>
      <c r="AK37" s="397">
        <v>65</v>
      </c>
      <c r="AL37" s="384">
        <v>0.89800000000000002</v>
      </c>
      <c r="AM37" s="285">
        <v>26</v>
      </c>
      <c r="AN37" s="385">
        <v>255</v>
      </c>
      <c r="AO37" s="370">
        <v>0.91159999999999997</v>
      </c>
      <c r="AP37" s="285">
        <v>22</v>
      </c>
      <c r="AQ37" s="353">
        <v>249</v>
      </c>
    </row>
    <row r="38" spans="1:43" x14ac:dyDescent="0.2">
      <c r="A38" s="37"/>
      <c r="B38" s="316"/>
      <c r="C38" s="412" t="s">
        <v>53</v>
      </c>
      <c r="D38" s="413" t="s">
        <v>185</v>
      </c>
      <c r="E38" s="414">
        <v>2</v>
      </c>
      <c r="F38" s="414">
        <v>63</v>
      </c>
      <c r="G38" s="415">
        <v>0.96830000000000005</v>
      </c>
      <c r="H38" s="37"/>
      <c r="I38" s="412" t="s">
        <v>53</v>
      </c>
      <c r="J38" s="413" t="s">
        <v>185</v>
      </c>
      <c r="K38" s="424">
        <v>4</v>
      </c>
      <c r="L38" s="424">
        <v>216</v>
      </c>
      <c r="M38" s="425">
        <v>0.98150000000000004</v>
      </c>
      <c r="N38" s="314"/>
      <c r="O38" s="37"/>
      <c r="P38" s="316"/>
      <c r="Q38" s="412" t="s">
        <v>53</v>
      </c>
      <c r="R38" s="413" t="s">
        <v>185</v>
      </c>
      <c r="S38" s="424">
        <v>30</v>
      </c>
      <c r="T38" s="424">
        <v>252</v>
      </c>
      <c r="U38" s="425">
        <v>0.88100000000000001</v>
      </c>
      <c r="V38" s="37"/>
      <c r="W38" s="412" t="s">
        <v>53</v>
      </c>
      <c r="X38" s="413" t="s">
        <v>185</v>
      </c>
      <c r="Y38" s="424">
        <v>24</v>
      </c>
      <c r="Z38" s="424">
        <v>243</v>
      </c>
      <c r="AA38" s="425">
        <v>0.9012</v>
      </c>
      <c r="AB38" s="314"/>
      <c r="AC38" s="37"/>
      <c r="AD38" s="347" t="s">
        <v>21</v>
      </c>
      <c r="AE38" s="280"/>
      <c r="AF38" s="380">
        <v>0.96273106738223013</v>
      </c>
      <c r="AG38" s="281">
        <v>125</v>
      </c>
      <c r="AH38" s="381">
        <v>3354</v>
      </c>
      <c r="AI38" s="368">
        <v>0.92271105826397148</v>
      </c>
      <c r="AJ38" s="281">
        <v>65</v>
      </c>
      <c r="AK38" s="395">
        <v>841</v>
      </c>
      <c r="AL38" s="380">
        <v>0.92156303479749002</v>
      </c>
      <c r="AM38" s="281">
        <v>275</v>
      </c>
      <c r="AN38" s="381">
        <v>3506</v>
      </c>
      <c r="AO38" s="368">
        <v>0.9417249417249417</v>
      </c>
      <c r="AP38" s="281">
        <v>200</v>
      </c>
      <c r="AQ38" s="348">
        <v>3432</v>
      </c>
    </row>
    <row r="39" spans="1:43" x14ac:dyDescent="0.2">
      <c r="A39" s="37"/>
      <c r="B39" s="316"/>
      <c r="C39" s="412" t="s">
        <v>44</v>
      </c>
      <c r="D39" s="413" t="s">
        <v>186</v>
      </c>
      <c r="E39" s="414">
        <v>3</v>
      </c>
      <c r="F39" s="414">
        <v>61</v>
      </c>
      <c r="G39" s="415">
        <v>0.95079999999999998</v>
      </c>
      <c r="H39" s="37"/>
      <c r="I39" s="412" t="s">
        <v>44</v>
      </c>
      <c r="J39" s="413" t="s">
        <v>186</v>
      </c>
      <c r="K39" s="424">
        <v>3</v>
      </c>
      <c r="L39" s="424">
        <v>272</v>
      </c>
      <c r="M39" s="425">
        <v>0.98899999999999999</v>
      </c>
      <c r="N39" s="314"/>
      <c r="O39" s="37"/>
      <c r="P39" s="316"/>
      <c r="Q39" s="412" t="s">
        <v>44</v>
      </c>
      <c r="R39" s="413" t="s">
        <v>186</v>
      </c>
      <c r="S39" s="424">
        <v>19</v>
      </c>
      <c r="T39" s="424">
        <v>250</v>
      </c>
      <c r="U39" s="425">
        <v>0.92400000000000004</v>
      </c>
      <c r="V39" s="37"/>
      <c r="W39" s="412" t="s">
        <v>44</v>
      </c>
      <c r="X39" s="413" t="s">
        <v>186</v>
      </c>
      <c r="Y39" s="424">
        <v>17</v>
      </c>
      <c r="Z39" s="424">
        <v>241</v>
      </c>
      <c r="AA39" s="425">
        <v>0.92949999999999999</v>
      </c>
      <c r="AB39" s="314"/>
      <c r="AC39" s="37"/>
      <c r="AD39" s="349" t="s">
        <v>50</v>
      </c>
      <c r="AE39" s="282" t="s">
        <v>178</v>
      </c>
      <c r="AF39" s="382">
        <v>0.92959999999999998</v>
      </c>
      <c r="AG39" s="283">
        <v>14</v>
      </c>
      <c r="AH39" s="383">
        <v>199</v>
      </c>
      <c r="AI39" s="369">
        <v>0.85189999999999999</v>
      </c>
      <c r="AJ39" s="283">
        <v>8</v>
      </c>
      <c r="AK39" s="396">
        <v>54</v>
      </c>
      <c r="AL39" s="382">
        <v>0.88519999999999999</v>
      </c>
      <c r="AM39" s="283">
        <v>28</v>
      </c>
      <c r="AN39" s="383">
        <v>244</v>
      </c>
      <c r="AO39" s="369">
        <v>0.88390000000000002</v>
      </c>
      <c r="AP39" s="283">
        <v>26</v>
      </c>
      <c r="AQ39" s="350">
        <v>224</v>
      </c>
    </row>
    <row r="40" spans="1:43" x14ac:dyDescent="0.2">
      <c r="A40" s="37"/>
      <c r="B40" s="316"/>
      <c r="C40" s="412" t="s">
        <v>84</v>
      </c>
      <c r="D40" s="413" t="s">
        <v>187</v>
      </c>
      <c r="E40" s="414">
        <v>11</v>
      </c>
      <c r="F40" s="414">
        <v>64</v>
      </c>
      <c r="G40" s="415">
        <v>0.82809999999999995</v>
      </c>
      <c r="H40" s="37"/>
      <c r="I40" s="412" t="s">
        <v>84</v>
      </c>
      <c r="J40" s="413" t="s">
        <v>187</v>
      </c>
      <c r="K40" s="424">
        <v>21</v>
      </c>
      <c r="L40" s="424">
        <v>640</v>
      </c>
      <c r="M40" s="425">
        <v>0.96719999999999995</v>
      </c>
      <c r="N40" s="314"/>
      <c r="O40" s="37"/>
      <c r="P40" s="316"/>
      <c r="Q40" s="412" t="s">
        <v>84</v>
      </c>
      <c r="R40" s="413" t="s">
        <v>187</v>
      </c>
      <c r="S40" s="424">
        <v>30</v>
      </c>
      <c r="T40" s="424">
        <v>253</v>
      </c>
      <c r="U40" s="425">
        <v>0.88139999999999996</v>
      </c>
      <c r="V40" s="37"/>
      <c r="W40" s="412" t="s">
        <v>84</v>
      </c>
      <c r="X40" s="413" t="s">
        <v>187</v>
      </c>
      <c r="Y40" s="424">
        <v>14</v>
      </c>
      <c r="Z40" s="424">
        <v>245</v>
      </c>
      <c r="AA40" s="425">
        <v>0.94289999999999996</v>
      </c>
      <c r="AB40" s="314"/>
      <c r="AC40" s="37"/>
      <c r="AD40" s="349" t="s">
        <v>54</v>
      </c>
      <c r="AE40" s="282" t="s">
        <v>182</v>
      </c>
      <c r="AF40" s="382">
        <v>0.9698</v>
      </c>
      <c r="AG40" s="283">
        <v>9</v>
      </c>
      <c r="AH40" s="383">
        <v>298</v>
      </c>
      <c r="AI40" s="369">
        <v>0.95079999999999998</v>
      </c>
      <c r="AJ40" s="283">
        <v>3</v>
      </c>
      <c r="AK40" s="396">
        <v>61</v>
      </c>
      <c r="AL40" s="382">
        <v>0.96030000000000004</v>
      </c>
      <c r="AM40" s="283">
        <v>10</v>
      </c>
      <c r="AN40" s="383">
        <v>252</v>
      </c>
      <c r="AO40" s="369">
        <v>0.9325</v>
      </c>
      <c r="AP40" s="283">
        <v>17</v>
      </c>
      <c r="AQ40" s="350">
        <v>252</v>
      </c>
    </row>
    <row r="41" spans="1:43" x14ac:dyDescent="0.2">
      <c r="A41" s="37"/>
      <c r="B41" s="316"/>
      <c r="C41" s="412" t="s">
        <v>76</v>
      </c>
      <c r="D41" s="413" t="s">
        <v>188</v>
      </c>
      <c r="E41" s="414">
        <v>8</v>
      </c>
      <c r="F41" s="414">
        <v>62</v>
      </c>
      <c r="G41" s="415">
        <v>0.871</v>
      </c>
      <c r="H41" s="37"/>
      <c r="I41" s="412" t="s">
        <v>76</v>
      </c>
      <c r="J41" s="413" t="s">
        <v>188</v>
      </c>
      <c r="K41" s="424">
        <v>17</v>
      </c>
      <c r="L41" s="424">
        <v>194</v>
      </c>
      <c r="M41" s="425">
        <v>0.91239999999999999</v>
      </c>
      <c r="N41" s="314"/>
      <c r="O41" s="37"/>
      <c r="P41" s="316"/>
      <c r="Q41" s="412" t="s">
        <v>76</v>
      </c>
      <c r="R41" s="413" t="s">
        <v>188</v>
      </c>
      <c r="S41" s="424">
        <v>31</v>
      </c>
      <c r="T41" s="424">
        <v>254</v>
      </c>
      <c r="U41" s="425">
        <v>0.878</v>
      </c>
      <c r="V41" s="37"/>
      <c r="W41" s="412" t="s">
        <v>76</v>
      </c>
      <c r="X41" s="413" t="s">
        <v>188</v>
      </c>
      <c r="Y41" s="424">
        <v>27</v>
      </c>
      <c r="Z41" s="424">
        <v>245</v>
      </c>
      <c r="AA41" s="425">
        <v>0.88980000000000004</v>
      </c>
      <c r="AB41" s="314"/>
      <c r="AC41" s="37"/>
      <c r="AD41" s="349" t="s">
        <v>56</v>
      </c>
      <c r="AE41" s="282" t="s">
        <v>207</v>
      </c>
      <c r="AF41" s="382">
        <v>0.97070000000000001</v>
      </c>
      <c r="AG41" s="283">
        <v>6</v>
      </c>
      <c r="AH41" s="383">
        <v>205</v>
      </c>
      <c r="AI41" s="369">
        <v>0.95309999999999995</v>
      </c>
      <c r="AJ41" s="283">
        <v>3</v>
      </c>
      <c r="AK41" s="396">
        <v>64</v>
      </c>
      <c r="AL41" s="382">
        <v>0.9365</v>
      </c>
      <c r="AM41" s="283">
        <v>16</v>
      </c>
      <c r="AN41" s="383">
        <v>252</v>
      </c>
      <c r="AO41" s="369">
        <v>0.95930000000000004</v>
      </c>
      <c r="AP41" s="283">
        <v>10</v>
      </c>
      <c r="AQ41" s="350">
        <v>246</v>
      </c>
    </row>
    <row r="42" spans="1:43" x14ac:dyDescent="0.2">
      <c r="A42" s="37"/>
      <c r="B42" s="316"/>
      <c r="C42" s="412" t="s">
        <v>66</v>
      </c>
      <c r="D42" s="413" t="s">
        <v>189</v>
      </c>
      <c r="E42" s="414">
        <v>7</v>
      </c>
      <c r="F42" s="414">
        <v>63</v>
      </c>
      <c r="G42" s="415">
        <v>0.88890000000000002</v>
      </c>
      <c r="H42" s="37"/>
      <c r="I42" s="412" t="s">
        <v>66</v>
      </c>
      <c r="J42" s="413" t="s">
        <v>189</v>
      </c>
      <c r="K42" s="424">
        <v>17</v>
      </c>
      <c r="L42" s="424">
        <v>321</v>
      </c>
      <c r="M42" s="425">
        <v>0.94699999999999995</v>
      </c>
      <c r="N42" s="314"/>
      <c r="O42" s="37"/>
      <c r="P42" s="316"/>
      <c r="Q42" s="412" t="s">
        <v>66</v>
      </c>
      <c r="R42" s="413" t="s">
        <v>189</v>
      </c>
      <c r="S42" s="424">
        <v>30</v>
      </c>
      <c r="T42" s="424">
        <v>248</v>
      </c>
      <c r="U42" s="425">
        <v>0.879</v>
      </c>
      <c r="V42" s="37"/>
      <c r="W42" s="412" t="s">
        <v>66</v>
      </c>
      <c r="X42" s="413" t="s">
        <v>189</v>
      </c>
      <c r="Y42" s="424">
        <v>19</v>
      </c>
      <c r="Z42" s="424">
        <v>230</v>
      </c>
      <c r="AA42" s="425">
        <v>0.91739999999999999</v>
      </c>
      <c r="AB42" s="314"/>
      <c r="AC42" s="37"/>
      <c r="AD42" s="349" t="s">
        <v>60</v>
      </c>
      <c r="AE42" s="282" t="s">
        <v>200</v>
      </c>
      <c r="AF42" s="382">
        <v>0.97209999999999996</v>
      </c>
      <c r="AG42" s="283">
        <v>7</v>
      </c>
      <c r="AH42" s="383">
        <v>251</v>
      </c>
      <c r="AI42" s="369">
        <v>0.92859999999999998</v>
      </c>
      <c r="AJ42" s="283">
        <v>4</v>
      </c>
      <c r="AK42" s="396">
        <v>56</v>
      </c>
      <c r="AL42" s="382">
        <v>0.85189999999999999</v>
      </c>
      <c r="AM42" s="283">
        <v>36</v>
      </c>
      <c r="AN42" s="383">
        <v>243</v>
      </c>
      <c r="AO42" s="369">
        <v>0.91739999999999999</v>
      </c>
      <c r="AP42" s="283">
        <v>20</v>
      </c>
      <c r="AQ42" s="350">
        <v>242</v>
      </c>
    </row>
    <row r="43" spans="1:43" x14ac:dyDescent="0.2">
      <c r="A43" s="37"/>
      <c r="B43" s="316"/>
      <c r="C43" s="412" t="s">
        <v>78</v>
      </c>
      <c r="D43" s="413" t="s">
        <v>190</v>
      </c>
      <c r="E43" s="414">
        <v>4</v>
      </c>
      <c r="F43" s="414">
        <v>65</v>
      </c>
      <c r="G43" s="415">
        <v>0.9385</v>
      </c>
      <c r="H43" s="37"/>
      <c r="I43" s="412" t="s">
        <v>78</v>
      </c>
      <c r="J43" s="413" t="s">
        <v>190</v>
      </c>
      <c r="K43" s="424">
        <v>9</v>
      </c>
      <c r="L43" s="424">
        <v>250</v>
      </c>
      <c r="M43" s="425">
        <v>0.96399999999999997</v>
      </c>
      <c r="N43" s="314"/>
      <c r="O43" s="37"/>
      <c r="P43" s="316"/>
      <c r="Q43" s="412" t="s">
        <v>78</v>
      </c>
      <c r="R43" s="413" t="s">
        <v>190</v>
      </c>
      <c r="S43" s="424">
        <v>22</v>
      </c>
      <c r="T43" s="424">
        <v>259</v>
      </c>
      <c r="U43" s="425">
        <v>0.91510000000000002</v>
      </c>
      <c r="V43" s="37"/>
      <c r="W43" s="412" t="s">
        <v>78</v>
      </c>
      <c r="X43" s="413" t="s">
        <v>190</v>
      </c>
      <c r="Y43" s="424">
        <v>17</v>
      </c>
      <c r="Z43" s="424">
        <v>244</v>
      </c>
      <c r="AA43" s="425">
        <v>0.93030000000000002</v>
      </c>
      <c r="AB43" s="314"/>
      <c r="AC43" s="37"/>
      <c r="AD43" s="349" t="s">
        <v>64</v>
      </c>
      <c r="AE43" s="282" t="s">
        <v>183</v>
      </c>
      <c r="AF43" s="382">
        <v>0.99070000000000003</v>
      </c>
      <c r="AG43" s="283">
        <v>2</v>
      </c>
      <c r="AH43" s="383">
        <v>216</v>
      </c>
      <c r="AI43" s="369">
        <v>0.98360000000000003</v>
      </c>
      <c r="AJ43" s="283">
        <v>1</v>
      </c>
      <c r="AK43" s="396">
        <v>61</v>
      </c>
      <c r="AL43" s="382">
        <v>0.95669999999999999</v>
      </c>
      <c r="AM43" s="283">
        <v>11</v>
      </c>
      <c r="AN43" s="383">
        <v>254</v>
      </c>
      <c r="AO43" s="369">
        <v>0.99590000000000001</v>
      </c>
      <c r="AP43" s="283">
        <v>1</v>
      </c>
      <c r="AQ43" s="350">
        <v>246</v>
      </c>
    </row>
    <row r="44" spans="1:43" x14ac:dyDescent="0.2">
      <c r="A44" s="37"/>
      <c r="B44" s="316"/>
      <c r="C44" s="412" t="s">
        <v>87</v>
      </c>
      <c r="D44" s="413" t="s">
        <v>191</v>
      </c>
      <c r="E44" s="414">
        <v>6</v>
      </c>
      <c r="F44" s="414">
        <v>59</v>
      </c>
      <c r="G44" s="415">
        <v>0.89829999999999999</v>
      </c>
      <c r="H44" s="37"/>
      <c r="I44" s="412" t="s">
        <v>87</v>
      </c>
      <c r="J44" s="413" t="s">
        <v>191</v>
      </c>
      <c r="K44" s="424">
        <v>21</v>
      </c>
      <c r="L44" s="424">
        <v>358</v>
      </c>
      <c r="M44" s="425">
        <v>0.94130000000000003</v>
      </c>
      <c r="N44" s="314"/>
      <c r="O44" s="37"/>
      <c r="P44" s="316"/>
      <c r="Q44" s="412" t="s">
        <v>87</v>
      </c>
      <c r="R44" s="413" t="s">
        <v>191</v>
      </c>
      <c r="S44" s="424">
        <v>32</v>
      </c>
      <c r="T44" s="424">
        <v>274</v>
      </c>
      <c r="U44" s="425">
        <v>0.88319999999999999</v>
      </c>
      <c r="V44" s="37"/>
      <c r="W44" s="412" t="s">
        <v>87</v>
      </c>
      <c r="X44" s="413" t="s">
        <v>191</v>
      </c>
      <c r="Y44" s="424">
        <v>11</v>
      </c>
      <c r="Z44" s="424">
        <v>242</v>
      </c>
      <c r="AA44" s="425">
        <v>0.95450000000000002</v>
      </c>
      <c r="AB44" s="314"/>
      <c r="AC44" s="37"/>
      <c r="AD44" s="349" t="s">
        <v>65</v>
      </c>
      <c r="AE44" s="282" t="s">
        <v>195</v>
      </c>
      <c r="AF44" s="382">
        <v>0.90800000000000003</v>
      </c>
      <c r="AG44" s="283">
        <v>24</v>
      </c>
      <c r="AH44" s="383">
        <v>261</v>
      </c>
      <c r="AI44" s="369">
        <v>0.88329999999999997</v>
      </c>
      <c r="AJ44" s="283">
        <v>7</v>
      </c>
      <c r="AK44" s="396">
        <v>60</v>
      </c>
      <c r="AL44" s="382">
        <v>0.91239999999999999</v>
      </c>
      <c r="AM44" s="283">
        <v>22</v>
      </c>
      <c r="AN44" s="383">
        <v>251</v>
      </c>
      <c r="AO44" s="369">
        <v>0.94469999999999998</v>
      </c>
      <c r="AP44" s="283">
        <v>14</v>
      </c>
      <c r="AQ44" s="350">
        <v>253</v>
      </c>
    </row>
    <row r="45" spans="1:43" x14ac:dyDescent="0.2">
      <c r="A45" s="37"/>
      <c r="B45" s="316"/>
      <c r="C45" s="412" t="s">
        <v>47</v>
      </c>
      <c r="D45" s="413" t="s">
        <v>192</v>
      </c>
      <c r="E45" s="414">
        <v>10</v>
      </c>
      <c r="F45" s="414">
        <v>63</v>
      </c>
      <c r="G45" s="415">
        <v>0.84130000000000005</v>
      </c>
      <c r="H45" s="37"/>
      <c r="I45" s="412" t="s">
        <v>47</v>
      </c>
      <c r="J45" s="413" t="s">
        <v>192</v>
      </c>
      <c r="K45" s="424">
        <v>17</v>
      </c>
      <c r="L45" s="424">
        <v>253</v>
      </c>
      <c r="M45" s="425">
        <v>0.93279999999999996</v>
      </c>
      <c r="N45" s="314"/>
      <c r="O45" s="37"/>
      <c r="P45" s="316"/>
      <c r="Q45" s="412" t="s">
        <v>47</v>
      </c>
      <c r="R45" s="413" t="s">
        <v>192</v>
      </c>
      <c r="S45" s="424">
        <v>17</v>
      </c>
      <c r="T45" s="424">
        <v>253</v>
      </c>
      <c r="U45" s="425">
        <v>0.93279999999999996</v>
      </c>
      <c r="V45" s="37"/>
      <c r="W45" s="412" t="s">
        <v>47</v>
      </c>
      <c r="X45" s="413" t="s">
        <v>192</v>
      </c>
      <c r="Y45" s="424">
        <v>13</v>
      </c>
      <c r="Z45" s="424">
        <v>251</v>
      </c>
      <c r="AA45" s="425">
        <v>0.94820000000000004</v>
      </c>
      <c r="AB45" s="314"/>
      <c r="AC45" s="37"/>
      <c r="AD45" s="349" t="s">
        <v>242</v>
      </c>
      <c r="AE45" s="282" t="s">
        <v>180</v>
      </c>
      <c r="AF45" s="382">
        <v>0.95630000000000004</v>
      </c>
      <c r="AG45" s="283">
        <v>10</v>
      </c>
      <c r="AH45" s="383">
        <v>229</v>
      </c>
      <c r="AI45" s="369">
        <v>0.92190000000000005</v>
      </c>
      <c r="AJ45" s="283">
        <v>5</v>
      </c>
      <c r="AK45" s="396">
        <v>64</v>
      </c>
      <c r="AL45" s="382">
        <v>0.95289999999999997</v>
      </c>
      <c r="AM45" s="283">
        <v>12</v>
      </c>
      <c r="AN45" s="383">
        <v>255</v>
      </c>
      <c r="AO45" s="369">
        <v>0.95489999999999997</v>
      </c>
      <c r="AP45" s="283">
        <v>11</v>
      </c>
      <c r="AQ45" s="350">
        <v>244</v>
      </c>
    </row>
    <row r="46" spans="1:43" x14ac:dyDescent="0.2">
      <c r="A46" s="37"/>
      <c r="B46" s="316"/>
      <c r="C46" s="412" t="s">
        <v>80</v>
      </c>
      <c r="D46" s="413" t="s">
        <v>193</v>
      </c>
      <c r="E46" s="414">
        <v>2</v>
      </c>
      <c r="F46" s="414">
        <v>62</v>
      </c>
      <c r="G46" s="415">
        <v>0.9677</v>
      </c>
      <c r="H46" s="37"/>
      <c r="I46" s="412" t="s">
        <v>80</v>
      </c>
      <c r="J46" s="413" t="s">
        <v>193</v>
      </c>
      <c r="K46" s="424">
        <v>3</v>
      </c>
      <c r="L46" s="424">
        <v>210</v>
      </c>
      <c r="M46" s="425">
        <v>0.98570000000000002</v>
      </c>
      <c r="N46" s="314"/>
      <c r="O46" s="37"/>
      <c r="P46" s="316"/>
      <c r="Q46" s="412" t="s">
        <v>80</v>
      </c>
      <c r="R46" s="413" t="s">
        <v>193</v>
      </c>
      <c r="S46" s="424">
        <v>13</v>
      </c>
      <c r="T46" s="424">
        <v>253</v>
      </c>
      <c r="U46" s="425">
        <v>0.9486</v>
      </c>
      <c r="V46" s="37"/>
      <c r="W46" s="412" t="s">
        <v>80</v>
      </c>
      <c r="X46" s="413" t="s">
        <v>193</v>
      </c>
      <c r="Y46" s="424">
        <v>7</v>
      </c>
      <c r="Z46" s="424">
        <v>247</v>
      </c>
      <c r="AA46" s="425">
        <v>0.97170000000000001</v>
      </c>
      <c r="AB46" s="314"/>
      <c r="AC46" s="37"/>
      <c r="AD46" s="349" t="s">
        <v>36</v>
      </c>
      <c r="AE46" s="282" t="s">
        <v>196</v>
      </c>
      <c r="AF46" s="382">
        <v>0.97719999999999996</v>
      </c>
      <c r="AG46" s="283">
        <v>7</v>
      </c>
      <c r="AH46" s="383">
        <v>307</v>
      </c>
      <c r="AI46" s="369">
        <v>0.90480000000000005</v>
      </c>
      <c r="AJ46" s="283">
        <v>6</v>
      </c>
      <c r="AK46" s="396">
        <v>63</v>
      </c>
      <c r="AL46" s="382">
        <v>0.90200000000000002</v>
      </c>
      <c r="AM46" s="283">
        <v>25</v>
      </c>
      <c r="AN46" s="383">
        <v>255</v>
      </c>
      <c r="AO46" s="369">
        <v>0.96750000000000003</v>
      </c>
      <c r="AP46" s="283">
        <v>8</v>
      </c>
      <c r="AQ46" s="350">
        <v>246</v>
      </c>
    </row>
    <row r="47" spans="1:43" x14ac:dyDescent="0.2">
      <c r="A47" s="37"/>
      <c r="B47" s="316"/>
      <c r="C47" s="412" t="s">
        <v>93</v>
      </c>
      <c r="D47" s="413" t="s">
        <v>194</v>
      </c>
      <c r="E47" s="414">
        <v>2</v>
      </c>
      <c r="F47" s="414">
        <v>55</v>
      </c>
      <c r="G47" s="415">
        <v>0.96360000000000001</v>
      </c>
      <c r="H47" s="37"/>
      <c r="I47" s="412" t="s">
        <v>93</v>
      </c>
      <c r="J47" s="413" t="s">
        <v>194</v>
      </c>
      <c r="K47" s="424">
        <v>2</v>
      </c>
      <c r="L47" s="424">
        <v>190</v>
      </c>
      <c r="M47" s="425">
        <v>0.98950000000000005</v>
      </c>
      <c r="N47" s="314"/>
      <c r="O47" s="37"/>
      <c r="P47" s="316"/>
      <c r="Q47" s="412" t="s">
        <v>93</v>
      </c>
      <c r="R47" s="413" t="s">
        <v>194</v>
      </c>
      <c r="S47" s="424">
        <v>25</v>
      </c>
      <c r="T47" s="424">
        <v>243</v>
      </c>
      <c r="U47" s="425">
        <v>0.89710000000000001</v>
      </c>
      <c r="V47" s="37"/>
      <c r="W47" s="412" t="s">
        <v>93</v>
      </c>
      <c r="X47" s="413" t="s">
        <v>194</v>
      </c>
      <c r="Y47" s="424">
        <v>23</v>
      </c>
      <c r="Z47" s="424">
        <v>253</v>
      </c>
      <c r="AA47" s="425">
        <v>0.90910000000000002</v>
      </c>
      <c r="AB47" s="314"/>
      <c r="AC47" s="37"/>
      <c r="AD47" s="349" t="s">
        <v>73</v>
      </c>
      <c r="AE47" s="282" t="s">
        <v>172</v>
      </c>
      <c r="AF47" s="382">
        <v>0.97340000000000004</v>
      </c>
      <c r="AG47" s="283">
        <v>7</v>
      </c>
      <c r="AH47" s="383">
        <v>263</v>
      </c>
      <c r="AI47" s="369">
        <v>0.95</v>
      </c>
      <c r="AJ47" s="283">
        <v>3</v>
      </c>
      <c r="AK47" s="396">
        <v>60</v>
      </c>
      <c r="AL47" s="382">
        <v>0.91269999999999996</v>
      </c>
      <c r="AM47" s="283">
        <v>22</v>
      </c>
      <c r="AN47" s="383">
        <v>252</v>
      </c>
      <c r="AO47" s="369">
        <v>0.93279999999999996</v>
      </c>
      <c r="AP47" s="283">
        <v>17</v>
      </c>
      <c r="AQ47" s="350">
        <v>253</v>
      </c>
    </row>
    <row r="48" spans="1:43" x14ac:dyDescent="0.2">
      <c r="A48" s="37"/>
      <c r="B48" s="316"/>
      <c r="C48" s="412" t="s">
        <v>65</v>
      </c>
      <c r="D48" s="413" t="s">
        <v>195</v>
      </c>
      <c r="E48" s="414">
        <v>7</v>
      </c>
      <c r="F48" s="414">
        <v>60</v>
      </c>
      <c r="G48" s="415">
        <v>0.88329999999999997</v>
      </c>
      <c r="H48" s="37"/>
      <c r="I48" s="412" t="s">
        <v>65</v>
      </c>
      <c r="J48" s="413" t="s">
        <v>195</v>
      </c>
      <c r="K48" s="424">
        <v>24</v>
      </c>
      <c r="L48" s="424">
        <v>261</v>
      </c>
      <c r="M48" s="425">
        <v>0.90800000000000003</v>
      </c>
      <c r="N48" s="314"/>
      <c r="O48" s="37"/>
      <c r="P48" s="316"/>
      <c r="Q48" s="412" t="s">
        <v>65</v>
      </c>
      <c r="R48" s="413" t="s">
        <v>195</v>
      </c>
      <c r="S48" s="424">
        <v>22</v>
      </c>
      <c r="T48" s="424">
        <v>251</v>
      </c>
      <c r="U48" s="425">
        <v>0.91239999999999999</v>
      </c>
      <c r="V48" s="37"/>
      <c r="W48" s="412" t="s">
        <v>65</v>
      </c>
      <c r="X48" s="413" t="s">
        <v>195</v>
      </c>
      <c r="Y48" s="424">
        <v>14</v>
      </c>
      <c r="Z48" s="424">
        <v>253</v>
      </c>
      <c r="AA48" s="425">
        <v>0.94469999999999998</v>
      </c>
      <c r="AB48" s="314"/>
      <c r="AC48" s="37"/>
      <c r="AD48" s="349" t="s">
        <v>88</v>
      </c>
      <c r="AE48" s="282" t="s">
        <v>208</v>
      </c>
      <c r="AF48" s="382">
        <v>0.97260000000000002</v>
      </c>
      <c r="AG48" s="283">
        <v>8</v>
      </c>
      <c r="AH48" s="383">
        <v>292</v>
      </c>
      <c r="AI48" s="369">
        <v>0.9677</v>
      </c>
      <c r="AJ48" s="283">
        <v>2</v>
      </c>
      <c r="AK48" s="396">
        <v>62</v>
      </c>
      <c r="AL48" s="382">
        <v>0.95650000000000002</v>
      </c>
      <c r="AM48" s="283">
        <v>11</v>
      </c>
      <c r="AN48" s="383">
        <v>253</v>
      </c>
      <c r="AO48" s="369">
        <v>0.96399999999999997</v>
      </c>
      <c r="AP48" s="283">
        <v>9</v>
      </c>
      <c r="AQ48" s="350">
        <v>250</v>
      </c>
    </row>
    <row r="49" spans="1:43" x14ac:dyDescent="0.2">
      <c r="A49" s="37"/>
      <c r="B49" s="316"/>
      <c r="C49" s="412" t="s">
        <v>36</v>
      </c>
      <c r="D49" s="413" t="s">
        <v>196</v>
      </c>
      <c r="E49" s="414">
        <v>6</v>
      </c>
      <c r="F49" s="414">
        <v>63</v>
      </c>
      <c r="G49" s="415">
        <v>0.90480000000000005</v>
      </c>
      <c r="H49" s="37"/>
      <c r="I49" s="412" t="s">
        <v>36</v>
      </c>
      <c r="J49" s="413" t="s">
        <v>196</v>
      </c>
      <c r="K49" s="424">
        <v>7</v>
      </c>
      <c r="L49" s="424">
        <v>307</v>
      </c>
      <c r="M49" s="425">
        <v>0.97719999999999996</v>
      </c>
      <c r="N49" s="314"/>
      <c r="O49" s="37"/>
      <c r="P49" s="316"/>
      <c r="Q49" s="412" t="s">
        <v>36</v>
      </c>
      <c r="R49" s="413" t="s">
        <v>196</v>
      </c>
      <c r="S49" s="424">
        <v>25</v>
      </c>
      <c r="T49" s="424">
        <v>255</v>
      </c>
      <c r="U49" s="425">
        <v>0.90200000000000002</v>
      </c>
      <c r="V49" s="37"/>
      <c r="W49" s="412" t="s">
        <v>36</v>
      </c>
      <c r="X49" s="413" t="s">
        <v>196</v>
      </c>
      <c r="Y49" s="424">
        <v>8</v>
      </c>
      <c r="Z49" s="424">
        <v>246</v>
      </c>
      <c r="AA49" s="425">
        <v>0.96750000000000003</v>
      </c>
      <c r="AB49" s="314"/>
      <c r="AC49" s="37"/>
      <c r="AD49" s="349" t="s">
        <v>89</v>
      </c>
      <c r="AE49" s="282" t="s">
        <v>181</v>
      </c>
      <c r="AF49" s="382">
        <v>0.95979999999999999</v>
      </c>
      <c r="AG49" s="283">
        <v>8</v>
      </c>
      <c r="AH49" s="383">
        <v>199</v>
      </c>
      <c r="AI49" s="369">
        <v>0.93330000000000002</v>
      </c>
      <c r="AJ49" s="283">
        <v>4</v>
      </c>
      <c r="AK49" s="396">
        <v>60</v>
      </c>
      <c r="AL49" s="382">
        <v>0.9153</v>
      </c>
      <c r="AM49" s="283">
        <v>21</v>
      </c>
      <c r="AN49" s="383">
        <v>248</v>
      </c>
      <c r="AO49" s="369">
        <v>0.91190000000000004</v>
      </c>
      <c r="AP49" s="283">
        <v>20</v>
      </c>
      <c r="AQ49" s="350">
        <v>227</v>
      </c>
    </row>
    <row r="50" spans="1:43" x14ac:dyDescent="0.2">
      <c r="A50" s="37"/>
      <c r="B50" s="316"/>
      <c r="C50" s="412" t="s">
        <v>82</v>
      </c>
      <c r="D50" s="413" t="s">
        <v>197</v>
      </c>
      <c r="E50" s="414">
        <v>4</v>
      </c>
      <c r="F50" s="414">
        <v>65</v>
      </c>
      <c r="G50" s="415">
        <v>0.9385</v>
      </c>
      <c r="H50" s="37"/>
      <c r="I50" s="412" t="s">
        <v>82</v>
      </c>
      <c r="J50" s="413" t="s">
        <v>197</v>
      </c>
      <c r="K50" s="424">
        <v>5</v>
      </c>
      <c r="L50" s="424">
        <v>215</v>
      </c>
      <c r="M50" s="425">
        <v>0.97670000000000001</v>
      </c>
      <c r="N50" s="314"/>
      <c r="O50" s="37"/>
      <c r="P50" s="316"/>
      <c r="Q50" s="412" t="s">
        <v>82</v>
      </c>
      <c r="R50" s="413" t="s">
        <v>197</v>
      </c>
      <c r="S50" s="424">
        <v>18</v>
      </c>
      <c r="T50" s="424">
        <v>255</v>
      </c>
      <c r="U50" s="425">
        <v>0.9294</v>
      </c>
      <c r="V50" s="37"/>
      <c r="W50" s="412" t="s">
        <v>82</v>
      </c>
      <c r="X50" s="413" t="s">
        <v>197</v>
      </c>
      <c r="Y50" s="424">
        <v>23</v>
      </c>
      <c r="Z50" s="424">
        <v>237</v>
      </c>
      <c r="AA50" s="425">
        <v>0.90300000000000002</v>
      </c>
      <c r="AB50" s="314"/>
      <c r="AC50" s="37"/>
      <c r="AD50" s="349" t="s">
        <v>250</v>
      </c>
      <c r="AE50" s="282" t="s">
        <v>184</v>
      </c>
      <c r="AF50" s="382">
        <v>0.9375</v>
      </c>
      <c r="AG50" s="283">
        <v>13</v>
      </c>
      <c r="AH50" s="383">
        <v>208</v>
      </c>
      <c r="AI50" s="369">
        <v>0.8387</v>
      </c>
      <c r="AJ50" s="283">
        <v>10</v>
      </c>
      <c r="AK50" s="396">
        <v>62</v>
      </c>
      <c r="AL50" s="382">
        <v>0.93330000000000002</v>
      </c>
      <c r="AM50" s="283">
        <v>17</v>
      </c>
      <c r="AN50" s="383">
        <v>255</v>
      </c>
      <c r="AO50" s="369">
        <v>0.93930000000000002</v>
      </c>
      <c r="AP50" s="283">
        <v>15</v>
      </c>
      <c r="AQ50" s="350">
        <v>247</v>
      </c>
    </row>
    <row r="51" spans="1:43" x14ac:dyDescent="0.2">
      <c r="A51" s="37"/>
      <c r="B51" s="316"/>
      <c r="C51" s="412" t="s">
        <v>86</v>
      </c>
      <c r="D51" s="413" t="s">
        <v>198</v>
      </c>
      <c r="E51" s="414">
        <v>5</v>
      </c>
      <c r="F51" s="414">
        <v>63</v>
      </c>
      <c r="G51" s="415">
        <v>0.92059999999999997</v>
      </c>
      <c r="H51" s="37"/>
      <c r="I51" s="412" t="s">
        <v>86</v>
      </c>
      <c r="J51" s="413" t="s">
        <v>198</v>
      </c>
      <c r="K51" s="424">
        <v>6</v>
      </c>
      <c r="L51" s="424">
        <v>298</v>
      </c>
      <c r="M51" s="425">
        <v>0.97989999999999999</v>
      </c>
      <c r="N51" s="314"/>
      <c r="O51" s="37"/>
      <c r="P51" s="316"/>
      <c r="Q51" s="412" t="s">
        <v>86</v>
      </c>
      <c r="R51" s="413" t="s">
        <v>198</v>
      </c>
      <c r="S51" s="424">
        <v>27</v>
      </c>
      <c r="T51" s="424">
        <v>247</v>
      </c>
      <c r="U51" s="425">
        <v>0.89070000000000005</v>
      </c>
      <c r="V51" s="37"/>
      <c r="W51" s="412" t="s">
        <v>86</v>
      </c>
      <c r="X51" s="413" t="s">
        <v>198</v>
      </c>
      <c r="Y51" s="424">
        <v>26</v>
      </c>
      <c r="Z51" s="424">
        <v>252</v>
      </c>
      <c r="AA51" s="425">
        <v>0.89680000000000004</v>
      </c>
      <c r="AB51" s="314"/>
      <c r="AC51" s="37"/>
      <c r="AD51" s="349" t="s">
        <v>93</v>
      </c>
      <c r="AE51" s="282" t="s">
        <v>194</v>
      </c>
      <c r="AF51" s="382">
        <v>0.98950000000000005</v>
      </c>
      <c r="AG51" s="283">
        <v>2</v>
      </c>
      <c r="AH51" s="383">
        <v>190</v>
      </c>
      <c r="AI51" s="369">
        <v>0.96360000000000001</v>
      </c>
      <c r="AJ51" s="283">
        <v>2</v>
      </c>
      <c r="AK51" s="396">
        <v>55</v>
      </c>
      <c r="AL51" s="382">
        <v>0.89710000000000001</v>
      </c>
      <c r="AM51" s="283">
        <v>25</v>
      </c>
      <c r="AN51" s="383">
        <v>243</v>
      </c>
      <c r="AO51" s="369">
        <v>0.90910000000000002</v>
      </c>
      <c r="AP51" s="283">
        <v>23</v>
      </c>
      <c r="AQ51" s="350">
        <v>253</v>
      </c>
    </row>
    <row r="52" spans="1:43" ht="13.5" thickBot="1" x14ac:dyDescent="0.25">
      <c r="A52" s="37"/>
      <c r="B52" s="316"/>
      <c r="C52" s="412" t="s">
        <v>69</v>
      </c>
      <c r="D52" s="413" t="s">
        <v>199</v>
      </c>
      <c r="E52" s="414">
        <v>3</v>
      </c>
      <c r="F52" s="414">
        <v>64</v>
      </c>
      <c r="G52" s="415">
        <v>0.95309999999999995</v>
      </c>
      <c r="H52" s="37"/>
      <c r="I52" s="412" t="s">
        <v>69</v>
      </c>
      <c r="J52" s="413" t="s">
        <v>199</v>
      </c>
      <c r="K52" s="424">
        <v>5</v>
      </c>
      <c r="L52" s="424">
        <v>285</v>
      </c>
      <c r="M52" s="425">
        <v>0.98250000000000004</v>
      </c>
      <c r="N52" s="314"/>
      <c r="O52" s="37"/>
      <c r="P52" s="316"/>
      <c r="Q52" s="412" t="s">
        <v>69</v>
      </c>
      <c r="R52" s="413" t="s">
        <v>199</v>
      </c>
      <c r="S52" s="424">
        <v>12</v>
      </c>
      <c r="T52" s="424">
        <v>253</v>
      </c>
      <c r="U52" s="425">
        <v>0.9526</v>
      </c>
      <c r="V52" s="37"/>
      <c r="W52" s="412" t="s">
        <v>69</v>
      </c>
      <c r="X52" s="413" t="s">
        <v>199</v>
      </c>
      <c r="Y52" s="424">
        <v>15</v>
      </c>
      <c r="Z52" s="424">
        <v>244</v>
      </c>
      <c r="AA52" s="425">
        <v>0.9385</v>
      </c>
      <c r="AB52" s="314"/>
      <c r="AC52" s="37"/>
      <c r="AD52" s="352" t="s">
        <v>95</v>
      </c>
      <c r="AE52" s="284" t="s">
        <v>209</v>
      </c>
      <c r="AF52" s="384">
        <v>0.96609999999999996</v>
      </c>
      <c r="AG52" s="285">
        <v>8</v>
      </c>
      <c r="AH52" s="385">
        <v>236</v>
      </c>
      <c r="AI52" s="370">
        <v>0.88139999999999996</v>
      </c>
      <c r="AJ52" s="285">
        <v>7</v>
      </c>
      <c r="AK52" s="397">
        <v>59</v>
      </c>
      <c r="AL52" s="384">
        <v>0.92369999999999997</v>
      </c>
      <c r="AM52" s="285">
        <v>19</v>
      </c>
      <c r="AN52" s="385">
        <v>249</v>
      </c>
      <c r="AO52" s="370">
        <v>0.96389999999999998</v>
      </c>
      <c r="AP52" s="285">
        <v>9</v>
      </c>
      <c r="AQ52" s="353">
        <v>249</v>
      </c>
    </row>
    <row r="53" spans="1:43" x14ac:dyDescent="0.2">
      <c r="A53" s="37"/>
      <c r="B53" s="316"/>
      <c r="C53" s="412" t="s">
        <v>60</v>
      </c>
      <c r="D53" s="413" t="s">
        <v>200</v>
      </c>
      <c r="E53" s="414">
        <v>4</v>
      </c>
      <c r="F53" s="414">
        <v>56</v>
      </c>
      <c r="G53" s="415">
        <v>0.92859999999999998</v>
      </c>
      <c r="H53" s="37"/>
      <c r="I53" s="412" t="s">
        <v>60</v>
      </c>
      <c r="J53" s="413" t="s">
        <v>200</v>
      </c>
      <c r="K53" s="424">
        <v>7</v>
      </c>
      <c r="L53" s="424">
        <v>251</v>
      </c>
      <c r="M53" s="425">
        <v>0.97209999999999996</v>
      </c>
      <c r="N53" s="314"/>
      <c r="O53" s="37"/>
      <c r="P53" s="316"/>
      <c r="Q53" s="412" t="s">
        <v>60</v>
      </c>
      <c r="R53" s="413" t="s">
        <v>200</v>
      </c>
      <c r="S53" s="424">
        <v>36</v>
      </c>
      <c r="T53" s="424">
        <v>243</v>
      </c>
      <c r="U53" s="425">
        <v>0.85189999999999999</v>
      </c>
      <c r="V53" s="37"/>
      <c r="W53" s="412" t="s">
        <v>60</v>
      </c>
      <c r="X53" s="413" t="s">
        <v>200</v>
      </c>
      <c r="Y53" s="424">
        <v>20</v>
      </c>
      <c r="Z53" s="424">
        <v>242</v>
      </c>
      <c r="AA53" s="425">
        <v>0.91739999999999999</v>
      </c>
      <c r="AB53" s="314"/>
      <c r="AC53" s="37"/>
      <c r="AD53" s="347" t="s">
        <v>22</v>
      </c>
      <c r="AE53" s="280"/>
      <c r="AF53" s="380">
        <v>0.96545731044970673</v>
      </c>
      <c r="AG53" s="281">
        <v>159</v>
      </c>
      <c r="AH53" s="381">
        <v>4603</v>
      </c>
      <c r="AI53" s="368">
        <v>0.91474423269809424</v>
      </c>
      <c r="AJ53" s="281">
        <v>85</v>
      </c>
      <c r="AK53" s="395">
        <v>997</v>
      </c>
      <c r="AL53" s="380">
        <v>0.90676506765067655</v>
      </c>
      <c r="AM53" s="281">
        <v>379</v>
      </c>
      <c r="AN53" s="381">
        <v>4065</v>
      </c>
      <c r="AO53" s="368">
        <v>0.93144329896907219</v>
      </c>
      <c r="AP53" s="281">
        <v>266</v>
      </c>
      <c r="AQ53" s="348">
        <v>3880</v>
      </c>
    </row>
    <row r="54" spans="1:43" x14ac:dyDescent="0.2">
      <c r="A54" s="37"/>
      <c r="B54" s="316"/>
      <c r="C54" s="412" t="s">
        <v>68</v>
      </c>
      <c r="D54" s="413" t="s">
        <v>201</v>
      </c>
      <c r="E54" s="414">
        <v>4</v>
      </c>
      <c r="F54" s="414">
        <v>64</v>
      </c>
      <c r="G54" s="415">
        <v>0.9375</v>
      </c>
      <c r="H54" s="37"/>
      <c r="I54" s="412" t="s">
        <v>68</v>
      </c>
      <c r="J54" s="413" t="s">
        <v>201</v>
      </c>
      <c r="K54" s="424">
        <v>14</v>
      </c>
      <c r="L54" s="424">
        <v>234</v>
      </c>
      <c r="M54" s="425">
        <v>0.94020000000000004</v>
      </c>
      <c r="N54" s="314"/>
      <c r="O54" s="37"/>
      <c r="P54" s="316"/>
      <c r="Q54" s="412" t="s">
        <v>68</v>
      </c>
      <c r="R54" s="413" t="s">
        <v>201</v>
      </c>
      <c r="S54" s="424">
        <v>24</v>
      </c>
      <c r="T54" s="424">
        <v>251</v>
      </c>
      <c r="U54" s="425">
        <v>0.90439999999999998</v>
      </c>
      <c r="V54" s="37"/>
      <c r="W54" s="412" t="s">
        <v>68</v>
      </c>
      <c r="X54" s="413" t="s">
        <v>201</v>
      </c>
      <c r="Y54" s="424">
        <v>21</v>
      </c>
      <c r="Z54" s="424">
        <v>249</v>
      </c>
      <c r="AA54" s="425">
        <v>0.91569999999999996</v>
      </c>
      <c r="AB54" s="314"/>
      <c r="AC54" s="37"/>
      <c r="AD54" s="349" t="s">
        <v>44</v>
      </c>
      <c r="AE54" s="282" t="s">
        <v>186</v>
      </c>
      <c r="AF54" s="382">
        <v>0.98899999999999999</v>
      </c>
      <c r="AG54" s="283">
        <v>3</v>
      </c>
      <c r="AH54" s="383">
        <v>272</v>
      </c>
      <c r="AI54" s="369">
        <v>0.95079999999999998</v>
      </c>
      <c r="AJ54" s="283">
        <v>3</v>
      </c>
      <c r="AK54" s="396">
        <v>61</v>
      </c>
      <c r="AL54" s="382">
        <v>0.92400000000000004</v>
      </c>
      <c r="AM54" s="283">
        <v>19</v>
      </c>
      <c r="AN54" s="383">
        <v>250</v>
      </c>
      <c r="AO54" s="369">
        <v>0.92949999999999999</v>
      </c>
      <c r="AP54" s="283">
        <v>17</v>
      </c>
      <c r="AQ54" s="350">
        <v>241</v>
      </c>
    </row>
    <row r="55" spans="1:43" x14ac:dyDescent="0.2">
      <c r="A55" s="37"/>
      <c r="B55" s="316"/>
      <c r="C55" s="412" t="s">
        <v>85</v>
      </c>
      <c r="D55" s="413" t="s">
        <v>202</v>
      </c>
      <c r="E55" s="414">
        <v>7</v>
      </c>
      <c r="F55" s="414">
        <v>62</v>
      </c>
      <c r="G55" s="415">
        <v>0.8871</v>
      </c>
      <c r="H55" s="37"/>
      <c r="I55" s="412" t="s">
        <v>85</v>
      </c>
      <c r="J55" s="413" t="s">
        <v>202</v>
      </c>
      <c r="K55" s="424">
        <v>11</v>
      </c>
      <c r="L55" s="424">
        <v>434</v>
      </c>
      <c r="M55" s="425">
        <v>0.97470000000000001</v>
      </c>
      <c r="N55" s="314"/>
      <c r="O55" s="37"/>
      <c r="P55" s="316"/>
      <c r="Q55" s="412" t="s">
        <v>85</v>
      </c>
      <c r="R55" s="413" t="s">
        <v>202</v>
      </c>
      <c r="S55" s="424">
        <v>40</v>
      </c>
      <c r="T55" s="424">
        <v>256</v>
      </c>
      <c r="U55" s="425">
        <v>0.84379999999999999</v>
      </c>
      <c r="V55" s="37"/>
      <c r="W55" s="412" t="s">
        <v>85</v>
      </c>
      <c r="X55" s="413" t="s">
        <v>202</v>
      </c>
      <c r="Y55" s="424">
        <v>21</v>
      </c>
      <c r="Z55" s="424">
        <v>244</v>
      </c>
      <c r="AA55" s="425">
        <v>0.91390000000000005</v>
      </c>
      <c r="AB55" s="314"/>
      <c r="AC55" s="37"/>
      <c r="AD55" s="349" t="s">
        <v>45</v>
      </c>
      <c r="AE55" s="282" t="s">
        <v>213</v>
      </c>
      <c r="AF55" s="382">
        <v>0.96909999999999996</v>
      </c>
      <c r="AG55" s="283">
        <v>9</v>
      </c>
      <c r="AH55" s="383">
        <v>291</v>
      </c>
      <c r="AI55" s="369">
        <v>0.92190000000000005</v>
      </c>
      <c r="AJ55" s="283">
        <v>5</v>
      </c>
      <c r="AK55" s="396">
        <v>64</v>
      </c>
      <c r="AL55" s="382">
        <v>0.88980000000000004</v>
      </c>
      <c r="AM55" s="283">
        <v>28</v>
      </c>
      <c r="AN55" s="383">
        <v>254</v>
      </c>
      <c r="AO55" s="369">
        <v>0.91769999999999996</v>
      </c>
      <c r="AP55" s="283">
        <v>20</v>
      </c>
      <c r="AQ55" s="350">
        <v>243</v>
      </c>
    </row>
    <row r="56" spans="1:43" x14ac:dyDescent="0.2">
      <c r="A56" s="37"/>
      <c r="B56" s="316"/>
      <c r="C56" s="412" t="s">
        <v>92</v>
      </c>
      <c r="D56" s="413" t="s">
        <v>203</v>
      </c>
      <c r="E56" s="414">
        <v>6</v>
      </c>
      <c r="F56" s="414">
        <v>64</v>
      </c>
      <c r="G56" s="415">
        <v>0.90629999999999999</v>
      </c>
      <c r="H56" s="37"/>
      <c r="I56" s="412" t="s">
        <v>92</v>
      </c>
      <c r="J56" s="413" t="s">
        <v>203</v>
      </c>
      <c r="K56" s="424">
        <v>7</v>
      </c>
      <c r="L56" s="424">
        <v>281</v>
      </c>
      <c r="M56" s="425">
        <v>0.97509999999999997</v>
      </c>
      <c r="N56" s="314"/>
      <c r="O56" s="37"/>
      <c r="P56" s="316"/>
      <c r="Q56" s="412" t="s">
        <v>92</v>
      </c>
      <c r="R56" s="413" t="s">
        <v>203</v>
      </c>
      <c r="S56" s="424">
        <v>17</v>
      </c>
      <c r="T56" s="424">
        <v>254</v>
      </c>
      <c r="U56" s="425">
        <v>0.93310000000000004</v>
      </c>
      <c r="V56" s="37"/>
      <c r="W56" s="412" t="s">
        <v>92</v>
      </c>
      <c r="X56" s="413" t="s">
        <v>203</v>
      </c>
      <c r="Y56" s="424">
        <v>6</v>
      </c>
      <c r="Z56" s="424">
        <v>254</v>
      </c>
      <c r="AA56" s="425">
        <v>0.97640000000000005</v>
      </c>
      <c r="AB56" s="314"/>
      <c r="AC56" s="37"/>
      <c r="AD56" s="349" t="s">
        <v>47</v>
      </c>
      <c r="AE56" s="282" t="s">
        <v>192</v>
      </c>
      <c r="AF56" s="382">
        <v>0.93279999999999996</v>
      </c>
      <c r="AG56" s="283">
        <v>17</v>
      </c>
      <c r="AH56" s="383">
        <v>253</v>
      </c>
      <c r="AI56" s="369">
        <v>0.84130000000000005</v>
      </c>
      <c r="AJ56" s="283">
        <v>10</v>
      </c>
      <c r="AK56" s="396">
        <v>63</v>
      </c>
      <c r="AL56" s="382">
        <v>0.93279999999999996</v>
      </c>
      <c r="AM56" s="283">
        <v>17</v>
      </c>
      <c r="AN56" s="383">
        <v>253</v>
      </c>
      <c r="AO56" s="369">
        <v>0.94820000000000004</v>
      </c>
      <c r="AP56" s="283">
        <v>13</v>
      </c>
      <c r="AQ56" s="350">
        <v>251</v>
      </c>
    </row>
    <row r="57" spans="1:43" x14ac:dyDescent="0.2">
      <c r="A57" s="37"/>
      <c r="B57" s="316"/>
      <c r="C57" s="412" t="s">
        <v>204</v>
      </c>
      <c r="D57" s="413" t="s">
        <v>105</v>
      </c>
      <c r="E57" s="414">
        <v>8</v>
      </c>
      <c r="F57" s="414">
        <v>60</v>
      </c>
      <c r="G57" s="415">
        <v>0.86670000000000003</v>
      </c>
      <c r="H57" s="37"/>
      <c r="I57" s="412" t="s">
        <v>204</v>
      </c>
      <c r="J57" s="413" t="s">
        <v>105</v>
      </c>
      <c r="K57" s="424">
        <v>12</v>
      </c>
      <c r="L57" s="424">
        <v>197</v>
      </c>
      <c r="M57" s="425">
        <v>0.93910000000000005</v>
      </c>
      <c r="N57" s="314"/>
      <c r="O57" s="37"/>
      <c r="P57" s="316"/>
      <c r="Q57" s="412" t="s">
        <v>204</v>
      </c>
      <c r="R57" s="413" t="s">
        <v>105</v>
      </c>
      <c r="S57" s="424">
        <v>31</v>
      </c>
      <c r="T57" s="424">
        <v>249</v>
      </c>
      <c r="U57" s="425">
        <v>0.87549999999999994</v>
      </c>
      <c r="V57" s="37"/>
      <c r="W57" s="412" t="s">
        <v>204</v>
      </c>
      <c r="X57" s="413" t="s">
        <v>105</v>
      </c>
      <c r="Y57" s="424">
        <v>38</v>
      </c>
      <c r="Z57" s="424">
        <v>241</v>
      </c>
      <c r="AA57" s="425">
        <v>0.84230000000000005</v>
      </c>
      <c r="AB57" s="314"/>
      <c r="AC57" s="37"/>
      <c r="AD57" s="349" t="s">
        <v>53</v>
      </c>
      <c r="AE57" s="282" t="s">
        <v>185</v>
      </c>
      <c r="AF57" s="382">
        <v>0.98150000000000004</v>
      </c>
      <c r="AG57" s="283">
        <v>4</v>
      </c>
      <c r="AH57" s="383">
        <v>216</v>
      </c>
      <c r="AI57" s="369">
        <v>0.96830000000000005</v>
      </c>
      <c r="AJ57" s="283">
        <v>2</v>
      </c>
      <c r="AK57" s="396">
        <v>63</v>
      </c>
      <c r="AL57" s="382">
        <v>0.88100000000000001</v>
      </c>
      <c r="AM57" s="283">
        <v>30</v>
      </c>
      <c r="AN57" s="383">
        <v>252</v>
      </c>
      <c r="AO57" s="369">
        <v>0.9012</v>
      </c>
      <c r="AP57" s="283">
        <v>24</v>
      </c>
      <c r="AQ57" s="350">
        <v>243</v>
      </c>
    </row>
    <row r="58" spans="1:43" x14ac:dyDescent="0.2">
      <c r="A58" s="37"/>
      <c r="B58" s="316"/>
      <c r="C58" s="412" t="s">
        <v>205</v>
      </c>
      <c r="D58" s="413" t="s">
        <v>206</v>
      </c>
      <c r="E58" s="414">
        <v>4</v>
      </c>
      <c r="F58" s="414">
        <v>61</v>
      </c>
      <c r="G58" s="415">
        <v>0.93440000000000001</v>
      </c>
      <c r="H58" s="37"/>
      <c r="I58" s="412" t="s">
        <v>205</v>
      </c>
      <c r="J58" s="413" t="s">
        <v>206</v>
      </c>
      <c r="K58" s="424">
        <v>4</v>
      </c>
      <c r="L58" s="424">
        <v>207</v>
      </c>
      <c r="M58" s="425">
        <v>0.98070000000000002</v>
      </c>
      <c r="N58" s="314"/>
      <c r="O58" s="37"/>
      <c r="P58" s="316"/>
      <c r="Q58" s="412" t="s">
        <v>205</v>
      </c>
      <c r="R58" s="413" t="s">
        <v>206</v>
      </c>
      <c r="S58" s="424">
        <v>10</v>
      </c>
      <c r="T58" s="424">
        <v>252</v>
      </c>
      <c r="U58" s="425">
        <v>0.96030000000000004</v>
      </c>
      <c r="V58" s="37"/>
      <c r="W58" s="412" t="s">
        <v>205</v>
      </c>
      <c r="X58" s="413" t="s">
        <v>206</v>
      </c>
      <c r="Y58" s="424">
        <v>10</v>
      </c>
      <c r="Z58" s="424">
        <v>251</v>
      </c>
      <c r="AA58" s="425">
        <v>0.96020000000000005</v>
      </c>
      <c r="AB58" s="314"/>
      <c r="AC58" s="37"/>
      <c r="AD58" s="349" t="s">
        <v>49</v>
      </c>
      <c r="AE58" s="282">
        <v>442</v>
      </c>
      <c r="AF58" s="382">
        <v>0.98209999999999997</v>
      </c>
      <c r="AG58" s="283">
        <v>3</v>
      </c>
      <c r="AH58" s="383">
        <v>168</v>
      </c>
      <c r="AI58" s="369">
        <v>0.94830000000000003</v>
      </c>
      <c r="AJ58" s="283">
        <v>3</v>
      </c>
      <c r="AK58" s="396">
        <v>58</v>
      </c>
      <c r="AL58" s="382">
        <v>0.9113</v>
      </c>
      <c r="AM58" s="283">
        <v>22</v>
      </c>
      <c r="AN58" s="383">
        <v>248</v>
      </c>
      <c r="AO58" s="369">
        <v>0.91110000000000002</v>
      </c>
      <c r="AP58" s="283">
        <v>20</v>
      </c>
      <c r="AQ58" s="350">
        <v>225</v>
      </c>
    </row>
    <row r="59" spans="1:43" x14ac:dyDescent="0.2">
      <c r="A59" s="37"/>
      <c r="B59" s="316"/>
      <c r="C59" s="412" t="s">
        <v>56</v>
      </c>
      <c r="D59" s="413" t="s">
        <v>207</v>
      </c>
      <c r="E59" s="414">
        <v>3</v>
      </c>
      <c r="F59" s="414">
        <v>64</v>
      </c>
      <c r="G59" s="415">
        <v>0.95309999999999995</v>
      </c>
      <c r="H59" s="37"/>
      <c r="I59" s="412" t="s">
        <v>56</v>
      </c>
      <c r="J59" s="413" t="s">
        <v>207</v>
      </c>
      <c r="K59" s="424">
        <v>6</v>
      </c>
      <c r="L59" s="424">
        <v>205</v>
      </c>
      <c r="M59" s="425">
        <v>0.97070000000000001</v>
      </c>
      <c r="N59" s="314"/>
      <c r="O59" s="37"/>
      <c r="P59" s="316"/>
      <c r="Q59" s="412" t="s">
        <v>56</v>
      </c>
      <c r="R59" s="413" t="s">
        <v>207</v>
      </c>
      <c r="S59" s="424">
        <v>16</v>
      </c>
      <c r="T59" s="424">
        <v>252</v>
      </c>
      <c r="U59" s="425">
        <v>0.9365</v>
      </c>
      <c r="V59" s="37"/>
      <c r="W59" s="412" t="s">
        <v>56</v>
      </c>
      <c r="X59" s="413" t="s">
        <v>207</v>
      </c>
      <c r="Y59" s="424">
        <v>10</v>
      </c>
      <c r="Z59" s="424">
        <v>246</v>
      </c>
      <c r="AA59" s="425">
        <v>0.95930000000000004</v>
      </c>
      <c r="AB59" s="314"/>
      <c r="AC59" s="37"/>
      <c r="AD59" s="349" t="s">
        <v>205</v>
      </c>
      <c r="AE59" s="282" t="s">
        <v>206</v>
      </c>
      <c r="AF59" s="382">
        <v>0.98070000000000002</v>
      </c>
      <c r="AG59" s="283">
        <v>4</v>
      </c>
      <c r="AH59" s="383">
        <v>207</v>
      </c>
      <c r="AI59" s="369">
        <v>0.93440000000000001</v>
      </c>
      <c r="AJ59" s="283">
        <v>4</v>
      </c>
      <c r="AK59" s="396">
        <v>61</v>
      </c>
      <c r="AL59" s="382">
        <v>0.96030000000000004</v>
      </c>
      <c r="AM59" s="283">
        <v>10</v>
      </c>
      <c r="AN59" s="383">
        <v>252</v>
      </c>
      <c r="AO59" s="369">
        <v>0.96020000000000005</v>
      </c>
      <c r="AP59" s="283">
        <v>10</v>
      </c>
      <c r="AQ59" s="350">
        <v>251</v>
      </c>
    </row>
    <row r="60" spans="1:43" x14ac:dyDescent="0.2">
      <c r="A60" s="37"/>
      <c r="B60" s="316"/>
      <c r="C60" s="412" t="s">
        <v>88</v>
      </c>
      <c r="D60" s="413" t="s">
        <v>208</v>
      </c>
      <c r="E60" s="414">
        <v>2</v>
      </c>
      <c r="F60" s="414">
        <v>62</v>
      </c>
      <c r="G60" s="415">
        <v>0.9677</v>
      </c>
      <c r="H60" s="37"/>
      <c r="I60" s="412" t="s">
        <v>88</v>
      </c>
      <c r="J60" s="413" t="s">
        <v>208</v>
      </c>
      <c r="K60" s="424">
        <v>8</v>
      </c>
      <c r="L60" s="424">
        <v>292</v>
      </c>
      <c r="M60" s="425">
        <v>0.97260000000000002</v>
      </c>
      <c r="N60" s="314"/>
      <c r="O60" s="37"/>
      <c r="P60" s="316"/>
      <c r="Q60" s="412" t="s">
        <v>88</v>
      </c>
      <c r="R60" s="413" t="s">
        <v>208</v>
      </c>
      <c r="S60" s="424">
        <v>11</v>
      </c>
      <c r="T60" s="424">
        <v>253</v>
      </c>
      <c r="U60" s="425">
        <v>0.95650000000000002</v>
      </c>
      <c r="V60" s="37"/>
      <c r="W60" s="412" t="s">
        <v>88</v>
      </c>
      <c r="X60" s="413" t="s">
        <v>208</v>
      </c>
      <c r="Y60" s="424">
        <v>9</v>
      </c>
      <c r="Z60" s="424">
        <v>250</v>
      </c>
      <c r="AA60" s="425">
        <v>0.96399999999999997</v>
      </c>
      <c r="AB60" s="314"/>
      <c r="AC60" s="37"/>
      <c r="AD60" s="349" t="s">
        <v>59</v>
      </c>
      <c r="AE60" s="282" t="s">
        <v>210</v>
      </c>
      <c r="AF60" s="382">
        <v>0.96540000000000004</v>
      </c>
      <c r="AG60" s="283">
        <v>10</v>
      </c>
      <c r="AH60" s="383">
        <v>289</v>
      </c>
      <c r="AI60" s="369">
        <v>0.90159999999999996</v>
      </c>
      <c r="AJ60" s="283">
        <v>6</v>
      </c>
      <c r="AK60" s="396">
        <v>61</v>
      </c>
      <c r="AL60" s="382">
        <v>0.90039999999999998</v>
      </c>
      <c r="AM60" s="283">
        <v>25</v>
      </c>
      <c r="AN60" s="383">
        <v>251</v>
      </c>
      <c r="AO60" s="369">
        <v>0.9677</v>
      </c>
      <c r="AP60" s="283">
        <v>8</v>
      </c>
      <c r="AQ60" s="350">
        <v>248</v>
      </c>
    </row>
    <row r="61" spans="1:43" x14ac:dyDescent="0.2">
      <c r="A61" s="37"/>
      <c r="B61" s="316"/>
      <c r="C61" s="412" t="s">
        <v>49</v>
      </c>
      <c r="D61" s="413">
        <v>442</v>
      </c>
      <c r="E61" s="414">
        <v>3</v>
      </c>
      <c r="F61" s="414">
        <v>58</v>
      </c>
      <c r="G61" s="415">
        <v>0.94830000000000003</v>
      </c>
      <c r="H61" s="37"/>
      <c r="I61" s="412" t="s">
        <v>49</v>
      </c>
      <c r="J61" s="413">
        <v>442</v>
      </c>
      <c r="K61" s="424">
        <v>3</v>
      </c>
      <c r="L61" s="424">
        <v>168</v>
      </c>
      <c r="M61" s="425">
        <v>0.98209999999999997</v>
      </c>
      <c r="N61" s="314"/>
      <c r="O61" s="37"/>
      <c r="P61" s="316"/>
      <c r="Q61" s="412" t="s">
        <v>49</v>
      </c>
      <c r="R61" s="413">
        <v>442</v>
      </c>
      <c r="S61" s="424">
        <v>22</v>
      </c>
      <c r="T61" s="424">
        <v>248</v>
      </c>
      <c r="U61" s="425">
        <v>0.9113</v>
      </c>
      <c r="V61" s="37"/>
      <c r="W61" s="412" t="s">
        <v>49</v>
      </c>
      <c r="X61" s="413">
        <v>442</v>
      </c>
      <c r="Y61" s="424">
        <v>20</v>
      </c>
      <c r="Z61" s="424">
        <v>225</v>
      </c>
      <c r="AA61" s="425">
        <v>0.91110000000000002</v>
      </c>
      <c r="AB61" s="314"/>
      <c r="AC61" s="37"/>
      <c r="AD61" s="351" t="s">
        <v>66</v>
      </c>
      <c r="AE61" s="282" t="s">
        <v>189</v>
      </c>
      <c r="AF61" s="382">
        <v>0.94699999999999995</v>
      </c>
      <c r="AG61" s="283">
        <v>17</v>
      </c>
      <c r="AH61" s="383">
        <v>321</v>
      </c>
      <c r="AI61" s="369">
        <v>0.88890000000000002</v>
      </c>
      <c r="AJ61" s="283">
        <v>7</v>
      </c>
      <c r="AK61" s="396">
        <v>63</v>
      </c>
      <c r="AL61" s="382">
        <v>0.879</v>
      </c>
      <c r="AM61" s="283">
        <v>30</v>
      </c>
      <c r="AN61" s="383">
        <v>248</v>
      </c>
      <c r="AO61" s="369">
        <v>0.91739999999999999</v>
      </c>
      <c r="AP61" s="283">
        <v>19</v>
      </c>
      <c r="AQ61" s="350">
        <v>230</v>
      </c>
    </row>
    <row r="62" spans="1:43" x14ac:dyDescent="0.2">
      <c r="A62" s="37"/>
      <c r="B62" s="316"/>
      <c r="C62" s="412" t="s">
        <v>95</v>
      </c>
      <c r="D62" s="413" t="s">
        <v>209</v>
      </c>
      <c r="E62" s="414">
        <v>7</v>
      </c>
      <c r="F62" s="414">
        <v>59</v>
      </c>
      <c r="G62" s="415">
        <v>0.88139999999999996</v>
      </c>
      <c r="H62" s="37"/>
      <c r="I62" s="412" t="s">
        <v>95</v>
      </c>
      <c r="J62" s="413" t="s">
        <v>209</v>
      </c>
      <c r="K62" s="424">
        <v>8</v>
      </c>
      <c r="L62" s="424">
        <v>236</v>
      </c>
      <c r="M62" s="425">
        <v>0.96609999999999996</v>
      </c>
      <c r="N62" s="314"/>
      <c r="O62" s="37"/>
      <c r="P62" s="316"/>
      <c r="Q62" s="412" t="s">
        <v>95</v>
      </c>
      <c r="R62" s="413" t="s">
        <v>209</v>
      </c>
      <c r="S62" s="424">
        <v>19</v>
      </c>
      <c r="T62" s="424">
        <v>249</v>
      </c>
      <c r="U62" s="425">
        <v>0.92369999999999997</v>
      </c>
      <c r="V62" s="37"/>
      <c r="W62" s="412" t="s">
        <v>95</v>
      </c>
      <c r="X62" s="413" t="s">
        <v>209</v>
      </c>
      <c r="Y62" s="424">
        <v>9</v>
      </c>
      <c r="Z62" s="424">
        <v>249</v>
      </c>
      <c r="AA62" s="425">
        <v>0.96389999999999998</v>
      </c>
      <c r="AB62" s="314"/>
      <c r="AC62" s="37"/>
      <c r="AD62" s="349" t="s">
        <v>69</v>
      </c>
      <c r="AE62" s="282" t="s">
        <v>199</v>
      </c>
      <c r="AF62" s="382">
        <v>0.98250000000000004</v>
      </c>
      <c r="AG62" s="283">
        <v>5</v>
      </c>
      <c r="AH62" s="383">
        <v>285</v>
      </c>
      <c r="AI62" s="369">
        <v>0.95309999999999995</v>
      </c>
      <c r="AJ62" s="283">
        <v>3</v>
      </c>
      <c r="AK62" s="396">
        <v>64</v>
      </c>
      <c r="AL62" s="382">
        <v>0.9526</v>
      </c>
      <c r="AM62" s="283">
        <v>12</v>
      </c>
      <c r="AN62" s="383">
        <v>253</v>
      </c>
      <c r="AO62" s="369">
        <v>0.9385</v>
      </c>
      <c r="AP62" s="283">
        <v>15</v>
      </c>
      <c r="AQ62" s="350">
        <v>244</v>
      </c>
    </row>
    <row r="63" spans="1:43" x14ac:dyDescent="0.2">
      <c r="A63" s="37"/>
      <c r="B63" s="316"/>
      <c r="C63" s="412" t="s">
        <v>59</v>
      </c>
      <c r="D63" s="413" t="s">
        <v>210</v>
      </c>
      <c r="E63" s="414">
        <v>6</v>
      </c>
      <c r="F63" s="414">
        <v>61</v>
      </c>
      <c r="G63" s="415">
        <v>0.90159999999999996</v>
      </c>
      <c r="H63" s="37"/>
      <c r="I63" s="412" t="s">
        <v>59</v>
      </c>
      <c r="J63" s="413" t="s">
        <v>210</v>
      </c>
      <c r="K63" s="424">
        <v>10</v>
      </c>
      <c r="L63" s="424">
        <v>289</v>
      </c>
      <c r="M63" s="425">
        <v>0.96540000000000004</v>
      </c>
      <c r="N63" s="314"/>
      <c r="O63" s="37"/>
      <c r="P63" s="316"/>
      <c r="Q63" s="412" t="s">
        <v>59</v>
      </c>
      <c r="R63" s="413" t="s">
        <v>210</v>
      </c>
      <c r="S63" s="424">
        <v>25</v>
      </c>
      <c r="T63" s="424">
        <v>251</v>
      </c>
      <c r="U63" s="425">
        <v>0.90039999999999998</v>
      </c>
      <c r="V63" s="37"/>
      <c r="W63" s="412" t="s">
        <v>59</v>
      </c>
      <c r="X63" s="413" t="s">
        <v>210</v>
      </c>
      <c r="Y63" s="424">
        <v>8</v>
      </c>
      <c r="Z63" s="424">
        <v>248</v>
      </c>
      <c r="AA63" s="425">
        <v>0.9677</v>
      </c>
      <c r="AB63" s="314"/>
      <c r="AC63" s="37"/>
      <c r="AD63" s="349" t="s">
        <v>76</v>
      </c>
      <c r="AE63" s="282" t="s">
        <v>188</v>
      </c>
      <c r="AF63" s="382">
        <v>0.91239999999999999</v>
      </c>
      <c r="AG63" s="283">
        <v>17</v>
      </c>
      <c r="AH63" s="383">
        <v>194</v>
      </c>
      <c r="AI63" s="369">
        <v>0.871</v>
      </c>
      <c r="AJ63" s="283">
        <v>8</v>
      </c>
      <c r="AK63" s="396">
        <v>62</v>
      </c>
      <c r="AL63" s="382">
        <v>0.878</v>
      </c>
      <c r="AM63" s="283">
        <v>31</v>
      </c>
      <c r="AN63" s="383">
        <v>254</v>
      </c>
      <c r="AO63" s="369">
        <v>0.88980000000000004</v>
      </c>
      <c r="AP63" s="283">
        <v>27</v>
      </c>
      <c r="AQ63" s="350">
        <v>245</v>
      </c>
    </row>
    <row r="64" spans="1:43" x14ac:dyDescent="0.2">
      <c r="A64" s="37"/>
      <c r="B64" s="316"/>
      <c r="C64" s="412" t="s">
        <v>211</v>
      </c>
      <c r="D64" s="413" t="s">
        <v>212</v>
      </c>
      <c r="E64" s="414">
        <v>11</v>
      </c>
      <c r="F64" s="414">
        <v>57</v>
      </c>
      <c r="G64" s="415">
        <v>0.80700000000000005</v>
      </c>
      <c r="H64" s="37"/>
      <c r="I64" s="412" t="s">
        <v>211</v>
      </c>
      <c r="J64" s="413" t="s">
        <v>212</v>
      </c>
      <c r="K64" s="424">
        <v>16</v>
      </c>
      <c r="L64" s="424">
        <v>237</v>
      </c>
      <c r="M64" s="425">
        <v>0.9325</v>
      </c>
      <c r="N64" s="314"/>
      <c r="O64" s="37"/>
      <c r="P64" s="316"/>
      <c r="Q64" s="412" t="s">
        <v>211</v>
      </c>
      <c r="R64" s="413" t="s">
        <v>212</v>
      </c>
      <c r="S64" s="424">
        <v>32</v>
      </c>
      <c r="T64" s="424">
        <v>246</v>
      </c>
      <c r="U64" s="425">
        <v>0.86990000000000001</v>
      </c>
      <c r="V64" s="37"/>
      <c r="W64" s="412" t="s">
        <v>211</v>
      </c>
      <c r="X64" s="413" t="s">
        <v>212</v>
      </c>
      <c r="Y64" s="424">
        <v>21</v>
      </c>
      <c r="Z64" s="424">
        <v>234</v>
      </c>
      <c r="AA64" s="425">
        <v>0.9103</v>
      </c>
      <c r="AB64" s="314"/>
      <c r="AC64" s="37"/>
      <c r="AD64" s="349" t="s">
        <v>78</v>
      </c>
      <c r="AE64" s="282" t="s">
        <v>190</v>
      </c>
      <c r="AF64" s="382">
        <v>0.96399999999999997</v>
      </c>
      <c r="AG64" s="283">
        <v>9</v>
      </c>
      <c r="AH64" s="383">
        <v>250</v>
      </c>
      <c r="AI64" s="369">
        <v>0.9385</v>
      </c>
      <c r="AJ64" s="283">
        <v>4</v>
      </c>
      <c r="AK64" s="396">
        <v>65</v>
      </c>
      <c r="AL64" s="382">
        <v>0.91510000000000002</v>
      </c>
      <c r="AM64" s="283">
        <v>22</v>
      </c>
      <c r="AN64" s="383">
        <v>259</v>
      </c>
      <c r="AO64" s="369">
        <v>0.93030000000000002</v>
      </c>
      <c r="AP64" s="283">
        <v>17</v>
      </c>
      <c r="AQ64" s="350">
        <v>244</v>
      </c>
    </row>
    <row r="65" spans="1:43" x14ac:dyDescent="0.2">
      <c r="A65" s="37"/>
      <c r="B65" s="316"/>
      <c r="C65" s="412" t="s">
        <v>45</v>
      </c>
      <c r="D65" s="413" t="s">
        <v>213</v>
      </c>
      <c r="E65" s="414">
        <v>5</v>
      </c>
      <c r="F65" s="414">
        <v>64</v>
      </c>
      <c r="G65" s="415">
        <v>0.92190000000000005</v>
      </c>
      <c r="H65" s="37"/>
      <c r="I65" s="412" t="s">
        <v>45</v>
      </c>
      <c r="J65" s="413" t="s">
        <v>213</v>
      </c>
      <c r="K65" s="424">
        <v>9</v>
      </c>
      <c r="L65" s="424">
        <v>291</v>
      </c>
      <c r="M65" s="425">
        <v>0.96909999999999996</v>
      </c>
      <c r="N65" s="314"/>
      <c r="O65" s="37"/>
      <c r="P65" s="316"/>
      <c r="Q65" s="412" t="s">
        <v>45</v>
      </c>
      <c r="R65" s="413" t="s">
        <v>213</v>
      </c>
      <c r="S65" s="424">
        <v>28</v>
      </c>
      <c r="T65" s="424">
        <v>254</v>
      </c>
      <c r="U65" s="425">
        <v>0.88980000000000004</v>
      </c>
      <c r="V65" s="37"/>
      <c r="W65" s="412" t="s">
        <v>45</v>
      </c>
      <c r="X65" s="413" t="s">
        <v>213</v>
      </c>
      <c r="Y65" s="424">
        <v>20</v>
      </c>
      <c r="Z65" s="424">
        <v>243</v>
      </c>
      <c r="AA65" s="425">
        <v>0.91769999999999996</v>
      </c>
      <c r="AB65" s="314"/>
      <c r="AC65" s="37"/>
      <c r="AD65" s="349" t="s">
        <v>80</v>
      </c>
      <c r="AE65" s="282" t="s">
        <v>193</v>
      </c>
      <c r="AF65" s="382">
        <v>0.98570000000000002</v>
      </c>
      <c r="AG65" s="283">
        <v>3</v>
      </c>
      <c r="AH65" s="383">
        <v>210</v>
      </c>
      <c r="AI65" s="369">
        <v>0.9677</v>
      </c>
      <c r="AJ65" s="283">
        <v>2</v>
      </c>
      <c r="AK65" s="396">
        <v>62</v>
      </c>
      <c r="AL65" s="382">
        <v>0.9486</v>
      </c>
      <c r="AM65" s="283">
        <v>13</v>
      </c>
      <c r="AN65" s="383">
        <v>253</v>
      </c>
      <c r="AO65" s="369">
        <v>0.97170000000000001</v>
      </c>
      <c r="AP65" s="283">
        <v>7</v>
      </c>
      <c r="AQ65" s="350">
        <v>247</v>
      </c>
    </row>
    <row r="66" spans="1:43" ht="13.5" thickBot="1" x14ac:dyDescent="0.25">
      <c r="A66" s="37"/>
      <c r="B66" s="316"/>
      <c r="C66" s="416" t="s">
        <v>214</v>
      </c>
      <c r="D66" s="417"/>
      <c r="E66" s="418">
        <v>296</v>
      </c>
      <c r="F66" s="418">
        <v>3503</v>
      </c>
      <c r="G66" s="419">
        <v>0.91549999999999998</v>
      </c>
      <c r="H66" s="37"/>
      <c r="I66" s="416" t="s">
        <v>214</v>
      </c>
      <c r="J66" s="417"/>
      <c r="K66" s="428">
        <v>570</v>
      </c>
      <c r="L66" s="428">
        <v>15089</v>
      </c>
      <c r="M66" s="429">
        <v>0.96220000000000006</v>
      </c>
      <c r="N66" s="315"/>
      <c r="O66" s="37"/>
      <c r="P66" s="316"/>
      <c r="Q66" s="416" t="s">
        <v>214</v>
      </c>
      <c r="R66" s="417"/>
      <c r="S66" s="428">
        <v>1309</v>
      </c>
      <c r="T66" s="428">
        <v>14372</v>
      </c>
      <c r="U66" s="429">
        <v>0.90890000000000004</v>
      </c>
      <c r="V66" s="37"/>
      <c r="W66" s="416" t="s">
        <v>214</v>
      </c>
      <c r="X66" s="417"/>
      <c r="Y66" s="428">
        <v>1072</v>
      </c>
      <c r="Z66" s="428">
        <v>13939</v>
      </c>
      <c r="AA66" s="429">
        <v>0.92310000000000003</v>
      </c>
      <c r="AB66" s="315"/>
      <c r="AC66" s="37"/>
      <c r="AD66" s="349" t="s">
        <v>82</v>
      </c>
      <c r="AE66" s="282" t="s">
        <v>197</v>
      </c>
      <c r="AF66" s="382">
        <v>0.97670000000000001</v>
      </c>
      <c r="AG66" s="283">
        <v>5</v>
      </c>
      <c r="AH66" s="383">
        <v>215</v>
      </c>
      <c r="AI66" s="369">
        <v>0.9385</v>
      </c>
      <c r="AJ66" s="283">
        <v>4</v>
      </c>
      <c r="AK66" s="396">
        <v>65</v>
      </c>
      <c r="AL66" s="382">
        <v>0.9294</v>
      </c>
      <c r="AM66" s="283">
        <v>18</v>
      </c>
      <c r="AN66" s="383">
        <v>255</v>
      </c>
      <c r="AO66" s="369">
        <v>0.90300000000000002</v>
      </c>
      <c r="AP66" s="283">
        <v>23</v>
      </c>
      <c r="AQ66" s="350">
        <v>237</v>
      </c>
    </row>
    <row r="67" spans="1:43" ht="14.25" thickTop="1" thickBot="1" x14ac:dyDescent="0.25">
      <c r="A67" s="37"/>
      <c r="B67" s="321"/>
      <c r="C67" s="322"/>
      <c r="D67" s="323"/>
      <c r="E67" s="323"/>
      <c r="F67" s="323"/>
      <c r="G67" s="323"/>
      <c r="H67" s="324"/>
      <c r="I67" s="322"/>
      <c r="J67" s="323"/>
      <c r="K67" s="323"/>
      <c r="L67" s="323"/>
      <c r="M67" s="323"/>
      <c r="N67" s="325"/>
      <c r="O67" s="37"/>
      <c r="P67" s="321"/>
      <c r="Q67" s="322"/>
      <c r="R67" s="323"/>
      <c r="S67" s="323"/>
      <c r="T67" s="323"/>
      <c r="U67" s="323"/>
      <c r="V67" s="324"/>
      <c r="W67" s="322"/>
      <c r="X67" s="323"/>
      <c r="Y67" s="323"/>
      <c r="Z67" s="323"/>
      <c r="AA67" s="323"/>
      <c r="AB67" s="325"/>
      <c r="AC67" s="37"/>
      <c r="AD67" s="349" t="s">
        <v>246</v>
      </c>
      <c r="AE67" s="282" t="s">
        <v>187</v>
      </c>
      <c r="AF67" s="382">
        <v>0.96719999999999995</v>
      </c>
      <c r="AG67" s="283">
        <v>21</v>
      </c>
      <c r="AH67" s="383">
        <v>640</v>
      </c>
      <c r="AI67" s="369">
        <v>0.82809999999999995</v>
      </c>
      <c r="AJ67" s="283">
        <v>11</v>
      </c>
      <c r="AK67" s="396">
        <v>64</v>
      </c>
      <c r="AL67" s="382">
        <v>0.88139999999999996</v>
      </c>
      <c r="AM67" s="283">
        <v>30</v>
      </c>
      <c r="AN67" s="383">
        <v>253</v>
      </c>
      <c r="AO67" s="369">
        <v>0.94289999999999996</v>
      </c>
      <c r="AP67" s="283">
        <v>14</v>
      </c>
      <c r="AQ67" s="350">
        <v>245</v>
      </c>
    </row>
    <row r="68" spans="1:43" x14ac:dyDescent="0.2">
      <c r="A68" s="37"/>
      <c r="AD68" s="355" t="s">
        <v>248</v>
      </c>
      <c r="AE68" s="282" t="s">
        <v>202</v>
      </c>
      <c r="AF68" s="382">
        <v>0.97470000000000001</v>
      </c>
      <c r="AG68" s="287">
        <v>11</v>
      </c>
      <c r="AH68" s="387">
        <v>434</v>
      </c>
      <c r="AI68" s="369">
        <v>0.8871</v>
      </c>
      <c r="AJ68" s="287">
        <v>7</v>
      </c>
      <c r="AK68" s="286">
        <v>62</v>
      </c>
      <c r="AL68" s="382">
        <v>0.84379999999999999</v>
      </c>
      <c r="AM68" s="287">
        <v>40</v>
      </c>
      <c r="AN68" s="387">
        <v>256</v>
      </c>
      <c r="AO68" s="369">
        <v>0.91390000000000005</v>
      </c>
      <c r="AP68" s="287">
        <v>21</v>
      </c>
      <c r="AQ68" s="356">
        <v>244</v>
      </c>
    </row>
    <row r="69" spans="1:43" ht="13.5" thickBot="1" x14ac:dyDescent="0.25">
      <c r="A69" s="37"/>
      <c r="B69" s="628" t="s">
        <v>457</v>
      </c>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D69" s="352" t="s">
        <v>87</v>
      </c>
      <c r="AE69" s="279" t="s">
        <v>191</v>
      </c>
      <c r="AF69" s="382">
        <v>0.94130000000000003</v>
      </c>
      <c r="AG69" s="288">
        <v>21</v>
      </c>
      <c r="AH69" s="388">
        <v>358</v>
      </c>
      <c r="AI69" s="369">
        <v>0.89829999999999999</v>
      </c>
      <c r="AJ69" s="288">
        <v>6</v>
      </c>
      <c r="AK69" s="399">
        <v>59</v>
      </c>
      <c r="AL69" s="382">
        <v>0.88319999999999999</v>
      </c>
      <c r="AM69" s="288">
        <v>32</v>
      </c>
      <c r="AN69" s="388">
        <v>274</v>
      </c>
      <c r="AO69" s="369">
        <v>0.95450000000000002</v>
      </c>
      <c r="AP69" s="288">
        <v>11</v>
      </c>
      <c r="AQ69" s="357">
        <v>242</v>
      </c>
    </row>
    <row r="70" spans="1:43" ht="13.5" customHeight="1" thickBot="1" x14ac:dyDescent="0.25">
      <c r="A70" s="36"/>
      <c r="B70" s="628"/>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D70" s="358" t="s">
        <v>267</v>
      </c>
      <c r="AE70" s="280">
        <v>1</v>
      </c>
      <c r="AF70" s="380"/>
      <c r="AG70" s="281"/>
      <c r="AH70" s="381"/>
      <c r="AI70" s="371">
        <v>0.97840000000000005</v>
      </c>
      <c r="AJ70" s="281">
        <v>4</v>
      </c>
      <c r="AK70" s="395">
        <v>185</v>
      </c>
      <c r="AL70" s="402">
        <v>0.99060000000000004</v>
      </c>
      <c r="AM70" s="281">
        <v>7</v>
      </c>
      <c r="AN70" s="381">
        <v>747</v>
      </c>
      <c r="AO70" s="371">
        <v>0.98260000000000003</v>
      </c>
      <c r="AP70" s="281">
        <v>13</v>
      </c>
      <c r="AQ70" s="348">
        <v>747</v>
      </c>
    </row>
    <row r="71" spans="1:43" s="17" customFormat="1" ht="20.25" x14ac:dyDescent="0.2">
      <c r="A71" s="5"/>
      <c r="B71" s="308"/>
      <c r="C71" s="629" t="s">
        <v>458</v>
      </c>
      <c r="D71" s="629"/>
      <c r="E71" s="629"/>
      <c r="F71" s="606" t="s">
        <v>440</v>
      </c>
      <c r="G71" s="606"/>
      <c r="H71" s="606"/>
      <c r="I71" s="606"/>
      <c r="J71" s="606"/>
      <c r="K71" s="606"/>
      <c r="L71" s="606"/>
      <c r="M71" s="606"/>
      <c r="N71" s="318"/>
      <c r="P71" s="308"/>
      <c r="Q71" s="629" t="s">
        <v>458</v>
      </c>
      <c r="R71" s="629"/>
      <c r="S71" s="629"/>
      <c r="T71" s="606" t="s">
        <v>441</v>
      </c>
      <c r="U71" s="606"/>
      <c r="V71" s="606"/>
      <c r="W71" s="606"/>
      <c r="X71" s="606"/>
      <c r="Y71" s="606"/>
      <c r="Z71" s="606"/>
      <c r="AA71" s="606"/>
      <c r="AB71" s="318"/>
      <c r="AC71" s="306"/>
      <c r="AD71" s="359" t="s">
        <v>251</v>
      </c>
      <c r="AE71" s="47">
        <v>110</v>
      </c>
      <c r="AF71" s="389"/>
      <c r="AG71" s="289"/>
      <c r="AH71" s="390"/>
      <c r="AI71" s="372">
        <v>0.98360000000000003</v>
      </c>
      <c r="AJ71" s="305">
        <v>1</v>
      </c>
      <c r="AK71" s="400">
        <v>61</v>
      </c>
      <c r="AL71" s="403">
        <v>0.996</v>
      </c>
      <c r="AM71" s="305">
        <v>1</v>
      </c>
      <c r="AN71" s="404">
        <v>249</v>
      </c>
      <c r="AO71" s="372">
        <v>0.96789999999999998</v>
      </c>
      <c r="AP71" s="305">
        <v>8</v>
      </c>
      <c r="AQ71" s="360">
        <v>249</v>
      </c>
    </row>
    <row r="72" spans="1:43" ht="13.5" customHeight="1" x14ac:dyDescent="0.2">
      <c r="B72" s="309"/>
      <c r="C72" s="616" t="s">
        <v>459</v>
      </c>
      <c r="D72" s="617"/>
      <c r="E72" s="612" t="s">
        <v>442</v>
      </c>
      <c r="F72" s="612"/>
      <c r="G72" s="612"/>
      <c r="H72" s="339"/>
      <c r="I72" s="334"/>
      <c r="J72" s="334"/>
      <c r="K72" s="625"/>
      <c r="L72" s="625"/>
      <c r="M72" s="626"/>
      <c r="N72" s="320"/>
      <c r="O72" s="17"/>
      <c r="P72" s="309"/>
      <c r="Q72" s="616" t="s">
        <v>459</v>
      </c>
      <c r="R72" s="617"/>
      <c r="S72" s="614" t="s">
        <v>462</v>
      </c>
      <c r="T72" s="614"/>
      <c r="U72" s="614"/>
      <c r="V72" s="339"/>
      <c r="W72" s="327"/>
      <c r="X72" s="327"/>
      <c r="Y72" s="614" t="s">
        <v>443</v>
      </c>
      <c r="Z72" s="614"/>
      <c r="AA72" s="622"/>
      <c r="AB72" s="320"/>
      <c r="AC72" s="306"/>
      <c r="AD72" s="359" t="s">
        <v>243</v>
      </c>
      <c r="AE72" s="282">
        <v>111</v>
      </c>
      <c r="AF72" s="389"/>
      <c r="AG72" s="289"/>
      <c r="AH72" s="390"/>
      <c r="AI72" s="372">
        <v>0.95309999999999995</v>
      </c>
      <c r="AJ72" s="305">
        <v>3</v>
      </c>
      <c r="AK72" s="400">
        <v>64</v>
      </c>
      <c r="AL72" s="403">
        <v>0.9839</v>
      </c>
      <c r="AM72" s="305">
        <v>4</v>
      </c>
      <c r="AN72" s="404">
        <v>249</v>
      </c>
      <c r="AO72" s="372">
        <v>0.996</v>
      </c>
      <c r="AP72" s="305">
        <v>1</v>
      </c>
      <c r="AQ72" s="360">
        <v>249</v>
      </c>
    </row>
    <row r="73" spans="1:43" ht="12.75" customHeight="1" thickBot="1" x14ac:dyDescent="0.25">
      <c r="B73" s="309"/>
      <c r="C73" s="618"/>
      <c r="D73" s="619"/>
      <c r="E73" s="613"/>
      <c r="F73" s="613"/>
      <c r="G73" s="613"/>
      <c r="H73" s="317"/>
      <c r="I73" s="336"/>
      <c r="J73" s="336"/>
      <c r="K73" s="630"/>
      <c r="L73" s="630"/>
      <c r="M73" s="631"/>
      <c r="N73" s="320"/>
      <c r="P73" s="309"/>
      <c r="Q73" s="618"/>
      <c r="R73" s="619"/>
      <c r="S73" s="615"/>
      <c r="T73" s="615"/>
      <c r="U73" s="615"/>
      <c r="V73" s="340"/>
      <c r="W73" s="329"/>
      <c r="X73" s="329"/>
      <c r="Y73" s="615"/>
      <c r="Z73" s="615"/>
      <c r="AA73" s="623"/>
      <c r="AB73" s="320"/>
      <c r="AC73" s="306"/>
      <c r="AD73" s="361" t="s">
        <v>245</v>
      </c>
      <c r="AE73" s="362">
        <v>112</v>
      </c>
      <c r="AF73" s="391"/>
      <c r="AG73" s="363"/>
      <c r="AH73" s="392"/>
      <c r="AI73" s="373">
        <v>1</v>
      </c>
      <c r="AJ73" s="364">
        <v>0</v>
      </c>
      <c r="AK73" s="401">
        <v>60</v>
      </c>
      <c r="AL73" s="405">
        <v>0.99199999999999999</v>
      </c>
      <c r="AM73" s="364">
        <v>2</v>
      </c>
      <c r="AN73" s="406">
        <v>249</v>
      </c>
      <c r="AO73" s="373">
        <v>0.9839</v>
      </c>
      <c r="AP73" s="364">
        <v>4</v>
      </c>
      <c r="AQ73" s="365">
        <v>249</v>
      </c>
    </row>
    <row r="74" spans="1:43" ht="12.75" customHeight="1" thickTop="1" x14ac:dyDescent="0.2">
      <c r="B74" s="309"/>
      <c r="C74" s="620"/>
      <c r="D74" s="621"/>
      <c r="E74" s="443"/>
      <c r="F74" s="443"/>
      <c r="G74" s="443"/>
      <c r="H74" s="340"/>
      <c r="I74" s="335"/>
      <c r="J74" s="335"/>
      <c r="K74" s="444"/>
      <c r="L74" s="444"/>
      <c r="M74" s="445"/>
      <c r="N74" s="320"/>
      <c r="P74" s="309"/>
      <c r="Q74" s="620"/>
      <c r="R74" s="621"/>
      <c r="S74" s="624" t="s">
        <v>444</v>
      </c>
      <c r="T74" s="624"/>
      <c r="U74" s="624"/>
      <c r="V74" s="317"/>
      <c r="W74" s="37"/>
      <c r="X74" s="37"/>
      <c r="Y74" s="602" t="s">
        <v>444</v>
      </c>
      <c r="Z74" s="602"/>
      <c r="AA74" s="603"/>
      <c r="AB74" s="320"/>
      <c r="AC74" s="306"/>
      <c r="AD74" s="36"/>
      <c r="AE74" s="439"/>
      <c r="AF74" s="440"/>
      <c r="AG74" s="440"/>
      <c r="AH74" s="440"/>
      <c r="AI74" s="441"/>
      <c r="AJ74" s="442"/>
      <c r="AK74" s="442"/>
      <c r="AL74" s="441"/>
      <c r="AM74" s="442"/>
      <c r="AN74" s="442"/>
      <c r="AO74" s="441"/>
      <c r="AP74" s="442"/>
      <c r="AQ74" s="442"/>
    </row>
    <row r="75" spans="1:43" ht="12.75" customHeight="1" x14ac:dyDescent="0.2">
      <c r="B75" s="309"/>
      <c r="C75" s="595" t="s">
        <v>460</v>
      </c>
      <c r="D75" s="596"/>
      <c r="E75" s="578" t="s">
        <v>221</v>
      </c>
      <c r="F75" s="578"/>
      <c r="G75" s="578"/>
      <c r="H75" s="327"/>
      <c r="I75" s="334"/>
      <c r="J75" s="334"/>
      <c r="K75" s="608"/>
      <c r="L75" s="608"/>
      <c r="M75" s="609"/>
      <c r="N75" s="312"/>
      <c r="P75" s="309"/>
      <c r="Q75" s="595" t="s">
        <v>460</v>
      </c>
      <c r="R75" s="596"/>
      <c r="S75" s="578" t="s">
        <v>219</v>
      </c>
      <c r="T75" s="578"/>
      <c r="U75" s="578"/>
      <c r="V75" s="327"/>
      <c r="W75" s="327"/>
      <c r="X75" s="327"/>
      <c r="Y75" s="578" t="s">
        <v>218</v>
      </c>
      <c r="Z75" s="578"/>
      <c r="AA75" s="580"/>
      <c r="AB75" s="312"/>
      <c r="AC75" s="306"/>
    </row>
    <row r="76" spans="1:43" ht="13.5" customHeight="1" x14ac:dyDescent="0.2">
      <c r="B76" s="309"/>
      <c r="C76" s="597"/>
      <c r="D76" s="598"/>
      <c r="E76" s="579"/>
      <c r="F76" s="579"/>
      <c r="G76" s="579"/>
      <c r="H76" s="329"/>
      <c r="I76" s="335"/>
      <c r="J76" s="335"/>
      <c r="K76" s="610"/>
      <c r="L76" s="610"/>
      <c r="M76" s="611"/>
      <c r="N76" s="312"/>
      <c r="P76" s="309"/>
      <c r="Q76" s="597"/>
      <c r="R76" s="598"/>
      <c r="S76" s="579"/>
      <c r="T76" s="579"/>
      <c r="U76" s="579"/>
      <c r="V76" s="329"/>
      <c r="W76" s="329"/>
      <c r="X76" s="329"/>
      <c r="Y76" s="579"/>
      <c r="Z76" s="579"/>
      <c r="AA76" s="581"/>
      <c r="AB76" s="312"/>
      <c r="AC76" s="306"/>
    </row>
    <row r="77" spans="1:43" ht="13.5" thickBot="1" x14ac:dyDescent="0.25">
      <c r="B77" s="309"/>
      <c r="C77" s="593" t="s">
        <v>461</v>
      </c>
      <c r="D77" s="593"/>
      <c r="E77" s="593"/>
      <c r="F77" s="593"/>
      <c r="G77" s="593"/>
      <c r="H77" s="37"/>
      <c r="I77" s="336"/>
      <c r="J77" s="336"/>
      <c r="K77" s="336"/>
      <c r="L77" s="336"/>
      <c r="M77" s="336"/>
      <c r="N77" s="312"/>
      <c r="P77" s="309"/>
      <c r="Q77" s="593" t="s">
        <v>461</v>
      </c>
      <c r="R77" s="593"/>
      <c r="S77" s="593"/>
      <c r="T77" s="593"/>
      <c r="U77" s="593"/>
      <c r="V77" s="37"/>
      <c r="W77" s="593" t="s">
        <v>461</v>
      </c>
      <c r="X77" s="593"/>
      <c r="Y77" s="593"/>
      <c r="Z77" s="593"/>
      <c r="AA77" s="593"/>
      <c r="AB77" s="312"/>
      <c r="AC77" s="306"/>
      <c r="AD77" s="76"/>
      <c r="AE77" s="76"/>
    </row>
    <row r="78" spans="1:43" ht="12.75" customHeight="1" thickTop="1" x14ac:dyDescent="0.2">
      <c r="B78" s="309"/>
      <c r="C78" s="430"/>
      <c r="D78" s="431"/>
      <c r="E78" s="431" t="s">
        <v>156</v>
      </c>
      <c r="F78" s="431" t="s">
        <v>157</v>
      </c>
      <c r="G78" s="432" t="s">
        <v>158</v>
      </c>
      <c r="H78" s="36"/>
      <c r="I78" s="336"/>
      <c r="J78" s="336"/>
      <c r="K78" s="336"/>
      <c r="L78" s="336"/>
      <c r="M78" s="336"/>
      <c r="N78" s="310"/>
      <c r="P78" s="309"/>
      <c r="Q78" s="430"/>
      <c r="R78" s="431"/>
      <c r="S78" s="431" t="s">
        <v>156</v>
      </c>
      <c r="T78" s="431" t="s">
        <v>157</v>
      </c>
      <c r="U78" s="432" t="s">
        <v>158</v>
      </c>
      <c r="V78" s="36"/>
      <c r="W78" s="430" t="s">
        <v>241</v>
      </c>
      <c r="X78" s="431"/>
      <c r="Y78" s="431" t="s">
        <v>156</v>
      </c>
      <c r="Z78" s="431" t="s">
        <v>157</v>
      </c>
      <c r="AA78" s="432" t="s">
        <v>158</v>
      </c>
      <c r="AB78" s="312"/>
      <c r="AC78" s="306"/>
    </row>
    <row r="79" spans="1:43" x14ac:dyDescent="0.2">
      <c r="B79" s="309"/>
      <c r="C79" s="433" t="s">
        <v>90</v>
      </c>
      <c r="D79" s="434">
        <v>110</v>
      </c>
      <c r="E79" s="434">
        <v>1</v>
      </c>
      <c r="F79" s="434">
        <v>61</v>
      </c>
      <c r="G79" s="435">
        <v>0.98360000000000003</v>
      </c>
      <c r="H79" s="36"/>
      <c r="I79" s="336"/>
      <c r="J79" s="336"/>
      <c r="K79" s="336"/>
      <c r="L79" s="336"/>
      <c r="M79" s="336"/>
      <c r="N79" s="310"/>
      <c r="P79" s="309"/>
      <c r="Q79" s="433" t="s">
        <v>90</v>
      </c>
      <c r="R79" s="434">
        <v>110</v>
      </c>
      <c r="S79" s="434">
        <v>1</v>
      </c>
      <c r="T79" s="434">
        <v>249</v>
      </c>
      <c r="U79" s="435">
        <v>0.996</v>
      </c>
      <c r="V79" s="36"/>
      <c r="W79" s="433" t="s">
        <v>90</v>
      </c>
      <c r="X79" s="434">
        <v>110</v>
      </c>
      <c r="Y79" s="434">
        <v>8</v>
      </c>
      <c r="Z79" s="434">
        <v>249</v>
      </c>
      <c r="AA79" s="435">
        <v>0.96789999999999998</v>
      </c>
      <c r="AB79" s="312"/>
      <c r="AC79" s="306"/>
    </row>
    <row r="80" spans="1:43" x14ac:dyDescent="0.2">
      <c r="B80" s="309"/>
      <c r="C80" s="433" t="s">
        <v>70</v>
      </c>
      <c r="D80" s="434">
        <v>111</v>
      </c>
      <c r="E80" s="434">
        <v>3</v>
      </c>
      <c r="F80" s="434">
        <v>64</v>
      </c>
      <c r="G80" s="435">
        <v>0.95309999999999995</v>
      </c>
      <c r="H80" s="36"/>
      <c r="I80" s="336"/>
      <c r="J80" s="336"/>
      <c r="K80" s="336"/>
      <c r="L80" s="336"/>
      <c r="M80" s="336"/>
      <c r="N80" s="310"/>
      <c r="P80" s="309"/>
      <c r="Q80" s="433" t="s">
        <v>70</v>
      </c>
      <c r="R80" s="434">
        <v>111</v>
      </c>
      <c r="S80" s="434">
        <v>4</v>
      </c>
      <c r="T80" s="434">
        <v>249</v>
      </c>
      <c r="U80" s="435">
        <v>0.9839</v>
      </c>
      <c r="V80" s="36"/>
      <c r="W80" s="433" t="s">
        <v>70</v>
      </c>
      <c r="X80" s="434">
        <v>111</v>
      </c>
      <c r="Y80" s="434">
        <v>1</v>
      </c>
      <c r="Z80" s="434">
        <v>249</v>
      </c>
      <c r="AA80" s="435">
        <v>0.996</v>
      </c>
      <c r="AB80" s="312"/>
      <c r="AC80" s="306"/>
    </row>
    <row r="81" spans="2:29" x14ac:dyDescent="0.2">
      <c r="B81" s="309"/>
      <c r="C81" s="433" t="s">
        <v>77</v>
      </c>
      <c r="D81" s="434">
        <v>112</v>
      </c>
      <c r="E81" s="434">
        <v>0</v>
      </c>
      <c r="F81" s="434">
        <v>60</v>
      </c>
      <c r="G81" s="435">
        <v>1</v>
      </c>
      <c r="H81" s="36"/>
      <c r="I81" s="336"/>
      <c r="J81" s="336"/>
      <c r="K81" s="336"/>
      <c r="L81" s="336"/>
      <c r="M81" s="336"/>
      <c r="N81" s="310"/>
      <c r="P81" s="309"/>
      <c r="Q81" s="433" t="s">
        <v>77</v>
      </c>
      <c r="R81" s="434">
        <v>112</v>
      </c>
      <c r="S81" s="434">
        <v>2</v>
      </c>
      <c r="T81" s="434">
        <v>249</v>
      </c>
      <c r="U81" s="435">
        <v>0.99199999999999999</v>
      </c>
      <c r="V81" s="36"/>
      <c r="W81" s="433" t="s">
        <v>77</v>
      </c>
      <c r="X81" s="434">
        <v>112</v>
      </c>
      <c r="Y81" s="434">
        <v>4</v>
      </c>
      <c r="Z81" s="434">
        <v>249</v>
      </c>
      <c r="AA81" s="435">
        <v>0.9839</v>
      </c>
      <c r="AB81" s="312"/>
      <c r="AC81" s="306"/>
    </row>
    <row r="82" spans="2:29" ht="13.5" thickBot="1" x14ac:dyDescent="0.25">
      <c r="B82" s="309"/>
      <c r="C82" s="436" t="s">
        <v>214</v>
      </c>
      <c r="D82" s="437">
        <v>1</v>
      </c>
      <c r="E82" s="437">
        <v>4</v>
      </c>
      <c r="F82" s="437">
        <v>185</v>
      </c>
      <c r="G82" s="438">
        <v>0.97840000000000005</v>
      </c>
      <c r="H82" s="36"/>
      <c r="I82" s="336"/>
      <c r="J82" s="336"/>
      <c r="K82" s="336"/>
      <c r="L82" s="336"/>
      <c r="M82" s="336"/>
      <c r="N82" s="310"/>
      <c r="P82" s="309"/>
      <c r="Q82" s="436" t="s">
        <v>214</v>
      </c>
      <c r="R82" s="437">
        <v>1</v>
      </c>
      <c r="S82" s="437">
        <v>7</v>
      </c>
      <c r="T82" s="437">
        <v>747</v>
      </c>
      <c r="U82" s="438">
        <v>0.99060000000000004</v>
      </c>
      <c r="V82" s="36"/>
      <c r="W82" s="436" t="s">
        <v>214</v>
      </c>
      <c r="X82" s="437">
        <v>1</v>
      </c>
      <c r="Y82" s="437">
        <v>13</v>
      </c>
      <c r="Z82" s="437">
        <v>747</v>
      </c>
      <c r="AA82" s="438">
        <v>0.98260000000000003</v>
      </c>
      <c r="AB82" s="312"/>
      <c r="AC82" s="306"/>
    </row>
    <row r="83" spans="2:29" ht="14.25" thickTop="1" thickBot="1" x14ac:dyDescent="0.25">
      <c r="B83" s="332"/>
      <c r="C83" s="322"/>
      <c r="D83" s="322"/>
      <c r="E83" s="322"/>
      <c r="F83" s="322"/>
      <c r="G83" s="322"/>
      <c r="H83" s="322"/>
      <c r="I83" s="322"/>
      <c r="J83" s="322"/>
      <c r="K83" s="322"/>
      <c r="L83" s="322"/>
      <c r="M83" s="322"/>
      <c r="N83" s="333"/>
      <c r="P83" s="332"/>
      <c r="Q83" s="322"/>
      <c r="R83" s="322"/>
      <c r="S83" s="322"/>
      <c r="T83" s="322"/>
      <c r="U83" s="322"/>
      <c r="V83" s="322"/>
      <c r="W83" s="322"/>
      <c r="X83" s="337"/>
      <c r="Y83" s="337"/>
      <c r="Z83" s="337"/>
      <c r="AA83" s="337"/>
      <c r="AB83" s="338"/>
      <c r="AC83" s="306"/>
    </row>
    <row r="84" spans="2:29" x14ac:dyDescent="0.2">
      <c r="Q84" s="306"/>
      <c r="R84" s="306"/>
      <c r="S84" s="306"/>
      <c r="T84" s="306"/>
      <c r="U84" s="306"/>
      <c r="V84" s="306"/>
      <c r="W84" s="306"/>
      <c r="X84" s="306"/>
      <c r="Y84" s="306"/>
      <c r="Z84" s="306"/>
      <c r="AA84" s="306"/>
      <c r="AB84" s="306"/>
      <c r="AC84" s="306"/>
    </row>
    <row r="85" spans="2:29" x14ac:dyDescent="0.2">
      <c r="C85" s="627" t="s">
        <v>470</v>
      </c>
      <c r="D85" s="627"/>
      <c r="E85" s="627"/>
      <c r="F85" s="627"/>
      <c r="G85" s="627"/>
      <c r="Q85" s="627" t="s">
        <v>470</v>
      </c>
      <c r="R85" s="627"/>
      <c r="S85" s="627"/>
      <c r="T85" s="627"/>
      <c r="U85" s="627"/>
      <c r="V85" s="306"/>
      <c r="W85" s="627" t="s">
        <v>470</v>
      </c>
      <c r="X85" s="627"/>
      <c r="Y85" s="627"/>
      <c r="Z85" s="627"/>
      <c r="AA85" s="627"/>
      <c r="AB85" s="306"/>
      <c r="AC85" s="306"/>
    </row>
    <row r="86" spans="2:29" x14ac:dyDescent="0.2">
      <c r="C86" s="627"/>
      <c r="D86" s="627"/>
      <c r="E86" s="627"/>
      <c r="F86" s="627"/>
      <c r="G86" s="627"/>
      <c r="Q86" s="627"/>
      <c r="R86" s="627"/>
      <c r="S86" s="627"/>
      <c r="T86" s="627"/>
      <c r="U86" s="627"/>
      <c r="V86" s="306"/>
      <c r="W86" s="627"/>
      <c r="X86" s="627"/>
      <c r="Y86" s="627"/>
      <c r="Z86" s="627"/>
      <c r="AA86" s="627"/>
      <c r="AB86" s="306"/>
      <c r="AC86" s="306"/>
    </row>
    <row r="87" spans="2:29" x14ac:dyDescent="0.2">
      <c r="C87" s="627"/>
      <c r="D87" s="627"/>
      <c r="E87" s="627"/>
      <c r="F87" s="627"/>
      <c r="G87" s="627"/>
      <c r="Q87" s="627"/>
      <c r="R87" s="627"/>
      <c r="S87" s="627"/>
      <c r="T87" s="627"/>
      <c r="U87" s="627"/>
      <c r="V87" s="306"/>
      <c r="W87" s="627"/>
      <c r="X87" s="627"/>
      <c r="Y87" s="627"/>
      <c r="Z87" s="627"/>
      <c r="AA87" s="627"/>
      <c r="AB87" s="306"/>
    </row>
    <row r="88" spans="2:29" x14ac:dyDescent="0.2">
      <c r="C88" s="627"/>
      <c r="D88" s="627"/>
      <c r="E88" s="627"/>
      <c r="F88" s="627"/>
      <c r="G88" s="627"/>
      <c r="Q88" s="627"/>
      <c r="R88" s="627"/>
      <c r="S88" s="627"/>
      <c r="T88" s="627"/>
      <c r="U88" s="627"/>
      <c r="W88" s="627"/>
      <c r="X88" s="627"/>
      <c r="Y88" s="627"/>
      <c r="Z88" s="627"/>
      <c r="AA88" s="627"/>
    </row>
    <row r="89" spans="2:29" x14ac:dyDescent="0.2">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488859</CP_Inventory>
    <Fiscal_Year xmlns="c9744be7-b815-40bc-84fa-afc9c406d9bc">2015</Fiscal_Year>
    <CP_Backlog xmlns="c9744be7-b815-40bc-84fa-afc9c406d9bc">224535</CP_Backlog>
    <Creation_date xmlns="c9744be7-b815-40bc-84fa-afc9c406d9bc">2015-02-23T00:00:00-05:00</Creation_date>
    <Data_date xmlns="c9744be7-b815-40bc-84fa-afc9c406d9bc">2015-02-21T00:00:00-05:00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c9744be7-b815-40bc-84fa-afc9c406d9bc"/>
    <ds:schemaRef ds:uri="fef9c9dc-374b-4157-9e06-089f148416e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21,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2014-03-10T18:13:07Z</cp:lastPrinted>
  <dcterms:created xsi:type="dcterms:W3CDTF">2009-08-25T18:46:26Z</dcterms:created>
  <dcterms:modified xsi:type="dcterms:W3CDTF">2015-02-23T17:24:11Z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20150120</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