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PPEALS DATA" sheetId="62" state="veryHidden" r:id="rId10"/>
    <sheet name="ACCURACY DATA" sheetId="74"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10" hidden="1">'ACCURACY DATA'!$B$2:$P$74</definedName>
    <definedName name="MMWR_CONNECTOR" localSheetId="9"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9" hidden="1">'APPEALS DATA'!$AL$2:$AY$63</definedName>
    <definedName name="MMWR_CONNECTOR_2" localSheetId="8" hidden="1">'CP DATA'!$T$2:$AF$7</definedName>
    <definedName name="MMWR_CONNECTOR_3" localSheetId="9" hidden="1">'APPEALS DATA'!$F$2:$S$72</definedName>
    <definedName name="MMWR_CONNECTOR_3" localSheetId="8" hidden="1">'CP DATA'!$AH$2:$AT$55</definedName>
    <definedName name="MMWR_CONNECTOR_4" localSheetId="9"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SOJ'!$A$1:$Y$49</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O13" i="46"/>
  <c r="N13" i="46"/>
  <c r="M13" i="46"/>
  <c r="L13" i="46"/>
  <c r="K13" i="46"/>
  <c r="J13"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H30" i="35" s="1"/>
  <c r="M7" i="35"/>
  <c r="M18" i="35"/>
  <c r="J6" i="7"/>
  <c r="I10" i="7"/>
  <c r="M11" i="35"/>
  <c r="H5" i="7"/>
  <c r="G22" i="35"/>
  <c r="H22" i="35" s="1"/>
  <c r="I5" i="7"/>
  <c r="L11" i="35"/>
  <c r="G7" i="35"/>
  <c r="H7" i="35" l="1"/>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<sst xmlns="http://schemas.openxmlformats.org/spreadsheetml/2006/main" count="4100" uniqueCount="1067">
  <si>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</si>
  <si>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</si>
  <si>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</si>
  <si>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</si>
  <si>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</si>
  <si>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</si>
  <si>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</si>
  <si>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</si>
  <si>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</si>
  <si>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</si>
  <si>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</si>
  <si>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</si>
  <si>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</si>
  <si>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</si>
  <si>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</si>
  <si>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</si>
  <si>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</si>
  <si>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</si>
  <si>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</si>
  <si>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</si>
  <si>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</si>
  <si>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</si>
  <si>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</si>
  <si>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</si>
  <si>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</si>
  <si>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</si>
  <si>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</si>
  <si>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</si>
  <si>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</si>
  <si>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</si>
  <si>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</si>
  <si>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</si>
  <si>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</si>
  <si>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</si>
  <si>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</si>
  <si>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</si>
  <si>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</si>
  <si>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</si>
  <si>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</si>
  <si>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</si>
  <si>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</si>
  <si>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</si>
  <si>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</si>
  <si>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</si>
  <si>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</si>
  <si>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</si>
  <si>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</si>
  <si>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</si>
  <si>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</si>
  <si>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</si>
  <si>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</si>
  <si>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</si>
  <si>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</si>
  <si>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</si>
  <si>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</si>
  <si>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</si>
  <si>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</si>
  <si>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</si>
  <si>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</si>
  <si>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</si>
  <si>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</si>
  <si>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</si>
  <si>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</si>
  <si>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</si>
  <si>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</si>
  <si>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</si>
  <si>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</si>
  <si>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</si>
  <si>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</si>
  <si>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</si>
  <si>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</si>
  <si>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</si>
  <si>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</si>
  <si>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</si>
  <si>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</si>
  <si>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</si>
  <si>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</si>
  <si>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</si>
  <si>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</si>
  <si>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</si>
  <si>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</si>
  <si>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</si>
  <si>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</si>
  <si>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</si>
  <si>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</si>
  <si>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</si>
  <si>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</si>
  <si>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</si>
  <si>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</si>
  <si>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</si>
  <si>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</si>
  <si>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</si>
  <si>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</si>
  <si>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</si>
  <si>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</si>
  <si>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</si>
  <si>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</si>
  <si>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</si>
  <si>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</si>
  <si>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</si>
  <si>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</si>
  <si>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</si>
  <si>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</si>
  <si>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</si>
  <si>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</si>
  <si>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</si>
  <si>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</si>
  <si>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</si>
  <si>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</si>
  <si>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</si>
  <si>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</si>
  <si>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</si>
  <si>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</si>
  <si>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</si>
  <si>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</si>
  <si>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</si>
  <si>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</si>
  <si>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</si>
  <si>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</si>
  <si>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</si>
  <si>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</si>
  <si>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</si>
  <si>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</si>
  <si>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</si>
  <si>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</si>
  <si>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</si>
  <si>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</si>
  <si>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</si>
  <si>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</si>
  <si>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</si>
  <si>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</si>
  <si>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</si>
  <si>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</si>
  <si>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</si>
  <si>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</si>
  <si>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</si>
  <si>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</si>
  <si>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</si>
  <si>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</si>
  <si>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</si>
  <si>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</si>
  <si>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</si>
  <si>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</si>
  <si>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</si>
  <si>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</si>
  <si>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</si>
  <si>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</si>
  <si>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</si>
  <si>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</si>
  <si>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</si>
  <si>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</si>
  <si>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</si>
  <si>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</si>
  <si>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</si>
  <si>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</si>
  <si>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</si>
  <si>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</si>
  <si>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</si>
  <si>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</si>
  <si>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</si>
  <si>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</si>
  <si>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</si>
  <si>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</si>
  <si>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</si>
  <si>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</si>
  <si>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</si>
  <si>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</si>
  <si>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</si>
  <si>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</si>
  <si>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</si>
  <si>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</si>
  <si>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</si>
  <si>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</si>
  <si>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</si>
  <si>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</si>
  <si>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</si>
  <si>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</si>
  <si>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</si>
  <si>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</si>
  <si>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</si>
  <si>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</si>
  <si>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</si>
  <si>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</si>
  <si>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</si>
  <si>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</si>
  <si>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</si>
  <si>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</si>
  <si>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</si>
  <si>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</si>
  <si>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</si>
  <si>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</si>
  <si>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</si>
  <si>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</si>
  <si>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</si>
  <si>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</si>
  <si>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</si>
  <si>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12 Month Authorization Accuracy - Claim Level</t>
  </si>
  <si>
    <t>12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</si>
  <si>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</si>
  <si>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</si>
  <si>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</si>
  <si>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</si>
  <si>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</si>
  <si>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</si>
  <si>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</si>
  <si>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</si>
  <si>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</si>
  <si>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</si>
  <si>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</si>
  <si>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</si>
  <si>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</si>
  <si>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</si>
  <si>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</si>
  <si>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</si>
  <si>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</si>
  <si>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</si>
  <si>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</si>
  <si>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</si>
  <si>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</si>
  <si>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</si>
  <si>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</si>
  <si>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</si>
  <si>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</si>
  <si>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</si>
  <si>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</si>
  <si>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</si>
  <si>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</si>
  <si>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</si>
  <si>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</si>
  <si>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</si>
  <si>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</si>
  <si>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</si>
  <si>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</si>
  <si>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</si>
  <si>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</si>
  <si>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</si>
  <si>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</si>
  <si>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</si>
  <si>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</si>
  <si>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</si>
  <si>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</si>
  <si>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</si>
  <si>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</si>
  <si>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</si>
  <si>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</si>
  <si>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</si>
  <si>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</si>
  <si>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</si>
  <si>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</si>
  <si>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</si>
  <si>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</si>
  <si>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</si>
  <si>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</si>
  <si>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</si>
  <si>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</si>
  <si>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</si>
  <si>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</si>
  <si>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</si>
  <si>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</si>
  <si>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</si>
  <si>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</si>
  <si>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</si>
  <si>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</si>
  <si>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</si>
  <si>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</si>
  <si>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</si>
  <si>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</si>
  <si>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</si>
  <si>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</si>
  <si>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</si>
  <si>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</si>
  <si>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</si>
  <si>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</si>
  <si>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</si>
  <si>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</si>
  <si>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</si>
  <si>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</si>
  <si>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</si>
  <si>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</si>
  <si>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</si>
  <si>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</si>
  <si>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</si>
  <si>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</si>
  <si>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</si>
  <si>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</si>
  <si>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</si>
  <si>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</si>
  <si>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</si>
  <si>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</si>
  <si>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</si>
  <si>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</si>
  <si>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</si>
  <si>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</si>
  <si>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</si>
  <si>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</si>
  <si>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</si>
  <si>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</si>
  <si>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</si>
  <si>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</si>
  <si>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</si>
  <si>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</si>
  <si>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</si>
  <si>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</si>
  <si>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</si>
  <si>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</si>
  <si>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</si>
  <si>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</si>
  <si>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</si>
  <si>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</si>
  <si>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</si>
  <si>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</si>
  <si>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</si>
  <si>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</si>
  <si>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</si>
  <si>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</si>
  <si>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</si>
  <si>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</si>
  <si>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</si>
  <si>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</si>
  <si>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</si>
  <si>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</si>
  <si>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</si>
  <si>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</si>
  <si>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</si>
  <si>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</si>
  <si>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</si>
  <si>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</si>
  <si>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</si>
  <si>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</si>
  <si>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</si>
  <si>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</si>
  <si>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</si>
  <si>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</si>
  <si>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</si>
  <si>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</si>
  <si>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</si>
  <si>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</si>
  <si>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</si>
  <si>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</si>
  <si>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</si>
  <si>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</si>
  <si>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</si>
  <si>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</si>
  <si>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</si>
  <si>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</si>
  <si>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</si>
  <si>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</si>
  <si>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</si>
  <si>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</si>
  <si>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</si>
  <si>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</si>
  <si>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</si>
  <si>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</si>
  <si>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</si>
  <si>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</si>
  <si>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</si>
  <si>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</si>
  <si>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</si>
  <si>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</si>
  <si>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</si>
  <si>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</si>
  <si>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</si>
  <si>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</si>
  <si>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</si>
  <si>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</si>
  <si>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</si>
  <si>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</si>
  <si>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</si>
  <si>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</si>
  <si>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</si>
  <si>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</si>
  <si>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</si>
  <si>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</si>
  <si>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</si>
  <si>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</si>
  <si>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</si>
  <si>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</si>
  <si>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</si>
  <si>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</si>
  <si>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</si>
  <si>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</si>
  <si>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</si>
  <si>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</si>
  <si>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</si>
  <si>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</si>
  <si>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</si>
  <si>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</si>
  <si>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</si>
  <si>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</si>
  <si>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</si>
  <si>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</si>
  <si>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</si>
  <si>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</si>
  <si>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</si>
  <si>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</si>
  <si>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</si>
  <si>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</si>
  <si>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</si>
  <si>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</si>
  <si>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</si>
  <si>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</si>
  <si>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</si>
  <si>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</si>
  <si>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</si>
  <si>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</si>
  <si>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</si>
  <si>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</si>
  <si>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</si>
  <si>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</si>
  <si>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</si>
  <si>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</si>
  <si>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</si>
  <si>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</si>
  <si>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</si>
  <si>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</si>
  <si>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</si>
  <si>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</si>
  <si>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</si>
  <si>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</si>
  <si>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</si>
  <si>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</si>
  <si>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</si>
  <si>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</si>
  <si>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</si>
  <si>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</si>
  <si>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</si>
  <si>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</si>
  <si>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</si>
  <si>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</si>
  <si>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</si>
  <si>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</si>
  <si>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</si>
  <si>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</si>
  <si>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</si>
  <si>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</si>
  <si>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</si>
  <si>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</si>
  <si>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</si>
  <si>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</si>
  <si>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</si>
  <si>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</si>
  <si>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</si>
  <si>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</si>
  <si>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</si>
  <si>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</si>
  <si>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</si>
  <si>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</si>
  <si>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</si>
  <si>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</si>
  <si>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</si>
  <si>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</si>
  <si>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</si>
  <si>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</si>
  <si>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</si>
  <si>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</si>
  <si>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</si>
  <si>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</si>
  <si>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</si>
  <si>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</si>
  <si>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</si>
  <si>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</si>
  <si>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</si>
  <si>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</si>
  <si>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</si>
  <si>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</si>
  <si>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</si>
  <si>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</si>
  <si>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</si>
  <si>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</si>
  <si>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</si>
  <si>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</si>
  <si>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</si>
  <si>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</si>
  <si>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</si>
  <si>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</si>
  <si>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</si>
  <si>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</si>
  <si>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</si>
  <si>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</si>
  <si>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</si>
  <si>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</si>
  <si>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</si>
  <si>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</si>
  <si>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</si>
  <si>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</si>
  <si>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</si>
  <si>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</si>
  <si>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</si>
  <si>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</si>
  <si>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</si>
  <si>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</si>
  <si>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</si>
  <si>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</si>
  <si>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</si>
  <si>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</si>
  <si>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</si>
  <si>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</si>
  <si>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</si>
  <si>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</si>
  <si>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</si>
  <si>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</si>
  <si>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</si>
  <si>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</si>
  <si>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</si>
  <si>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</si>
  <si>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</si>
  <si>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</si>
  <si>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</si>
  <si>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</si>
  <si>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</si>
  <si>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</si>
  <si>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</si>
  <si>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</si>
  <si>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</si>
  <si>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</si>
  <si>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</si>
  <si>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</si>
  <si>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</si>
  <si>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USA All</t>
  </si>
  <si>
    <t>USA Radiation</t>
  </si>
  <si>
    <t>USA BDD</t>
  </si>
  <si>
    <t>USA Foreign</t>
  </si>
  <si>
    <t>USA DES</t>
  </si>
  <si>
    <t>USA CLCW</t>
  </si>
  <si>
    <t>USA Other</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</si>
  <si>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</si>
  <si>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</si>
  <si>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</si>
  <si>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</si>
  <si>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</si>
  <si>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</si>
  <si>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</si>
  <si>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</si>
  <si>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</si>
  <si>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</si>
  <si>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</si>
  <si>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</si>
  <si>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</si>
  <si>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</si>
  <si>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</si>
  <si>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</si>
  <si>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</si>
  <si>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</si>
  <si>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</si>
  <si>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</si>
  <si>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</si>
  <si>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</si>
  <si>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</si>
  <si>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</si>
  <si>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</si>
  <si>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</si>
  <si>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</si>
  <si>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</si>
  <si>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</si>
  <si>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</si>
  <si>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</si>
  <si>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</si>
  <si>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</si>
  <si>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</si>
  <si>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</si>
  <si>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</si>
  <si>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</si>
  <si>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</si>
  <si>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</si>
  <si>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</si>
  <si>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</si>
  <si>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</si>
  <si>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</si>
  <si>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</si>
  <si>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</si>
  <si>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</si>
  <si>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</si>
  <si>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</si>
  <si>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</si>
  <si>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</si>
  <si>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</si>
  <si>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</si>
  <si>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</si>
  <si>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</si>
  <si>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</si>
  <si>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</si>
  <si>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</si>
  <si>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</si>
  <si>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</si>
  <si>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</si>
  <si>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</si>
  <si>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</si>
  <si>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</si>
  <si>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</si>
  <si>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</si>
  <si>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</si>
  <si>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</si>
  <si>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</si>
  <si>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</si>
  <si>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</si>
  <si>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</si>
  <si>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</si>
  <si>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</si>
  <si>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</si>
  <si>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</si>
  <si>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</si>
  <si>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</si>
  <si>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</si>
  <si>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</si>
  <si>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</si>
  <si>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</si>
  <si>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</si>
  <si>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</si>
  <si>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</si>
  <si>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</si>
  <si>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</si>
  <si>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</si>
  <si>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</si>
  <si>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</si>
  <si>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</si>
  <si>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</si>
  <si>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</si>
  <si>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</si>
  <si>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</si>
  <si>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</si>
  <si>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</si>
  <si>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</si>
  <si>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</si>
  <si>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</si>
  <si>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</si>
  <si>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</si>
  <si>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</si>
  <si>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</si>
  <si>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</si>
  <si>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</si>
  <si>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</si>
  <si>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</si>
  <si>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</si>
  <si>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</si>
  <si>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</si>
  <si>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</si>
  <si>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</si>
  <si>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</si>
  <si>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</si>
  <si>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</si>
  <si>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</si>
  <si>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</si>
  <si>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</si>
  <si>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</si>
  <si>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</si>
  <si>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</si>
  <si>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</si>
  <si>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</si>
  <si>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</si>
  <si>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</si>
  <si>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</si>
  <si>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</si>
  <si>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</si>
  <si>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</si>
  <si>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</si>
  <si>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</si>
  <si>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</si>
  <si>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</si>
  <si>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</si>
  <si>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</si>
  <si>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</si>
  <si>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</si>
  <si>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</si>
  <si>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</si>
  <si>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</si>
  <si>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</si>
  <si>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</si>
  <si>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</si>
  <si>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</si>
  <si>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</si>
  <si>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</si>
  <si>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</si>
  <si>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</si>
  <si>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</si>
  <si>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</si>
  <si>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</si>
  <si>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</si>
  <si>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</si>
  <si>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</si>
  <si>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</si>
  <si>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</si>
  <si>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</si>
  <si>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</si>
  <si>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</si>
  <si>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</si>
  <si>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</si>
  <si>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</si>
  <si>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</si>
  <si>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</si>
  <si>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</si>
  <si>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</si>
  <si>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</si>
  <si>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</si>
  <si>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</si>
  <si>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</si>
  <si>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</si>
  <si>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</si>
  <si>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</si>
  <si>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</si>
  <si>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</si>
  <si>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</si>
  <si>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</si>
  <si>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</si>
  <si>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</si>
  <si>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</si>
  <si>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</si>
  <si>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</si>
  <si>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</si>
  <si>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</si>
  <si>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</si>
  <si>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</si>
  <si>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</si>
  <si>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</si>
  <si>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</si>
  <si>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</si>
  <si>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</si>
  <si>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</si>
  <si>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</si>
  <si>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</si>
  <si>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</si>
  <si>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</si>
  <si>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</si>
  <si>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</si>
  <si>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</si>
  <si>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</si>
  <si>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</si>
  <si>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</si>
  <si>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</si>
  <si>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</si>
  <si>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</si>
  <si>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</si>
  <si>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</si>
  <si>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</si>
  <si>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</si>
  <si>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</si>
  <si>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</si>
  <si>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</si>
  <si>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</si>
  <si>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</si>
  <si>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</si>
  <si>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</si>
  <si>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</si>
  <si>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</si>
  <si>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</si>
  <si>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</si>
  <si>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</si>
  <si>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</si>
  <si>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</si>
  <si>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</si>
  <si>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</si>
  <si>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</si>
  <si>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</si>
  <si>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</si>
  <si>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</si>
  <si>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</si>
  <si>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</si>
  <si>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</si>
  <si>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</si>
  <si>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</si>
  <si>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</si>
  <si>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</si>
  <si>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</si>
  <si>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</si>
  <si>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</si>
  <si>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</si>
  <si>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</si>
  <si>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</si>
  <si>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</si>
  <si>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</si>
  <si>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</si>
  <si>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</si>
  <si>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</si>
  <si>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</si>
  <si>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</si>
  <si>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</si>
  <si>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</si>
  <si>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</si>
  <si>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</si>
  <si>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</si>
  <si>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</si>
  <si>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</si>
  <si>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</si>
  <si>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</si>
  <si>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</si>
  <si>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</si>
  <si>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</si>
  <si>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</si>
  <si>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</si>
  <si>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</si>
  <si>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</si>
  <si>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</si>
  <si>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</si>
  <si>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</si>
  <si>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</si>
  <si>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</si>
  <si>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</si>
  <si>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</si>
  <si>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</si>
  <si>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</si>
  <si>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</si>
  <si>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</si>
  <si>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</si>
  <si>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</si>
  <si>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</si>
  <si>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</si>
  <si>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</si>
  <si>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</si>
  <si>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</si>
  <si>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</si>
  <si>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</si>
  <si>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</si>
  <si>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</si>
  <si>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</si>
  <si>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</si>
  <si>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</si>
  <si>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</si>
  <si>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</si>
  <si>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</si>
  <si>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</si>
  <si>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</si>
  <si>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</si>
  <si>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</si>
  <si>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</si>
  <si>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</si>
  <si>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</si>
  <si>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</si>
  <si>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</si>
  <si>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</si>
  <si>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</si>
  <si>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</si>
  <si>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</si>
  <si>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</si>
  <si>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</si>
  <si>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</si>
  <si>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</si>
  <si>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</si>
  <si>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</si>
  <si>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</si>
  <si>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</si>
  <si>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</si>
  <si>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</si>
  <si>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</si>
  <si>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</si>
  <si>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</si>
  <si>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</si>
  <si>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</si>
  <si>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</si>
  <si>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</si>
  <si>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</si>
  <si>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</si>
  <si>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</si>
  <si>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</si>
  <si>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</si>
  <si>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</si>
  <si>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</si>
  <si>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</si>
  <si>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</si>
  <si>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</si>
  <si>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</si>
  <si>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</si>
  <si>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</si>
  <si>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</si>
  <si>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</si>
  <si>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</si>
  <si>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</si>
  <si>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</si>
  <si>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</si>
  <si>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</si>
  <si>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</si>
  <si>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</si>
  <si>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</si>
  <si>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</si>
  <si>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</si>
  <si>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</si>
  <si>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</si>
  <si>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</si>
  <si>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</si>
  <si>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</si>
  <si>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</si>
  <si>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</si>
  <si>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</si>
  <si>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</si>
  <si>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</si>
  <si>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</si>
  <si>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</si>
  <si>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</si>
  <si>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</si>
  <si>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</si>
  <si>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</si>
  <si>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</si>
  <si>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</si>
  <si>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</si>
  <si>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</si>
  <si>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</si>
  <si>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</si>
  <si>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</si>
  <si>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</si>
  <si>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</si>
  <si>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</si>
  <si>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</si>
  <si>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</si>
  <si>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</si>
  <si>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</si>
  <si>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</si>
  <si>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</si>
  <si>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</si>
  <si>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</si>
  <si>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</si>
  <si>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</si>
  <si>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</si>
  <si>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</si>
  <si>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</si>
  <si>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</si>
  <si>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</si>
  <si>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</si>
  <si>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</si>
  <si>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</si>
  <si>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</si>
  <si>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</si>
  <si>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</si>
  <si>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</si>
  <si>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</si>
  <si>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</si>
  <si>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</si>
  <si>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</si>
  <si>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</si>
  <si>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</si>
  <si>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</si>
  <si>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</si>
  <si>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</si>
  <si>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</si>
  <si>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</si>
  <si>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</si>
  <si>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</si>
  <si>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</si>
  <si>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</si>
  <si>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</si>
  <si>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</si>
  <si>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</si>
  <si>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</si>
  <si>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</si>
  <si>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COMP12_RTNG_CLAIMS_MOE</t>
  </si>
  <si>
    <t>COMP12_AUTH_CLM_WGHTED_ACC</t>
  </si>
  <si>
    <t>COMP12_AUTH_CLM_MOE</t>
  </si>
  <si>
    <t>% Correct</t>
  </si>
  <si>
    <t>MMWR_ACCURACY_RO</t>
  </si>
  <si>
    <t>Nation</t>
  </si>
  <si>
    <t>3 Month Entitlement Accuracy - 
Issue Based
% Correct</t>
  </si>
  <si>
    <t>3 month Entitlement Accuracy - 
Claim Level
%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</si>
  <si>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</si>
  <si>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</si>
  <si>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</si>
  <si>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</si>
  <si>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</si>
  <si>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</si>
  <si>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</si>
  <si>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</si>
  <si>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</si>
  <si>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</si>
  <si>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</si>
  <si>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</si>
  <si>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</si>
  <si>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</si>
  <si>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</si>
  <si>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</si>
  <si>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</si>
  <si>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</si>
  <si>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</si>
  <si>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</si>
  <si>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</si>
  <si>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</si>
  <si>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</si>
  <si>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</si>
  <si>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</si>
  <si>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</si>
  <si>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</si>
  <si>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</si>
  <si>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</si>
  <si>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</si>
  <si>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</si>
  <si>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USA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</si>
  <si>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</si>
  <si>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</si>
  <si>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</si>
  <si>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</si>
  <si>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</si>
  <si>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</si>
  <si>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</si>
  <si>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</si>
  <si>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</si>
  <si>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</si>
  <si>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</si>
  <si>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</si>
  <si>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</si>
  <si>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</si>
  <si>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</si>
  <si>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</si>
  <si>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</si>
  <si>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</si>
  <si>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</si>
  <si>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</si>
  <si>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</si>
  <si>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</si>
  <si>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</si>
  <si>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</si>
  <si>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</si>
  <si>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</si>
  <si>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</si>
  <si>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</si>
  <si>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</si>
  <si>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</si>
  <si>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</si>
  <si>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</si>
  <si>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</si>
  <si>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</si>
  <si>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</si>
  <si>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</si>
  <si>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</si>
  <si>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</si>
  <si>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</si>
  <si>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</si>
  <si>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</si>
  <si>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</si>
  <si>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</si>
  <si>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</si>
  <si>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</si>
  <si>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</si>
  <si>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</si>
  <si>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</si>
  <si>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</si>
  <si>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</si>
  <si>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</si>
  <si>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</si>
  <si>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</si>
  <si>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</si>
  <si>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</si>
  <si>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</si>
  <si>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</si>
  <si>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</si>
  <si>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</si>
  <si>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</si>
  <si>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</si>
  <si>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</si>
  <si>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</si>
  <si>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</si>
  <si>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</si>
  <si>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</si>
  <si>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</si>
  <si>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</si>
  <si>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</si>
  <si>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</si>
  <si>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</si>
  <si>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</si>
  <si>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</si>
  <si>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</si>
  <si>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</si>
  <si>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</si>
  <si>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</si>
  <si>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</si>
  <si>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</si>
  <si>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</si>
  <si>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</si>
  <si>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</si>
  <si>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</si>
  <si>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</si>
  <si>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</si>
  <si>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Note, due to the 4th of July Holiday education claim data for "Last Week" is as of July 2, 2015. Current is as of July 11,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</si>
</sst>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23">
    <xf numFmtId="0" fontId="0"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9" borderId="0" applyNumberFormat="0" applyBorder="0" applyAlignment="0" applyProtection="0"/>
    <xf numFmtId="0" fontId="41" fillId="30" borderId="54" applyNumberFormat="0" applyAlignment="0" applyProtection="0"/>
    <xf numFmtId="0" fontId="42" fillId="31" borderId="55" applyNumberFormat="0" applyAlignment="0" applyProtection="0"/>
    <xf numFmtId="43" fontId="3"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0" fontId="7" fillId="0" borderId="0"/>
    <xf numFmtId="43" fontId="2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23" fillId="0" borderId="0" applyFont="0" applyFill="0" applyBorder="0" applyAlignment="0" applyProtection="0"/>
    <xf numFmtId="43" fontId="26" fillId="0" borderId="0" applyFont="0" applyFill="0" applyBorder="0" applyAlignment="0" applyProtection="0"/>
    <xf numFmtId="43" fontId="38"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20" fillId="0" borderId="0" applyFont="0" applyFill="0" applyBorder="0" applyAlignment="0" applyProtection="0"/>
    <xf numFmtId="44" fontId="7" fillId="0" borderId="0" applyFont="0" applyFill="0" applyBorder="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56" applyNumberFormat="0" applyFill="0" applyAlignment="0" applyProtection="0"/>
    <xf numFmtId="0" fontId="46" fillId="0" borderId="57" applyNumberFormat="0" applyFill="0" applyAlignment="0" applyProtection="0"/>
    <xf numFmtId="0" fontId="47" fillId="0" borderId="58" applyNumberFormat="0" applyFill="0" applyAlignment="0" applyProtection="0"/>
    <xf numFmtId="0" fontId="47" fillId="0" borderId="0" applyNumberFormat="0" applyFill="0" applyBorder="0" applyAlignment="0" applyProtection="0"/>
    <xf numFmtId="0" fontId="15" fillId="0" borderId="0" applyNumberFormat="0" applyFill="0" applyBorder="0" applyAlignment="0" applyProtection="0">
      <alignment vertical="top"/>
      <protection locked="0"/>
    </xf>
    <xf numFmtId="0" fontId="48" fillId="33" borderId="54" applyNumberFormat="0" applyAlignment="0" applyProtection="0"/>
    <xf numFmtId="0" fontId="49" fillId="0" borderId="59" applyNumberFormat="0" applyFill="0" applyAlignment="0" applyProtection="0"/>
    <xf numFmtId="0" fontId="50" fillId="34" borderId="0" applyNumberFormat="0" applyBorder="0" applyAlignment="0" applyProtection="0"/>
    <xf numFmtId="0" fontId="7" fillId="0" borderId="0"/>
    <xf numFmtId="0" fontId="38" fillId="0" borderId="0"/>
    <xf numFmtId="0" fontId="38" fillId="0" borderId="0"/>
    <xf numFmtId="0" fontId="38" fillId="35" borderId="60" applyNumberFormat="0" applyFont="0" applyAlignment="0" applyProtection="0"/>
    <xf numFmtId="0" fontId="51" fillId="30" borderId="61" applyNumberFormat="0" applyAlignment="0" applyProtection="0"/>
    <xf numFmtId="9" fontId="3"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3" fillId="0" borderId="0" applyFont="0" applyFill="0" applyBorder="0" applyAlignment="0" applyProtection="0"/>
    <xf numFmtId="9" fontId="26" fillId="0" borderId="0" applyFont="0" applyFill="0" applyBorder="0" applyAlignment="0" applyProtection="0"/>
    <xf numFmtId="0" fontId="52" fillId="0" borderId="0" applyNumberFormat="0" applyFill="0" applyBorder="0" applyAlignment="0" applyProtection="0"/>
    <xf numFmtId="0" fontId="53" fillId="0" borderId="62" applyNumberFormat="0" applyFill="0" applyAlignment="0" applyProtection="0"/>
    <xf numFmtId="0" fontId="54" fillId="0" borderId="0" applyNumberFormat="0" applyFill="0" applyBorder="0" applyAlignment="0" applyProtection="0"/>
    <xf numFmtId="0" fontId="3" fillId="0" borderId="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2" fillId="0" borderId="0"/>
    <xf numFmtId="0" fontId="2" fillId="35" borderId="60"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35" borderId="60" applyNumberFormat="0" applyFont="0" applyAlignment="0" applyProtection="0"/>
  </cellStyleXfs>
  <cellXfs count="462">
    <xf numFmtId="0" fontId="0" fillId="0" borderId="0" xfId="0"/>
    <xf numFmtId="0" fontId="7"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4" fillId="38" borderId="18" xfId="0" applyNumberFormat="1" applyFont="1" applyFill="1" applyBorder="1" applyAlignment="1" applyProtection="1">
      <alignment vertical="center" wrapText="1"/>
      <protection hidden="1"/>
    </xf>
    <xf numFmtId="0" fontId="7" fillId="0" borderId="0" xfId="0" applyFont="1" applyBorder="1" applyProtection="1"/>
    <xf numFmtId="4" fontId="7" fillId="0" borderId="0" xfId="0" applyNumberFormat="1" applyFont="1" applyFill="1" applyBorder="1" applyProtection="1"/>
    <xf numFmtId="4" fontId="8" fillId="38" borderId="3" xfId="0" applyNumberFormat="1" applyFont="1" applyFill="1" applyBorder="1" applyAlignment="1" applyProtection="1">
      <protection hidden="1"/>
    </xf>
    <xf numFmtId="4" fontId="7" fillId="38" borderId="3" xfId="0" applyNumberFormat="1" applyFont="1" applyFill="1" applyBorder="1" applyAlignment="1" applyProtection="1">
      <protection hidden="1"/>
    </xf>
    <xf numFmtId="4" fontId="7" fillId="38" borderId="5" xfId="0" applyNumberFormat="1" applyFont="1" applyFill="1" applyBorder="1" applyAlignment="1" applyProtection="1">
      <protection hidden="1"/>
    </xf>
    <xf numFmtId="0" fontId="56" fillId="0" borderId="94" xfId="0" applyFont="1" applyBorder="1"/>
    <xf numFmtId="0" fontId="56" fillId="0" borderId="95" xfId="0" applyFont="1" applyBorder="1"/>
    <xf numFmtId="0" fontId="56" fillId="0" borderId="96" xfId="0" applyFont="1" applyBorder="1"/>
    <xf numFmtId="0" fontId="56" fillId="0" borderId="97" xfId="0" applyFont="1" applyBorder="1"/>
    <xf numFmtId="14" fontId="0" fillId="0" borderId="0" xfId="0" applyNumberFormat="1"/>
    <xf numFmtId="9" fontId="0" fillId="0" borderId="0" xfId="58" applyFont="1"/>
    <xf numFmtId="4" fontId="55" fillId="0" borderId="0" xfId="0" applyNumberFormat="1" applyFont="1" applyFill="1" applyBorder="1" applyProtection="1"/>
    <xf numFmtId="0" fontId="7" fillId="39" borderId="0" xfId="0" applyFont="1" applyFill="1" applyBorder="1"/>
    <xf numFmtId="0" fontId="28" fillId="0" borderId="17" xfId="0" applyFont="1" applyBorder="1" applyAlignment="1">
      <alignment vertical="center" wrapText="1"/>
    </xf>
    <xf numFmtId="0" fontId="28" fillId="0" borderId="38" xfId="0" applyFont="1" applyBorder="1" applyAlignment="1">
      <alignment vertical="center" wrapText="1"/>
    </xf>
    <xf numFmtId="0" fontId="0" fillId="0" borderId="0" xfId="0" applyProtection="1"/>
    <xf numFmtId="0" fontId="7" fillId="39" borderId="0" xfId="0" applyFont="1" applyFill="1" applyBorder="1" applyProtection="1">
      <protection hidden="1"/>
    </xf>
    <xf numFmtId="4" fontId="7" fillId="39" borderId="0" xfId="0" applyNumberFormat="1" applyFont="1" applyFill="1" applyBorder="1" applyProtection="1">
      <protection hidden="1"/>
    </xf>
    <xf numFmtId="4" fontId="55" fillId="39" borderId="0" xfId="0" applyNumberFormat="1" applyFont="1" applyFill="1" applyBorder="1" applyProtection="1">
      <protection hidden="1"/>
    </xf>
    <xf numFmtId="0" fontId="0" fillId="39" borderId="0" xfId="0" applyFill="1" applyProtection="1">
      <protection hidden="1"/>
    </xf>
    <xf numFmtId="4" fontId="24" fillId="39" borderId="9" xfId="0" applyNumberFormat="1" applyFont="1" applyFill="1" applyBorder="1" applyAlignment="1" applyProtection="1">
      <alignment vertical="center" wrapText="1"/>
      <protection hidden="1"/>
    </xf>
    <xf numFmtId="0" fontId="3" fillId="39" borderId="0" xfId="0" applyFont="1" applyFill="1" applyBorder="1" applyProtection="1">
      <protection hidden="1"/>
    </xf>
    <xf numFmtId="4" fontId="3" fillId="39" borderId="0" xfId="0" applyNumberFormat="1" applyFont="1" applyFill="1" applyBorder="1" applyProtection="1">
      <protection hidden="1"/>
    </xf>
    <xf numFmtId="0" fontId="16" fillId="0" borderId="12"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4" fontId="3" fillId="39" borderId="9" xfId="0" applyNumberFormat="1" applyFont="1" applyFill="1" applyBorder="1" applyProtection="1">
      <protection hidden="1"/>
    </xf>
    <xf numFmtId="0" fontId="16" fillId="0" borderId="13"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55" fillId="39" borderId="0" xfId="0" applyFont="1" applyFill="1" applyProtection="1">
      <protection hidden="1"/>
    </xf>
    <xf numFmtId="4" fontId="3" fillId="36" borderId="2" xfId="96" applyNumberFormat="1" applyFont="1" applyFill="1" applyBorder="1" applyAlignment="1" applyProtection="1">
      <alignment horizontal="center" vertical="center" wrapText="1"/>
      <protection hidden="1"/>
    </xf>
    <xf numFmtId="4" fontId="8" fillId="38" borderId="21" xfId="0" applyNumberFormat="1" applyFont="1" applyFill="1" applyBorder="1" applyProtection="1">
      <protection hidden="1"/>
    </xf>
    <xf numFmtId="4" fontId="7" fillId="4" borderId="2" xfId="53" applyNumberFormat="1" applyFont="1" applyFill="1" applyBorder="1" applyAlignment="1" applyProtection="1">
      <alignment horizontal="center" vertical="center" wrapText="1"/>
      <protection hidden="1"/>
    </xf>
    <xf numFmtId="167" fontId="7" fillId="4" borderId="2" xfId="58" applyNumberFormat="1" applyFont="1" applyFill="1" applyBorder="1" applyAlignment="1" applyProtection="1">
      <alignment horizontal="center" vertical="center" wrapText="1"/>
      <protection hidden="1"/>
    </xf>
    <xf numFmtId="0" fontId="7" fillId="39" borderId="4" xfId="0" applyFont="1" applyFill="1" applyBorder="1" applyProtection="1">
      <protection hidden="1"/>
    </xf>
    <xf numFmtId="4" fontId="8" fillId="38" borderId="3" xfId="0" applyNumberFormat="1" applyFont="1" applyFill="1" applyBorder="1" applyAlignment="1" applyProtection="1">
      <alignment wrapText="1"/>
      <protection hidden="1"/>
    </xf>
    <xf numFmtId="4" fontId="7" fillId="38" borderId="3" xfId="0" applyNumberFormat="1" applyFont="1" applyFill="1" applyBorder="1" applyProtection="1">
      <protection hidden="1"/>
    </xf>
    <xf numFmtId="4" fontId="7" fillId="38" borderId="5" xfId="0" applyNumberFormat="1" applyFont="1" applyFill="1" applyBorder="1" applyProtection="1">
      <protection hidden="1"/>
    </xf>
    <xf numFmtId="4" fontId="7" fillId="38" borderId="5" xfId="0" applyNumberFormat="1" applyFont="1" applyFill="1" applyBorder="1" applyAlignment="1" applyProtection="1">
      <alignment wrapText="1"/>
      <protection hidden="1"/>
    </xf>
    <xf numFmtId="4" fontId="7" fillId="39" borderId="9" xfId="0" applyNumberFormat="1" applyFont="1" applyFill="1" applyBorder="1" applyProtection="1">
      <protection hidden="1"/>
    </xf>
    <xf numFmtId="0" fontId="7" fillId="0" borderId="10" xfId="0"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4" fontId="7" fillId="36" borderId="2" xfId="53" applyNumberFormat="1" applyFont="1" applyFill="1" applyBorder="1" applyAlignment="1" applyProtection="1">
      <alignment horizontal="center" vertical="center" wrapText="1"/>
      <protection hidden="1"/>
    </xf>
    <xf numFmtId="4" fontId="3" fillId="38" borderId="3" xfId="0" applyNumberFormat="1" applyFont="1" applyFill="1" applyBorder="1" applyProtection="1">
      <protection hidden="1"/>
    </xf>
    <xf numFmtId="4" fontId="7" fillId="39" borderId="0" xfId="0" applyNumberFormat="1" applyFont="1" applyFill="1" applyBorder="1" applyAlignment="1" applyProtection="1">
      <alignment vertical="center" wrapText="1"/>
      <protection hidden="1"/>
    </xf>
    <xf numFmtId="0" fontId="14" fillId="39" borderId="9" xfId="0" applyFont="1" applyFill="1" applyBorder="1" applyAlignment="1" applyProtection="1">
      <alignment vertical="center" wrapText="1"/>
      <protection hidden="1"/>
    </xf>
    <xf numFmtId="0" fontId="12" fillId="39" borderId="0" xfId="0" applyFont="1" applyFill="1" applyBorder="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8" fillId="0" borderId="9" xfId="0" applyFont="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7" fillId="39" borderId="0" xfId="0"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98" xfId="0" applyFont="1" applyFill="1" applyBorder="1" applyAlignment="1" applyProtection="1">
      <alignment horizontal="center" vertical="center" wrapText="1"/>
      <protection hidden="1"/>
    </xf>
    <xf numFmtId="3" fontId="14" fillId="39" borderId="0" xfId="0" applyNumberFormat="1" applyFont="1" applyFill="1" applyBorder="1" applyAlignment="1" applyProtection="1">
      <alignment horizontal="center" vertical="center" wrapText="1"/>
      <protection hidden="1"/>
    </xf>
    <xf numFmtId="3" fontId="21" fillId="41" borderId="38" xfId="0" applyNumberFormat="1" applyFont="1" applyFill="1" applyBorder="1" applyAlignment="1" applyProtection="1">
      <alignment horizontal="center" vertical="center" wrapText="1"/>
      <protection hidden="1"/>
    </xf>
    <xf numFmtId="0" fontId="57" fillId="39" borderId="0" xfId="0" applyFont="1" applyFill="1" applyBorder="1" applyAlignment="1" applyProtection="1">
      <alignment horizontal="left" vertical="center"/>
      <protection hidden="1"/>
    </xf>
    <xf numFmtId="3" fontId="17"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3" fillId="39" borderId="9" xfId="0" applyFont="1" applyFill="1" applyBorder="1" applyAlignment="1" applyProtection="1">
      <protection hidden="1"/>
    </xf>
    <xf numFmtId="3" fontId="17" fillId="39" borderId="0" xfId="28" applyNumberFormat="1" applyFont="1" applyFill="1" applyBorder="1" applyAlignment="1" applyProtection="1">
      <alignment horizontal="center" vertical="center" wrapText="1"/>
      <protection hidden="1"/>
    </xf>
    <xf numFmtId="0" fontId="17" fillId="39" borderId="0" xfId="0" quotePrefix="1" applyFont="1" applyFill="1" applyBorder="1" applyAlignment="1" applyProtection="1">
      <alignment horizontal="center" vertical="center" wrapText="1"/>
      <protection hidden="1"/>
    </xf>
    <xf numFmtId="0" fontId="7" fillId="39" borderId="9" xfId="0" applyFont="1" applyFill="1" applyBorder="1" applyAlignment="1" applyProtection="1">
      <protection hidden="1"/>
    </xf>
    <xf numFmtId="0" fontId="7" fillId="39" borderId="0" xfId="0" applyFont="1" applyFill="1" applyBorder="1" applyAlignment="1" applyProtection="1">
      <alignment horizontal="center"/>
      <protection hidden="1"/>
    </xf>
    <xf numFmtId="3" fontId="12" fillId="39" borderId="0" xfId="0" applyNumberFormat="1" applyFont="1" applyFill="1" applyBorder="1" applyAlignment="1" applyProtection="1">
      <alignment horizontal="center" wrapText="1"/>
      <protection hidden="1"/>
    </xf>
    <xf numFmtId="0" fontId="12" fillId="39" borderId="16" xfId="0" applyFont="1" applyFill="1" applyBorder="1" applyAlignment="1" applyProtection="1">
      <alignment horizontal="center" wrapText="1"/>
      <protection hidden="1"/>
    </xf>
    <xf numFmtId="0" fontId="7" fillId="39" borderId="30" xfId="0" applyFont="1" applyFill="1" applyBorder="1" applyAlignment="1" applyProtection="1">
      <protection hidden="1"/>
    </xf>
    <xf numFmtId="3" fontId="55" fillId="39" borderId="0" xfId="0" applyNumberFormat="1" applyFont="1" applyFill="1" applyBorder="1" applyProtection="1">
      <protection hidden="1"/>
    </xf>
    <xf numFmtId="3" fontId="55" fillId="39" borderId="0" xfId="0" applyNumberFormat="1"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0" applyFont="1" applyFill="1" applyBorder="1" applyAlignment="1" applyProtection="1">
      <alignment horizontal="center"/>
      <protection hidden="1"/>
    </xf>
    <xf numFmtId="0" fontId="55" fillId="39" borderId="0" xfId="0" applyFont="1" applyFill="1" applyBorder="1" applyAlignment="1" applyProtection="1">
      <alignment vertical="center" wrapText="1"/>
      <protection hidden="1"/>
    </xf>
    <xf numFmtId="0" fontId="7" fillId="0" borderId="69" xfId="0" applyFont="1" applyFill="1" applyBorder="1" applyAlignment="1" applyProtection="1">
      <alignment horizontal="center" vertical="center" wrapText="1"/>
      <protection hidden="1"/>
    </xf>
    <xf numFmtId="4" fontId="7" fillId="0" borderId="70" xfId="0" applyNumberFormat="1" applyFont="1" applyFill="1" applyBorder="1" applyAlignment="1" applyProtection="1">
      <alignment horizontal="center" vertical="center" wrapText="1"/>
      <protection hidden="1"/>
    </xf>
    <xf numFmtId="0" fontId="7" fillId="0" borderId="77" xfId="0" applyFont="1" applyFill="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79"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51" xfId="0" applyFont="1" applyFill="1" applyBorder="1" applyAlignment="1" applyProtection="1">
      <alignment horizontal="center" vertical="center" wrapText="1"/>
      <protection hidden="1"/>
    </xf>
    <xf numFmtId="0" fontId="7" fillId="39" borderId="0" xfId="0" applyFont="1" applyFill="1" applyBorder="1" applyAlignment="1" applyProtection="1">
      <alignment vertical="center" wrapText="1"/>
      <protection hidden="1"/>
    </xf>
    <xf numFmtId="0" fontId="55" fillId="39" borderId="0" xfId="0" applyFont="1" applyFill="1" applyBorder="1" applyProtection="1">
      <protection hidden="1"/>
    </xf>
    <xf numFmtId="4" fontId="5" fillId="0" borderId="21" xfId="0" applyNumberFormat="1" applyFont="1" applyFill="1" applyBorder="1" applyAlignment="1" applyProtection="1">
      <alignment vertical="center" wrapText="1"/>
      <protection hidden="1"/>
    </xf>
    <xf numFmtId="166" fontId="5" fillId="0" borderId="71" xfId="28" applyNumberFormat="1" applyFont="1" applyFill="1" applyBorder="1" applyAlignment="1" applyProtection="1">
      <alignment vertical="center" wrapText="1"/>
      <protection hidden="1"/>
    </xf>
    <xf numFmtId="164" fontId="5" fillId="0" borderId="72" xfId="58" applyNumberFormat="1" applyFont="1" applyFill="1" applyBorder="1" applyAlignment="1" applyProtection="1">
      <alignment horizontal="right" vertical="center" wrapText="1"/>
      <protection hidden="1"/>
    </xf>
    <xf numFmtId="166" fontId="5" fillId="0" borderId="80" xfId="28" applyNumberFormat="1" applyFont="1" applyFill="1" applyBorder="1" applyAlignment="1" applyProtection="1">
      <alignment horizontal="right" vertical="center" wrapText="1"/>
      <protection hidden="1"/>
    </xf>
    <xf numFmtId="166" fontId="5" fillId="0" borderId="81" xfId="28" applyNumberFormat="1" applyFont="1" applyFill="1" applyBorder="1" applyAlignment="1" applyProtection="1">
      <alignment horizontal="right" vertical="center" wrapText="1"/>
      <protection hidden="1"/>
    </xf>
    <xf numFmtId="9" fontId="8" fillId="0" borderId="82" xfId="58" applyNumberFormat="1" applyFont="1" applyFill="1" applyBorder="1" applyAlignment="1" applyProtection="1">
      <alignment horizontal="right"/>
      <protection hidden="1"/>
    </xf>
    <xf numFmtId="9" fontId="8" fillId="0" borderId="82" xfId="58" applyFont="1" applyFill="1" applyBorder="1" applyAlignment="1" applyProtection="1">
      <alignment horizontal="right"/>
      <protection hidden="1"/>
    </xf>
    <xf numFmtId="166" fontId="5" fillId="0" borderId="2" xfId="28" applyNumberFormat="1" applyFont="1" applyFill="1" applyBorder="1" applyAlignment="1" applyProtection="1">
      <alignment horizontal="right" vertical="center" wrapText="1"/>
      <protection hidden="1"/>
    </xf>
    <xf numFmtId="0" fontId="59" fillId="0" borderId="90" xfId="0" applyFont="1" applyBorder="1" applyAlignment="1" applyProtection="1">
      <alignment horizontal="left"/>
      <protection hidden="1"/>
    </xf>
    <xf numFmtId="166" fontId="56" fillId="0" borderId="91" xfId="28" applyNumberFormat="1" applyFont="1" applyBorder="1" applyAlignment="1" applyProtection="1">
      <alignment horizontal="left"/>
      <protection hidden="1"/>
    </xf>
    <xf numFmtId="164" fontId="4" fillId="0" borderId="92" xfId="65" applyNumberFormat="1" applyFont="1" applyFill="1" applyBorder="1" applyAlignment="1" applyProtection="1">
      <alignment horizontal="right" vertical="center" wrapText="1"/>
      <protection hidden="1"/>
    </xf>
    <xf numFmtId="9" fontId="3" fillId="0" borderId="93" xfId="58" applyNumberFormat="1" applyFont="1" applyFill="1" applyBorder="1" applyAlignment="1" applyProtection="1">
      <alignment horizontal="right"/>
      <protection hidden="1"/>
    </xf>
    <xf numFmtId="9" fontId="3" fillId="0" borderId="93" xfId="58" applyFont="1" applyFill="1" applyBorder="1" applyAlignment="1" applyProtection="1">
      <alignment horizontal="right"/>
      <protection hidden="1"/>
    </xf>
    <xf numFmtId="166" fontId="56" fillId="0" borderId="89" xfId="28" applyNumberFormat="1" applyFont="1" applyBorder="1" applyAlignment="1" applyProtection="1">
      <alignment horizontal="left"/>
      <protection hidden="1"/>
    </xf>
    <xf numFmtId="49" fontId="55"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4" fillId="0" borderId="73" xfId="28" applyNumberFormat="1" applyFont="1" applyFill="1" applyBorder="1" applyAlignment="1" applyProtection="1">
      <alignment horizontal="right" vertical="center" wrapText="1"/>
      <protection hidden="1"/>
    </xf>
    <xf numFmtId="164" fontId="4" fillId="0" borderId="74" xfId="65" applyNumberFormat="1" applyFont="1" applyFill="1" applyBorder="1" applyAlignment="1" applyProtection="1">
      <alignment horizontal="right" vertical="center" wrapText="1"/>
      <protection hidden="1"/>
    </xf>
    <xf numFmtId="166" fontId="4" fillId="0" borderId="83" xfId="28" applyNumberFormat="1" applyFont="1" applyFill="1" applyBorder="1" applyAlignment="1" applyProtection="1">
      <alignment horizontal="right" vertical="center" wrapText="1"/>
      <protection hidden="1"/>
    </xf>
    <xf numFmtId="166" fontId="4" fillId="0" borderId="84" xfId="28" applyNumberFormat="1" applyFont="1" applyFill="1" applyBorder="1" applyAlignment="1" applyProtection="1">
      <alignment horizontal="right" vertical="center" wrapText="1"/>
      <protection hidden="1"/>
    </xf>
    <xf numFmtId="9" fontId="3" fillId="0" borderId="85" xfId="58" applyNumberFormat="1" applyFont="1" applyFill="1" applyBorder="1" applyAlignment="1" applyProtection="1">
      <alignment horizontal="right"/>
      <protection hidden="1"/>
    </xf>
    <xf numFmtId="9" fontId="3" fillId="0" borderId="85" xfId="58" applyFont="1" applyFill="1" applyBorder="1" applyAlignment="1" applyProtection="1">
      <alignment horizontal="right"/>
      <protection hidden="1"/>
    </xf>
    <xf numFmtId="166" fontId="4"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7" fillId="39" borderId="7" xfId="0" applyNumberFormat="1" applyFont="1" applyFill="1" applyBorder="1" applyProtection="1">
      <protection hidden="1"/>
    </xf>
    <xf numFmtId="4" fontId="7" fillId="39" borderId="5" xfId="0" applyNumberFormat="1" applyFont="1" applyFill="1" applyBorder="1" applyAlignment="1" applyProtection="1">
      <alignment vertical="center" wrapText="1"/>
      <protection hidden="1"/>
    </xf>
    <xf numFmtId="166" fontId="59"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166" fontId="59" fillId="0" borderId="89" xfId="28" applyNumberFormat="1" applyFont="1" applyBorder="1" applyAlignment="1" applyProtection="1">
      <alignment horizontal="left"/>
      <protection hidden="1"/>
    </xf>
    <xf numFmtId="4" fontId="7" fillId="0" borderId="18" xfId="0" applyNumberFormat="1" applyFont="1" applyFill="1" applyBorder="1" applyProtection="1">
      <protection hidden="1"/>
    </xf>
    <xf numFmtId="0" fontId="0" fillId="0" borderId="0" xfId="0" applyProtection="1">
      <protection hidden="1"/>
    </xf>
    <xf numFmtId="4" fontId="7" fillId="0" borderId="0"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0" fontId="59"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59" fillId="0" borderId="5" xfId="0" applyFont="1" applyBorder="1" applyAlignment="1" applyProtection="1">
      <alignment horizontal="left"/>
      <protection hidden="1"/>
    </xf>
    <xf numFmtId="0" fontId="59" fillId="0" borderId="89" xfId="0" applyFont="1" applyBorder="1" applyAlignment="1" applyProtection="1">
      <alignment horizontal="left"/>
      <protection hidden="1"/>
    </xf>
    <xf numFmtId="0" fontId="13" fillId="2" borderId="0" xfId="0" applyFont="1" applyFill="1" applyBorder="1" applyAlignment="1" applyProtection="1">
      <alignment vertical="center" wrapText="1"/>
      <protection hidden="1"/>
    </xf>
    <xf numFmtId="0" fontId="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7" fillId="37" borderId="32"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10" fontId="13" fillId="0" borderId="0" xfId="58" applyNumberFormat="1" applyFont="1" applyFill="1" applyBorder="1" applyAlignment="1" applyProtection="1">
      <alignment vertical="center" wrapText="1"/>
      <protection hidden="1"/>
    </xf>
    <xf numFmtId="0" fontId="21" fillId="41" borderId="17" xfId="0" applyFont="1" applyFill="1" applyBorder="1" applyAlignment="1" applyProtection="1">
      <alignment horizontal="left" vertical="center" wrapText="1"/>
      <protection hidden="1"/>
    </xf>
    <xf numFmtId="49" fontId="16" fillId="38" borderId="4" xfId="0" applyNumberFormat="1" applyFont="1" applyFill="1" applyBorder="1" applyAlignment="1" applyProtection="1">
      <alignment horizontal="center" vertical="center" wrapText="1"/>
      <protection hidden="1"/>
    </xf>
    <xf numFmtId="0" fontId="16" fillId="38" borderId="4" xfId="0" applyFont="1" applyFill="1" applyBorder="1" applyAlignment="1" applyProtection="1">
      <alignment horizontal="center" vertical="center" wrapText="1"/>
      <protection hidden="1"/>
    </xf>
    <xf numFmtId="0" fontId="16" fillId="38" borderId="4" xfId="0" quotePrefix="1" applyFont="1" applyFill="1" applyBorder="1" applyAlignment="1" applyProtection="1">
      <alignment horizontal="center" vertical="center" wrapText="1"/>
      <protection hidden="1"/>
    </xf>
    <xf numFmtId="0" fontId="16" fillId="38" borderId="0" xfId="0" quotePrefix="1" applyFont="1" applyFill="1" applyBorder="1" applyAlignment="1" applyProtection="1">
      <alignment horizontal="center" vertical="center" wrapText="1"/>
      <protection hidden="1"/>
    </xf>
    <xf numFmtId="49" fontId="16" fillId="38" borderId="0" xfId="0" applyNumberFormat="1" applyFont="1" applyFill="1" applyBorder="1" applyAlignment="1" applyProtection="1">
      <alignment horizontal="center" vertical="center" wrapText="1"/>
      <protection hidden="1"/>
    </xf>
    <xf numFmtId="0" fontId="25" fillId="39" borderId="0" xfId="0" applyFont="1" applyFill="1" applyProtection="1">
      <protection hidden="1"/>
    </xf>
    <xf numFmtId="0" fontId="15" fillId="39" borderId="16" xfId="49" applyFill="1" applyBorder="1" applyAlignment="1" applyProtection="1">
      <alignment horizontal="center" vertical="center" wrapText="1"/>
      <protection hidden="1"/>
    </xf>
    <xf numFmtId="0" fontId="15" fillId="39" borderId="0" xfId="49" applyFill="1" applyBorder="1" applyAlignment="1" applyProtection="1">
      <alignment horizontal="center" vertical="center" wrapText="1"/>
      <protection hidden="1"/>
    </xf>
    <xf numFmtId="0" fontId="10" fillId="39" borderId="0" xfId="0" applyFont="1" applyFill="1" applyBorder="1" applyAlignment="1" applyProtection="1">
      <alignment vertical="center" wrapText="1"/>
      <protection hidden="1"/>
    </xf>
    <xf numFmtId="0" fontId="14" fillId="2" borderId="6" xfId="0" applyFont="1" applyFill="1" applyBorder="1" applyAlignment="1" applyProtection="1">
      <alignment vertical="center" wrapText="1"/>
      <protection hidden="1"/>
    </xf>
    <xf numFmtId="0" fontId="13" fillId="39" borderId="0"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7" fillId="38" borderId="2" xfId="53" applyNumberFormat="1" applyFont="1" applyFill="1" applyBorder="1" applyAlignment="1" applyProtection="1">
      <alignment horizontal="right" vertical="center" wrapText="1" indent="1"/>
      <protection hidden="1"/>
    </xf>
    <xf numFmtId="165" fontId="7" fillId="38" borderId="2" xfId="53" applyNumberFormat="1" applyFont="1" applyFill="1" applyBorder="1" applyAlignment="1" applyProtection="1">
      <alignment horizontal="right" vertical="center" wrapText="1" indent="1"/>
      <protection hidden="1"/>
    </xf>
    <xf numFmtId="167" fontId="7" fillId="38" borderId="2" xfId="53" applyNumberFormat="1" applyFont="1" applyFill="1" applyBorder="1" applyAlignment="1" applyProtection="1">
      <alignment horizontal="right" vertical="center" wrapText="1" indent="1"/>
      <protection hidden="1"/>
    </xf>
    <xf numFmtId="10" fontId="7" fillId="38" borderId="2" xfId="58" applyNumberFormat="1" applyFont="1" applyFill="1" applyBorder="1" applyAlignment="1" applyProtection="1">
      <alignment horizontal="right" vertical="center" wrapText="1" indent="1"/>
      <protection hidden="1"/>
    </xf>
    <xf numFmtId="4" fontId="7" fillId="4" borderId="2" xfId="53" applyNumberFormat="1" applyFont="1" applyFill="1" applyBorder="1" applyAlignment="1" applyProtection="1">
      <alignment horizontal="right" vertical="center" wrapText="1" indent="1"/>
      <protection hidden="1"/>
    </xf>
    <xf numFmtId="167" fontId="7" fillId="38" borderId="2" xfId="58" applyNumberFormat="1" applyFont="1" applyFill="1" applyBorder="1" applyAlignment="1" applyProtection="1">
      <alignment horizontal="right" vertical="center" wrapText="1" indent="1"/>
      <protection hidden="1"/>
    </xf>
    <xf numFmtId="3" fontId="21" fillId="41" borderId="39" xfId="28" applyNumberFormat="1" applyFont="1" applyFill="1" applyBorder="1" applyAlignment="1" applyProtection="1">
      <alignment horizontal="right" vertical="center" wrapText="1" indent="1"/>
      <protection hidden="1"/>
    </xf>
    <xf numFmtId="167" fontId="21" fillId="41" borderId="38" xfId="58" applyNumberFormat="1" applyFont="1" applyFill="1" applyBorder="1" applyAlignment="1" applyProtection="1">
      <alignment horizontal="right" vertical="center" wrapText="1" indent="1"/>
      <protection hidden="1"/>
    </xf>
    <xf numFmtId="3" fontId="17" fillId="38" borderId="4" xfId="30" applyNumberFormat="1" applyFont="1" applyFill="1" applyBorder="1" applyAlignment="1" applyProtection="1">
      <alignment horizontal="right" vertical="center" wrapText="1" indent="1"/>
      <protection hidden="1"/>
    </xf>
    <xf numFmtId="167" fontId="17" fillId="38" borderId="9" xfId="60" applyNumberFormat="1" applyFont="1" applyFill="1" applyBorder="1" applyAlignment="1" applyProtection="1">
      <alignment horizontal="right" vertical="center" wrapText="1" indent="1"/>
      <protection hidden="1"/>
    </xf>
    <xf numFmtId="3" fontId="17" fillId="38" borderId="34" xfId="30" applyNumberFormat="1" applyFont="1" applyFill="1" applyBorder="1" applyAlignment="1" applyProtection="1">
      <alignment horizontal="right" vertical="center" wrapText="1" indent="1"/>
      <protection hidden="1"/>
    </xf>
    <xf numFmtId="3" fontId="17" fillId="38" borderId="3" xfId="30" applyNumberFormat="1" applyFont="1" applyFill="1" applyBorder="1" applyAlignment="1" applyProtection="1">
      <alignment horizontal="right" vertical="center" wrapText="1" indent="1"/>
      <protection hidden="1"/>
    </xf>
    <xf numFmtId="3" fontId="17" fillId="38" borderId="31" xfId="30" applyNumberFormat="1" applyFont="1" applyFill="1" applyBorder="1" applyAlignment="1" applyProtection="1">
      <alignment horizontal="right" vertical="center" wrapText="1" indent="1"/>
      <protection hidden="1"/>
    </xf>
    <xf numFmtId="167" fontId="17" fillId="38" borderId="26" xfId="60" applyNumberFormat="1" applyFont="1" applyFill="1" applyBorder="1" applyAlignment="1" applyProtection="1">
      <alignment horizontal="right" vertical="center" wrapText="1" indent="1"/>
      <protection hidden="1"/>
    </xf>
    <xf numFmtId="3" fontId="21" fillId="41" borderId="17" xfId="0" applyNumberFormat="1" applyFont="1" applyFill="1" applyBorder="1" applyAlignment="1" applyProtection="1">
      <alignment horizontal="right" vertical="center" wrapText="1" indent="1"/>
      <protection hidden="1"/>
    </xf>
    <xf numFmtId="3" fontId="21" fillId="41" borderId="17" xfId="28" applyNumberFormat="1" applyFont="1" applyFill="1" applyBorder="1" applyAlignment="1" applyProtection="1">
      <alignment horizontal="right" vertical="center" wrapText="1" indent="1"/>
      <protection hidden="1"/>
    </xf>
    <xf numFmtId="167" fontId="21" fillId="41" borderId="38" xfId="28" applyNumberFormat="1" applyFont="1" applyFill="1" applyBorder="1" applyAlignment="1" applyProtection="1">
      <alignment horizontal="right" vertical="center" wrapText="1" indent="1"/>
      <protection hidden="1"/>
    </xf>
    <xf numFmtId="3" fontId="13" fillId="38" borderId="3" xfId="28" applyNumberFormat="1" applyFont="1" applyFill="1" applyBorder="1" applyAlignment="1" applyProtection="1">
      <alignment horizontal="right" vertical="center" wrapText="1" indent="1"/>
      <protection hidden="1"/>
    </xf>
    <xf numFmtId="3" fontId="13" fillId="38" borderId="4" xfId="28" applyNumberFormat="1" applyFont="1" applyFill="1" applyBorder="1" applyAlignment="1" applyProtection="1">
      <alignment horizontal="right" vertical="center" wrapText="1" indent="1"/>
      <protection hidden="1"/>
    </xf>
    <xf numFmtId="167" fontId="13" fillId="38" borderId="9" xfId="60" applyNumberFormat="1" applyFont="1" applyFill="1" applyBorder="1" applyAlignment="1" applyProtection="1">
      <alignment horizontal="right" vertical="center" wrapText="1" indent="1"/>
      <protection hidden="1"/>
    </xf>
    <xf numFmtId="3" fontId="13" fillId="38" borderId="34" xfId="28" applyNumberFormat="1" applyFont="1" applyFill="1" applyBorder="1" applyAlignment="1" applyProtection="1">
      <alignment horizontal="right" vertical="center" wrapText="1" indent="1"/>
      <protection hidden="1"/>
    </xf>
    <xf numFmtId="3" fontId="13" fillId="38" borderId="35" xfId="28" applyNumberFormat="1" applyFont="1" applyFill="1" applyBorder="1" applyAlignment="1" applyProtection="1">
      <alignment horizontal="right" vertical="center" wrapText="1" indent="1"/>
      <protection hidden="1"/>
    </xf>
    <xf numFmtId="167" fontId="13" fillId="38" borderId="19" xfId="60" applyNumberFormat="1" applyFont="1" applyFill="1" applyBorder="1" applyAlignment="1" applyProtection="1">
      <alignment horizontal="right" vertical="center" wrapText="1" indent="1"/>
      <protection hidden="1"/>
    </xf>
    <xf numFmtId="3" fontId="13" fillId="38" borderId="31" xfId="28" applyNumberFormat="1" applyFont="1" applyFill="1" applyBorder="1" applyAlignment="1" applyProtection="1">
      <alignment horizontal="right" vertical="center" wrapText="1" indent="1"/>
      <protection hidden="1"/>
    </xf>
    <xf numFmtId="3" fontId="13" fillId="38" borderId="29" xfId="28" applyNumberFormat="1" applyFont="1" applyFill="1" applyBorder="1" applyAlignment="1" applyProtection="1">
      <alignment horizontal="right" vertical="center" wrapText="1" indent="1"/>
      <protection hidden="1"/>
    </xf>
    <xf numFmtId="167" fontId="13" fillId="38" borderId="30" xfId="60" applyNumberFormat="1" applyFont="1" applyFill="1" applyBorder="1" applyAlignment="1" applyProtection="1">
      <alignment horizontal="right" vertical="center" wrapText="1" indent="1"/>
      <protection hidden="1"/>
    </xf>
    <xf numFmtId="167" fontId="21" fillId="41" borderId="38" xfId="0" applyNumberFormat="1" applyFont="1" applyFill="1" applyBorder="1" applyAlignment="1" applyProtection="1">
      <alignment horizontal="right" vertical="center" wrapText="1" indent="1"/>
      <protection hidden="1"/>
    </xf>
    <xf numFmtId="3" fontId="21" fillId="41" borderId="38" xfId="0" applyNumberFormat="1" applyFont="1" applyFill="1" applyBorder="1" applyAlignment="1" applyProtection="1">
      <alignment horizontal="right" vertical="center" wrapText="1" indent="1"/>
      <protection hidden="1"/>
    </xf>
    <xf numFmtId="3" fontId="13" fillId="38" borderId="34" xfId="0" applyNumberFormat="1" applyFont="1" applyFill="1" applyBorder="1" applyAlignment="1" applyProtection="1">
      <alignment horizontal="right" vertical="center" wrapText="1" indent="1"/>
      <protection hidden="1"/>
    </xf>
    <xf numFmtId="165" fontId="13" fillId="38" borderId="33" xfId="0" applyNumberFormat="1" applyFont="1" applyFill="1" applyBorder="1" applyAlignment="1" applyProtection="1">
      <alignment horizontal="right" vertical="center" wrapText="1" indent="1"/>
      <protection hidden="1"/>
    </xf>
    <xf numFmtId="3" fontId="13" fillId="38" borderId="3" xfId="0" applyNumberFormat="1" applyFont="1" applyFill="1" applyBorder="1" applyAlignment="1" applyProtection="1">
      <alignment horizontal="right" vertical="center" wrapText="1" indent="1"/>
      <protection hidden="1"/>
    </xf>
    <xf numFmtId="165" fontId="13" fillId="38" borderId="26" xfId="0" applyNumberFormat="1" applyFont="1" applyFill="1" applyBorder="1" applyAlignment="1" applyProtection="1">
      <alignment horizontal="right" vertical="center" wrapText="1" indent="1"/>
      <protection hidden="1"/>
    </xf>
    <xf numFmtId="3" fontId="21" fillId="41" borderId="105" xfId="28" applyNumberFormat="1" applyFont="1" applyFill="1" applyBorder="1" applyAlignment="1" applyProtection="1">
      <alignment horizontal="right" vertical="center" wrapText="1" indent="1"/>
      <protection hidden="1"/>
    </xf>
    <xf numFmtId="3" fontId="21" fillId="41" borderId="104" xfId="28" applyNumberFormat="1" applyFont="1" applyFill="1" applyBorder="1" applyAlignment="1" applyProtection="1">
      <alignment horizontal="right" vertical="center" wrapText="1" indent="1"/>
      <protection hidden="1"/>
    </xf>
    <xf numFmtId="169" fontId="5" fillId="0" borderId="72" xfId="28" applyNumberFormat="1" applyFont="1" applyFill="1" applyBorder="1" applyAlignment="1" applyProtection="1">
      <alignment horizontal="right" vertical="center" wrapText="1" indent="1"/>
      <protection hidden="1"/>
    </xf>
    <xf numFmtId="166" fontId="5" fillId="0" borderId="80" xfId="28" applyNumberFormat="1" applyFont="1" applyFill="1" applyBorder="1" applyAlignment="1" applyProtection="1">
      <alignment horizontal="right" vertical="center" wrapText="1" indent="1"/>
      <protection hidden="1"/>
    </xf>
    <xf numFmtId="166" fontId="5" fillId="0" borderId="81" xfId="28" applyNumberFormat="1" applyFont="1" applyFill="1" applyBorder="1" applyAlignment="1" applyProtection="1">
      <alignment horizontal="right" vertical="center" wrapText="1" indent="1"/>
      <protection hidden="1"/>
    </xf>
    <xf numFmtId="169" fontId="4" fillId="0" borderId="92" xfId="28" applyNumberFormat="1" applyFont="1" applyFill="1" applyBorder="1" applyAlignment="1" applyProtection="1">
      <alignment horizontal="right" vertical="center" wrapText="1" indent="1"/>
      <protection hidden="1"/>
    </xf>
    <xf numFmtId="166" fontId="4" fillId="0" borderId="83" xfId="28" applyNumberFormat="1" applyFont="1" applyFill="1" applyBorder="1" applyAlignment="1" applyProtection="1">
      <alignment horizontal="right" vertical="center" wrapText="1" indent="1"/>
      <protection hidden="1"/>
    </xf>
    <xf numFmtId="166" fontId="4" fillId="0" borderId="84" xfId="28" applyNumberFormat="1" applyFont="1" applyFill="1" applyBorder="1" applyAlignment="1" applyProtection="1">
      <alignment horizontal="right" vertical="center" wrapText="1" indent="1"/>
      <protection hidden="1"/>
    </xf>
    <xf numFmtId="166" fontId="4" fillId="0" borderId="86" xfId="28" applyNumberFormat="1" applyFont="1" applyFill="1" applyBorder="1" applyAlignment="1" applyProtection="1">
      <alignment horizontal="right" vertical="center" wrapText="1" indent="1"/>
      <protection hidden="1"/>
    </xf>
    <xf numFmtId="166" fontId="4" fillId="0" borderId="87" xfId="28" applyNumberFormat="1" applyFont="1" applyFill="1" applyBorder="1" applyAlignment="1" applyProtection="1">
      <alignment horizontal="right" vertical="center" wrapText="1" indent="1"/>
      <protection hidden="1"/>
    </xf>
    <xf numFmtId="3" fontId="5" fillId="0" borderId="80" xfId="28" applyNumberFormat="1" applyFont="1" applyFill="1" applyBorder="1" applyAlignment="1" applyProtection="1">
      <alignment horizontal="right" vertical="center" wrapText="1" indent="1"/>
      <protection hidden="1"/>
    </xf>
    <xf numFmtId="3" fontId="4" fillId="0" borderId="83" xfId="28" applyNumberFormat="1" applyFont="1" applyFill="1" applyBorder="1" applyAlignment="1" applyProtection="1">
      <alignment horizontal="right" vertical="center" wrapText="1" indent="1"/>
      <protection hidden="1"/>
    </xf>
    <xf numFmtId="3" fontId="4" fillId="0" borderId="86" xfId="28" applyNumberFormat="1" applyFont="1" applyFill="1" applyBorder="1" applyAlignment="1" applyProtection="1">
      <alignment horizontal="right" vertical="center" wrapText="1" indent="1"/>
      <protection hidden="1"/>
    </xf>
    <xf numFmtId="171" fontId="4" fillId="0" borderId="92" xfId="28" applyNumberFormat="1" applyFont="1" applyFill="1" applyBorder="1" applyAlignment="1" applyProtection="1">
      <alignment horizontal="right" vertical="center" wrapText="1" indent="1"/>
      <protection hidden="1"/>
    </xf>
    <xf numFmtId="171" fontId="4" fillId="0" borderId="74" xfId="28" applyNumberFormat="1" applyFont="1" applyFill="1" applyBorder="1" applyAlignment="1" applyProtection="1">
      <alignment horizontal="right" vertical="center" wrapText="1" indent="1"/>
      <protection hidden="1"/>
    </xf>
    <xf numFmtId="171" fontId="4" fillId="0" borderId="76" xfId="2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37" fontId="4" fillId="0" borderId="3" xfId="28" applyNumberFormat="1" applyFont="1" applyFill="1" applyBorder="1" applyAlignment="1" applyProtection="1">
      <alignment horizontal="right" vertical="center" wrapText="1" indent="1"/>
      <protection hidden="1"/>
    </xf>
    <xf numFmtId="37" fontId="4" fillId="0" borderId="5" xfId="28" applyNumberFormat="1" applyFont="1" applyFill="1" applyBorder="1" applyAlignment="1" applyProtection="1">
      <alignment horizontal="right" vertical="center" wrapText="1" indent="1"/>
      <protection hidden="1"/>
    </xf>
    <xf numFmtId="37" fontId="8" fillId="0" borderId="2" xfId="28" applyNumberFormat="1" applyFont="1" applyFill="1" applyBorder="1" applyAlignment="1" applyProtection="1">
      <alignment horizontal="right" vertical="center" wrapText="1" indent="1"/>
      <protection hidden="1"/>
    </xf>
    <xf numFmtId="37" fontId="4" fillId="0" borderId="83" xfId="28" applyNumberFormat="1" applyFont="1" applyFill="1" applyBorder="1" applyAlignment="1" applyProtection="1">
      <alignment horizontal="right" vertical="center" wrapText="1" indent="1"/>
      <protection hidden="1"/>
    </xf>
    <xf numFmtId="37" fontId="4" fillId="0" borderId="84" xfId="28" applyNumberFormat="1" applyFont="1" applyFill="1" applyBorder="1" applyAlignment="1" applyProtection="1">
      <alignment horizontal="right" vertical="center" wrapText="1" indent="1"/>
      <protection hidden="1"/>
    </xf>
    <xf numFmtId="37" fontId="4" fillId="0" borderId="86" xfId="28" applyNumberFormat="1" applyFont="1" applyFill="1" applyBorder="1" applyAlignment="1" applyProtection="1">
      <alignment horizontal="right" vertical="center" wrapText="1" indent="1"/>
      <protection hidden="1"/>
    </xf>
    <xf numFmtId="37" fontId="4" fillId="0" borderId="87" xfId="28" applyNumberFormat="1" applyFont="1" applyFill="1" applyBorder="1" applyAlignment="1" applyProtection="1">
      <alignment horizontal="right" vertical="center" wrapText="1" indent="1"/>
      <protection hidden="1"/>
    </xf>
    <xf numFmtId="37" fontId="5" fillId="0" borderId="71" xfId="28" applyNumberFormat="1" applyFont="1" applyFill="1" applyBorder="1" applyAlignment="1" applyProtection="1">
      <alignment horizontal="right" vertical="center" wrapText="1" indent="1"/>
      <protection hidden="1"/>
    </xf>
    <xf numFmtId="37" fontId="4" fillId="0" borderId="73" xfId="28" applyNumberFormat="1" applyFont="1" applyFill="1" applyBorder="1" applyAlignment="1" applyProtection="1">
      <alignment horizontal="right" vertical="center" wrapText="1" indent="1"/>
      <protection hidden="1"/>
    </xf>
    <xf numFmtId="37" fontId="4" fillId="0" borderId="75" xfId="28" applyNumberFormat="1" applyFont="1" applyFill="1" applyBorder="1" applyAlignment="1" applyProtection="1">
      <alignment horizontal="right" vertical="center" wrapText="1" indent="1"/>
      <protection hidden="1"/>
    </xf>
    <xf numFmtId="167" fontId="8" fillId="0" borderId="82" xfId="58" applyNumberFormat="1" applyFont="1" applyFill="1" applyBorder="1" applyAlignment="1" applyProtection="1">
      <alignment horizontal="right" vertical="center" wrapText="1" indent="1"/>
      <protection hidden="1"/>
    </xf>
    <xf numFmtId="37" fontId="56" fillId="0" borderId="91" xfId="28" applyNumberFormat="1" applyFont="1" applyBorder="1" applyAlignment="1" applyProtection="1">
      <alignment horizontal="right" vertical="center" wrapText="1" indent="1"/>
      <protection hidden="1"/>
    </xf>
    <xf numFmtId="3" fontId="56" fillId="0" borderId="91" xfId="28" applyNumberFormat="1" applyFont="1" applyBorder="1" applyAlignment="1" applyProtection="1">
      <alignment horizontal="right" vertical="center" wrapText="1" indent="1"/>
      <protection hidden="1"/>
    </xf>
    <xf numFmtId="167" fontId="3" fillId="0" borderId="93" xfId="58" applyNumberFormat="1" applyFont="1" applyFill="1" applyBorder="1" applyAlignment="1" applyProtection="1">
      <alignment horizontal="right" vertical="center" wrapText="1" indent="1"/>
      <protection hidden="1"/>
    </xf>
    <xf numFmtId="37" fontId="56" fillId="0" borderId="89" xfId="28" applyNumberFormat="1" applyFont="1" applyBorder="1" applyAlignment="1" applyProtection="1">
      <alignment horizontal="right" vertical="center" wrapText="1" indent="1"/>
      <protection hidden="1"/>
    </xf>
    <xf numFmtId="167" fontId="3" fillId="0" borderId="85" xfId="58" applyNumberFormat="1" applyFont="1" applyFill="1" applyBorder="1" applyAlignment="1" applyProtection="1">
      <alignment horizontal="right" vertical="center" wrapText="1" indent="1"/>
      <protection hidden="1"/>
    </xf>
    <xf numFmtId="167" fontId="3" fillId="0" borderId="88" xfId="58" applyNumberFormat="1" applyFont="1" applyFill="1" applyBorder="1" applyAlignment="1" applyProtection="1">
      <alignment horizontal="right" vertical="center" wrapText="1" indent="1"/>
      <protection hidden="1"/>
    </xf>
    <xf numFmtId="166" fontId="56" fillId="0" borderId="91" xfId="28" applyNumberFormat="1" applyFont="1" applyBorder="1" applyAlignment="1" applyProtection="1">
      <alignment horizontal="right" vertical="center" wrapText="1" indent="1"/>
      <protection hidden="1"/>
    </xf>
    <xf numFmtId="37" fontId="3" fillId="0" borderId="73" xfId="28" applyNumberFormat="1" applyFont="1" applyBorder="1" applyAlignment="1" applyProtection="1">
      <alignment horizontal="right" vertical="center" wrapText="1" indent="1"/>
      <protection hidden="1"/>
    </xf>
    <xf numFmtId="171" fontId="3" fillId="0" borderId="74" xfId="28" applyNumberFormat="1" applyFont="1" applyBorder="1" applyAlignment="1" applyProtection="1">
      <alignment horizontal="right" vertical="center" wrapText="1" indent="1"/>
      <protection hidden="1"/>
    </xf>
    <xf numFmtId="3" fontId="3" fillId="0" borderId="83" xfId="28" applyNumberFormat="1" applyFont="1" applyBorder="1" applyAlignment="1" applyProtection="1">
      <alignment horizontal="right" vertical="center" wrapText="1" indent="1"/>
      <protection hidden="1"/>
    </xf>
    <xf numFmtId="166" fontId="3" fillId="0" borderId="84" xfId="28" applyNumberFormat="1" applyFont="1" applyBorder="1" applyAlignment="1" applyProtection="1">
      <alignment horizontal="right" vertical="center" wrapText="1" indent="1"/>
      <protection hidden="1"/>
    </xf>
    <xf numFmtId="167" fontId="3" fillId="0" borderId="85" xfId="58" applyNumberFormat="1" applyFont="1" applyBorder="1" applyAlignment="1" applyProtection="1">
      <alignment horizontal="right" vertical="center" wrapText="1" indent="1"/>
      <protection hidden="1"/>
    </xf>
    <xf numFmtId="166" fontId="3" fillId="0" borderId="83" xfId="28" applyNumberFormat="1" applyFont="1" applyBorder="1" applyAlignment="1" applyProtection="1">
      <alignment horizontal="right" vertical="center" wrapText="1" indent="1"/>
      <protection hidden="1"/>
    </xf>
    <xf numFmtId="37" fontId="3" fillId="0" borderId="83" xfId="28" applyNumberFormat="1" applyFont="1" applyBorder="1" applyAlignment="1" applyProtection="1">
      <alignment horizontal="right" vertical="center" wrapText="1" indent="1"/>
      <protection hidden="1"/>
    </xf>
    <xf numFmtId="37" fontId="3" fillId="0" borderId="84" xfId="28" applyNumberFormat="1" applyFont="1" applyBorder="1" applyAlignment="1" applyProtection="1">
      <alignment horizontal="right" vertical="center" wrapText="1" indent="1"/>
      <protection hidden="1"/>
    </xf>
    <xf numFmtId="37" fontId="3" fillId="0" borderId="3" xfId="28" applyNumberFormat="1" applyFont="1" applyBorder="1" applyAlignment="1" applyProtection="1">
      <alignment horizontal="right" vertical="center" wrapText="1" indent="1"/>
      <protection hidden="1"/>
    </xf>
    <xf numFmtId="37" fontId="3" fillId="0" borderId="75" xfId="28" applyNumberFormat="1" applyFont="1" applyBorder="1" applyAlignment="1" applyProtection="1">
      <alignment horizontal="right" vertical="center" wrapText="1" indent="1"/>
      <protection hidden="1"/>
    </xf>
    <xf numFmtId="171" fontId="3" fillId="0" borderId="76" xfId="28" applyNumberFormat="1" applyFont="1" applyBorder="1" applyAlignment="1" applyProtection="1">
      <alignment horizontal="right" vertical="center" wrapText="1" indent="1"/>
      <protection hidden="1"/>
    </xf>
    <xf numFmtId="3" fontId="3" fillId="0" borderId="86" xfId="28" applyNumberFormat="1" applyFont="1" applyBorder="1" applyAlignment="1" applyProtection="1">
      <alignment horizontal="right" vertical="center" wrapText="1" indent="1"/>
      <protection hidden="1"/>
    </xf>
    <xf numFmtId="166" fontId="3" fillId="0" borderId="87" xfId="28" applyNumberFormat="1" applyFont="1" applyBorder="1" applyAlignment="1" applyProtection="1">
      <alignment horizontal="right" vertical="center" wrapText="1" indent="1"/>
      <protection hidden="1"/>
    </xf>
    <xf numFmtId="167" fontId="3" fillId="0" borderId="88" xfId="58" applyNumberFormat="1" applyFont="1" applyBorder="1" applyAlignment="1" applyProtection="1">
      <alignment horizontal="right" vertical="center" wrapText="1" indent="1"/>
      <protection hidden="1"/>
    </xf>
    <xf numFmtId="166" fontId="3" fillId="0" borderId="86" xfId="28" applyNumberFormat="1" applyFont="1" applyBorder="1" applyAlignment="1" applyProtection="1">
      <alignment horizontal="right" vertical="center" wrapText="1" indent="1"/>
      <protection hidden="1"/>
    </xf>
    <xf numFmtId="37" fontId="3" fillId="0" borderId="86" xfId="28" applyNumberFormat="1" applyFont="1" applyBorder="1" applyAlignment="1" applyProtection="1">
      <alignment horizontal="right" vertical="center" wrapText="1" indent="1"/>
      <protection hidden="1"/>
    </xf>
    <xf numFmtId="37" fontId="3" fillId="0" borderId="87" xfId="28" applyNumberFormat="1" applyFont="1" applyBorder="1" applyAlignment="1" applyProtection="1">
      <alignment horizontal="right" vertical="center" wrapText="1" indent="1"/>
      <protection hidden="1"/>
    </xf>
    <xf numFmtId="37" fontId="3" fillId="0" borderId="5" xfId="28" applyNumberFormat="1" applyFont="1" applyBorder="1" applyAlignment="1" applyProtection="1">
      <alignment horizontal="right" vertical="center" wrapText="1" indent="1"/>
      <protection hidden="1"/>
    </xf>
    <xf numFmtId="166" fontId="59" fillId="0" borderId="91" xfId="28" applyNumberFormat="1" applyFont="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7" fontId="8" fillId="0" borderId="93" xfId="58" applyNumberFormat="1" applyFont="1" applyFill="1" applyBorder="1" applyAlignment="1" applyProtection="1">
      <alignment horizontal="right" vertical="center" wrapText="1" indent="1"/>
      <protection hidden="1"/>
    </xf>
    <xf numFmtId="166" fontId="59" fillId="0" borderId="89" xfId="28" applyNumberFormat="1" applyFont="1" applyBorder="1" applyAlignment="1" applyProtection="1">
      <alignment horizontal="right" vertical="center" wrapText="1" indent="1"/>
      <protection hidden="1"/>
    </xf>
    <xf numFmtId="166" fontId="3" fillId="0" borderId="73" xfId="28" applyNumberFormat="1" applyFont="1" applyBorder="1" applyAlignment="1" applyProtection="1">
      <alignment horizontal="right" vertical="center" wrapText="1" indent="1"/>
      <protection hidden="1"/>
    </xf>
    <xf numFmtId="169" fontId="3" fillId="0" borderId="73" xfId="28" applyNumberFormat="1" applyFont="1" applyBorder="1" applyAlignment="1" applyProtection="1">
      <alignment horizontal="right" vertical="center" wrapText="1" indent="1"/>
      <protection hidden="1"/>
    </xf>
    <xf numFmtId="166" fontId="3" fillId="0" borderId="3" xfId="28" applyNumberFormat="1" applyFont="1" applyBorder="1" applyAlignment="1" applyProtection="1">
      <alignment horizontal="right" vertical="center" wrapText="1" indent="1"/>
      <protection hidden="1"/>
    </xf>
    <xf numFmtId="166" fontId="56" fillId="0" borderId="89" xfId="28" applyNumberFormat="1" applyFont="1" applyBorder="1" applyAlignment="1" applyProtection="1">
      <alignment horizontal="right" vertical="center" wrapText="1" indent="1"/>
      <protection hidden="1"/>
    </xf>
    <xf numFmtId="4" fontId="55" fillId="39" borderId="0" xfId="0" applyNumberFormat="1" applyFont="1" applyFill="1" applyBorder="1" applyProtection="1">
      <protection locked="0" hidden="1"/>
    </xf>
    <xf numFmtId="4" fontId="64" fillId="39" borderId="9" xfId="0" applyNumberFormat="1" applyFont="1" applyFill="1" applyBorder="1" applyAlignment="1" applyProtection="1">
      <alignment horizontal="left" wrapText="1" indent="2"/>
      <protection hidden="1"/>
    </xf>
    <xf numFmtId="4" fontId="5" fillId="43" borderId="7" xfId="0" applyNumberFormat="1" applyFont="1" applyFill="1" applyBorder="1" applyAlignment="1" applyProtection="1">
      <alignment vertical="center" wrapText="1"/>
      <protection locked="0" hidden="1"/>
    </xf>
    <xf numFmtId="4" fontId="5" fillId="43" borderId="7" xfId="0" applyNumberFormat="1" applyFont="1" applyFill="1" applyBorder="1" applyAlignment="1" applyProtection="1">
      <alignment vertical="center" wrapText="1"/>
      <protection hidden="1"/>
    </xf>
    <xf numFmtId="4" fontId="4" fillId="38" borderId="22" xfId="0" applyNumberFormat="1" applyFont="1" applyFill="1" applyBorder="1" applyAlignment="1" applyProtection="1">
      <alignment vertical="center" wrapText="1"/>
      <protection hidden="1"/>
    </xf>
    <xf numFmtId="4" fontId="8" fillId="38" borderId="2" xfId="0" applyNumberFormat="1" applyFont="1" applyFill="1" applyBorder="1" applyAlignment="1" applyProtection="1">
      <alignment wrapText="1"/>
      <protection hidden="1"/>
    </xf>
    <xf numFmtId="167" fontId="3"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3" fillId="38" borderId="27" xfId="101" applyNumberFormat="1" applyFont="1" applyFill="1" applyBorder="1"/>
    <xf numFmtId="167" fontId="3" fillId="38" borderId="26" xfId="101" applyNumberFormat="1" applyFont="1" applyFill="1" applyBorder="1"/>
    <xf numFmtId="167" fontId="3" fillId="38" borderId="37" xfId="101" applyNumberFormat="1" applyFont="1" applyFill="1" applyBorder="1"/>
    <xf numFmtId="3" fontId="21" fillId="41" borderId="2" xfId="0" applyNumberFormat="1" applyFont="1" applyFill="1" applyBorder="1" applyAlignment="1">
      <alignment horizontal="center" vertical="center" wrapText="1"/>
    </xf>
    <xf numFmtId="10" fontId="21" fillId="41" borderId="23" xfId="0" applyNumberFormat="1" applyFont="1" applyFill="1" applyBorder="1" applyAlignment="1">
      <alignment horizontal="center" vertical="center" wrapText="1"/>
    </xf>
    <xf numFmtId="166" fontId="3" fillId="38" borderId="7" xfId="0" applyNumberFormat="1" applyFont="1" applyFill="1" applyBorder="1"/>
    <xf numFmtId="166" fontId="3" fillId="38" borderId="3" xfId="0" applyNumberFormat="1" applyFont="1" applyFill="1" applyBorder="1"/>
    <xf numFmtId="166" fontId="3" fillId="38" borderId="5" xfId="0" applyNumberFormat="1" applyFont="1" applyFill="1" applyBorder="1"/>
    <xf numFmtId="0" fontId="24" fillId="38" borderId="28" xfId="0" applyFont="1" applyFill="1" applyBorder="1" applyAlignment="1">
      <alignment horizontal="center" vertical="center"/>
    </xf>
    <xf numFmtId="0" fontId="24" fillId="38" borderId="17" xfId="0" applyFont="1" applyFill="1" applyBorder="1" applyAlignment="1">
      <alignment horizontal="center" vertical="center"/>
    </xf>
    <xf numFmtId="0" fontId="24" fillId="38" borderId="38" xfId="0" applyFont="1" applyFill="1" applyBorder="1" applyAlignment="1">
      <alignment horizontal="center" vertical="center"/>
    </xf>
    <xf numFmtId="0" fontId="31" fillId="0" borderId="8" xfId="0" applyFont="1" applyBorder="1" applyAlignment="1">
      <alignment horizontal="left" vertical="top" wrapText="1"/>
    </xf>
    <xf numFmtId="0" fontId="31" fillId="0" borderId="0" xfId="0" applyFont="1" applyBorder="1" applyAlignment="1">
      <alignment horizontal="left" vertical="top" wrapText="1"/>
    </xf>
    <xf numFmtId="0" fontId="31" fillId="0" borderId="9"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30" xfId="0" applyFont="1" applyBorder="1" applyAlignment="1">
      <alignment horizontal="left" vertical="top" wrapText="1"/>
    </xf>
    <xf numFmtId="0" fontId="6" fillId="38" borderId="28" xfId="0" applyFont="1" applyFill="1" applyBorder="1" applyAlignment="1">
      <alignment horizontal="center" vertical="center"/>
    </xf>
    <xf numFmtId="0" fontId="6" fillId="38" borderId="17" xfId="0" applyFont="1" applyFill="1" applyBorder="1" applyAlignment="1">
      <alignment horizontal="center" vertical="center"/>
    </xf>
    <xf numFmtId="0" fontId="6"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3" fillId="38" borderId="6" xfId="0" applyNumberFormat="1" applyFont="1" applyFill="1" applyBorder="1" applyAlignment="1" applyProtection="1">
      <alignment horizontal="left" vertical="center" wrapText="1"/>
      <protection hidden="1"/>
    </xf>
    <xf numFmtId="49" fontId="13" fillId="38" borderId="40" xfId="0" applyNumberFormat="1" applyFont="1" applyFill="1" applyBorder="1" applyAlignment="1" applyProtection="1">
      <alignment horizontal="left" vertical="center" wrapText="1"/>
      <protection hidden="1"/>
    </xf>
    <xf numFmtId="49" fontId="13" fillId="38" borderId="8" xfId="0" applyNumberFormat="1" applyFont="1" applyFill="1" applyBorder="1" applyAlignment="1" applyProtection="1">
      <alignment horizontal="left" vertical="center" wrapText="1"/>
      <protection hidden="1"/>
    </xf>
    <xf numFmtId="49" fontId="13" fillId="38" borderId="0" xfId="0" applyNumberFormat="1" applyFont="1" applyFill="1" applyBorder="1" applyAlignment="1" applyProtection="1">
      <alignment horizontal="left" vertical="center" wrapText="1"/>
      <protection hidden="1"/>
    </xf>
    <xf numFmtId="0" fontId="13" fillId="38" borderId="8" xfId="0" applyFont="1" applyFill="1" applyBorder="1" applyAlignment="1" applyProtection="1">
      <alignment horizontal="left" vertical="center" wrapText="1"/>
      <protection hidden="1"/>
    </xf>
    <xf numFmtId="0" fontId="13" fillId="38" borderId="0" xfId="0" applyFont="1" applyFill="1" applyBorder="1" applyAlignment="1" applyProtection="1">
      <alignment horizontal="left" vertical="center" wrapText="1"/>
      <protection hidden="1"/>
    </xf>
    <xf numFmtId="0" fontId="13" fillId="3" borderId="28" xfId="0" applyFont="1" applyFill="1" applyBorder="1" applyAlignment="1" applyProtection="1">
      <alignment horizontal="center" wrapText="1"/>
      <protection hidden="1"/>
    </xf>
    <xf numFmtId="0" fontId="13" fillId="3" borderId="17" xfId="0" applyFont="1" applyFill="1" applyBorder="1" applyAlignment="1" applyProtection="1">
      <alignment horizontal="center" wrapText="1"/>
      <protection hidden="1"/>
    </xf>
    <xf numFmtId="0" fontId="13" fillId="3" borderId="38" xfId="0" applyFont="1" applyFill="1" applyBorder="1" applyAlignment="1" applyProtection="1">
      <alignment horizontal="center" wrapText="1"/>
      <protection hidden="1"/>
    </xf>
    <xf numFmtId="0" fontId="13" fillId="38" borderId="15" xfId="0" applyFont="1" applyFill="1" applyBorder="1" applyAlignment="1" applyProtection="1">
      <alignment horizontal="left" vertical="center" wrapText="1"/>
      <protection hidden="1"/>
    </xf>
    <xf numFmtId="0" fontId="13" fillId="38" borderId="16" xfId="0" applyFont="1" applyFill="1" applyBorder="1" applyAlignment="1" applyProtection="1">
      <alignment horizontal="left" vertical="center" wrapText="1"/>
      <protection hidden="1"/>
    </xf>
    <xf numFmtId="0" fontId="21" fillId="41" borderId="101" xfId="0" applyFont="1" applyFill="1" applyBorder="1" applyAlignment="1" applyProtection="1">
      <alignment horizontal="left" vertical="center" wrapText="1"/>
      <protection hidden="1"/>
    </xf>
    <xf numFmtId="0" fontId="21" fillId="41" borderId="42" xfId="0" applyFont="1" applyFill="1" applyBorder="1" applyAlignment="1" applyProtection="1">
      <alignment horizontal="left" vertical="center" wrapText="1"/>
      <protection hidden="1"/>
    </xf>
    <xf numFmtId="0" fontId="21" fillId="41" borderId="1" xfId="0" applyFont="1" applyFill="1" applyBorder="1" applyAlignment="1" applyProtection="1">
      <alignment horizontal="left" vertical="center" wrapText="1"/>
      <protection hidden="1"/>
    </xf>
    <xf numFmtId="0" fontId="14" fillId="37" borderId="6" xfId="0" applyFont="1" applyFill="1" applyBorder="1" applyAlignment="1" applyProtection="1">
      <alignment horizontal="center" vertical="center" wrapText="1"/>
      <protection hidden="1"/>
    </xf>
    <xf numFmtId="0" fontId="14" fillId="37" borderId="40" xfId="0" applyFont="1" applyFill="1" applyBorder="1" applyAlignment="1" applyProtection="1">
      <alignment horizontal="center" vertical="center" wrapText="1"/>
      <protection hidden="1"/>
    </xf>
    <xf numFmtId="0" fontId="14" fillId="37" borderId="19"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center" vertical="center" wrapText="1"/>
      <protection hidden="1"/>
    </xf>
    <xf numFmtId="0" fontId="14" fillId="37" borderId="16" xfId="0" applyFont="1" applyFill="1" applyBorder="1" applyAlignment="1" applyProtection="1">
      <alignment horizontal="center" vertical="center" wrapText="1"/>
      <protection hidden="1"/>
    </xf>
    <xf numFmtId="0" fontId="14" fillId="37" borderId="30" xfId="0" applyFont="1" applyFill="1" applyBorder="1" applyAlignment="1" applyProtection="1">
      <alignment horizontal="center" vertical="center" wrapText="1"/>
      <protection hidden="1"/>
    </xf>
    <xf numFmtId="0" fontId="62" fillId="40" borderId="6" xfId="49" applyFont="1" applyFill="1" applyBorder="1" applyAlignment="1" applyProtection="1">
      <alignment horizontal="center" vertical="center" wrapText="1"/>
      <protection hidden="1"/>
    </xf>
    <xf numFmtId="0" fontId="62" fillId="40" borderId="40" xfId="49" applyFont="1" applyFill="1" applyBorder="1" applyAlignment="1" applyProtection="1">
      <alignment horizontal="center" vertical="center" wrapText="1"/>
      <protection hidden="1"/>
    </xf>
    <xf numFmtId="0" fontId="62" fillId="40" borderId="19" xfId="49" applyFont="1" applyFill="1" applyBorder="1" applyAlignment="1" applyProtection="1">
      <alignment horizontal="center" vertical="center" wrapText="1"/>
      <protection hidden="1"/>
    </xf>
    <xf numFmtId="0" fontId="62" fillId="40" borderId="15" xfId="49" applyFont="1" applyFill="1" applyBorder="1" applyAlignment="1" applyProtection="1">
      <alignment horizontal="center" vertical="center" wrapText="1"/>
      <protection hidden="1"/>
    </xf>
    <xf numFmtId="0" fontId="62" fillId="40" borderId="16" xfId="49" applyFont="1" applyFill="1" applyBorder="1" applyAlignment="1" applyProtection="1">
      <alignment horizontal="center" vertical="center" wrapText="1"/>
      <protection hidden="1"/>
    </xf>
    <xf numFmtId="0" fontId="62" fillId="40" borderId="30" xfId="49" applyFont="1" applyFill="1" applyBorder="1" applyAlignment="1" applyProtection="1">
      <alignment horizontal="center" vertical="center" wrapText="1"/>
      <protection hidden="1"/>
    </xf>
    <xf numFmtId="0" fontId="21" fillId="41" borderId="28" xfId="0" applyFont="1" applyFill="1" applyBorder="1" applyAlignment="1" applyProtection="1">
      <alignment horizontal="left" vertical="center" wrapText="1"/>
      <protection hidden="1"/>
    </xf>
    <xf numFmtId="0" fontId="21" fillId="41" borderId="17" xfId="0" applyFont="1" applyFill="1" applyBorder="1" applyAlignment="1" applyProtection="1">
      <alignment horizontal="left" vertical="center" wrapText="1"/>
      <protection hidden="1"/>
    </xf>
    <xf numFmtId="3" fontId="6" fillId="37" borderId="32" xfId="0" applyNumberFormat="1" applyFont="1" applyFill="1" applyBorder="1" applyAlignment="1" applyProtection="1">
      <alignment horizontal="right" vertical="center" wrapText="1" indent="1"/>
      <protection hidden="1"/>
    </xf>
    <xf numFmtId="3" fontId="6" fillId="37" borderId="41" xfId="0" applyNumberFormat="1" applyFont="1" applyFill="1" applyBorder="1" applyAlignment="1" applyProtection="1">
      <alignment horizontal="right" vertical="center" wrapText="1" indent="1"/>
      <protection hidden="1"/>
    </xf>
    <xf numFmtId="167" fontId="6" fillId="37" borderId="19" xfId="60" applyNumberFormat="1" applyFont="1" applyFill="1" applyBorder="1" applyAlignment="1" applyProtection="1">
      <alignment horizontal="right" vertical="center" wrapText="1" indent="1"/>
      <protection hidden="1"/>
    </xf>
    <xf numFmtId="167" fontId="6" fillId="37" borderId="9" xfId="60" applyNumberFormat="1" applyFont="1" applyFill="1" applyBorder="1" applyAlignment="1" applyProtection="1">
      <alignment horizontal="right" vertical="center" wrapText="1" indent="1"/>
      <protection hidden="1"/>
    </xf>
    <xf numFmtId="0" fontId="6" fillId="37" borderId="6" xfId="0" applyFont="1" applyFill="1" applyBorder="1" applyAlignment="1" applyProtection="1">
      <alignment horizontal="center" vertical="center" wrapText="1"/>
      <protection hidden="1"/>
    </xf>
    <xf numFmtId="0" fontId="6" fillId="37" borderId="40" xfId="0" applyFont="1" applyFill="1" applyBorder="1" applyAlignment="1" applyProtection="1">
      <alignment horizontal="center" vertical="center" wrapText="1"/>
      <protection hidden="1"/>
    </xf>
    <xf numFmtId="0" fontId="6" fillId="37" borderId="19" xfId="0" applyFont="1" applyFill="1" applyBorder="1" applyAlignment="1" applyProtection="1">
      <alignment horizontal="center" vertical="center" wrapText="1"/>
      <protection hidden="1"/>
    </xf>
    <xf numFmtId="0" fontId="6" fillId="37" borderId="8" xfId="0" applyFont="1" applyFill="1" applyBorder="1" applyAlignment="1" applyProtection="1">
      <alignment horizontal="center" vertical="center" wrapText="1"/>
      <protection hidden="1"/>
    </xf>
    <xf numFmtId="0" fontId="6" fillId="37" borderId="0" xfId="0" applyFont="1" applyFill="1" applyBorder="1" applyAlignment="1" applyProtection="1">
      <alignment horizontal="center" vertical="center" wrapText="1"/>
      <protection hidden="1"/>
    </xf>
    <xf numFmtId="0" fontId="13" fillId="37" borderId="15" xfId="0" applyFont="1" applyFill="1" applyBorder="1" applyAlignment="1" applyProtection="1">
      <alignment horizontal="left" vertical="center"/>
      <protection hidden="1"/>
    </xf>
    <xf numFmtId="0" fontId="13" fillId="37" borderId="16" xfId="0" applyFont="1" applyFill="1" applyBorder="1" applyAlignment="1" applyProtection="1">
      <alignment horizontal="left" vertical="center"/>
      <protection hidden="1"/>
    </xf>
    <xf numFmtId="0" fontId="13" fillId="37" borderId="30" xfId="0" applyFont="1" applyFill="1" applyBorder="1" applyAlignment="1" applyProtection="1">
      <alignment horizontal="left" vertical="center"/>
      <protection hidden="1"/>
    </xf>
    <xf numFmtId="0" fontId="16" fillId="2" borderId="107" xfId="0" applyFont="1" applyFill="1" applyBorder="1" applyAlignment="1" applyProtection="1">
      <alignment horizontal="center" vertical="center" wrapText="1"/>
      <protection hidden="1"/>
    </xf>
    <xf numFmtId="0" fontId="16" fillId="2" borderId="45" xfId="0" applyFont="1" applyFill="1" applyBorder="1" applyAlignment="1" applyProtection="1">
      <alignment horizontal="center" vertical="center" wrapText="1"/>
      <protection hidden="1"/>
    </xf>
    <xf numFmtId="0" fontId="7" fillId="0" borderId="2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7" fillId="0" borderId="48" xfId="0"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4" fontId="7" fillId="36" borderId="7" xfId="53" applyNumberFormat="1" applyFont="1" applyFill="1" applyBorder="1" applyAlignment="1" applyProtection="1">
      <alignment horizontal="center" vertical="center" wrapText="1"/>
      <protection hidden="1"/>
    </xf>
    <xf numFmtId="4" fontId="7" fillId="36" borderId="5" xfId="53" applyNumberFormat="1" applyFont="1" applyFill="1" applyBorder="1" applyAlignment="1" applyProtection="1">
      <alignment horizontal="center" vertical="center" wrapText="1"/>
      <protection hidden="1"/>
    </xf>
    <xf numFmtId="4" fontId="3" fillId="36" borderId="21" xfId="96" applyNumberFormat="1" applyFont="1" applyFill="1" applyBorder="1" applyAlignment="1" applyProtection="1">
      <alignment horizontal="center" vertical="center" wrapText="1"/>
      <protection hidden="1"/>
    </xf>
    <xf numFmtId="4" fontId="3" fillId="36" borderId="1" xfId="96" applyNumberFormat="1" applyFont="1" applyFill="1" applyBorder="1" applyAlignment="1" applyProtection="1">
      <alignment horizontal="center" vertical="center" wrapText="1"/>
      <protection hidden="1"/>
    </xf>
    <xf numFmtId="4" fontId="3" fillId="36" borderId="7" xfId="96" applyNumberFormat="1" applyFont="1" applyFill="1" applyBorder="1" applyAlignment="1" applyProtection="1">
      <alignment horizontal="center" vertical="center" wrapText="1"/>
      <protection hidden="1"/>
    </xf>
    <xf numFmtId="4" fontId="3" fillId="36" borderId="5" xfId="96" applyNumberFormat="1" applyFont="1" applyFill="1" applyBorder="1" applyAlignment="1" applyProtection="1">
      <alignment horizontal="center" vertical="center" wrapText="1"/>
      <protection hidden="1"/>
    </xf>
    <xf numFmtId="0" fontId="7" fillId="0" borderId="18"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22" fillId="37" borderId="6" xfId="0" applyFont="1" applyFill="1" applyBorder="1" applyAlignment="1" applyProtection="1">
      <alignment horizontal="center" wrapText="1"/>
      <protection hidden="1"/>
    </xf>
    <xf numFmtId="0" fontId="22" fillId="37" borderId="40" xfId="0" applyFont="1" applyFill="1" applyBorder="1" applyAlignment="1" applyProtection="1">
      <alignment horizontal="center" wrapText="1"/>
      <protection hidden="1"/>
    </xf>
    <xf numFmtId="0" fontId="22" fillId="37" borderId="19" xfId="0" applyFont="1" applyFill="1" applyBorder="1" applyAlignment="1" applyProtection="1">
      <alignment horizontal="center" wrapText="1"/>
      <protection hidden="1"/>
    </xf>
    <xf numFmtId="0" fontId="22" fillId="37" borderId="15" xfId="0" applyFont="1" applyFill="1" applyBorder="1" applyAlignment="1" applyProtection="1">
      <alignment horizontal="center" wrapText="1"/>
      <protection hidden="1"/>
    </xf>
    <xf numFmtId="0" fontId="22" fillId="37" borderId="16" xfId="0" applyFont="1" applyFill="1" applyBorder="1" applyAlignment="1" applyProtection="1">
      <alignment horizontal="center" wrapText="1"/>
      <protection hidden="1"/>
    </xf>
    <xf numFmtId="0" fontId="22" fillId="37" borderId="30" xfId="0" applyFont="1" applyFill="1" applyBorder="1" applyAlignment="1" applyProtection="1">
      <alignment horizontal="center" wrapText="1"/>
      <protection hidden="1"/>
    </xf>
    <xf numFmtId="0" fontId="28" fillId="0" borderId="28"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38" xfId="0" applyFont="1" applyBorder="1" applyAlignment="1" applyProtection="1">
      <alignment horizontal="left" vertical="center" wrapText="1"/>
      <protection hidden="1"/>
    </xf>
    <xf numFmtId="0" fontId="16" fillId="0" borderId="28" xfId="0" applyFont="1" applyBorder="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7"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7" fillId="0" borderId="45" xfId="0" applyFont="1" applyBorder="1" applyAlignment="1" applyProtection="1">
      <alignment horizontal="center" vertical="center" wrapText="1"/>
      <protection hidden="1"/>
    </xf>
    <xf numFmtId="0" fontId="3" fillId="0" borderId="100" xfId="0" applyFont="1" applyFill="1" applyBorder="1" applyAlignment="1" applyProtection="1">
      <alignment horizontal="center" vertical="center" wrapText="1"/>
      <protection hidden="1"/>
    </xf>
    <xf numFmtId="0" fontId="7" fillId="0" borderId="40" xfId="0" applyFont="1" applyFill="1" applyBorder="1" applyAlignment="1" applyProtection="1">
      <alignment horizontal="center" vertical="center" wrapText="1"/>
      <protection hidden="1"/>
    </xf>
    <xf numFmtId="0" fontId="7" fillId="0" borderId="19" xfId="0" applyFont="1" applyFill="1" applyBorder="1" applyAlignment="1" applyProtection="1">
      <alignment horizontal="center" vertical="center" wrapText="1"/>
      <protection hidden="1"/>
    </xf>
    <xf numFmtId="0" fontId="7" fillId="0" borderId="44" xfId="0" applyFont="1" applyFill="1" applyBorder="1" applyAlignment="1" applyProtection="1">
      <alignment horizontal="center" vertical="center" wrapText="1"/>
      <protection hidden="1"/>
    </xf>
    <xf numFmtId="0" fontId="7" fillId="0" borderId="45" xfId="0" applyFont="1" applyFill="1" applyBorder="1" applyAlignment="1" applyProtection="1">
      <alignment horizontal="center" vertical="center" wrapText="1"/>
      <protection hidden="1"/>
    </xf>
    <xf numFmtId="4" fontId="8" fillId="37" borderId="21" xfId="0" applyNumberFormat="1" applyFont="1" applyFill="1" applyBorder="1" applyAlignment="1" applyProtection="1">
      <alignment horizontal="center"/>
      <protection hidden="1"/>
    </xf>
    <xf numFmtId="4" fontId="8" fillId="37" borderId="42" xfId="0" applyNumberFormat="1" applyFont="1" applyFill="1" applyBorder="1" applyAlignment="1" applyProtection="1">
      <alignment horizontal="center"/>
      <protection hidden="1"/>
    </xf>
    <xf numFmtId="0" fontId="7"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49" fontId="7"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4" fontId="8" fillId="37" borderId="2" xfId="0" applyNumberFormat="1" applyFont="1" applyFill="1" applyBorder="1" applyAlignment="1" applyProtection="1">
      <alignment horizontal="center"/>
      <protection hidden="1"/>
    </xf>
    <xf numFmtId="0" fontId="7" fillId="0" borderId="106" xfId="0" applyFont="1" applyFill="1" applyBorder="1" applyAlignment="1" applyProtection="1">
      <alignment horizontal="center" vertical="center" wrapText="1"/>
      <protection hidden="1"/>
    </xf>
    <xf numFmtId="0" fontId="7" fillId="0" borderId="16" xfId="0" applyFont="1" applyFill="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0" fillId="37" borderId="2" xfId="0" applyFill="1" applyBorder="1" applyAlignment="1" applyProtection="1">
      <protection hidden="1"/>
    </xf>
    <xf numFmtId="4" fontId="8" fillId="37" borderId="1" xfId="0" applyNumberFormat="1" applyFont="1" applyFill="1" applyBorder="1" applyAlignment="1" applyProtection="1">
      <alignment horizontal="center"/>
      <protection hidden="1"/>
    </xf>
    <xf numFmtId="4" fontId="3" fillId="36" borderId="21" xfId="53" applyNumberFormat="1" applyFont="1" applyFill="1" applyBorder="1" applyAlignment="1" applyProtection="1">
      <alignment horizontal="center" vertical="center" wrapText="1"/>
      <protection hidden="1"/>
    </xf>
    <xf numFmtId="4" fontId="7" fillId="36" borderId="42" xfId="53" applyNumberFormat="1" applyFont="1" applyFill="1" applyBorder="1" applyAlignment="1" applyProtection="1">
      <alignment horizontal="center" vertical="center" wrapText="1"/>
      <protection hidden="1"/>
    </xf>
    <xf numFmtId="4" fontId="7" fillId="36" borderId="1" xfId="53" applyNumberFormat="1" applyFont="1" applyFill="1" applyBorder="1" applyAlignment="1" applyProtection="1">
      <alignment horizontal="center" vertical="center" wrapText="1"/>
      <protection hidden="1"/>
    </xf>
    <xf numFmtId="0" fontId="7" fillId="0" borderId="2" xfId="0" applyFont="1" applyFill="1" applyBorder="1" applyAlignment="1" applyProtection="1">
      <alignment horizontal="center" vertical="center" wrapText="1"/>
      <protection hidden="1"/>
    </xf>
    <xf numFmtId="0" fontId="7" fillId="0" borderId="23" xfId="0" applyFont="1" applyFill="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protection hidden="1"/>
    </xf>
    <xf numFmtId="0" fontId="7" fillId="0" borderId="47" xfId="0" applyFont="1" applyFill="1" applyBorder="1" applyAlignment="1" applyProtection="1">
      <alignment horizontal="center" vertical="center" wrapText="1"/>
      <protection hidden="1"/>
    </xf>
    <xf numFmtId="0" fontId="7" fillId="0" borderId="46" xfId="0" applyFont="1" applyFill="1" applyBorder="1" applyAlignment="1" applyProtection="1">
      <alignment horizontal="center" vertical="center" wrapText="1"/>
      <protection hidden="1"/>
    </xf>
    <xf numFmtId="0" fontId="13" fillId="38" borderId="4" xfId="0" applyFont="1" applyFill="1" applyBorder="1" applyAlignment="1" applyProtection="1">
      <alignment horizontal="left" vertical="center" wrapText="1"/>
      <protection hidden="1"/>
    </xf>
    <xf numFmtId="0" fontId="13" fillId="38" borderId="8" xfId="0" applyFont="1" applyFill="1" applyBorder="1" applyAlignment="1" applyProtection="1">
      <alignment vertical="center" wrapText="1"/>
      <protection hidden="1"/>
    </xf>
    <xf numFmtId="0" fontId="13" fillId="38" borderId="0" xfId="0" applyFont="1" applyFill="1" applyBorder="1" applyAlignment="1" applyProtection="1">
      <alignment vertical="center" wrapText="1"/>
      <protection hidden="1"/>
    </xf>
    <xf numFmtId="0" fontId="13" fillId="38" borderId="4" xfId="0" applyFont="1" applyFill="1" applyBorder="1" applyAlignment="1" applyProtection="1">
      <alignment vertical="center" wrapText="1"/>
      <protection hidden="1"/>
    </xf>
    <xf numFmtId="0" fontId="13" fillId="38" borderId="29" xfId="0" applyFont="1" applyFill="1" applyBorder="1" applyAlignment="1" applyProtection="1">
      <alignment horizontal="left" vertical="center" wrapText="1"/>
      <protection hidden="1"/>
    </xf>
    <xf numFmtId="0" fontId="21" fillId="41" borderId="28" xfId="0" applyFont="1" applyFill="1" applyBorder="1" applyAlignment="1" applyProtection="1">
      <alignment horizontal="center" vertical="center" wrapText="1"/>
      <protection hidden="1"/>
    </xf>
    <xf numFmtId="0" fontId="21" fillId="41" borderId="17" xfId="0" applyFont="1" applyFill="1" applyBorder="1" applyAlignment="1" applyProtection="1">
      <alignment horizontal="center" vertical="center" wrapText="1"/>
      <protection hidden="1"/>
    </xf>
    <xf numFmtId="0" fontId="13" fillId="38" borderId="6" xfId="0" applyFont="1" applyFill="1" applyBorder="1" applyAlignment="1" applyProtection="1">
      <alignment horizontal="left" vertical="center" wrapText="1"/>
      <protection hidden="1"/>
    </xf>
    <xf numFmtId="0" fontId="13" fillId="38" borderId="40" xfId="0" applyFont="1" applyFill="1" applyBorder="1" applyAlignment="1" applyProtection="1">
      <alignment horizontal="left" vertical="center" wrapText="1"/>
      <protection hidden="1"/>
    </xf>
    <xf numFmtId="0" fontId="13" fillId="38" borderId="35" xfId="0" applyFont="1" applyFill="1" applyBorder="1" applyAlignment="1" applyProtection="1">
      <alignment horizontal="left" vertical="center" wrapText="1"/>
      <protection hidden="1"/>
    </xf>
    <xf numFmtId="0" fontId="13" fillId="38" borderId="100" xfId="0" applyFont="1" applyFill="1" applyBorder="1" applyAlignment="1" applyProtection="1">
      <alignment horizontal="left" vertical="center" wrapText="1"/>
      <protection hidden="1"/>
    </xf>
    <xf numFmtId="0" fontId="16" fillId="0" borderId="6" xfId="0" applyFont="1" applyFill="1" applyBorder="1" applyAlignment="1" applyProtection="1">
      <alignment horizontal="center" vertical="center" wrapText="1"/>
      <protection hidden="1"/>
    </xf>
    <xf numFmtId="0" fontId="16" fillId="0" borderId="19" xfId="0" applyFont="1" applyFill="1" applyBorder="1" applyAlignment="1" applyProtection="1">
      <alignment horizontal="center" vertical="center" wrapText="1"/>
      <protection hidden="1"/>
    </xf>
    <xf numFmtId="0" fontId="58" fillId="39" borderId="63" xfId="0" applyFont="1" applyFill="1" applyBorder="1" applyAlignment="1" applyProtection="1">
      <alignment horizontal="center" vertical="center" wrapText="1"/>
      <protection hidden="1"/>
    </xf>
    <xf numFmtId="0" fontId="58" fillId="39" borderId="64" xfId="0" applyFont="1" applyFill="1" applyBorder="1" applyAlignment="1" applyProtection="1">
      <alignment horizontal="center" vertical="center" wrapText="1"/>
      <protection hidden="1"/>
    </xf>
    <xf numFmtId="0" fontId="58" fillId="39" borderId="65" xfId="0" applyFont="1" applyFill="1" applyBorder="1" applyAlignment="1" applyProtection="1">
      <alignment horizontal="center" vertical="center" wrapText="1"/>
      <protection hidden="1"/>
    </xf>
    <xf numFmtId="0" fontId="58" fillId="39" borderId="66" xfId="0" applyFont="1" applyFill="1" applyBorder="1" applyAlignment="1" applyProtection="1">
      <alignment horizontal="center" vertical="center" wrapText="1"/>
      <protection hidden="1"/>
    </xf>
    <xf numFmtId="0" fontId="58" fillId="39" borderId="67" xfId="0" applyFont="1" applyFill="1" applyBorder="1" applyAlignment="1" applyProtection="1">
      <alignment horizontal="center" vertical="center" wrapText="1"/>
      <protection hidden="1"/>
    </xf>
    <xf numFmtId="0" fontId="58" fillId="39" borderId="68" xfId="0" applyFont="1" applyFill="1" applyBorder="1" applyAlignment="1" applyProtection="1">
      <alignment horizontal="center" vertical="center" wrapText="1"/>
      <protection hidden="1"/>
    </xf>
    <xf numFmtId="0" fontId="12" fillId="37" borderId="28" xfId="0" applyFont="1" applyFill="1" applyBorder="1" applyAlignment="1" applyProtection="1">
      <alignment horizontal="center" wrapText="1"/>
      <protection hidden="1"/>
    </xf>
    <xf numFmtId="0" fontId="12" fillId="37" borderId="17" xfId="0" applyFont="1" applyFill="1" applyBorder="1" applyAlignment="1" applyProtection="1">
      <alignment horizontal="center" wrapText="1"/>
      <protection hidden="1"/>
    </xf>
    <xf numFmtId="0" fontId="12" fillId="37" borderId="38" xfId="0" applyFont="1" applyFill="1" applyBorder="1" applyAlignment="1" applyProtection="1">
      <alignment horizontal="center" wrapText="1"/>
      <protection hidden="1"/>
    </xf>
    <xf numFmtId="0" fontId="16" fillId="0" borderId="8"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168" fontId="25" fillId="0" borderId="28" xfId="0" applyNumberFormat="1" applyFont="1" applyBorder="1" applyAlignment="1" applyProtection="1">
      <alignment horizontal="center" vertical="center" wrapText="1"/>
      <protection hidden="1"/>
    </xf>
    <xf numFmtId="168" fontId="25" fillId="0" borderId="17" xfId="0" applyNumberFormat="1" applyFont="1" applyBorder="1" applyAlignment="1" applyProtection="1">
      <alignment horizontal="center" vertical="center" wrapText="1"/>
      <protection hidden="1"/>
    </xf>
    <xf numFmtId="168" fontId="25" fillId="0" borderId="38" xfId="0" applyNumberFormat="1" applyFont="1" applyBorder="1" applyAlignment="1" applyProtection="1">
      <alignment horizontal="center" vertical="center" wrapText="1"/>
      <protection hidden="1"/>
    </xf>
    <xf numFmtId="4" fontId="31" fillId="0" borderId="28" xfId="0" applyNumberFormat="1" applyFont="1" applyFill="1" applyBorder="1" applyAlignment="1" applyProtection="1">
      <alignment horizontal="center" vertical="center" wrapText="1"/>
      <protection hidden="1"/>
    </xf>
    <xf numFmtId="4" fontId="31" fillId="0" borderId="17" xfId="0" applyNumberFormat="1" applyFont="1" applyFill="1" applyBorder="1" applyAlignment="1" applyProtection="1">
      <alignment horizontal="center" vertical="center" wrapText="1"/>
      <protection hidden="1"/>
    </xf>
    <xf numFmtId="4" fontId="31" fillId="0" borderId="38" xfId="0" applyNumberFormat="1" applyFont="1" applyFill="1" applyBorder="1" applyAlignment="1" applyProtection="1">
      <alignment horizontal="center" vertical="center" wrapText="1"/>
      <protection hidden="1"/>
    </xf>
    <xf numFmtId="49" fontId="13" fillId="38" borderId="4" xfId="0" applyNumberFormat="1" applyFont="1" applyFill="1" applyBorder="1" applyAlignment="1" applyProtection="1">
      <alignment horizontal="left" vertical="center" wrapText="1"/>
      <protection hidden="1"/>
    </xf>
    <xf numFmtId="0" fontId="14" fillId="42" borderId="15" xfId="0" applyFont="1" applyFill="1" applyBorder="1" applyAlignment="1" applyProtection="1">
      <alignment horizontal="center" vertical="center" wrapText="1"/>
      <protection hidden="1"/>
    </xf>
    <xf numFmtId="0" fontId="14" fillId="42" borderId="16" xfId="0" applyFont="1" applyFill="1" applyBorder="1" applyAlignment="1" applyProtection="1">
      <alignment horizontal="center" vertical="center" wrapText="1"/>
      <protection hidden="1"/>
    </xf>
    <xf numFmtId="0" fontId="14" fillId="42" borderId="30" xfId="0" applyFont="1" applyFill="1" applyBorder="1" applyAlignment="1" applyProtection="1">
      <alignment horizontal="center" vertical="center" wrapText="1"/>
      <protection hidden="1"/>
    </xf>
    <xf numFmtId="0" fontId="14" fillId="42" borderId="28" xfId="0" applyFont="1" applyFill="1" applyBorder="1" applyAlignment="1" applyProtection="1">
      <alignment horizontal="center" vertical="center" wrapText="1"/>
      <protection hidden="1"/>
    </xf>
    <xf numFmtId="0" fontId="14" fillId="42" borderId="17" xfId="0" applyFont="1" applyFill="1" applyBorder="1" applyAlignment="1" applyProtection="1">
      <alignment horizontal="center" vertical="center" wrapText="1"/>
      <protection hidden="1"/>
    </xf>
    <xf numFmtId="0" fontId="14" fillId="42" borderId="38" xfId="0" applyFont="1" applyFill="1" applyBorder="1" applyAlignment="1" applyProtection="1">
      <alignment horizontal="center" vertical="center" wrapText="1"/>
      <protection hidden="1"/>
    </xf>
    <xf numFmtId="0" fontId="16" fillId="2" borderId="8"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0" fontId="16" fillId="2" borderId="15" xfId="0" applyFont="1" applyFill="1" applyBorder="1" applyAlignment="1" applyProtection="1">
      <alignment horizontal="center" vertical="center" wrapText="1"/>
      <protection hidden="1"/>
    </xf>
    <xf numFmtId="0" fontId="16" fillId="2" borderId="30" xfId="0" applyFont="1" applyFill="1" applyBorder="1" applyAlignment="1" applyProtection="1">
      <alignment horizontal="center" vertical="center" wrapText="1"/>
      <protection hidden="1"/>
    </xf>
    <xf numFmtId="0" fontId="13" fillId="38" borderId="99" xfId="0" applyFont="1" applyFill="1" applyBorder="1" applyAlignment="1" applyProtection="1">
      <alignment horizontal="left" vertical="center" wrapText="1"/>
      <protection hidden="1"/>
    </xf>
    <xf numFmtId="0" fontId="13" fillId="38" borderId="34" xfId="0" applyFont="1" applyFill="1" applyBorder="1" applyAlignment="1" applyProtection="1">
      <alignment horizontal="left" vertical="center" wrapText="1"/>
      <protection hidden="1"/>
    </xf>
    <xf numFmtId="0" fontId="21" fillId="41" borderId="25" xfId="0" applyFont="1" applyFill="1" applyBorder="1" applyAlignment="1" applyProtection="1">
      <alignment horizontal="center" vertical="center" wrapText="1"/>
      <protection hidden="1"/>
    </xf>
    <xf numFmtId="0" fontId="21" fillId="41" borderId="43" xfId="0" applyFont="1" applyFill="1" applyBorder="1" applyAlignment="1" applyProtection="1">
      <alignment horizontal="center" vertical="center" wrapText="1"/>
      <protection hidden="1"/>
    </xf>
    <xf numFmtId="0" fontId="21" fillId="41" borderId="103" xfId="0" applyFont="1" applyFill="1" applyBorder="1" applyAlignment="1" applyProtection="1">
      <alignment horizontal="center" vertical="center" wrapText="1"/>
      <protection hidden="1"/>
    </xf>
    <xf numFmtId="0" fontId="21" fillId="41" borderId="52" xfId="0" applyFont="1" applyFill="1" applyBorder="1" applyAlignment="1" applyProtection="1">
      <alignment horizontal="center" vertical="center" wrapText="1"/>
      <protection hidden="1"/>
    </xf>
    <xf numFmtId="0" fontId="57" fillId="39" borderId="0"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wrapText="1"/>
      <protection hidden="1"/>
    </xf>
    <xf numFmtId="37" fontId="21" fillId="41" borderId="28" xfId="28" applyNumberFormat="1" applyFont="1" applyFill="1" applyBorder="1" applyAlignment="1" applyProtection="1">
      <alignment horizontal="center" vertical="center" wrapText="1"/>
      <protection hidden="1"/>
    </xf>
    <xf numFmtId="37" fontId="21" fillId="41" borderId="17" xfId="28" applyNumberFormat="1" applyFont="1" applyFill="1" applyBorder="1" applyAlignment="1" applyProtection="1">
      <alignment horizontal="center" vertical="center" wrapText="1"/>
      <protection hidden="1"/>
    </xf>
    <xf numFmtId="37" fontId="21" fillId="41" borderId="38" xfId="28" applyNumberFormat="1" applyFont="1" applyFill="1" applyBorder="1" applyAlignment="1" applyProtection="1">
      <alignment horizontal="center" vertical="center" wrapText="1"/>
      <protection hidden="1"/>
    </xf>
    <xf numFmtId="0" fontId="13" fillId="38" borderId="24" xfId="0" applyFont="1" applyFill="1" applyBorder="1" applyAlignment="1" applyProtection="1">
      <alignment horizontal="left" vertical="center" wrapText="1"/>
      <protection hidden="1"/>
    </xf>
    <xf numFmtId="0" fontId="13" fillId="38" borderId="3" xfId="0" applyFont="1" applyFill="1" applyBorder="1" applyAlignment="1" applyProtection="1">
      <alignment horizontal="left" vertical="center" wrapText="1"/>
      <protection hidden="1"/>
    </xf>
    <xf numFmtId="0" fontId="13" fillId="38" borderId="18" xfId="0" applyFont="1" applyFill="1" applyBorder="1" applyAlignment="1" applyProtection="1">
      <alignment horizontal="left" vertical="center" wrapText="1"/>
      <protection hidden="1"/>
    </xf>
    <xf numFmtId="0" fontId="13" fillId="38" borderId="106" xfId="0" applyFont="1" applyFill="1" applyBorder="1" applyAlignment="1" applyProtection="1">
      <alignment horizontal="left" vertical="center" wrapText="1"/>
      <protection hidden="1"/>
    </xf>
    <xf numFmtId="0" fontId="12" fillId="37" borderId="21" xfId="0" applyFont="1" applyFill="1" applyBorder="1" applyAlignment="1" applyProtection="1">
      <alignment horizontal="center"/>
      <protection hidden="1"/>
    </xf>
    <xf numFmtId="0" fontId="12" fillId="37" borderId="42" xfId="0" applyFont="1" applyFill="1" applyBorder="1" applyAlignment="1" applyProtection="1">
      <alignment horizontal="center"/>
      <protection hidden="1"/>
    </xf>
    <xf numFmtId="0" fontId="12" fillId="37" borderId="1" xfId="0" applyFont="1" applyFill="1" applyBorder="1" applyAlignment="1" applyProtection="1">
      <alignment horizontal="center"/>
      <protection hidden="1"/>
    </xf>
    <xf numFmtId="0" fontId="8" fillId="40" borderId="21" xfId="53" applyFont="1" applyFill="1" applyBorder="1" applyAlignment="1" applyProtection="1">
      <alignment horizontal="center"/>
      <protection hidden="1"/>
    </xf>
    <xf numFmtId="0" fontId="8" fillId="40" borderId="1" xfId="53" applyFont="1" applyFill="1" applyBorder="1" applyAlignment="1" applyProtection="1">
      <alignment horizontal="center"/>
      <protection hidden="1"/>
    </xf>
    <xf numFmtId="0" fontId="8" fillId="40" borderId="21" xfId="0" applyFont="1" applyFill="1" applyBorder="1" applyAlignment="1" applyProtection="1">
      <alignment horizontal="center"/>
      <protection hidden="1"/>
    </xf>
    <xf numFmtId="0" fontId="8" fillId="40" borderId="42" xfId="0" applyFont="1" applyFill="1" applyBorder="1" applyAlignment="1" applyProtection="1">
      <alignment horizontal="center"/>
      <protection hidden="1"/>
    </xf>
    <xf numFmtId="0" fontId="8" fillId="40" borderId="1" xfId="0" applyFont="1" applyFill="1" applyBorder="1" applyAlignment="1" applyProtection="1">
      <alignment horizontal="center"/>
      <protection hidden="1"/>
    </xf>
    <xf numFmtId="0" fontId="8" fillId="40" borderId="2" xfId="53" applyFont="1" applyFill="1" applyBorder="1" applyAlignment="1" applyProtection="1">
      <alignment horizontal="center"/>
      <protection hidden="1"/>
    </xf>
    <xf numFmtId="0" fontId="3" fillId="0" borderId="10" xfId="0" applyFont="1" applyFill="1" applyBorder="1" applyAlignment="1" applyProtection="1">
      <alignment horizontal="center" vertical="center" wrapText="1"/>
      <protection hidden="1"/>
    </xf>
    <xf numFmtId="0" fontId="3" fillId="0" borderId="20" xfId="0" applyFont="1" applyFill="1" applyBorder="1" applyAlignment="1" applyProtection="1">
      <alignment horizontal="center" vertical="center" wrapText="1"/>
      <protection hidden="1"/>
    </xf>
    <xf numFmtId="4" fontId="3" fillId="38" borderId="53" xfId="0" applyNumberFormat="1" applyFont="1" applyFill="1" applyBorder="1" applyProtection="1">
      <protection hidden="1"/>
    </xf>
    <xf numFmtId="4" fontId="3" fillId="38" borderId="50" xfId="0" applyNumberFormat="1" applyFont="1" applyFill="1" applyBorder="1" applyProtection="1">
      <protection hidden="1"/>
    </xf>
    <xf numFmtId="4" fontId="3" fillId="38" borderId="51" xfId="0" applyNumberFormat="1" applyFont="1" applyFill="1" applyBorder="1" applyProtection="1">
      <protection hidden="1"/>
    </xf>
    <xf numFmtId="0" fontId="3" fillId="38" borderId="8" xfId="0" applyFont="1" applyFill="1" applyBorder="1" applyProtection="1">
      <protection hidden="1"/>
    </xf>
    <xf numFmtId="0" fontId="3" fillId="38" borderId="0" xfId="0" applyFont="1" applyFill="1" applyBorder="1" applyProtection="1">
      <protection hidden="1"/>
    </xf>
    <xf numFmtId="0" fontId="3" fillId="38" borderId="4" xfId="0" applyFont="1" applyFill="1" applyBorder="1" applyProtection="1">
      <protection hidden="1"/>
    </xf>
    <xf numFmtId="4" fontId="3" fillId="38" borderId="8" xfId="0" applyNumberFormat="1" applyFont="1" applyFill="1" applyBorder="1" applyProtection="1">
      <protection hidden="1"/>
    </xf>
    <xf numFmtId="4" fontId="3" fillId="38" borderId="0" xfId="0" applyNumberFormat="1" applyFont="1" applyFill="1" applyBorder="1" applyProtection="1">
      <protection hidden="1"/>
    </xf>
    <xf numFmtId="4" fontId="3" fillId="38" borderId="4" xfId="0" applyNumberFormat="1" applyFont="1" applyFill="1" applyBorder="1" applyProtection="1">
      <protection hidden="1"/>
    </xf>
    <xf numFmtId="4" fontId="3" fillId="38" borderId="25" xfId="0" applyNumberFormat="1" applyFont="1" applyFill="1" applyBorder="1" applyProtection="1">
      <protection hidden="1"/>
    </xf>
    <xf numFmtId="4" fontId="3" fillId="38" borderId="43" xfId="0" applyNumberFormat="1" applyFont="1" applyFill="1" applyBorder="1" applyProtection="1">
      <protection hidden="1"/>
    </xf>
    <xf numFmtId="4" fontId="3" fillId="38" borderId="36" xfId="0" applyNumberFormat="1" applyFont="1" applyFill="1" applyBorder="1" applyProtection="1">
      <protection hidden="1"/>
    </xf>
    <xf numFmtId="4" fontId="3" fillId="38" borderId="15" xfId="0" applyNumberFormat="1" applyFont="1" applyFill="1" applyBorder="1" applyProtection="1">
      <protection hidden="1"/>
    </xf>
    <xf numFmtId="4" fontId="3" fillId="38" borderId="16" xfId="0" applyNumberFormat="1" applyFont="1" applyFill="1" applyBorder="1" applyProtection="1">
      <protection hidden="1"/>
    </xf>
    <xf numFmtId="4" fontId="3" fillId="38" borderId="29" xfId="0" applyNumberFormat="1" applyFont="1" applyFill="1" applyBorder="1" applyProtection="1">
      <protection hidden="1"/>
    </xf>
  </cellXfs>
  <cellStyles count="123">
    <cellStyle name="20% - Accent1" xfId="1" builtinId="30" customBuiltin="1"/>
    <cellStyle name="20% - Accent1 2" xfId="70"/>
    <cellStyle name="20% - Accent1 3" xfId="107"/>
    <cellStyle name="20% - Accent2" xfId="2" builtinId="34" customBuiltin="1"/>
    <cellStyle name="20% - Accent2 2" xfId="71"/>
    <cellStyle name="20% - Accent2 3" xfId="108"/>
    <cellStyle name="20% - Accent3" xfId="3" builtinId="38" customBuiltin="1"/>
    <cellStyle name="20% - Accent3 2" xfId="72"/>
    <cellStyle name="20% - Accent3 3" xfId="109"/>
    <cellStyle name="20% - Accent4" xfId="4" builtinId="42" customBuiltin="1"/>
    <cellStyle name="20% - Accent4 2" xfId="73"/>
    <cellStyle name="20% - Accent4 3" xfId="110"/>
    <cellStyle name="20% - Accent5" xfId="5" builtinId="46" customBuiltin="1"/>
    <cellStyle name="20% - Accent5 2" xfId="74"/>
    <cellStyle name="20% - Accent5 3" xfId="111"/>
    <cellStyle name="20% - Accent6" xfId="6" builtinId="50" customBuiltin="1"/>
    <cellStyle name="20% - Accent6 2" xfId="75"/>
    <cellStyle name="20% - Accent6 3" xfId="112"/>
    <cellStyle name="40% - Accent1" xfId="7" builtinId="31" customBuiltin="1"/>
    <cellStyle name="40% - Accent1 2" xfId="76"/>
    <cellStyle name="40% - Accent1 3" xfId="113"/>
    <cellStyle name="40% - Accent2" xfId="8" builtinId="35" customBuiltin="1"/>
    <cellStyle name="40% - Accent2 2" xfId="77"/>
    <cellStyle name="40% - Accent2 3" xfId="114"/>
    <cellStyle name="40% - Accent3" xfId="9" builtinId="39" customBuiltin="1"/>
    <cellStyle name="40% - Accent3 2" xfId="78"/>
    <cellStyle name="40% - Accent3 3" xfId="115"/>
    <cellStyle name="40% - Accent4" xfId="10" builtinId="43" customBuiltin="1"/>
    <cellStyle name="40% - Accent4 2" xfId="79"/>
    <cellStyle name="40% - Accent4 3" xfId="116"/>
    <cellStyle name="40% - Accent5" xfId="11" builtinId="47" customBuiltin="1"/>
    <cellStyle name="40% - Accent5 2" xfId="80"/>
    <cellStyle name="40% - Accent5 3" xfId="117"/>
    <cellStyle name="40% - Accent6" xfId="12" builtinId="51" customBuiltin="1"/>
    <cellStyle name="40% - Accent6 2" xfId="81"/>
    <cellStyle name="40% - Accent6 3" xfId="118"/>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te 2" xfId="56"/>
    <cellStyle name="Note 2 2" xfId="99"/>
    <cellStyle name="Note 2 3" xfId="122"/>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8">
    <dxf>
      <numFmt numFmtId="27" formatCode="mm/d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19" formatCode="mm/dd/yyyy"/>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4"/>
      <queryTableField id="2" name="CNT" tableColumnId="5"/>
      <queryTableField id="3" name="CNT_BL" tableColumnId="6"/>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1"/>
      <queryTableField id="2" name="STATE_DISTRICT_SM" tableColumnId="12"/>
      <queryTableField id="3" name="STATE_SM" tableColumnId="13"/>
      <queryTableField id="4" name="STATE_INVENTORY" tableColumnId="14"/>
      <queryTableField id="5" name="STATE_BL_INVENTORY" tableColumnId="15"/>
      <queryTableField id="6" name="STATE_ADP" tableColumnId="16"/>
      <queryTableField id="7" name="STATE_PRODUCTION_FYTD" tableColumnId="17"/>
      <queryTableField id="8" name="STATE_PRODUCTION_MTD" tableColumnId="18"/>
      <queryTableField id="9" name="STATE_ADC_FYTD" tableColumnId="19"/>
      <queryTableField id="10" name="STATE_ADC_MTD" tableColumnId="20"/>
    </queryTableFields>
  </queryTableRefresh>
</queryTable>
</file>

<file path=xl/queryTables/queryTable14.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5.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6.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5"/>
      <queryTableField id="2" name="APPEALS_INVENTORY" tableColumnId="16"/>
      <queryTableField id="3" name="NOD_INVENTORY" tableColumnId="17"/>
      <queryTableField id="4" name="NOD_ADP" tableColumnId="18"/>
      <queryTableField id="5" name="SOC_INVENTORY" tableColumnId="19"/>
      <queryTableField id="6" name="SOC_ADP" tableColumnId="20"/>
      <queryTableField id="7" name="FORM9_INVENTORY" tableColumnId="21"/>
      <queryTableField id="8" name="FORM9_ADP" tableColumnId="22"/>
      <queryTableField id="9" name="RMND_AT_RO_INVENTORY" tableColumnId="23"/>
      <queryTableField id="10" name="RMND_AT_RO_ADP" tableColumnId="24"/>
      <queryTableField id="11" name="RMND_AT_AMC_INVENTORY" tableColumnId="25"/>
      <queryTableField id="12" name="RMND_AT_AMC_ADP" tableColumnId="26"/>
      <queryTableField id="13" name="RMND_TB_READY_INVENTORY" tableColumnId="27"/>
      <queryTableField id="14" name="RMND_TB_READY_ADP" tableColumnId="28"/>
    </queryTableFields>
  </queryTableRefresh>
</queryTable>
</file>

<file path=xl/queryTables/queryTable17.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4"/>
      <queryTableField id="2" name="INVENTORY" tableColumnId="5"/>
      <queryTableField id="3" name="ADP" tableColumnId="6"/>
    </queryTableFields>
  </queryTableRefresh>
</queryTable>
</file>

<file path=xl/queryTables/queryTable18.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6"/>
      <queryTableField id="2" name="DEF_DIST" tableColumnId="17"/>
      <queryTableField id="3" name="RELEASE_DATE" tableColumnId="18"/>
      <queryTableField id="4" name="RO" tableColumnId="19"/>
      <queryTableField id="5" name="COMP3_ISSUES_WGHTED_ACC" tableColumnId="20"/>
      <queryTableField id="6" name="COMP3_RTNG_CLM_WGHTED_ACC" tableColumnId="21"/>
      <queryTableField id="7" name="COMP12_RTNG_CLM_WGHTED_ACC" tableColumnId="22"/>
      <queryTableField id="8" name="COMP12_RTNG_CLAIMS_MOE" tableColumnId="23"/>
      <queryTableField id="9" name="COMP12_AUTH_CLM_WGHTED_ACC" tableColumnId="24"/>
      <queryTableField id="10" name="COMP12_AUTH_CLM_MOE" tableColumnId="25"/>
      <queryTableField id="11" name="PMC3_RTNG_CLM_WGHTED_ACC" tableColumnId="26"/>
      <queryTableField id="12" name="PMC12_RTNG_CLM_WGHTED_ACC" tableColumnId="27"/>
      <queryTableField id="13" name="PMC12_RTNG_CLM_MOE" tableColumnId="28"/>
      <queryTableField id="14" name="PMC12_AUTH_CLM_WGHTED_ACC" tableColumnId="29"/>
      <queryTableField id="15" name="PMC12_AUTH_CLM_MOE" tableColumnId="30"/>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9"/>
      <queryTableField id="2" name="GEOGRAPHY_DIM_SID" tableColumnId="20"/>
      <queryTableField id="3" name="ID_RO" tableColumnId="21"/>
      <queryTableField id="4" name="DEF_RO" tableColumnId="22"/>
      <queryTableField id="5" name="ID_SPM" tableColumnId="23"/>
      <queryTableField id="6" name="DEF_SPM" tableColumnId="24"/>
      <queryTableField id="7" name="ID_AREA" tableColumnId="25"/>
      <queryTableField id="8" name="DEF_AREA" tableColumnId="26"/>
      <queryTableField id="9" name="AREA_NBR" tableColumnId="27"/>
      <queryTableField id="10" name="ID_DIST" tableColumnId="28"/>
      <queryTableField id="11" name="DEF_DIST" tableColumnId="29"/>
      <queryTableField id="12" name="LCTN_ID" tableColumnId="30"/>
      <queryTableField id="13" name="ID_STATE" tableColumnId="31"/>
      <queryTableField id="14" name="DEF_STATE" tableColumnId="32"/>
      <queryTableField id="15" name="KEY_RO" tableColumnId="33"/>
      <queryTableField id="16" name="KEY_SPM" tableColumnId="34"/>
      <queryTableField id="17" name="KEY_HL" tableColumnId="35"/>
      <queryTableField id="18" name="TYP_SPM" tableColumnId="36"/>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6"/>
      <queryTableField id="2" name="STATE" tableColumnId="7"/>
      <queryTableField id="3" name="STATE_OTHER" tableColumnId="8"/>
      <queryTableField id="4" name="AREA" tableColumnId="9"/>
      <queryTableField id="5" name="STATE_DIST" tableColumnId="10"/>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4"/>
      <queryTableField id="2" name="NBRINV" tableColumnId="15"/>
      <queryTableField id="3" name="ADP" tableColumnId="16"/>
      <queryTableField id="4" name="ENTIT" tableColumnId="17"/>
      <queryTableField id="5" name="ENTIT125" tableColumnId="18"/>
      <queryTableField id="6" name="AWD" tableColumnId="19"/>
      <queryTableField id="7" name="AWD125" tableColumnId="20"/>
      <queryTableField id="8" name="PROGRVW" tableColumnId="21"/>
      <queryTableField id="9" name="PROGRVW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4"/>
      <queryTableField id="2" name="NBRINV" tableColumnId="15"/>
      <queryTableField id="3" name="ADP" tableColumnId="16"/>
      <queryTableField id="4" name="ENTIT" tableColumnId="17"/>
      <queryTableField id="5" name="ENT125" tableColumnId="18"/>
      <queryTableField id="6" name="AWD" tableColumnId="19"/>
      <queryTableField id="7" name="AWD125" tableColumnId="20"/>
      <queryTableField id="8" name="PROGRVW" tableColumnId="21"/>
      <queryTableField id="9" name="PROG125" tableColumnId="22"/>
      <queryTableField id="10" name="OTH" tableColumnId="23"/>
      <queryTableField id="11" name="OTH125" tableColumnId="24"/>
      <queryTableField id="12" name="BUR" tableColumnId="25"/>
      <queryTableField id="13" name="ACC" tableColumnId="26"/>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7"/>
      <queryTableField id="2" name="DIST_TYP" tableColumnId="18"/>
      <queryTableField id="3" name="SOO_INVENTORY" tableColumnId="19"/>
      <queryTableField id="4" name="SOO_BL_INVENTORY" tableColumnId="20"/>
      <queryTableField id="5" name="SOO_ADP" tableColumnId="21"/>
      <queryTableField id="6" name="SOO_PRODUCTION_FYTD" tableColumnId="22"/>
      <queryTableField id="7" name="SOO_PRODUCTION_MTD" tableColumnId="23"/>
      <queryTableField id="8" name="SOO_ADC_FYTD" tableColumnId="24"/>
      <queryTableField id="9" name="SOO_ADC_MTD" tableColumnId="25"/>
      <queryTableField id="10" name="SOJ_INVENTORY" tableColumnId="26"/>
      <queryTableField id="11" name="SOJ_BL_INVENTORY" tableColumnId="27"/>
      <queryTableField id="12" name="SOJ_ADP" tableColumnId="28"/>
      <queryTableField id="13" name="SOJ_PRODUCTION_FYTD" tableColumnId="29"/>
      <queryTableField id="14" name="SOJ_PRODUCTION_MTD" tableColumnId="30"/>
      <queryTableField id="15" name="SOJ_ADC_FYTD" tableColumnId="31"/>
      <queryTableField id="16" name="SOJ_ADC_MTD" tableColumnId="3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4" uniqueName="4" name="MMWR_TRAD_AGG_NATIONAL" queryTableFieldId="1"/>
    <tableColumn id="5" uniqueName="5" name="CNT" queryTableFieldId="2"/>
    <tableColumn id="6" uniqueName="6"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1" uniqueName="11" name="MMWR_RATING_STATE_ROLLUP_VS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1" uniqueName="11" name="MMWR_RATING_STATE_ROLLUP_PMC"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1" uniqueName="11" name="MMWR_RATING_STATE_ROLLUP_QST"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1" uniqueName="11" name="MMWR_RATING_STATE_ROLLUP_BDD" queryTableFieldId="1"/>
    <tableColumn id="12" uniqueName="12" name="STATE_DISTRICT_SM" queryTableFieldId="2"/>
    <tableColumn id="13" uniqueName="13" name="STATE_SM" queryTableFieldId="3"/>
    <tableColumn id="14" uniqueName="14" name="STATE_INVENTORY" queryTableFieldId="4"/>
    <tableColumn id="15" uniqueName="15" name="STATE_BL_INVENTORY" queryTableFieldId="5"/>
    <tableColumn id="16" uniqueName="16" name="STATE_ADP" queryTableFieldId="6"/>
    <tableColumn id="17" uniqueName="17" name="STATE_PRODUCTION_FYTD" queryTableFieldId="7"/>
    <tableColumn id="18" uniqueName="18" name="STATE_PRODUCTION_MTD" queryTableFieldId="8"/>
    <tableColumn id="19" uniqueName="19" name="STATE_ADC_FYTD" queryTableFieldId="9"/>
    <tableColumn id="20" uniqueName="2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11" name="MMWR_APP_STATE_COMP" displayName="MMWR_APP_STATE_COMP" ref="V2:AI63" tableType="queryTable" totalsRowShown="0">
  <autoFilter ref="V2:AI63"/>
  <tableColumns count="14">
    <tableColumn id="15" uniqueName="15" name="MMWR_APP_STATE_COMP"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5.xml><?xml version="1.0" encoding="utf-8"?>
<table xmlns="http://schemas.openxmlformats.org/spreadsheetml/2006/main" id="21" name="MMWR_APP_STATE_PEN" displayName="MMWR_APP_STATE_PEN" ref="AL2:AY63" tableType="queryTable" totalsRowShown="0">
  <autoFilter ref="AL2:AY63"/>
  <tableColumns count="14">
    <tableColumn id="15" uniqueName="15" name="MMWR_APP_STATE_PEN"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2" name="MMWR_APP_RO" displayName="MMWR_APP_RO" ref="F2:S72" tableType="queryTable" totalsRowShown="0">
  <autoFilter ref="F2:S72"/>
  <tableColumns count="14">
    <tableColumn id="15" uniqueName="15" name="MMWR_APP_RO" queryTableFieldId="1"/>
    <tableColumn id="16" uniqueName="16" name="APPEALS_INVENTORY" queryTableFieldId="2"/>
    <tableColumn id="17" uniqueName="17" name="NOD_INVENTORY" queryTableFieldId="3"/>
    <tableColumn id="18" uniqueName="18" name="NOD_ADP" queryTableFieldId="4"/>
    <tableColumn id="19" uniqueName="19" name="SOC_INVENTORY" queryTableFieldId="5"/>
    <tableColumn id="20" uniqueName="20" name="SOC_ADP" queryTableFieldId="6"/>
    <tableColumn id="21" uniqueName="21" name="FORM9_INVENTORY" queryTableFieldId="7"/>
    <tableColumn id="22" uniqueName="22" name="FORM9_ADP" queryTableFieldId="8"/>
    <tableColumn id="23" uniqueName="23" name="RMND_AT_RO_INVENTORY" queryTableFieldId="9"/>
    <tableColumn id="24" uniqueName="24" name="RMND_AT_RO_ADP" queryTableFieldId="10"/>
    <tableColumn id="25" uniqueName="25" name="RMND_AT_AMC_INVENTORY" queryTableFieldId="11"/>
    <tableColumn id="26" uniqueName="26" name="RMND_AT_AMC_ADP" queryTableFieldId="12"/>
    <tableColumn id="27" uniqueName="27" name="RMND_TB_READY_INVENTORY" queryTableFieldId="13"/>
    <tableColumn id="28" uniqueName="28"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3" name="MMWR_APP_NATIONAL" displayName="MMWR_APP_NATIONAL" ref="B2:D10" tableType="queryTable" totalsRowShown="0">
  <autoFilter ref="B2:D10"/>
  <tableColumns count="3">
    <tableColumn id="4" uniqueName="4" name="TITLE" queryTableFieldId="1"/>
    <tableColumn id="5" uniqueName="5" name="INVENTORY" queryTableFieldId="2"/>
    <tableColumn id="6" uniqueName="6" name="ADP" queryTableFieldId="3"/>
  </tableColumns>
  <tableStyleInfo name="TableStyleMedium2" showFirstColumn="0" showLastColumn="0" showRowStripes="1" showColumnStripes="0"/>
</table>
</file>

<file path=xl/tables/table18.xml><?xml version="1.0" encoding="utf-8"?>
<table xmlns="http://schemas.openxmlformats.org/spreadsheetml/2006/main" id="20" name="MMWR_ACCURACY_RO" displayName="MMWR_ACCURACY_RO" ref="B2:P74" tableType="queryTable" totalsRowShown="0">
  <autoFilter ref="B2:P74"/>
  <tableColumns count="15">
    <tableColumn id="16" uniqueName="16" name="MMWR_ACCURACY_RO" queryTableFieldId="1"/>
    <tableColumn id="17" uniqueName="17" name="DEF_DIST" queryTableFieldId="2"/>
    <tableColumn id="18" uniqueName="18" name="RELEASE_DATE" queryTableFieldId="3" dataDxfId="15"/>
    <tableColumn id="19" uniqueName="19" name="RO" queryTableFieldId="4"/>
    <tableColumn id="20" uniqueName="20" name="COMP3_ISSUES_WGHTED_ACC" queryTableFieldId="5" dataDxfId="14" dataCellStyle="Percent"/>
    <tableColumn id="21" uniqueName="21" name="COMP3_RTNG_CLM_WGHTED_ACC" queryTableFieldId="6" dataDxfId="13" dataCellStyle="Percent"/>
    <tableColumn id="22" uniqueName="22" name="COMP12_RTNG_CLM_WGHTED_ACC" queryTableFieldId="7" dataDxfId="12" dataCellStyle="Percent"/>
    <tableColumn id="23" uniqueName="23" name="COMP12_RTNG_CLAIMS_MOE" queryTableFieldId="8" dataDxfId="11" dataCellStyle="Percent"/>
    <tableColumn id="24" uniqueName="24" name="COMP12_AUTH_CLM_WGHTED_ACC" queryTableFieldId="9" dataDxfId="10" dataCellStyle="Percent"/>
    <tableColumn id="25" uniqueName="25" name="COMP12_AUTH_CLM_MOE" queryTableFieldId="10" dataDxfId="9" dataCellStyle="Percent"/>
    <tableColumn id="26" uniqueName="26" name="PMC3_RTNG_CLM_WGHTED_ACC" queryTableFieldId="11" dataDxfId="8" dataCellStyle="Percent"/>
    <tableColumn id="27" uniqueName="27" name="PMC12_RTNG_CLM_WGHTED_ACC" queryTableFieldId="12" dataDxfId="7" dataCellStyle="Percent"/>
    <tableColumn id="28" uniqueName="28" name="PMC12_RTNG_CLM_MOE" queryTableFieldId="13" dataDxfId="6" dataCellStyle="Percent"/>
    <tableColumn id="29" uniqueName="29" name="PMC12_AUTH_CLM_WGHTED_ACC" queryTableFieldId="14" dataDxfId="5" dataCellStyle="Percent"/>
    <tableColumn id="30" uniqueName="30" name="PMC12_AUTH_CLM_MOE" queryTableFieldId="15" dataDxfId="4" dataCellStyle="Percent"/>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9" uniqueName="19" name="ID_ORD" queryTableFieldId="1"/>
    <tableColumn id="20" uniqueName="20" name="GEOGRAPHY_DIM_SID" queryTableFieldId="2"/>
    <tableColumn id="21" uniqueName="21" name="ID_RO" queryTableFieldId="3"/>
    <tableColumn id="22" uniqueName="22" name="DEF_RO" queryTableFieldId="4"/>
    <tableColumn id="23" uniqueName="23" name="ID_SPM" queryTableFieldId="5"/>
    <tableColumn id="24" uniqueName="24" name="DEF_SPM" queryTableFieldId="6"/>
    <tableColumn id="25" uniqueName="25" name="ID_AREA" queryTableFieldId="7"/>
    <tableColumn id="26" uniqueName="26" name="DEF_AREA" queryTableFieldId="8"/>
    <tableColumn id="27" uniqueName="27" name="AREA_NBR" queryTableFieldId="9"/>
    <tableColumn id="28" uniqueName="28" name="ID_DIST" queryTableFieldId="10"/>
    <tableColumn id="29" uniqueName="29" name="DEF_DIST" queryTableFieldId="11"/>
    <tableColumn id="30" uniqueName="30" name="LCTN_ID" queryTableFieldId="12"/>
    <tableColumn id="31" uniqueName="31" name="ID_STATE" queryTableFieldId="13"/>
    <tableColumn id="32" uniqueName="32" name="DEF_STATE" queryTableFieldId="14"/>
    <tableColumn id="33" uniqueName="33" name="KEY_RO" queryTableFieldId="15"/>
    <tableColumn id="34" uniqueName="34" name="KEY_SPM" queryTableFieldId="16"/>
    <tableColumn id="35" uniqueName="35" name="KEY_HL" queryTableFieldId="17"/>
    <tableColumn id="36" uniqueName="36"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4" uniqueName="14" name="MMWR_TRAD_AGG_RO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6" uniqueName="6" name="ST" queryTableFieldId="1"/>
    <tableColumn id="7" uniqueName="7" name="STATE" queryTableFieldId="2"/>
    <tableColumn id="8" uniqueName="8" name="STATE_OTHER" queryTableFieldId="3"/>
    <tableColumn id="9" uniqueName="9" name="AREA" queryTableFieldId="4"/>
    <tableColumn id="10" uniqueName="10"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4" uniqueName="14" name="MMWR_TRAD_AGG_RO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4" uniqueName="14" name="MMWR_TRAD_AGG_STATE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4" uniqueName="14" name="MMWR_TRAD_AGG_STATE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4" uniqueName="14" name="MMWR_TRAD_AGG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4" uniqueName="14" name="MMWR_TRAD_AGG_ST_DISTRICT_COMP" queryTableFieldId="1"/>
    <tableColumn id="15" uniqueName="15" name="NBRINV" queryTableFieldId="2"/>
    <tableColumn id="16" uniqueName="16" name="ADP" queryTableFieldId="3"/>
    <tableColumn id="17" uniqueName="17" name="ENTIT" queryTableFieldId="4"/>
    <tableColumn id="18" uniqueName="18" name="ENTIT125" queryTableFieldId="5"/>
    <tableColumn id="19" uniqueName="19" name="AWD" queryTableFieldId="6"/>
    <tableColumn id="20" uniqueName="20" name="AWD125" queryTableFieldId="7"/>
    <tableColumn id="21" uniqueName="21" name="PROGRVW" queryTableFieldId="8"/>
    <tableColumn id="22" uniqueName="22" name="PROGRVW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4" uniqueName="14" name="MMWR_TRAD_AGG_ST_DISTRICT_PEN" queryTableFieldId="1"/>
    <tableColumn id="15" uniqueName="15" name="NBRINV" queryTableFieldId="2"/>
    <tableColumn id="16" uniqueName="16" name="ADP" queryTableFieldId="3"/>
    <tableColumn id="17" uniqueName="17" name="ENTIT" queryTableFieldId="4"/>
    <tableColumn id="18" uniqueName="18" name="ENT125" queryTableFieldId="5"/>
    <tableColumn id="19" uniqueName="19" name="AWD" queryTableFieldId="6"/>
    <tableColumn id="20" uniqueName="20" name="AWD125" queryTableFieldId="7"/>
    <tableColumn id="21" uniqueName="21" name="PROGRVW" queryTableFieldId="8"/>
    <tableColumn id="22" uniqueName="22" name="PROG125" queryTableFieldId="9"/>
    <tableColumn id="23" uniqueName="23" name="OTH" queryTableFieldId="10"/>
    <tableColumn id="24" uniqueName="24" name="OTH125" queryTableFieldId="11"/>
    <tableColumn id="25" uniqueName="25" name="BUR" queryTableFieldId="12"/>
    <tableColumn id="26" uniqueName="26"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autoFilter ref="BJ2:BY81"/>
  <tableColumns count="16">
    <tableColumn id="17" uniqueName="17" name="MMWR_RATING_RO_ROLLUP" queryTableFieldId="1"/>
    <tableColumn id="18" uniqueName="18" name="DIST_TYP" queryTableFieldId="2"/>
    <tableColumn id="19" uniqueName="19" name="SOO_INVENTORY" queryTableFieldId="3"/>
    <tableColumn id="20" uniqueName="20" name="SOO_BL_INVENTORY" queryTableFieldId="4"/>
    <tableColumn id="21" uniqueName="21" name="SOO_ADP" queryTableFieldId="5"/>
    <tableColumn id="22" uniqueName="22" name="SOO_PRODUCTION_FYTD" queryTableFieldId="6"/>
    <tableColumn id="23" uniqueName="23" name="SOO_PRODUCTION_MTD" queryTableFieldId="7"/>
    <tableColumn id="24" uniqueName="24" name="SOO_ADC_FYTD" queryTableFieldId="8"/>
    <tableColumn id="25" uniqueName="25" name="SOO_ADC_MTD" queryTableFieldId="9"/>
    <tableColumn id="26" uniqueName="26" name="SOJ_INVENTORY" queryTableFieldId="10"/>
    <tableColumn id="27" uniqueName="27" name="SOJ_BL_INVENTORY" queryTableFieldId="11"/>
    <tableColumn id="28" uniqueName="28" name="SOJ_ADP" queryTableFieldId="12"/>
    <tableColumn id="29" uniqueName="29" name="SOJ_PRODUCTION_FYTD" queryTableFieldId="13"/>
    <tableColumn id="30" uniqueName="30" name="SOJ_PRODUCTION_MTD" queryTableFieldId="14"/>
    <tableColumn id="31" uniqueName="31" name="SOJ_ADC_FYTD" queryTableFieldId="15"/>
    <tableColumn id="32" uniqueName="32"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0.bin"/><Relationship Id="rId5" Type="http://schemas.openxmlformats.org/officeDocument/2006/relationships/table" Target="../tables/table17.xml"/><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3" t="s">
        <v>312</v>
      </c>
      <c r="B1" s="274"/>
      <c r="C1" s="274"/>
      <c r="D1" s="274"/>
      <c r="E1" s="274"/>
      <c r="F1" s="274"/>
      <c r="G1" s="274"/>
      <c r="H1" s="274"/>
      <c r="I1" s="274"/>
      <c r="J1" s="274"/>
      <c r="K1" s="274"/>
      <c r="L1" s="274"/>
      <c r="M1" s="274"/>
      <c r="N1" s="274"/>
      <c r="O1" s="274"/>
      <c r="P1" s="275"/>
    </row>
    <row r="2" spans="1:16" ht="29.25" customHeight="1" x14ac:dyDescent="0.2">
      <c r="A2" s="267" t="s">
        <v>314</v>
      </c>
      <c r="B2" s="268"/>
      <c r="C2" s="268"/>
      <c r="D2" s="268"/>
      <c r="E2" s="268"/>
      <c r="F2" s="268"/>
      <c r="G2" s="268"/>
      <c r="H2" s="268"/>
      <c r="I2" s="268"/>
      <c r="J2" s="268"/>
      <c r="K2" s="268"/>
      <c r="L2" s="268"/>
      <c r="M2" s="268"/>
      <c r="N2" s="269"/>
      <c r="O2" s="276"/>
      <c r="P2" s="277"/>
    </row>
    <row r="3" spans="1:16" x14ac:dyDescent="0.2">
      <c r="A3" s="267"/>
      <c r="B3" s="268"/>
      <c r="C3" s="268"/>
      <c r="D3" s="268"/>
      <c r="E3" s="268"/>
      <c r="F3" s="268"/>
      <c r="G3" s="268"/>
      <c r="H3" s="268"/>
      <c r="I3" s="268"/>
      <c r="J3" s="268"/>
      <c r="K3" s="268"/>
      <c r="L3" s="268"/>
      <c r="M3" s="268"/>
      <c r="N3" s="269"/>
      <c r="O3" s="278"/>
      <c r="P3" s="279"/>
    </row>
    <row r="4" spans="1:16" x14ac:dyDescent="0.2">
      <c r="A4" s="267"/>
      <c r="B4" s="268"/>
      <c r="C4" s="268"/>
      <c r="D4" s="268"/>
      <c r="E4" s="268"/>
      <c r="F4" s="268"/>
      <c r="G4" s="268"/>
      <c r="H4" s="268"/>
      <c r="I4" s="268"/>
      <c r="J4" s="268"/>
      <c r="K4" s="268"/>
      <c r="L4" s="268"/>
      <c r="M4" s="268"/>
      <c r="N4" s="269"/>
      <c r="O4" s="278"/>
      <c r="P4" s="279"/>
    </row>
    <row r="5" spans="1:16" x14ac:dyDescent="0.2">
      <c r="A5" s="267"/>
      <c r="B5" s="268"/>
      <c r="C5" s="268"/>
      <c r="D5" s="268"/>
      <c r="E5" s="268"/>
      <c r="F5" s="268"/>
      <c r="G5" s="268"/>
      <c r="H5" s="268"/>
      <c r="I5" s="268"/>
      <c r="J5" s="268"/>
      <c r="K5" s="268"/>
      <c r="L5" s="268"/>
      <c r="M5" s="268"/>
      <c r="N5" s="269"/>
      <c r="O5" s="278"/>
      <c r="P5" s="279"/>
    </row>
    <row r="6" spans="1:16" x14ac:dyDescent="0.2">
      <c r="A6" s="267"/>
      <c r="B6" s="268"/>
      <c r="C6" s="268"/>
      <c r="D6" s="268"/>
      <c r="E6" s="268"/>
      <c r="F6" s="268"/>
      <c r="G6" s="268"/>
      <c r="H6" s="268"/>
      <c r="I6" s="268"/>
      <c r="J6" s="268"/>
      <c r="K6" s="268"/>
      <c r="L6" s="268"/>
      <c r="M6" s="268"/>
      <c r="N6" s="269"/>
      <c r="O6" s="278"/>
      <c r="P6" s="279"/>
    </row>
    <row r="7" spans="1:16" ht="18" customHeight="1" thickBot="1" x14ac:dyDescent="0.25">
      <c r="A7" s="270"/>
      <c r="B7" s="271"/>
      <c r="C7" s="271"/>
      <c r="D7" s="271"/>
      <c r="E7" s="271"/>
      <c r="F7" s="271"/>
      <c r="G7" s="271"/>
      <c r="H7" s="271"/>
      <c r="I7" s="271"/>
      <c r="J7" s="271"/>
      <c r="K7" s="271"/>
      <c r="L7" s="271"/>
      <c r="M7" s="271"/>
      <c r="N7" s="272"/>
      <c r="O7" s="280"/>
      <c r="P7" s="281"/>
    </row>
    <row r="8" spans="1:16" ht="18.75" thickBot="1" x14ac:dyDescent="0.25">
      <c r="A8" s="264" t="s">
        <v>310</v>
      </c>
      <c r="B8" s="265"/>
      <c r="C8" s="265"/>
      <c r="D8" s="265"/>
      <c r="E8" s="265"/>
      <c r="F8" s="265"/>
      <c r="G8" s="266"/>
      <c r="H8" s="264" t="s">
        <v>311</v>
      </c>
      <c r="I8" s="265"/>
      <c r="J8" s="265"/>
      <c r="K8" s="265"/>
      <c r="L8" s="265"/>
      <c r="M8" s="265"/>
      <c r="N8" s="265"/>
      <c r="O8" s="265"/>
      <c r="P8" s="266"/>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A3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25" zoomScaleNormal="25" workbookViewId="0"/>
  </sheetViews>
  <sheetFormatPr defaultRowHeight="12.75" x14ac:dyDescent="0.2"/>
  <cols>
    <col min="2" max="2" width="63.140625" customWidth="1"/>
    <col min="3" max="3" width="18.42578125" customWidth="1"/>
    <col min="4" max="4" width="15" customWidth="1"/>
    <col min="6" max="6" width="22.42578125" bestFit="1" customWidth="1"/>
    <col min="7" max="7" width="33.28515625" bestFit="1" customWidth="1"/>
    <col min="8" max="8" width="25.28515625" bestFit="1" customWidth="1"/>
    <col min="9" max="9" width="15" bestFit="1" customWidth="1"/>
    <col min="10" max="10" width="25.28515625" bestFit="1" customWidth="1"/>
    <col min="11" max="11" width="15" bestFit="1" customWidth="1"/>
    <col min="12" max="12" width="29.28515625" bestFit="1" customWidth="1"/>
    <col min="13" max="13" width="19" bestFit="1" customWidth="1"/>
    <col min="14" max="14" width="37.85546875" bestFit="1" customWidth="1"/>
    <col min="15" max="15" width="27.5703125" bestFit="1" customWidth="1"/>
    <col min="16" max="16" width="39.5703125" bestFit="1" customWidth="1"/>
    <col min="17" max="17" width="29.28515625" bestFit="1" customWidth="1"/>
    <col min="18" max="18" width="43.5703125" bestFit="1" customWidth="1"/>
    <col min="19" max="19" width="33.28515625" bestFit="1" customWidth="1"/>
    <col min="20" max="20" width="11.28515625" bestFit="1" customWidth="1"/>
    <col min="22" max="22" width="36.7109375" customWidth="1"/>
    <col min="23" max="23" width="33.28515625" customWidth="1"/>
    <col min="24" max="24" width="25.28515625" customWidth="1"/>
    <col min="25" max="25" width="15" customWidth="1"/>
    <col min="26" max="26" width="25.28515625" customWidth="1"/>
    <col min="27" max="27" width="15" customWidth="1"/>
    <col min="28" max="28" width="29.28515625" customWidth="1"/>
    <col min="29" max="29" width="19" customWidth="1"/>
    <col min="30" max="30" width="37.85546875" customWidth="1"/>
    <col min="31" max="31" width="27.5703125" customWidth="1"/>
    <col min="32" max="32" width="39.5703125" customWidth="1"/>
    <col min="33" max="33" width="29.28515625" customWidth="1"/>
    <col min="34" max="34" width="43.5703125" customWidth="1"/>
    <col min="35" max="35" width="33.28515625" customWidth="1"/>
    <col min="36" max="37" width="11.28515625" customWidth="1"/>
    <col min="38" max="38" width="35" customWidth="1"/>
    <col min="39" max="39" width="33.28515625" bestFit="1" customWidth="1"/>
    <col min="40" max="40" width="25.28515625" bestFit="1" customWidth="1"/>
    <col min="41" max="41" width="15" bestFit="1" customWidth="1"/>
    <col min="42" max="42" width="25.28515625" bestFit="1" customWidth="1"/>
    <col min="43" max="43" width="15" bestFit="1" customWidth="1"/>
    <col min="44" max="44" width="29.28515625" bestFit="1" customWidth="1"/>
    <col min="45" max="45" width="19" bestFit="1" customWidth="1"/>
    <col min="46" max="46" width="37.85546875" bestFit="1" customWidth="1"/>
    <col min="47" max="47" width="27.5703125" bestFit="1" customWidth="1"/>
    <col min="48" max="48" width="39.5703125" bestFit="1" customWidth="1"/>
    <col min="49" max="49" width="29.28515625" bestFit="1" customWidth="1"/>
    <col min="50" max="50" width="43.5703125" bestFit="1" customWidth="1"/>
    <col min="51" max="51" width="33.28515625" bestFit="1" customWidth="1"/>
  </cols>
  <sheetData>
    <row r="2" spans="2:51" x14ac:dyDescent="0.2">
      <c r="B2" t="s">
        <v>972</v>
      </c>
      <c r="C2" t="s">
        <v>973</v>
      </c>
      <c r="D2" t="s">
        <v>139</v>
      </c>
      <c r="F2" t="s">
        <v>967</v>
      </c>
      <c r="G2" t="s">
        <v>954</v>
      </c>
      <c r="H2" t="s">
        <v>955</v>
      </c>
      <c r="I2" t="s">
        <v>956</v>
      </c>
      <c r="J2" t="s">
        <v>957</v>
      </c>
      <c r="K2" t="s">
        <v>958</v>
      </c>
      <c r="L2" t="s">
        <v>959</v>
      </c>
      <c r="M2" t="s">
        <v>960</v>
      </c>
      <c r="N2" t="s">
        <v>961</v>
      </c>
      <c r="O2" t="s">
        <v>962</v>
      </c>
      <c r="P2" t="s">
        <v>963</v>
      </c>
      <c r="Q2" t="s">
        <v>964</v>
      </c>
      <c r="R2" t="s">
        <v>965</v>
      </c>
      <c r="S2" t="s">
        <v>966</v>
      </c>
      <c r="V2" t="s">
        <v>968</v>
      </c>
      <c r="W2" t="s">
        <v>954</v>
      </c>
      <c r="X2" t="s">
        <v>955</v>
      </c>
      <c r="Y2" t="s">
        <v>956</v>
      </c>
      <c r="Z2" t="s">
        <v>957</v>
      </c>
      <c r="AA2" t="s">
        <v>958</v>
      </c>
      <c r="AB2" t="s">
        <v>959</v>
      </c>
      <c r="AC2" t="s">
        <v>960</v>
      </c>
      <c r="AD2" t="s">
        <v>961</v>
      </c>
      <c r="AE2" t="s">
        <v>962</v>
      </c>
      <c r="AF2" t="s">
        <v>963</v>
      </c>
      <c r="AG2" t="s">
        <v>964</v>
      </c>
      <c r="AH2" t="s">
        <v>965</v>
      </c>
      <c r="AI2" t="s">
        <v>966</v>
      </c>
      <c r="AL2" t="s">
        <v>969</v>
      </c>
      <c r="AM2" t="s">
        <v>954</v>
      </c>
      <c r="AN2" t="s">
        <v>955</v>
      </c>
      <c r="AO2" t="s">
        <v>956</v>
      </c>
      <c r="AP2" t="s">
        <v>957</v>
      </c>
      <c r="AQ2" t="s">
        <v>958</v>
      </c>
      <c r="AR2" t="s">
        <v>959</v>
      </c>
      <c r="AS2" t="s">
        <v>960</v>
      </c>
      <c r="AT2" t="s">
        <v>961</v>
      </c>
      <c r="AU2" t="s">
        <v>962</v>
      </c>
      <c r="AV2" t="s">
        <v>963</v>
      </c>
      <c r="AW2" t="s">
        <v>964</v>
      </c>
      <c r="AX2" t="s">
        <v>965</v>
      </c>
      <c r="AY2" t="s">
        <v>966</v>
      </c>
    </row>
    <row r="3" spans="2:51" x14ac:dyDescent="0.2">
      <c r="B3" t="s">
        <v>975</v>
      </c>
      <c r="C3">
        <v>369716</v>
      </c>
      <c r="D3">
        <v>402.92623441670003</v>
      </c>
      <c r="F3" t="s">
        <v>8</v>
      </c>
      <c r="G3">
        <v>13099</v>
      </c>
      <c r="P3">
        <v>13099</v>
      </c>
      <c r="Q3">
        <v>179.37911290939999</v>
      </c>
      <c r="V3" t="s">
        <v>318</v>
      </c>
      <c r="W3">
        <v>361</v>
      </c>
      <c r="X3">
        <v>231</v>
      </c>
      <c r="Y3">
        <v>397.22077922080001</v>
      </c>
      <c r="Z3">
        <v>20</v>
      </c>
      <c r="AA3">
        <v>540.4</v>
      </c>
      <c r="AB3">
        <v>74</v>
      </c>
      <c r="AC3">
        <v>494.37837837839999</v>
      </c>
      <c r="AD3">
        <v>29</v>
      </c>
      <c r="AE3">
        <v>737.10344827589995</v>
      </c>
      <c r="AF3">
        <v>26</v>
      </c>
      <c r="AG3">
        <v>221.73076923080001</v>
      </c>
      <c r="AH3">
        <v>1</v>
      </c>
      <c r="AI3">
        <v>135</v>
      </c>
      <c r="AL3" t="s">
        <v>318</v>
      </c>
      <c r="AM3">
        <v>4</v>
      </c>
      <c r="AN3">
        <v>1</v>
      </c>
      <c r="AO3">
        <v>32</v>
      </c>
      <c r="AP3">
        <v>2</v>
      </c>
      <c r="AQ3">
        <v>405</v>
      </c>
      <c r="AR3">
        <v>2</v>
      </c>
      <c r="AS3">
        <v>86.5</v>
      </c>
      <c r="AT3">
        <v>1</v>
      </c>
      <c r="AU3">
        <v>68</v>
      </c>
    </row>
    <row r="4" spans="2:51" x14ac:dyDescent="0.2">
      <c r="B4" t="s">
        <v>974</v>
      </c>
      <c r="C4">
        <v>36738</v>
      </c>
      <c r="D4">
        <v>402.92623441670003</v>
      </c>
      <c r="F4" t="s">
        <v>8</v>
      </c>
      <c r="G4">
        <v>13099</v>
      </c>
      <c r="P4">
        <v>13099</v>
      </c>
      <c r="Q4">
        <v>179.37911290939999</v>
      </c>
      <c r="V4" t="s">
        <v>8</v>
      </c>
      <c r="W4">
        <v>4924</v>
      </c>
      <c r="X4">
        <v>3599</v>
      </c>
      <c r="Y4">
        <v>412.64267852180001</v>
      </c>
      <c r="Z4">
        <v>339</v>
      </c>
      <c r="AA4">
        <v>416.49262536869998</v>
      </c>
      <c r="AB4">
        <v>575</v>
      </c>
      <c r="AC4">
        <v>524.26956521739999</v>
      </c>
      <c r="AD4">
        <v>695</v>
      </c>
      <c r="AE4">
        <v>821.73381294959995</v>
      </c>
      <c r="AF4">
        <v>52</v>
      </c>
      <c r="AG4">
        <v>203.17307692310001</v>
      </c>
      <c r="AH4">
        <v>3</v>
      </c>
      <c r="AI4">
        <v>500</v>
      </c>
      <c r="AL4" t="s">
        <v>8</v>
      </c>
      <c r="AM4">
        <v>32</v>
      </c>
      <c r="AN4">
        <v>24</v>
      </c>
      <c r="AO4">
        <v>257.7916666667</v>
      </c>
      <c r="AP4">
        <v>14</v>
      </c>
      <c r="AQ4">
        <v>397</v>
      </c>
      <c r="AR4">
        <v>8</v>
      </c>
      <c r="AS4">
        <v>251.5</v>
      </c>
    </row>
    <row r="5" spans="2:51" x14ac:dyDescent="0.2">
      <c r="B5" t="s">
        <v>987</v>
      </c>
      <c r="C5">
        <v>19622</v>
      </c>
      <c r="D5">
        <v>557.61339313020005</v>
      </c>
      <c r="F5" t="s">
        <v>46</v>
      </c>
      <c r="G5">
        <v>458</v>
      </c>
      <c r="H5">
        <v>361</v>
      </c>
      <c r="I5">
        <v>220.28808864269999</v>
      </c>
      <c r="J5">
        <v>56</v>
      </c>
      <c r="K5">
        <v>471.96428571429999</v>
      </c>
      <c r="L5">
        <v>75</v>
      </c>
      <c r="M5">
        <v>122.92</v>
      </c>
      <c r="N5">
        <v>22</v>
      </c>
      <c r="O5">
        <v>234.95454545449999</v>
      </c>
      <c r="V5" t="s">
        <v>8</v>
      </c>
      <c r="W5">
        <v>5285</v>
      </c>
      <c r="X5">
        <v>3830</v>
      </c>
      <c r="Y5">
        <v>411.71253263710003</v>
      </c>
      <c r="Z5">
        <v>359</v>
      </c>
      <c r="AA5">
        <v>423.39554317549999</v>
      </c>
      <c r="AB5">
        <v>649</v>
      </c>
      <c r="AC5">
        <v>520.86132511560004</v>
      </c>
      <c r="AD5">
        <v>724</v>
      </c>
      <c r="AE5">
        <v>818.34392265190002</v>
      </c>
      <c r="AF5">
        <v>78</v>
      </c>
      <c r="AG5">
        <v>209.358974359</v>
      </c>
      <c r="AH5">
        <v>4</v>
      </c>
      <c r="AI5">
        <v>408.75</v>
      </c>
      <c r="AL5" t="s">
        <v>8</v>
      </c>
      <c r="AM5">
        <v>36</v>
      </c>
      <c r="AN5">
        <v>25</v>
      </c>
      <c r="AO5">
        <v>248.76</v>
      </c>
      <c r="AP5">
        <v>16</v>
      </c>
      <c r="AQ5">
        <v>398</v>
      </c>
      <c r="AR5">
        <v>10</v>
      </c>
      <c r="AS5">
        <v>218.5</v>
      </c>
      <c r="AT5">
        <v>1</v>
      </c>
      <c r="AU5">
        <v>68</v>
      </c>
    </row>
    <row r="6" spans="2:51" x14ac:dyDescent="0.2">
      <c r="B6" t="s">
        <v>249</v>
      </c>
      <c r="C6">
        <v>57659</v>
      </c>
      <c r="D6">
        <v>618.26306387550005</v>
      </c>
      <c r="F6" t="s">
        <v>40</v>
      </c>
      <c r="G6">
        <v>7358</v>
      </c>
      <c r="H6">
        <v>5274</v>
      </c>
      <c r="I6">
        <v>455.73833902159998</v>
      </c>
      <c r="J6">
        <v>264</v>
      </c>
      <c r="K6">
        <v>915.98863636359999</v>
      </c>
      <c r="L6">
        <v>1459</v>
      </c>
      <c r="M6">
        <v>566.8176833448</v>
      </c>
      <c r="N6">
        <v>616</v>
      </c>
      <c r="O6">
        <v>671.12824675319996</v>
      </c>
      <c r="R6">
        <v>9</v>
      </c>
      <c r="S6">
        <v>655.33333333329995</v>
      </c>
      <c r="V6" t="s">
        <v>409</v>
      </c>
      <c r="W6">
        <v>1261</v>
      </c>
      <c r="X6">
        <v>608</v>
      </c>
      <c r="Y6">
        <v>174.22039473679999</v>
      </c>
      <c r="Z6">
        <v>221</v>
      </c>
      <c r="AA6">
        <v>296.70135746609998</v>
      </c>
      <c r="AB6">
        <v>392</v>
      </c>
      <c r="AC6">
        <v>277.30102040819997</v>
      </c>
      <c r="AD6">
        <v>122</v>
      </c>
      <c r="AE6">
        <v>218.34426229510001</v>
      </c>
      <c r="AF6">
        <v>138</v>
      </c>
      <c r="AG6">
        <v>158.81884057970001</v>
      </c>
      <c r="AH6">
        <v>1</v>
      </c>
      <c r="AI6">
        <v>207</v>
      </c>
      <c r="AL6" t="s">
        <v>409</v>
      </c>
      <c r="AM6">
        <v>37</v>
      </c>
      <c r="AN6">
        <v>20</v>
      </c>
      <c r="AO6">
        <v>96.7</v>
      </c>
      <c r="AP6">
        <v>18</v>
      </c>
      <c r="AQ6">
        <v>269.8888888889</v>
      </c>
      <c r="AR6">
        <v>14</v>
      </c>
      <c r="AS6">
        <v>314.92857142859998</v>
      </c>
      <c r="AT6">
        <v>3</v>
      </c>
      <c r="AU6">
        <v>34</v>
      </c>
    </row>
    <row r="7" spans="2:51" x14ac:dyDescent="0.2">
      <c r="B7" t="s">
        <v>248</v>
      </c>
      <c r="C7">
        <v>213558</v>
      </c>
      <c r="D7">
        <v>398.54174978229997</v>
      </c>
      <c r="F7" t="s">
        <v>45</v>
      </c>
      <c r="G7">
        <v>6207</v>
      </c>
      <c r="H7">
        <v>4374</v>
      </c>
      <c r="I7">
        <v>379.54000914490001</v>
      </c>
      <c r="J7">
        <v>493</v>
      </c>
      <c r="K7">
        <v>443.13995943200001</v>
      </c>
      <c r="L7">
        <v>1282</v>
      </c>
      <c r="M7">
        <v>615.08268330730004</v>
      </c>
      <c r="N7">
        <v>549</v>
      </c>
      <c r="O7">
        <v>463.36247723129998</v>
      </c>
      <c r="R7">
        <v>2</v>
      </c>
      <c r="S7">
        <v>1434</v>
      </c>
      <c r="V7" t="s">
        <v>401</v>
      </c>
      <c r="W7">
        <v>13670</v>
      </c>
      <c r="X7">
        <v>9832</v>
      </c>
      <c r="Y7">
        <v>608.40724165990002</v>
      </c>
      <c r="Z7">
        <v>184</v>
      </c>
      <c r="AA7">
        <v>806.57608695650003</v>
      </c>
      <c r="AB7">
        <v>2743</v>
      </c>
      <c r="AC7">
        <v>1278.6780896828</v>
      </c>
      <c r="AD7">
        <v>841</v>
      </c>
      <c r="AE7">
        <v>807.09869203330004</v>
      </c>
      <c r="AF7">
        <v>244</v>
      </c>
      <c r="AG7">
        <v>243.01229508200001</v>
      </c>
      <c r="AH7">
        <v>10</v>
      </c>
      <c r="AI7">
        <v>540.20000000000005</v>
      </c>
      <c r="AL7" t="s">
        <v>401</v>
      </c>
      <c r="AM7">
        <v>228</v>
      </c>
      <c r="AN7">
        <v>206</v>
      </c>
      <c r="AO7">
        <v>348.92233009709997</v>
      </c>
      <c r="AP7">
        <v>34</v>
      </c>
      <c r="AQ7">
        <v>751.0588235294</v>
      </c>
      <c r="AR7">
        <v>19</v>
      </c>
      <c r="AS7">
        <v>86.368421052599999</v>
      </c>
      <c r="AT7">
        <v>2</v>
      </c>
      <c r="AU7">
        <v>71.5</v>
      </c>
      <c r="AV7">
        <v>1</v>
      </c>
      <c r="AW7">
        <v>23</v>
      </c>
    </row>
    <row r="8" spans="2:51" x14ac:dyDescent="0.2">
      <c r="B8" t="s">
        <v>250</v>
      </c>
      <c r="C8">
        <v>23250</v>
      </c>
      <c r="D8">
        <v>527.8040430108</v>
      </c>
      <c r="F8" t="s">
        <v>53</v>
      </c>
      <c r="G8">
        <v>1389</v>
      </c>
      <c r="H8">
        <v>440</v>
      </c>
      <c r="I8">
        <v>105.3613636364</v>
      </c>
      <c r="J8">
        <v>330</v>
      </c>
      <c r="K8">
        <v>223.63939393940001</v>
      </c>
      <c r="L8">
        <v>701</v>
      </c>
      <c r="M8">
        <v>260.77888730389998</v>
      </c>
      <c r="N8">
        <v>241</v>
      </c>
      <c r="O8">
        <v>222.62655601660001</v>
      </c>
      <c r="R8">
        <v>7</v>
      </c>
      <c r="S8">
        <v>170.28571428570001</v>
      </c>
      <c r="V8" t="s">
        <v>432</v>
      </c>
      <c r="W8">
        <v>1464</v>
      </c>
      <c r="X8">
        <v>990</v>
      </c>
      <c r="Y8">
        <v>251.48989898990001</v>
      </c>
      <c r="Z8">
        <v>202</v>
      </c>
      <c r="AA8">
        <v>436.12376237619998</v>
      </c>
      <c r="AB8">
        <v>150</v>
      </c>
      <c r="AC8">
        <v>303.51333333330001</v>
      </c>
      <c r="AD8">
        <v>192</v>
      </c>
      <c r="AE8">
        <v>371.203125</v>
      </c>
      <c r="AF8">
        <v>131</v>
      </c>
      <c r="AG8">
        <v>169.70992366409999</v>
      </c>
      <c r="AH8">
        <v>1</v>
      </c>
      <c r="AI8">
        <v>382</v>
      </c>
      <c r="AL8" t="s">
        <v>432</v>
      </c>
      <c r="AM8">
        <v>25</v>
      </c>
      <c r="AN8">
        <v>20</v>
      </c>
      <c r="AO8">
        <v>191.35</v>
      </c>
      <c r="AP8">
        <v>13</v>
      </c>
      <c r="AQ8">
        <v>225.07692307689999</v>
      </c>
      <c r="AR8">
        <v>4</v>
      </c>
      <c r="AS8">
        <v>397.25</v>
      </c>
      <c r="AT8">
        <v>1</v>
      </c>
      <c r="AU8">
        <v>51</v>
      </c>
    </row>
    <row r="9" spans="2:51" x14ac:dyDescent="0.2">
      <c r="B9" t="s">
        <v>251</v>
      </c>
      <c r="C9">
        <v>13099</v>
      </c>
      <c r="D9">
        <v>179.37911290939999</v>
      </c>
      <c r="F9" t="s">
        <v>84</v>
      </c>
      <c r="G9">
        <v>1353</v>
      </c>
      <c r="H9">
        <v>1006</v>
      </c>
      <c r="I9">
        <v>248.71073558649999</v>
      </c>
      <c r="J9">
        <v>217</v>
      </c>
      <c r="K9">
        <v>456.18894009220003</v>
      </c>
      <c r="L9">
        <v>141</v>
      </c>
      <c r="M9">
        <v>238.1276595745</v>
      </c>
      <c r="N9">
        <v>204</v>
      </c>
      <c r="O9">
        <v>353.10784313729999</v>
      </c>
      <c r="R9">
        <v>2</v>
      </c>
      <c r="S9">
        <v>407</v>
      </c>
      <c r="V9" t="s">
        <v>402</v>
      </c>
      <c r="W9">
        <v>7921</v>
      </c>
      <c r="X9">
        <v>5770</v>
      </c>
      <c r="Y9">
        <v>470.86603119580002</v>
      </c>
      <c r="Z9">
        <v>237</v>
      </c>
      <c r="AA9">
        <v>717.18987341770003</v>
      </c>
      <c r="AB9">
        <v>1559</v>
      </c>
      <c r="AC9">
        <v>867.05259781910001</v>
      </c>
      <c r="AD9">
        <v>407</v>
      </c>
      <c r="AE9">
        <v>622.47911547909996</v>
      </c>
      <c r="AF9">
        <v>185</v>
      </c>
      <c r="AG9">
        <v>171.4378378378</v>
      </c>
      <c r="AL9" t="s">
        <v>402</v>
      </c>
      <c r="AM9">
        <v>116</v>
      </c>
      <c r="AN9">
        <v>104</v>
      </c>
      <c r="AO9">
        <v>325.67307692309998</v>
      </c>
      <c r="AP9">
        <v>21</v>
      </c>
      <c r="AQ9">
        <v>579.47619047620003</v>
      </c>
      <c r="AR9">
        <v>11</v>
      </c>
      <c r="AS9">
        <v>384.72727272729998</v>
      </c>
      <c r="AT9">
        <v>1</v>
      </c>
      <c r="AU9">
        <v>30</v>
      </c>
    </row>
    <row r="10" spans="2:51" x14ac:dyDescent="0.2">
      <c r="B10" t="s">
        <v>970</v>
      </c>
      <c r="C10">
        <v>389</v>
      </c>
      <c r="D10">
        <v>466.7686375321</v>
      </c>
      <c r="F10" t="s">
        <v>79</v>
      </c>
      <c r="G10">
        <v>1751</v>
      </c>
      <c r="H10">
        <v>907</v>
      </c>
      <c r="I10">
        <v>115.8776185226</v>
      </c>
      <c r="J10">
        <v>405</v>
      </c>
      <c r="K10">
        <v>227.0395061728</v>
      </c>
      <c r="L10">
        <v>763</v>
      </c>
      <c r="M10">
        <v>302.21887287020002</v>
      </c>
      <c r="N10">
        <v>81</v>
      </c>
      <c r="O10">
        <v>110.7901234568</v>
      </c>
      <c r="V10" t="s">
        <v>404</v>
      </c>
      <c r="W10">
        <v>7565</v>
      </c>
      <c r="X10">
        <v>5194</v>
      </c>
      <c r="Y10">
        <v>451.73045822099999</v>
      </c>
      <c r="Z10">
        <v>269</v>
      </c>
      <c r="AA10">
        <v>901.40892193310003</v>
      </c>
      <c r="AB10">
        <v>1458</v>
      </c>
      <c r="AC10">
        <v>570.26680384090002</v>
      </c>
      <c r="AD10">
        <v>607</v>
      </c>
      <c r="AE10">
        <v>658.20757825370004</v>
      </c>
      <c r="AF10">
        <v>297</v>
      </c>
      <c r="AG10">
        <v>210.75420875419999</v>
      </c>
      <c r="AH10">
        <v>9</v>
      </c>
      <c r="AI10">
        <v>655.33333333329995</v>
      </c>
      <c r="AL10" t="s">
        <v>404</v>
      </c>
      <c r="AM10">
        <v>323</v>
      </c>
      <c r="AN10">
        <v>242</v>
      </c>
      <c r="AO10">
        <v>324.25206611570002</v>
      </c>
      <c r="AP10">
        <v>41</v>
      </c>
      <c r="AQ10">
        <v>645.29268292680001</v>
      </c>
      <c r="AR10">
        <v>74</v>
      </c>
      <c r="AS10">
        <v>450.33783783780001</v>
      </c>
      <c r="AT10">
        <v>5</v>
      </c>
      <c r="AU10">
        <v>73.8</v>
      </c>
      <c r="AV10">
        <v>2</v>
      </c>
      <c r="AW10">
        <v>213</v>
      </c>
    </row>
    <row r="11" spans="2:51" x14ac:dyDescent="0.2">
      <c r="F11" t="s">
        <v>41</v>
      </c>
      <c r="G11">
        <v>13558</v>
      </c>
      <c r="H11">
        <v>9940</v>
      </c>
      <c r="I11">
        <v>614.27625754530004</v>
      </c>
      <c r="J11">
        <v>170</v>
      </c>
      <c r="K11">
        <v>893.19411764710003</v>
      </c>
      <c r="L11">
        <v>2785</v>
      </c>
      <c r="M11">
        <v>1290.3590664272999</v>
      </c>
      <c r="N11">
        <v>823</v>
      </c>
      <c r="O11">
        <v>824.06925880920005</v>
      </c>
      <c r="R11">
        <v>10</v>
      </c>
      <c r="S11">
        <v>540.20000000000005</v>
      </c>
      <c r="V11" t="s">
        <v>405</v>
      </c>
      <c r="W11">
        <v>6479</v>
      </c>
      <c r="X11">
        <v>4275</v>
      </c>
      <c r="Y11">
        <v>384.8676023392</v>
      </c>
      <c r="Z11">
        <v>493</v>
      </c>
      <c r="AA11">
        <v>446.2819472617</v>
      </c>
      <c r="AB11">
        <v>1288</v>
      </c>
      <c r="AC11">
        <v>622.68711180119999</v>
      </c>
      <c r="AD11">
        <v>543</v>
      </c>
      <c r="AE11">
        <v>475.29097605890001</v>
      </c>
      <c r="AF11">
        <v>371</v>
      </c>
      <c r="AG11">
        <v>164.08625336930001</v>
      </c>
      <c r="AH11">
        <v>2</v>
      </c>
      <c r="AI11">
        <v>1434</v>
      </c>
      <c r="AL11" t="s">
        <v>405</v>
      </c>
      <c r="AM11">
        <v>234</v>
      </c>
      <c r="AN11">
        <v>211</v>
      </c>
      <c r="AO11">
        <v>287.84360189569998</v>
      </c>
      <c r="AP11">
        <v>16</v>
      </c>
      <c r="AQ11">
        <v>472.0625</v>
      </c>
      <c r="AR11">
        <v>19</v>
      </c>
      <c r="AS11">
        <v>421.7894736842</v>
      </c>
      <c r="AT11">
        <v>3</v>
      </c>
      <c r="AU11">
        <v>236.6666666667</v>
      </c>
      <c r="AV11">
        <v>1</v>
      </c>
      <c r="AW11">
        <v>68</v>
      </c>
    </row>
    <row r="12" spans="2:51" x14ac:dyDescent="0.2">
      <c r="F12" t="s">
        <v>59</v>
      </c>
      <c r="G12">
        <v>2911</v>
      </c>
      <c r="H12">
        <v>2357</v>
      </c>
      <c r="I12">
        <v>285.57021637679998</v>
      </c>
      <c r="J12">
        <v>199</v>
      </c>
      <c r="K12">
        <v>567.69849246230001</v>
      </c>
      <c r="L12">
        <v>498</v>
      </c>
      <c r="M12">
        <v>308.56827309239998</v>
      </c>
      <c r="N12">
        <v>56</v>
      </c>
      <c r="O12">
        <v>131.58928571429999</v>
      </c>
      <c r="V12" t="s">
        <v>407</v>
      </c>
      <c r="W12">
        <v>6815</v>
      </c>
      <c r="X12">
        <v>5389</v>
      </c>
      <c r="Y12">
        <v>284.20115049169999</v>
      </c>
      <c r="Z12">
        <v>388</v>
      </c>
      <c r="AA12">
        <v>525.25257731960005</v>
      </c>
      <c r="AB12">
        <v>495</v>
      </c>
      <c r="AC12">
        <v>241.11919191920001</v>
      </c>
      <c r="AD12">
        <v>501</v>
      </c>
      <c r="AE12">
        <v>350.23353293410003</v>
      </c>
      <c r="AF12">
        <v>421</v>
      </c>
      <c r="AG12">
        <v>162.83847981</v>
      </c>
      <c r="AH12">
        <v>9</v>
      </c>
      <c r="AI12">
        <v>347.2222222222</v>
      </c>
      <c r="AL12" t="s">
        <v>407</v>
      </c>
      <c r="AM12">
        <v>186</v>
      </c>
      <c r="AN12">
        <v>165</v>
      </c>
      <c r="AO12">
        <v>306.8545454545</v>
      </c>
      <c r="AP12">
        <v>17</v>
      </c>
      <c r="AQ12">
        <v>558.9411764706</v>
      </c>
      <c r="AR12">
        <v>20</v>
      </c>
      <c r="AS12">
        <v>306.75</v>
      </c>
      <c r="AT12">
        <v>1</v>
      </c>
      <c r="AU12">
        <v>73</v>
      </c>
    </row>
    <row r="13" spans="2:51" x14ac:dyDescent="0.2">
      <c r="F13" t="s">
        <v>78</v>
      </c>
      <c r="G13">
        <v>6254</v>
      </c>
      <c r="H13">
        <v>5294</v>
      </c>
      <c r="I13">
        <v>279.2538723083</v>
      </c>
      <c r="J13">
        <v>375</v>
      </c>
      <c r="K13">
        <v>526.41600000000005</v>
      </c>
      <c r="L13">
        <v>466</v>
      </c>
      <c r="M13">
        <v>202.46566523609999</v>
      </c>
      <c r="N13">
        <v>487</v>
      </c>
      <c r="O13">
        <v>350.05749486650001</v>
      </c>
      <c r="R13">
        <v>7</v>
      </c>
      <c r="S13">
        <v>412.57142857140002</v>
      </c>
      <c r="V13" t="s">
        <v>410</v>
      </c>
      <c r="W13">
        <v>1596</v>
      </c>
      <c r="X13">
        <v>453</v>
      </c>
      <c r="Y13">
        <v>125.6313465784</v>
      </c>
      <c r="Z13">
        <v>324</v>
      </c>
      <c r="AA13">
        <v>222.91975308639999</v>
      </c>
      <c r="AB13">
        <v>688</v>
      </c>
      <c r="AC13">
        <v>256.87936046509998</v>
      </c>
      <c r="AD13">
        <v>238</v>
      </c>
      <c r="AE13">
        <v>226.8823529412</v>
      </c>
      <c r="AF13">
        <v>210</v>
      </c>
      <c r="AG13">
        <v>177.90476190480001</v>
      </c>
      <c r="AH13">
        <v>7</v>
      </c>
      <c r="AI13">
        <v>209.42857142860001</v>
      </c>
      <c r="AL13" t="s">
        <v>410</v>
      </c>
      <c r="AM13">
        <v>35</v>
      </c>
      <c r="AN13">
        <v>25</v>
      </c>
      <c r="AO13">
        <v>100.56</v>
      </c>
      <c r="AP13">
        <v>10</v>
      </c>
      <c r="AQ13">
        <v>193.1</v>
      </c>
      <c r="AR13">
        <v>8</v>
      </c>
      <c r="AS13">
        <v>166.875</v>
      </c>
      <c r="AT13">
        <v>1</v>
      </c>
      <c r="AU13">
        <v>116</v>
      </c>
      <c r="AV13">
        <v>1</v>
      </c>
      <c r="AW13">
        <v>414</v>
      </c>
    </row>
    <row r="14" spans="2:51" x14ac:dyDescent="0.2">
      <c r="F14" t="s">
        <v>44</v>
      </c>
      <c r="G14">
        <v>1112</v>
      </c>
      <c r="H14">
        <v>600</v>
      </c>
      <c r="I14">
        <v>155.94999999999999</v>
      </c>
      <c r="J14">
        <v>218</v>
      </c>
      <c r="K14">
        <v>296.23853211009998</v>
      </c>
      <c r="L14">
        <v>387</v>
      </c>
      <c r="M14">
        <v>268.9198966408</v>
      </c>
      <c r="N14">
        <v>124</v>
      </c>
      <c r="O14">
        <v>224.45967741940001</v>
      </c>
      <c r="R14">
        <v>1</v>
      </c>
      <c r="S14">
        <v>207</v>
      </c>
      <c r="V14" t="s">
        <v>411</v>
      </c>
      <c r="W14">
        <v>2213</v>
      </c>
      <c r="X14">
        <v>1080</v>
      </c>
      <c r="Y14">
        <v>147.14814814810001</v>
      </c>
      <c r="Z14">
        <v>430</v>
      </c>
      <c r="AA14">
        <v>242.2186046512</v>
      </c>
      <c r="AB14">
        <v>808</v>
      </c>
      <c r="AC14">
        <v>319.7190594059</v>
      </c>
      <c r="AD14">
        <v>94</v>
      </c>
      <c r="AE14">
        <v>156.94680851059999</v>
      </c>
      <c r="AF14">
        <v>231</v>
      </c>
      <c r="AG14">
        <v>163.55411255409999</v>
      </c>
      <c r="AL14" t="s">
        <v>411</v>
      </c>
      <c r="AM14">
        <v>36</v>
      </c>
      <c r="AN14">
        <v>20</v>
      </c>
      <c r="AO14">
        <v>72.900000000000006</v>
      </c>
      <c r="AP14">
        <v>21</v>
      </c>
      <c r="AQ14">
        <v>198.5238095238</v>
      </c>
      <c r="AR14">
        <v>10</v>
      </c>
      <c r="AS14">
        <v>215.6</v>
      </c>
      <c r="AT14">
        <v>6</v>
      </c>
      <c r="AU14">
        <v>142</v>
      </c>
    </row>
    <row r="15" spans="2:51" x14ac:dyDescent="0.2">
      <c r="F15" t="s">
        <v>77</v>
      </c>
      <c r="G15">
        <v>231</v>
      </c>
      <c r="H15">
        <v>95</v>
      </c>
      <c r="I15">
        <v>104.2315789474</v>
      </c>
      <c r="J15">
        <v>86</v>
      </c>
      <c r="K15">
        <v>189.22093023260001</v>
      </c>
      <c r="L15">
        <v>82</v>
      </c>
      <c r="M15">
        <v>212.74390243900001</v>
      </c>
      <c r="N15">
        <v>51</v>
      </c>
      <c r="O15">
        <v>288.8235294118</v>
      </c>
      <c r="R15">
        <v>3</v>
      </c>
      <c r="S15">
        <v>305.6666666667</v>
      </c>
      <c r="V15" t="s">
        <v>406</v>
      </c>
      <c r="W15">
        <v>3071</v>
      </c>
      <c r="X15">
        <v>2376</v>
      </c>
      <c r="Y15">
        <v>294.90909090909997</v>
      </c>
      <c r="Z15">
        <v>196</v>
      </c>
      <c r="AA15">
        <v>561.83673469389998</v>
      </c>
      <c r="AB15">
        <v>494</v>
      </c>
      <c r="AC15">
        <v>313.3380566802</v>
      </c>
      <c r="AD15">
        <v>77</v>
      </c>
      <c r="AE15">
        <v>213.64935064939999</v>
      </c>
      <c r="AF15">
        <v>124</v>
      </c>
      <c r="AG15">
        <v>118.6532258065</v>
      </c>
      <c r="AL15" t="s">
        <v>406</v>
      </c>
      <c r="AM15">
        <v>63</v>
      </c>
      <c r="AN15">
        <v>50</v>
      </c>
      <c r="AO15">
        <v>228.36</v>
      </c>
      <c r="AP15">
        <v>12</v>
      </c>
      <c r="AQ15">
        <v>302.6666666667</v>
      </c>
      <c r="AR15">
        <v>9</v>
      </c>
      <c r="AS15">
        <v>249.55555555559999</v>
      </c>
      <c r="AT15">
        <v>3</v>
      </c>
      <c r="AU15">
        <v>88.333333333300004</v>
      </c>
      <c r="AV15">
        <v>1</v>
      </c>
      <c r="AW15">
        <v>16</v>
      </c>
    </row>
    <row r="16" spans="2:51" x14ac:dyDescent="0.2">
      <c r="F16" t="s">
        <v>51</v>
      </c>
      <c r="G16">
        <v>7988</v>
      </c>
      <c r="H16">
        <v>6001</v>
      </c>
      <c r="I16">
        <v>470.45359106820001</v>
      </c>
      <c r="J16">
        <v>238</v>
      </c>
      <c r="K16">
        <v>704.04201680669996</v>
      </c>
      <c r="L16">
        <v>1591</v>
      </c>
      <c r="M16">
        <v>871.40603394089999</v>
      </c>
      <c r="N16">
        <v>396</v>
      </c>
      <c r="O16">
        <v>630.7222222222</v>
      </c>
      <c r="V16" t="s">
        <v>429</v>
      </c>
      <c r="W16">
        <v>366</v>
      </c>
      <c r="X16">
        <v>262</v>
      </c>
      <c r="Y16">
        <v>234.12213740460001</v>
      </c>
      <c r="Z16">
        <v>35</v>
      </c>
      <c r="AA16">
        <v>480.0285714286</v>
      </c>
      <c r="AB16">
        <v>59</v>
      </c>
      <c r="AC16">
        <v>192.3050847458</v>
      </c>
      <c r="AD16">
        <v>13</v>
      </c>
      <c r="AE16">
        <v>252.4615384615</v>
      </c>
      <c r="AF16">
        <v>32</v>
      </c>
      <c r="AG16">
        <v>145.28125</v>
      </c>
      <c r="AL16" t="s">
        <v>429</v>
      </c>
      <c r="AM16">
        <v>5</v>
      </c>
      <c r="AN16">
        <v>4</v>
      </c>
      <c r="AO16">
        <v>211.5</v>
      </c>
      <c r="AP16">
        <v>2</v>
      </c>
      <c r="AQ16">
        <v>220.5</v>
      </c>
      <c r="AT16">
        <v>1</v>
      </c>
      <c r="AU16">
        <v>65</v>
      </c>
    </row>
    <row r="17" spans="6:49" x14ac:dyDescent="0.2">
      <c r="F17" t="s">
        <v>400</v>
      </c>
      <c r="G17">
        <v>50570</v>
      </c>
      <c r="H17">
        <v>36649</v>
      </c>
      <c r="I17">
        <v>429.17645774779999</v>
      </c>
      <c r="J17">
        <v>3051</v>
      </c>
      <c r="K17">
        <v>479.21992789249998</v>
      </c>
      <c r="L17">
        <v>10230</v>
      </c>
      <c r="M17">
        <v>725.44545454549996</v>
      </c>
      <c r="N17">
        <v>3650</v>
      </c>
      <c r="O17">
        <v>535.8947945205</v>
      </c>
      <c r="R17">
        <v>41</v>
      </c>
      <c r="S17">
        <v>492.34146341460001</v>
      </c>
      <c r="V17" t="s">
        <v>430</v>
      </c>
      <c r="W17">
        <v>206</v>
      </c>
      <c r="X17">
        <v>43</v>
      </c>
      <c r="Y17">
        <v>321.37209302330001</v>
      </c>
      <c r="Z17">
        <v>20</v>
      </c>
      <c r="AA17">
        <v>304.25</v>
      </c>
      <c r="AB17">
        <v>58</v>
      </c>
      <c r="AC17">
        <v>342.60344827590001</v>
      </c>
      <c r="AD17">
        <v>49</v>
      </c>
      <c r="AE17">
        <v>298.24489795919999</v>
      </c>
      <c r="AF17">
        <v>53</v>
      </c>
      <c r="AG17">
        <v>147.39622641509999</v>
      </c>
      <c r="AH17">
        <v>3</v>
      </c>
      <c r="AI17">
        <v>305.6666666667</v>
      </c>
      <c r="AL17" t="s">
        <v>430</v>
      </c>
      <c r="AM17">
        <v>11</v>
      </c>
      <c r="AN17">
        <v>7</v>
      </c>
      <c r="AO17">
        <v>92.571428571400006</v>
      </c>
      <c r="AP17">
        <v>6</v>
      </c>
      <c r="AQ17">
        <v>181.1666666667</v>
      </c>
      <c r="AR17">
        <v>3</v>
      </c>
      <c r="AS17">
        <v>148.3333333333</v>
      </c>
      <c r="AT17">
        <v>1</v>
      </c>
      <c r="AU17">
        <v>103</v>
      </c>
    </row>
    <row r="18" spans="6:49" x14ac:dyDescent="0.2">
      <c r="F18" t="s">
        <v>71</v>
      </c>
      <c r="G18">
        <v>2537</v>
      </c>
      <c r="H18">
        <v>2032</v>
      </c>
      <c r="I18">
        <v>258.33366141729999</v>
      </c>
      <c r="J18">
        <v>153</v>
      </c>
      <c r="K18">
        <v>681.3725490196</v>
      </c>
      <c r="L18">
        <v>291</v>
      </c>
      <c r="M18">
        <v>249.264604811</v>
      </c>
      <c r="N18">
        <v>209</v>
      </c>
      <c r="O18">
        <v>488.89473684209997</v>
      </c>
      <c r="R18">
        <v>5</v>
      </c>
      <c r="S18">
        <v>653.79999999999995</v>
      </c>
      <c r="V18" t="s">
        <v>400</v>
      </c>
      <c r="W18">
        <v>52627</v>
      </c>
      <c r="X18">
        <v>36272</v>
      </c>
      <c r="Y18">
        <v>429.2156208646</v>
      </c>
      <c r="Z18">
        <v>2999</v>
      </c>
      <c r="AA18">
        <v>482.73824608199999</v>
      </c>
      <c r="AB18">
        <v>10192</v>
      </c>
      <c r="AC18">
        <v>724.81102825749997</v>
      </c>
      <c r="AD18">
        <v>3684</v>
      </c>
      <c r="AE18">
        <v>533.71552660149996</v>
      </c>
      <c r="AF18">
        <v>2437</v>
      </c>
      <c r="AG18">
        <v>176.24128026259999</v>
      </c>
      <c r="AH18">
        <v>42</v>
      </c>
      <c r="AI18">
        <v>482.5</v>
      </c>
      <c r="AL18" t="s">
        <v>400</v>
      </c>
      <c r="AM18">
        <v>1299</v>
      </c>
      <c r="AN18">
        <v>1074</v>
      </c>
      <c r="AO18">
        <v>296.30167597769997</v>
      </c>
      <c r="AP18">
        <v>211</v>
      </c>
      <c r="AQ18">
        <v>475.17061611370002</v>
      </c>
      <c r="AR18">
        <v>191</v>
      </c>
      <c r="AS18">
        <v>343.0732984293</v>
      </c>
      <c r="AT18">
        <v>28</v>
      </c>
      <c r="AU18">
        <v>102.82142857140001</v>
      </c>
      <c r="AV18">
        <v>6</v>
      </c>
      <c r="AW18">
        <v>157.8333333333</v>
      </c>
    </row>
    <row r="19" spans="6:49" x14ac:dyDescent="0.2">
      <c r="F19" t="s">
        <v>37</v>
      </c>
      <c r="G19">
        <v>975</v>
      </c>
      <c r="H19">
        <v>560</v>
      </c>
      <c r="I19">
        <v>249.6071428571</v>
      </c>
      <c r="J19">
        <v>121</v>
      </c>
      <c r="K19">
        <v>381</v>
      </c>
      <c r="L19">
        <v>237</v>
      </c>
      <c r="M19">
        <v>233.84388185649999</v>
      </c>
      <c r="N19">
        <v>173</v>
      </c>
      <c r="O19">
        <v>501.6878612717</v>
      </c>
      <c r="R19">
        <v>5</v>
      </c>
      <c r="S19">
        <v>304.39999999999998</v>
      </c>
      <c r="V19" t="s">
        <v>418</v>
      </c>
      <c r="W19">
        <v>1060</v>
      </c>
      <c r="X19">
        <v>586</v>
      </c>
      <c r="Y19">
        <v>266.8088737201</v>
      </c>
      <c r="Z19">
        <v>125</v>
      </c>
      <c r="AA19">
        <v>388.89600000000002</v>
      </c>
      <c r="AB19">
        <v>231</v>
      </c>
      <c r="AC19">
        <v>267.44588744589998</v>
      </c>
      <c r="AD19">
        <v>161</v>
      </c>
      <c r="AE19">
        <v>506.67701863349998</v>
      </c>
      <c r="AF19">
        <v>79</v>
      </c>
      <c r="AG19">
        <v>195.1898734177</v>
      </c>
      <c r="AH19">
        <v>3</v>
      </c>
      <c r="AI19">
        <v>389</v>
      </c>
      <c r="AL19" t="s">
        <v>418</v>
      </c>
      <c r="AM19">
        <v>16</v>
      </c>
      <c r="AN19">
        <v>14</v>
      </c>
      <c r="AO19">
        <v>137.28571428570001</v>
      </c>
      <c r="AP19">
        <v>10</v>
      </c>
      <c r="AQ19">
        <v>262</v>
      </c>
      <c r="AR19">
        <v>2</v>
      </c>
      <c r="AS19">
        <v>261</v>
      </c>
    </row>
    <row r="20" spans="6:49" x14ac:dyDescent="0.2">
      <c r="F20" t="s">
        <v>58</v>
      </c>
      <c r="G20">
        <v>1049</v>
      </c>
      <c r="H20">
        <v>437</v>
      </c>
      <c r="I20">
        <v>177.01372997710001</v>
      </c>
      <c r="J20">
        <v>144</v>
      </c>
      <c r="K20">
        <v>325.6111111111</v>
      </c>
      <c r="L20">
        <v>259</v>
      </c>
      <c r="M20">
        <v>312.3359073359</v>
      </c>
      <c r="N20">
        <v>350</v>
      </c>
      <c r="O20">
        <v>529.45142857140002</v>
      </c>
      <c r="R20">
        <v>3</v>
      </c>
      <c r="S20">
        <v>500</v>
      </c>
      <c r="V20" t="s">
        <v>434</v>
      </c>
      <c r="W20">
        <v>339</v>
      </c>
      <c r="X20">
        <v>205</v>
      </c>
      <c r="Y20">
        <v>195.23414634150001</v>
      </c>
      <c r="Z20">
        <v>62</v>
      </c>
      <c r="AA20">
        <v>343.32258064519999</v>
      </c>
      <c r="AB20">
        <v>45</v>
      </c>
      <c r="AC20">
        <v>438.71111111110002</v>
      </c>
      <c r="AD20">
        <v>47</v>
      </c>
      <c r="AE20">
        <v>550.27659574469999</v>
      </c>
      <c r="AF20">
        <v>40</v>
      </c>
      <c r="AG20">
        <v>97.375</v>
      </c>
      <c r="AH20">
        <v>2</v>
      </c>
      <c r="AI20">
        <v>523</v>
      </c>
      <c r="AL20" t="s">
        <v>434</v>
      </c>
      <c r="AM20">
        <v>4</v>
      </c>
      <c r="AN20">
        <v>4</v>
      </c>
      <c r="AO20">
        <v>140.75</v>
      </c>
      <c r="AP20">
        <v>1</v>
      </c>
      <c r="AQ20">
        <v>274</v>
      </c>
    </row>
    <row r="21" spans="6:49" x14ac:dyDescent="0.2">
      <c r="F21" t="s">
        <v>65</v>
      </c>
      <c r="G21">
        <v>8637</v>
      </c>
      <c r="H21">
        <v>6764</v>
      </c>
      <c r="I21">
        <v>395.27528089890001</v>
      </c>
      <c r="J21">
        <v>504</v>
      </c>
      <c r="K21">
        <v>734.20436507939996</v>
      </c>
      <c r="L21">
        <v>1470</v>
      </c>
      <c r="M21">
        <v>737.02585034009996</v>
      </c>
      <c r="N21">
        <v>392</v>
      </c>
      <c r="O21">
        <v>705.19387755100001</v>
      </c>
      <c r="R21">
        <v>11</v>
      </c>
      <c r="S21">
        <v>578.54545454549998</v>
      </c>
      <c r="V21" t="s">
        <v>438</v>
      </c>
      <c r="W21">
        <v>997</v>
      </c>
      <c r="X21">
        <v>746</v>
      </c>
      <c r="Y21">
        <v>301.45978552280002</v>
      </c>
      <c r="Z21">
        <v>61</v>
      </c>
      <c r="AA21">
        <v>577.03278688520004</v>
      </c>
      <c r="AB21">
        <v>133</v>
      </c>
      <c r="AC21">
        <v>352.18796992479997</v>
      </c>
      <c r="AD21">
        <v>51</v>
      </c>
      <c r="AE21">
        <v>475.1568627451</v>
      </c>
      <c r="AF21">
        <v>64</v>
      </c>
      <c r="AG21">
        <v>139.59375</v>
      </c>
      <c r="AH21">
        <v>3</v>
      </c>
      <c r="AI21">
        <v>181.6666666667</v>
      </c>
      <c r="AL21" t="s">
        <v>438</v>
      </c>
      <c r="AM21">
        <v>14</v>
      </c>
      <c r="AN21">
        <v>8</v>
      </c>
      <c r="AO21">
        <v>237.625</v>
      </c>
      <c r="AP21">
        <v>2</v>
      </c>
      <c r="AQ21">
        <v>221.5</v>
      </c>
      <c r="AR21">
        <v>5</v>
      </c>
      <c r="AS21">
        <v>234.8</v>
      </c>
      <c r="AT21">
        <v>1</v>
      </c>
      <c r="AU21">
        <v>67</v>
      </c>
    </row>
    <row r="22" spans="6:49" x14ac:dyDescent="0.2">
      <c r="F22" t="s">
        <v>67</v>
      </c>
      <c r="G22">
        <v>6925</v>
      </c>
      <c r="H22">
        <v>4804</v>
      </c>
      <c r="I22">
        <v>345.0393422148</v>
      </c>
      <c r="J22">
        <v>341</v>
      </c>
      <c r="K22">
        <v>657.95894428149995</v>
      </c>
      <c r="L22">
        <v>1772</v>
      </c>
      <c r="M22">
        <v>698.84593679459999</v>
      </c>
      <c r="N22">
        <v>332</v>
      </c>
      <c r="O22">
        <v>665.14156626509998</v>
      </c>
      <c r="R22">
        <v>17</v>
      </c>
      <c r="S22">
        <v>682.8235294118</v>
      </c>
      <c r="V22" t="s">
        <v>423</v>
      </c>
      <c r="W22">
        <v>2647</v>
      </c>
      <c r="X22">
        <v>2000</v>
      </c>
      <c r="Y22">
        <v>261.20749999999998</v>
      </c>
      <c r="Z22">
        <v>145</v>
      </c>
      <c r="AA22">
        <v>643.60689655169995</v>
      </c>
      <c r="AB22">
        <v>297</v>
      </c>
      <c r="AC22">
        <v>287.54545454549998</v>
      </c>
      <c r="AD22">
        <v>214</v>
      </c>
      <c r="AE22">
        <v>471.16822429910002</v>
      </c>
      <c r="AF22">
        <v>132</v>
      </c>
      <c r="AG22">
        <v>215.2272727273</v>
      </c>
      <c r="AH22">
        <v>4</v>
      </c>
      <c r="AI22">
        <v>479</v>
      </c>
      <c r="AL22" t="s">
        <v>423</v>
      </c>
      <c r="AM22">
        <v>54</v>
      </c>
      <c r="AN22">
        <v>35</v>
      </c>
      <c r="AO22">
        <v>154.4571428571</v>
      </c>
      <c r="AP22">
        <v>23</v>
      </c>
      <c r="AQ22">
        <v>249.52173913039999</v>
      </c>
      <c r="AR22">
        <v>13</v>
      </c>
      <c r="AS22">
        <v>174.61538461539999</v>
      </c>
      <c r="AT22">
        <v>6</v>
      </c>
      <c r="AU22">
        <v>163.8333333333</v>
      </c>
    </row>
    <row r="23" spans="6:49" x14ac:dyDescent="0.2">
      <c r="F23" t="s">
        <v>76</v>
      </c>
      <c r="G23">
        <v>4450</v>
      </c>
      <c r="H23">
        <v>3385</v>
      </c>
      <c r="I23">
        <v>281.05524372230002</v>
      </c>
      <c r="J23">
        <v>265</v>
      </c>
      <c r="K23">
        <v>596.45283018869998</v>
      </c>
      <c r="L23">
        <v>822</v>
      </c>
      <c r="M23">
        <v>443.96107055959999</v>
      </c>
      <c r="N23">
        <v>236</v>
      </c>
      <c r="O23">
        <v>558.40254237290003</v>
      </c>
      <c r="R23">
        <v>7</v>
      </c>
      <c r="S23">
        <v>397</v>
      </c>
      <c r="V23" t="s">
        <v>419</v>
      </c>
      <c r="W23">
        <v>5385</v>
      </c>
      <c r="X23">
        <v>3438</v>
      </c>
      <c r="Y23">
        <v>369.28388598020001</v>
      </c>
      <c r="Z23">
        <v>289</v>
      </c>
      <c r="AA23">
        <v>610.67820069200002</v>
      </c>
      <c r="AB23">
        <v>1591</v>
      </c>
      <c r="AC23">
        <v>522.76744186049996</v>
      </c>
      <c r="AD23">
        <v>197</v>
      </c>
      <c r="AE23">
        <v>495.82233502539998</v>
      </c>
      <c r="AF23">
        <v>151</v>
      </c>
      <c r="AG23">
        <v>189.39735099340001</v>
      </c>
      <c r="AH23">
        <v>8</v>
      </c>
      <c r="AI23">
        <v>264.5</v>
      </c>
      <c r="AL23" t="s">
        <v>419</v>
      </c>
      <c r="AM23">
        <v>41</v>
      </c>
      <c r="AN23">
        <v>30</v>
      </c>
      <c r="AO23">
        <v>113.2333333333</v>
      </c>
      <c r="AP23">
        <v>31</v>
      </c>
      <c r="AQ23">
        <v>290.90322580650002</v>
      </c>
      <c r="AR23">
        <v>11</v>
      </c>
      <c r="AS23">
        <v>365.09090909090003</v>
      </c>
    </row>
    <row r="24" spans="6:49" x14ac:dyDescent="0.2">
      <c r="F24" t="s">
        <v>48</v>
      </c>
      <c r="G24">
        <v>1169</v>
      </c>
      <c r="H24">
        <v>911</v>
      </c>
      <c r="I24">
        <v>300.54335894619999</v>
      </c>
      <c r="J24">
        <v>77</v>
      </c>
      <c r="K24">
        <v>555.22077922079995</v>
      </c>
      <c r="L24">
        <v>193</v>
      </c>
      <c r="M24">
        <v>406.43523316059998</v>
      </c>
      <c r="N24">
        <v>61</v>
      </c>
      <c r="O24">
        <v>510.93442622949999</v>
      </c>
      <c r="R24">
        <v>4</v>
      </c>
      <c r="S24">
        <v>170</v>
      </c>
      <c r="V24" t="s">
        <v>436</v>
      </c>
      <c r="W24">
        <v>6951</v>
      </c>
      <c r="X24">
        <v>4762</v>
      </c>
      <c r="Y24">
        <v>346.34817303649999</v>
      </c>
      <c r="Z24">
        <v>349</v>
      </c>
      <c r="AA24">
        <v>646.34383954149996</v>
      </c>
      <c r="AB24">
        <v>1697</v>
      </c>
      <c r="AC24">
        <v>678.37065409549996</v>
      </c>
      <c r="AD24">
        <v>333</v>
      </c>
      <c r="AE24">
        <v>633.40240240239996</v>
      </c>
      <c r="AF24">
        <v>142</v>
      </c>
      <c r="AG24">
        <v>237.10563380280001</v>
      </c>
      <c r="AH24">
        <v>17</v>
      </c>
      <c r="AI24">
        <v>708.29411764710005</v>
      </c>
      <c r="AL24" t="s">
        <v>436</v>
      </c>
      <c r="AM24">
        <v>81</v>
      </c>
      <c r="AN24">
        <v>61</v>
      </c>
      <c r="AO24">
        <v>152.5245901639</v>
      </c>
      <c r="AP24">
        <v>27</v>
      </c>
      <c r="AQ24">
        <v>241.8148148148</v>
      </c>
      <c r="AR24">
        <v>18</v>
      </c>
      <c r="AS24">
        <v>266</v>
      </c>
      <c r="AT24">
        <v>2</v>
      </c>
      <c r="AU24">
        <v>84.5</v>
      </c>
    </row>
    <row r="25" spans="6:49" x14ac:dyDescent="0.2">
      <c r="F25" t="s">
        <v>69</v>
      </c>
      <c r="G25">
        <v>5304</v>
      </c>
      <c r="H25">
        <v>3471</v>
      </c>
      <c r="I25">
        <v>371.89311437629999</v>
      </c>
      <c r="J25">
        <v>297</v>
      </c>
      <c r="K25">
        <v>616.12794612790003</v>
      </c>
      <c r="L25">
        <v>1631</v>
      </c>
      <c r="M25">
        <v>529.12752912320002</v>
      </c>
      <c r="N25">
        <v>195</v>
      </c>
      <c r="O25">
        <v>504.31794871789998</v>
      </c>
      <c r="R25">
        <v>7</v>
      </c>
      <c r="S25">
        <v>234.71428571429999</v>
      </c>
      <c r="V25" t="s">
        <v>417</v>
      </c>
      <c r="W25">
        <v>17785</v>
      </c>
      <c r="X25">
        <v>13467</v>
      </c>
      <c r="Y25">
        <v>339.23204871169997</v>
      </c>
      <c r="Z25">
        <v>1647</v>
      </c>
      <c r="AA25">
        <v>544.55373406189995</v>
      </c>
      <c r="AB25">
        <v>2783</v>
      </c>
      <c r="AC25">
        <v>519.25224577790004</v>
      </c>
      <c r="AD25">
        <v>840</v>
      </c>
      <c r="AE25">
        <v>520.24166666669998</v>
      </c>
      <c r="AF25">
        <v>669</v>
      </c>
      <c r="AG25">
        <v>180.9626307922</v>
      </c>
      <c r="AH25">
        <v>26</v>
      </c>
      <c r="AI25">
        <v>448.15384615379998</v>
      </c>
      <c r="AL25" t="s">
        <v>417</v>
      </c>
      <c r="AM25">
        <v>337</v>
      </c>
      <c r="AN25">
        <v>249</v>
      </c>
      <c r="AO25">
        <v>160.8192771084</v>
      </c>
      <c r="AP25">
        <v>144</v>
      </c>
      <c r="AQ25">
        <v>239.7013888889</v>
      </c>
      <c r="AR25">
        <v>76</v>
      </c>
      <c r="AS25">
        <v>188.73684210530001</v>
      </c>
      <c r="AT25">
        <v>11</v>
      </c>
      <c r="AU25">
        <v>95.636363636400006</v>
      </c>
      <c r="AV25">
        <v>1</v>
      </c>
      <c r="AW25">
        <v>67</v>
      </c>
    </row>
    <row r="26" spans="6:49" x14ac:dyDescent="0.2">
      <c r="F26" t="s">
        <v>35</v>
      </c>
      <c r="G26">
        <v>261</v>
      </c>
      <c r="H26">
        <v>172</v>
      </c>
      <c r="I26">
        <v>157.97093023260001</v>
      </c>
      <c r="J26">
        <v>61</v>
      </c>
      <c r="K26">
        <v>307.81967213109999</v>
      </c>
      <c r="L26">
        <v>36</v>
      </c>
      <c r="M26">
        <v>354.69444444440001</v>
      </c>
      <c r="N26">
        <v>51</v>
      </c>
      <c r="O26">
        <v>529.4901960784</v>
      </c>
      <c r="R26">
        <v>2</v>
      </c>
      <c r="S26">
        <v>523</v>
      </c>
      <c r="V26" t="s">
        <v>415</v>
      </c>
      <c r="W26">
        <v>1885</v>
      </c>
      <c r="X26">
        <v>1448</v>
      </c>
      <c r="Y26">
        <v>319.9551104972</v>
      </c>
      <c r="Z26">
        <v>260</v>
      </c>
      <c r="AA26">
        <v>546.41538461539994</v>
      </c>
      <c r="AB26">
        <v>241</v>
      </c>
      <c r="AC26">
        <v>351.64315352699998</v>
      </c>
      <c r="AD26">
        <v>111</v>
      </c>
      <c r="AE26">
        <v>403.30630630629997</v>
      </c>
      <c r="AF26">
        <v>85</v>
      </c>
      <c r="AG26">
        <v>125.9411764706</v>
      </c>
      <c r="AL26" t="s">
        <v>415</v>
      </c>
      <c r="AM26">
        <v>29</v>
      </c>
      <c r="AN26">
        <v>22</v>
      </c>
      <c r="AO26">
        <v>163.63636363640001</v>
      </c>
      <c r="AP26">
        <v>18</v>
      </c>
      <c r="AQ26">
        <v>207.1666666667</v>
      </c>
      <c r="AR26">
        <v>7</v>
      </c>
      <c r="AS26">
        <v>158.1428571429</v>
      </c>
    </row>
    <row r="27" spans="6:49" x14ac:dyDescent="0.2">
      <c r="F27" t="s">
        <v>74</v>
      </c>
      <c r="G27">
        <v>3939</v>
      </c>
      <c r="H27">
        <v>3246</v>
      </c>
      <c r="I27">
        <v>199.48921749850001</v>
      </c>
      <c r="J27">
        <v>698</v>
      </c>
      <c r="K27">
        <v>321.08452722060002</v>
      </c>
      <c r="L27">
        <v>539</v>
      </c>
      <c r="M27">
        <v>154.0909090909</v>
      </c>
      <c r="N27">
        <v>143</v>
      </c>
      <c r="O27">
        <v>195.61538461539999</v>
      </c>
      <c r="R27">
        <v>11</v>
      </c>
      <c r="S27">
        <v>274.63636363640001</v>
      </c>
      <c r="V27" t="s">
        <v>83</v>
      </c>
      <c r="W27">
        <v>4669</v>
      </c>
      <c r="X27">
        <v>3388</v>
      </c>
      <c r="Y27">
        <v>282.49527744980003</v>
      </c>
      <c r="Z27">
        <v>268</v>
      </c>
      <c r="AA27">
        <v>586.00746268659998</v>
      </c>
      <c r="AB27">
        <v>844</v>
      </c>
      <c r="AC27">
        <v>471.6907582938</v>
      </c>
      <c r="AD27">
        <v>240</v>
      </c>
      <c r="AE27">
        <v>534.3125</v>
      </c>
      <c r="AF27">
        <v>192</v>
      </c>
      <c r="AG27">
        <v>146.3541666667</v>
      </c>
      <c r="AH27">
        <v>5</v>
      </c>
      <c r="AI27">
        <v>290</v>
      </c>
      <c r="AL27" t="s">
        <v>83</v>
      </c>
      <c r="AM27">
        <v>76</v>
      </c>
      <c r="AN27">
        <v>57</v>
      </c>
      <c r="AO27">
        <v>103.8421052632</v>
      </c>
      <c r="AP27">
        <v>35</v>
      </c>
      <c r="AQ27">
        <v>260.88571428569998</v>
      </c>
      <c r="AR27">
        <v>17</v>
      </c>
      <c r="AS27">
        <v>182.6470588235</v>
      </c>
      <c r="AV27">
        <v>2</v>
      </c>
      <c r="AW27">
        <v>77.5</v>
      </c>
    </row>
    <row r="28" spans="6:49" x14ac:dyDescent="0.2">
      <c r="F28" t="s">
        <v>34</v>
      </c>
      <c r="G28">
        <v>1760</v>
      </c>
      <c r="H28">
        <v>1415</v>
      </c>
      <c r="I28">
        <v>321.76466431099999</v>
      </c>
      <c r="J28">
        <v>265</v>
      </c>
      <c r="K28">
        <v>553.06037735849998</v>
      </c>
      <c r="L28">
        <v>240</v>
      </c>
      <c r="M28">
        <v>343.57083333330002</v>
      </c>
      <c r="N28">
        <v>105</v>
      </c>
      <c r="O28">
        <v>369.41904761900003</v>
      </c>
      <c r="V28" t="s">
        <v>414</v>
      </c>
      <c r="W28">
        <v>41718</v>
      </c>
      <c r="X28">
        <v>30040</v>
      </c>
      <c r="Y28">
        <v>327.94314247670002</v>
      </c>
      <c r="Z28">
        <v>3206</v>
      </c>
      <c r="AA28">
        <v>560.34872114780001</v>
      </c>
      <c r="AB28">
        <v>7862</v>
      </c>
      <c r="AC28">
        <v>524.62655812770004</v>
      </c>
      <c r="AD28">
        <v>2194</v>
      </c>
      <c r="AE28">
        <v>524.66089334549997</v>
      </c>
      <c r="AF28">
        <v>1554</v>
      </c>
      <c r="AG28">
        <v>179.40540540539999</v>
      </c>
      <c r="AH28">
        <v>68</v>
      </c>
      <c r="AI28">
        <v>469.6029411765</v>
      </c>
      <c r="AL28" t="s">
        <v>414</v>
      </c>
      <c r="AM28">
        <v>652</v>
      </c>
      <c r="AN28">
        <v>480</v>
      </c>
      <c r="AO28">
        <v>150.11666666670001</v>
      </c>
      <c r="AP28">
        <v>291</v>
      </c>
      <c r="AQ28">
        <v>247.42268041240001</v>
      </c>
      <c r="AR28">
        <v>149</v>
      </c>
      <c r="AS28">
        <v>210.24161073830001</v>
      </c>
      <c r="AT28">
        <v>20</v>
      </c>
      <c r="AU28">
        <v>113.55</v>
      </c>
      <c r="AV28">
        <v>3</v>
      </c>
      <c r="AW28">
        <v>74</v>
      </c>
    </row>
    <row r="29" spans="6:49" x14ac:dyDescent="0.2">
      <c r="F29" t="s">
        <v>55</v>
      </c>
      <c r="G29">
        <v>4476</v>
      </c>
      <c r="H29">
        <v>3497</v>
      </c>
      <c r="I29">
        <v>349.2768086932</v>
      </c>
      <c r="J29">
        <v>459</v>
      </c>
      <c r="K29">
        <v>683.3703703704</v>
      </c>
      <c r="L29">
        <v>744</v>
      </c>
      <c r="M29">
        <v>348.76881720429998</v>
      </c>
      <c r="N29">
        <v>233</v>
      </c>
      <c r="O29">
        <v>376.04291845490002</v>
      </c>
      <c r="R29">
        <v>2</v>
      </c>
      <c r="S29">
        <v>853</v>
      </c>
      <c r="V29" t="s">
        <v>398</v>
      </c>
      <c r="W29">
        <v>10777</v>
      </c>
      <c r="X29">
        <v>5465</v>
      </c>
      <c r="Y29">
        <v>316.47465690759998</v>
      </c>
      <c r="Z29">
        <v>689</v>
      </c>
      <c r="AA29">
        <v>657.35558780839995</v>
      </c>
      <c r="AB29">
        <v>3702</v>
      </c>
      <c r="AC29">
        <v>865.59886547810004</v>
      </c>
      <c r="AD29">
        <v>1097</v>
      </c>
      <c r="AE29">
        <v>552.22698267999999</v>
      </c>
      <c r="AF29">
        <v>500</v>
      </c>
      <c r="AG29">
        <v>201.946</v>
      </c>
      <c r="AH29">
        <v>13</v>
      </c>
      <c r="AI29">
        <v>387.84615384620002</v>
      </c>
      <c r="AL29" t="s">
        <v>398</v>
      </c>
      <c r="AM29">
        <v>175</v>
      </c>
      <c r="AN29">
        <v>134</v>
      </c>
      <c r="AO29">
        <v>268.5</v>
      </c>
      <c r="AP29">
        <v>11</v>
      </c>
      <c r="AQ29">
        <v>437.45454545450002</v>
      </c>
      <c r="AR29">
        <v>36</v>
      </c>
      <c r="AS29">
        <v>390.19444444440001</v>
      </c>
      <c r="AT29">
        <v>4</v>
      </c>
      <c r="AU29">
        <v>46.25</v>
      </c>
      <c r="AV29">
        <v>1</v>
      </c>
      <c r="AW29">
        <v>291</v>
      </c>
    </row>
    <row r="30" spans="6:49" x14ac:dyDescent="0.2">
      <c r="F30" t="s">
        <v>414</v>
      </c>
      <c r="G30">
        <v>41482</v>
      </c>
      <c r="H30">
        <v>30694</v>
      </c>
      <c r="I30">
        <v>323.86521795789997</v>
      </c>
      <c r="J30">
        <v>3385</v>
      </c>
      <c r="K30">
        <v>554.96779911370004</v>
      </c>
      <c r="L30">
        <v>8234</v>
      </c>
      <c r="M30">
        <v>519.16261841150003</v>
      </c>
      <c r="N30">
        <v>2480</v>
      </c>
      <c r="O30">
        <v>529.92661290319995</v>
      </c>
      <c r="R30">
        <v>74</v>
      </c>
      <c r="S30">
        <v>474.83783783780001</v>
      </c>
      <c r="V30" t="s">
        <v>435</v>
      </c>
      <c r="W30">
        <v>27800</v>
      </c>
      <c r="X30">
        <v>23360</v>
      </c>
      <c r="Y30">
        <v>454.65201198630001</v>
      </c>
      <c r="Z30">
        <v>1428</v>
      </c>
      <c r="AA30">
        <v>787.96778711479999</v>
      </c>
      <c r="AB30">
        <v>1581</v>
      </c>
      <c r="AC30">
        <v>398.41998734980001</v>
      </c>
      <c r="AD30">
        <v>1768</v>
      </c>
      <c r="AE30">
        <v>344.71436651580001</v>
      </c>
      <c r="AF30">
        <v>1085</v>
      </c>
      <c r="AG30">
        <v>170.002764977</v>
      </c>
      <c r="AH30">
        <v>6</v>
      </c>
      <c r="AI30">
        <v>445</v>
      </c>
      <c r="AL30" t="s">
        <v>435</v>
      </c>
      <c r="AM30">
        <v>488</v>
      </c>
      <c r="AN30">
        <v>423</v>
      </c>
      <c r="AO30">
        <v>268.3262411348</v>
      </c>
      <c r="AP30">
        <v>82</v>
      </c>
      <c r="AQ30">
        <v>320.34146341460001</v>
      </c>
      <c r="AR30">
        <v>52</v>
      </c>
      <c r="AS30">
        <v>217.57692307689999</v>
      </c>
      <c r="AT30">
        <v>12</v>
      </c>
      <c r="AU30">
        <v>161</v>
      </c>
      <c r="AV30">
        <v>1</v>
      </c>
      <c r="AW30">
        <v>92</v>
      </c>
    </row>
    <row r="31" spans="6:49" x14ac:dyDescent="0.2">
      <c r="F31" t="s">
        <v>25</v>
      </c>
      <c r="G31">
        <v>15629</v>
      </c>
      <c r="H31">
        <v>12732</v>
      </c>
      <c r="I31">
        <v>564.79382657869996</v>
      </c>
      <c r="J31">
        <v>601</v>
      </c>
      <c r="K31">
        <v>886.19467554079995</v>
      </c>
      <c r="L31">
        <v>2164</v>
      </c>
      <c r="M31">
        <v>502.61136783730001</v>
      </c>
      <c r="N31">
        <v>725</v>
      </c>
      <c r="O31">
        <v>402.63862068970002</v>
      </c>
      <c r="R31">
        <v>8</v>
      </c>
      <c r="S31">
        <v>513.25</v>
      </c>
      <c r="V31" t="s">
        <v>391</v>
      </c>
      <c r="W31">
        <v>16218</v>
      </c>
      <c r="X31">
        <v>12651</v>
      </c>
      <c r="Y31">
        <v>561.56770215790004</v>
      </c>
      <c r="Z31">
        <v>621</v>
      </c>
      <c r="AA31">
        <v>869.97745571660005</v>
      </c>
      <c r="AB31">
        <v>2242</v>
      </c>
      <c r="AC31">
        <v>522.24799286350003</v>
      </c>
      <c r="AD31">
        <v>765</v>
      </c>
      <c r="AE31">
        <v>407.6405228758</v>
      </c>
      <c r="AF31">
        <v>552</v>
      </c>
      <c r="AG31">
        <v>160.8985507246</v>
      </c>
      <c r="AH31">
        <v>8</v>
      </c>
      <c r="AI31">
        <v>513.25</v>
      </c>
      <c r="AL31" t="s">
        <v>391</v>
      </c>
      <c r="AM31">
        <v>345</v>
      </c>
      <c r="AN31">
        <v>295</v>
      </c>
      <c r="AO31">
        <v>271.97966101690002</v>
      </c>
      <c r="AP31">
        <v>63</v>
      </c>
      <c r="AQ31">
        <v>430.49206349209999</v>
      </c>
      <c r="AR31">
        <v>40</v>
      </c>
      <c r="AS31">
        <v>233.4</v>
      </c>
      <c r="AT31">
        <v>9</v>
      </c>
      <c r="AU31">
        <v>147.7777777778</v>
      </c>
      <c r="AV31">
        <v>1</v>
      </c>
      <c r="AW31">
        <v>11</v>
      </c>
    </row>
    <row r="32" spans="6:49" x14ac:dyDescent="0.2">
      <c r="F32" t="s">
        <v>42</v>
      </c>
      <c r="G32">
        <v>11243</v>
      </c>
      <c r="H32">
        <v>8407</v>
      </c>
      <c r="I32">
        <v>326.56631378610001</v>
      </c>
      <c r="J32">
        <v>244</v>
      </c>
      <c r="K32">
        <v>719.72131147539994</v>
      </c>
      <c r="L32">
        <v>2014</v>
      </c>
      <c r="M32">
        <v>556.75918570010003</v>
      </c>
      <c r="N32">
        <v>795</v>
      </c>
      <c r="O32">
        <v>576.35974842769997</v>
      </c>
      <c r="R32">
        <v>27</v>
      </c>
      <c r="S32">
        <v>698.92592592589995</v>
      </c>
      <c r="V32" t="s">
        <v>403</v>
      </c>
      <c r="W32">
        <v>3310</v>
      </c>
      <c r="X32">
        <v>2200</v>
      </c>
      <c r="Y32">
        <v>471.32136363640001</v>
      </c>
      <c r="Z32">
        <v>265</v>
      </c>
      <c r="AA32">
        <v>436.65283018870002</v>
      </c>
      <c r="AB32">
        <v>470</v>
      </c>
      <c r="AC32">
        <v>662.67659574469997</v>
      </c>
      <c r="AD32">
        <v>444</v>
      </c>
      <c r="AE32">
        <v>522.40765765770004</v>
      </c>
      <c r="AF32">
        <v>189</v>
      </c>
      <c r="AG32">
        <v>165.0740740741</v>
      </c>
      <c r="AH32">
        <v>7</v>
      </c>
      <c r="AI32">
        <v>486</v>
      </c>
      <c r="AL32" t="s">
        <v>403</v>
      </c>
      <c r="AM32">
        <v>114</v>
      </c>
      <c r="AN32">
        <v>95</v>
      </c>
      <c r="AO32">
        <v>424.58947368420002</v>
      </c>
      <c r="AP32">
        <v>8</v>
      </c>
      <c r="AQ32">
        <v>354.375</v>
      </c>
      <c r="AR32">
        <v>16</v>
      </c>
      <c r="AS32">
        <v>384.375</v>
      </c>
      <c r="AT32">
        <v>2</v>
      </c>
      <c r="AU32">
        <v>61</v>
      </c>
      <c r="AV32">
        <v>1</v>
      </c>
      <c r="AW32">
        <v>444</v>
      </c>
    </row>
    <row r="33" spans="6:49" x14ac:dyDescent="0.2">
      <c r="F33" t="s">
        <v>75</v>
      </c>
      <c r="G33">
        <v>5770</v>
      </c>
      <c r="H33">
        <v>2529</v>
      </c>
      <c r="I33">
        <v>398.95334124160001</v>
      </c>
      <c r="J33">
        <v>275</v>
      </c>
      <c r="K33">
        <v>383.04727272730003</v>
      </c>
      <c r="L33">
        <v>2270</v>
      </c>
      <c r="M33">
        <v>655.44713656390002</v>
      </c>
      <c r="N33">
        <v>970</v>
      </c>
      <c r="O33">
        <v>933.03505154640004</v>
      </c>
      <c r="R33">
        <v>1</v>
      </c>
      <c r="S33">
        <v>312</v>
      </c>
      <c r="V33" t="s">
        <v>394</v>
      </c>
      <c r="W33">
        <v>6937</v>
      </c>
      <c r="X33">
        <v>4063</v>
      </c>
      <c r="Y33">
        <v>288.06866847160001</v>
      </c>
      <c r="Z33">
        <v>468</v>
      </c>
      <c r="AA33">
        <v>571.91666666670005</v>
      </c>
      <c r="AB33">
        <v>1542</v>
      </c>
      <c r="AC33">
        <v>388.5804150454</v>
      </c>
      <c r="AD33">
        <v>812</v>
      </c>
      <c r="AE33">
        <v>464.12192118230001</v>
      </c>
      <c r="AF33">
        <v>507</v>
      </c>
      <c r="AG33">
        <v>181.8619329389</v>
      </c>
      <c r="AH33">
        <v>13</v>
      </c>
      <c r="AI33">
        <v>411</v>
      </c>
      <c r="AL33" t="s">
        <v>394</v>
      </c>
      <c r="AM33">
        <v>214</v>
      </c>
      <c r="AN33">
        <v>181</v>
      </c>
      <c r="AO33">
        <v>248.1215469613</v>
      </c>
      <c r="AP33">
        <v>24</v>
      </c>
      <c r="AQ33">
        <v>467.9583333333</v>
      </c>
      <c r="AR33">
        <v>31</v>
      </c>
      <c r="AS33">
        <v>386.74193548390002</v>
      </c>
      <c r="AT33">
        <v>2</v>
      </c>
      <c r="AU33">
        <v>324</v>
      </c>
    </row>
    <row r="34" spans="6:49" x14ac:dyDescent="0.2">
      <c r="F34" t="s">
        <v>61</v>
      </c>
      <c r="G34">
        <v>6285</v>
      </c>
      <c r="H34">
        <v>3960</v>
      </c>
      <c r="I34">
        <v>269.78005050510001</v>
      </c>
      <c r="J34">
        <v>445</v>
      </c>
      <c r="K34">
        <v>562.30786516850003</v>
      </c>
      <c r="L34">
        <v>1498</v>
      </c>
      <c r="M34">
        <v>362.97997329769998</v>
      </c>
      <c r="N34">
        <v>813</v>
      </c>
      <c r="O34">
        <v>451.98031980320002</v>
      </c>
      <c r="R34">
        <v>14</v>
      </c>
      <c r="S34">
        <v>386.35714285709997</v>
      </c>
      <c r="V34" t="s">
        <v>437</v>
      </c>
      <c r="W34">
        <v>5850</v>
      </c>
      <c r="X34">
        <v>2458</v>
      </c>
      <c r="Y34">
        <v>398.43653376729998</v>
      </c>
      <c r="Z34">
        <v>277</v>
      </c>
      <c r="AA34">
        <v>387.61371841160002</v>
      </c>
      <c r="AB34">
        <v>2209</v>
      </c>
      <c r="AC34">
        <v>655.46989588049996</v>
      </c>
      <c r="AD34">
        <v>950</v>
      </c>
      <c r="AE34">
        <v>928.1557894737</v>
      </c>
      <c r="AF34">
        <v>232</v>
      </c>
      <c r="AG34">
        <v>216.43103448279999</v>
      </c>
      <c r="AH34">
        <v>1</v>
      </c>
      <c r="AI34">
        <v>312</v>
      </c>
      <c r="AL34" t="s">
        <v>437</v>
      </c>
      <c r="AM34">
        <v>113</v>
      </c>
      <c r="AN34">
        <v>86</v>
      </c>
      <c r="AO34">
        <v>225.47674418599999</v>
      </c>
      <c r="AP34">
        <v>11</v>
      </c>
      <c r="AQ34">
        <v>344.45454545450002</v>
      </c>
      <c r="AR34">
        <v>16</v>
      </c>
      <c r="AS34">
        <v>218.125</v>
      </c>
      <c r="AT34">
        <v>10</v>
      </c>
      <c r="AU34">
        <v>73.7</v>
      </c>
      <c r="AV34">
        <v>1</v>
      </c>
      <c r="AW34">
        <v>80</v>
      </c>
    </row>
    <row r="35" spans="6:49" x14ac:dyDescent="0.2">
      <c r="F35" t="s">
        <v>56</v>
      </c>
      <c r="G35">
        <v>4478</v>
      </c>
      <c r="H35">
        <v>3124</v>
      </c>
      <c r="I35">
        <v>489.97951344429998</v>
      </c>
      <c r="J35">
        <v>451</v>
      </c>
      <c r="K35">
        <v>431.68070953440002</v>
      </c>
      <c r="L35">
        <v>729</v>
      </c>
      <c r="M35">
        <v>654.79423868310005</v>
      </c>
      <c r="N35">
        <v>618</v>
      </c>
      <c r="O35">
        <v>553.22330097090003</v>
      </c>
      <c r="R35">
        <v>7</v>
      </c>
      <c r="S35">
        <v>486</v>
      </c>
      <c r="V35" t="s">
        <v>393</v>
      </c>
      <c r="W35">
        <v>11590</v>
      </c>
      <c r="X35">
        <v>8319</v>
      </c>
      <c r="Y35">
        <v>331.89794446449997</v>
      </c>
      <c r="Z35">
        <v>249</v>
      </c>
      <c r="AA35">
        <v>713.28514056220001</v>
      </c>
      <c r="AB35">
        <v>2008</v>
      </c>
      <c r="AC35">
        <v>552.68177290840003</v>
      </c>
      <c r="AD35">
        <v>790</v>
      </c>
      <c r="AE35">
        <v>571.77215189870003</v>
      </c>
      <c r="AF35">
        <v>446</v>
      </c>
      <c r="AG35">
        <v>170.26457399099999</v>
      </c>
      <c r="AH35">
        <v>27</v>
      </c>
      <c r="AI35">
        <v>698.92592592589995</v>
      </c>
      <c r="AL35" t="s">
        <v>393</v>
      </c>
      <c r="AM35">
        <v>149</v>
      </c>
      <c r="AN35">
        <v>125</v>
      </c>
      <c r="AO35">
        <v>216.40799999999999</v>
      </c>
      <c r="AP35">
        <v>29</v>
      </c>
      <c r="AQ35">
        <v>274.17241379310002</v>
      </c>
      <c r="AR35">
        <v>17</v>
      </c>
      <c r="AS35">
        <v>226.1176470588</v>
      </c>
      <c r="AT35">
        <v>5</v>
      </c>
      <c r="AU35">
        <v>105.2</v>
      </c>
      <c r="AV35">
        <v>2</v>
      </c>
      <c r="AW35">
        <v>421</v>
      </c>
    </row>
    <row r="36" spans="6:49" x14ac:dyDescent="0.2">
      <c r="F36" t="s">
        <v>60</v>
      </c>
      <c r="G36">
        <v>10357</v>
      </c>
      <c r="H36">
        <v>5477</v>
      </c>
      <c r="I36">
        <v>310.86397662949997</v>
      </c>
      <c r="J36">
        <v>713</v>
      </c>
      <c r="K36">
        <v>658.35764375880001</v>
      </c>
      <c r="L36">
        <v>3766</v>
      </c>
      <c r="M36">
        <v>868.60515135419996</v>
      </c>
      <c r="N36">
        <v>1101</v>
      </c>
      <c r="O36">
        <v>549.17166212530003</v>
      </c>
      <c r="R36">
        <v>13</v>
      </c>
      <c r="S36">
        <v>387.84615384620002</v>
      </c>
      <c r="V36" t="s">
        <v>390</v>
      </c>
      <c r="W36">
        <v>82482</v>
      </c>
      <c r="X36">
        <v>58516</v>
      </c>
      <c r="Y36">
        <v>434.10937179569999</v>
      </c>
      <c r="Z36">
        <v>3997</v>
      </c>
      <c r="AA36">
        <v>697.20765574179995</v>
      </c>
      <c r="AB36">
        <v>13754</v>
      </c>
      <c r="AC36">
        <v>616.08230332990001</v>
      </c>
      <c r="AD36">
        <v>6626</v>
      </c>
      <c r="AE36">
        <v>523.59749471780003</v>
      </c>
      <c r="AF36">
        <v>3511</v>
      </c>
      <c r="AG36">
        <v>177.6687553404</v>
      </c>
      <c r="AH36">
        <v>75</v>
      </c>
      <c r="AI36">
        <v>529.94666666670003</v>
      </c>
      <c r="AL36" t="s">
        <v>390</v>
      </c>
      <c r="AM36">
        <v>1598</v>
      </c>
      <c r="AN36">
        <v>1339</v>
      </c>
      <c r="AO36">
        <v>269.90515309929998</v>
      </c>
      <c r="AP36">
        <v>228</v>
      </c>
      <c r="AQ36">
        <v>368.451754386</v>
      </c>
      <c r="AR36">
        <v>208</v>
      </c>
      <c r="AS36">
        <v>289.27884615379998</v>
      </c>
      <c r="AT36">
        <v>44</v>
      </c>
      <c r="AU36">
        <v>124.54545454549999</v>
      </c>
      <c r="AV36">
        <v>7</v>
      </c>
      <c r="AW36">
        <v>251.42857142860001</v>
      </c>
    </row>
    <row r="37" spans="6:49" x14ac:dyDescent="0.2">
      <c r="F37" t="s">
        <v>80</v>
      </c>
      <c r="G37">
        <v>26815</v>
      </c>
      <c r="H37">
        <v>23704</v>
      </c>
      <c r="I37">
        <v>453.25464056700002</v>
      </c>
      <c r="J37">
        <v>1402</v>
      </c>
      <c r="K37">
        <v>784.93437945790004</v>
      </c>
      <c r="L37">
        <v>1415</v>
      </c>
      <c r="M37">
        <v>357.64240282690002</v>
      </c>
      <c r="N37">
        <v>1691</v>
      </c>
      <c r="O37">
        <v>323.09520993490003</v>
      </c>
      <c r="R37">
        <v>5</v>
      </c>
      <c r="S37">
        <v>520.79999999999995</v>
      </c>
      <c r="V37" t="s">
        <v>416</v>
      </c>
      <c r="W37">
        <v>561</v>
      </c>
      <c r="X37">
        <v>297</v>
      </c>
      <c r="Y37">
        <v>172.25252525249999</v>
      </c>
      <c r="Z37">
        <v>219</v>
      </c>
      <c r="AA37">
        <v>222.42465753420001</v>
      </c>
      <c r="AB37">
        <v>86</v>
      </c>
      <c r="AC37">
        <v>216.1046511628</v>
      </c>
      <c r="AD37">
        <v>106</v>
      </c>
      <c r="AE37">
        <v>232.56603773579999</v>
      </c>
      <c r="AF37">
        <v>61</v>
      </c>
      <c r="AG37">
        <v>165.8360655738</v>
      </c>
      <c r="AH37">
        <v>11</v>
      </c>
      <c r="AI37">
        <v>299.54545454549998</v>
      </c>
      <c r="AL37" t="s">
        <v>416</v>
      </c>
      <c r="AM37">
        <v>18</v>
      </c>
      <c r="AN37">
        <v>13</v>
      </c>
      <c r="AO37">
        <v>99.230769230799993</v>
      </c>
      <c r="AP37">
        <v>14</v>
      </c>
      <c r="AQ37">
        <v>227.21428571429999</v>
      </c>
      <c r="AR37">
        <v>4</v>
      </c>
      <c r="AS37">
        <v>78</v>
      </c>
      <c r="AT37">
        <v>1</v>
      </c>
      <c r="AU37">
        <v>60</v>
      </c>
    </row>
    <row r="38" spans="6:49" x14ac:dyDescent="0.2">
      <c r="F38" t="s">
        <v>390</v>
      </c>
      <c r="G38">
        <v>80577</v>
      </c>
      <c r="H38">
        <v>59933</v>
      </c>
      <c r="I38">
        <v>433.66636076949999</v>
      </c>
      <c r="J38">
        <v>4131</v>
      </c>
      <c r="K38">
        <v>684.66594045030001</v>
      </c>
      <c r="L38">
        <v>13856</v>
      </c>
      <c r="M38">
        <v>613.1025548499</v>
      </c>
      <c r="N38">
        <v>6713</v>
      </c>
      <c r="O38">
        <v>523.68642931629995</v>
      </c>
      <c r="R38">
        <v>75</v>
      </c>
      <c r="S38">
        <v>529.94666666670003</v>
      </c>
      <c r="V38" t="s">
        <v>420</v>
      </c>
      <c r="W38">
        <v>39060</v>
      </c>
      <c r="X38">
        <v>27149</v>
      </c>
      <c r="Y38">
        <v>457.56189914909999</v>
      </c>
      <c r="Z38">
        <v>1780</v>
      </c>
      <c r="AA38">
        <v>646.27977528090003</v>
      </c>
      <c r="AB38">
        <v>8157</v>
      </c>
      <c r="AC38">
        <v>754.64325119529997</v>
      </c>
      <c r="AD38">
        <v>2323</v>
      </c>
      <c r="AE38">
        <v>585.33362031859997</v>
      </c>
      <c r="AF38">
        <v>1381</v>
      </c>
      <c r="AG38">
        <v>201.22302679219999</v>
      </c>
      <c r="AH38">
        <v>50</v>
      </c>
      <c r="AI38">
        <v>491.14</v>
      </c>
      <c r="AL38" t="s">
        <v>420</v>
      </c>
      <c r="AM38">
        <v>376</v>
      </c>
      <c r="AN38">
        <v>279</v>
      </c>
      <c r="AO38">
        <v>176.21505376339999</v>
      </c>
      <c r="AP38">
        <v>188</v>
      </c>
      <c r="AQ38">
        <v>272.42021276600002</v>
      </c>
      <c r="AR38">
        <v>82</v>
      </c>
      <c r="AS38">
        <v>273.63414634150001</v>
      </c>
      <c r="AT38">
        <v>14</v>
      </c>
      <c r="AU38">
        <v>201</v>
      </c>
      <c r="AV38">
        <v>1</v>
      </c>
      <c r="AW38">
        <v>2096</v>
      </c>
    </row>
    <row r="39" spans="6:49" x14ac:dyDescent="0.2">
      <c r="F39" t="s">
        <v>82</v>
      </c>
      <c r="G39">
        <v>18868</v>
      </c>
      <c r="H39">
        <v>13823</v>
      </c>
      <c r="I39">
        <v>404.42125443100002</v>
      </c>
      <c r="J39">
        <v>965</v>
      </c>
      <c r="K39">
        <v>661.51295336789997</v>
      </c>
      <c r="L39">
        <v>3761</v>
      </c>
      <c r="M39">
        <v>827.92475405480002</v>
      </c>
      <c r="N39">
        <v>1253</v>
      </c>
      <c r="O39">
        <v>616.33918595370005</v>
      </c>
      <c r="R39">
        <v>31</v>
      </c>
      <c r="S39">
        <v>606.16129032260005</v>
      </c>
      <c r="V39" t="s">
        <v>428</v>
      </c>
      <c r="W39">
        <v>342</v>
      </c>
      <c r="X39">
        <v>162</v>
      </c>
      <c r="Y39">
        <v>219.08641975309999</v>
      </c>
      <c r="Z39">
        <v>104</v>
      </c>
      <c r="AA39">
        <v>277.44230769230001</v>
      </c>
      <c r="AB39">
        <v>82</v>
      </c>
      <c r="AC39">
        <v>360.20731707319999</v>
      </c>
      <c r="AD39">
        <v>66</v>
      </c>
      <c r="AE39">
        <v>354.01515151519999</v>
      </c>
      <c r="AF39">
        <v>31</v>
      </c>
      <c r="AG39">
        <v>197.6451612903</v>
      </c>
      <c r="AH39">
        <v>1</v>
      </c>
      <c r="AI39">
        <v>760</v>
      </c>
      <c r="AL39" t="s">
        <v>428</v>
      </c>
      <c r="AM39">
        <v>6</v>
      </c>
      <c r="AN39">
        <v>5</v>
      </c>
      <c r="AO39">
        <v>117.8</v>
      </c>
      <c r="AP39">
        <v>4</v>
      </c>
      <c r="AQ39">
        <v>199.75</v>
      </c>
      <c r="AR39">
        <v>1</v>
      </c>
      <c r="AS39">
        <v>110</v>
      </c>
    </row>
    <row r="40" spans="6:49" x14ac:dyDescent="0.2">
      <c r="F40" t="s">
        <v>43</v>
      </c>
      <c r="G40">
        <v>5571</v>
      </c>
      <c r="H40">
        <v>2837</v>
      </c>
      <c r="I40">
        <v>235.82798731049999</v>
      </c>
      <c r="J40">
        <v>218</v>
      </c>
      <c r="K40">
        <v>523.08256880730005</v>
      </c>
      <c r="L40">
        <v>2382</v>
      </c>
      <c r="M40">
        <v>673.0419815281</v>
      </c>
      <c r="N40">
        <v>342</v>
      </c>
      <c r="O40">
        <v>404.35087719299997</v>
      </c>
      <c r="R40">
        <v>10</v>
      </c>
      <c r="S40">
        <v>201.3</v>
      </c>
      <c r="V40" t="s">
        <v>431</v>
      </c>
      <c r="W40">
        <v>367</v>
      </c>
      <c r="X40">
        <v>253</v>
      </c>
      <c r="Y40">
        <v>275.40711462450003</v>
      </c>
      <c r="Z40">
        <v>23</v>
      </c>
      <c r="AA40">
        <v>532.34782608700004</v>
      </c>
      <c r="AB40">
        <v>27</v>
      </c>
      <c r="AC40">
        <v>485.3333333333</v>
      </c>
      <c r="AD40">
        <v>39</v>
      </c>
      <c r="AE40">
        <v>357.56410256409998</v>
      </c>
      <c r="AF40">
        <v>47</v>
      </c>
      <c r="AG40">
        <v>156.78723404260001</v>
      </c>
      <c r="AH40">
        <v>1</v>
      </c>
      <c r="AI40">
        <v>276</v>
      </c>
      <c r="AL40" t="s">
        <v>431</v>
      </c>
      <c r="AM40">
        <v>7</v>
      </c>
      <c r="AN40">
        <v>6</v>
      </c>
      <c r="AO40">
        <v>161</v>
      </c>
      <c r="AP40">
        <v>1</v>
      </c>
      <c r="AQ40">
        <v>309</v>
      </c>
      <c r="AR40">
        <v>1</v>
      </c>
      <c r="AS40">
        <v>54</v>
      </c>
    </row>
    <row r="41" spans="6:49" x14ac:dyDescent="0.2">
      <c r="F41" t="s">
        <v>49</v>
      </c>
      <c r="G41">
        <v>19006</v>
      </c>
      <c r="H41">
        <v>13521</v>
      </c>
      <c r="I41">
        <v>514.03505657870005</v>
      </c>
      <c r="J41">
        <v>797</v>
      </c>
      <c r="K41">
        <v>625.98745294859998</v>
      </c>
      <c r="L41">
        <v>4405</v>
      </c>
      <c r="M41">
        <v>695.88467650400003</v>
      </c>
      <c r="N41">
        <v>1059</v>
      </c>
      <c r="O41">
        <v>563.79981114259999</v>
      </c>
      <c r="R41">
        <v>21</v>
      </c>
      <c r="S41">
        <v>372.09523809519999</v>
      </c>
      <c r="V41" t="s">
        <v>421</v>
      </c>
      <c r="W41">
        <v>5260</v>
      </c>
      <c r="X41">
        <v>3946</v>
      </c>
      <c r="Y41">
        <v>481.38393309679998</v>
      </c>
      <c r="Z41">
        <v>133</v>
      </c>
      <c r="AA41">
        <v>906.51879699250003</v>
      </c>
      <c r="AB41">
        <v>561</v>
      </c>
      <c r="AC41">
        <v>318.57040998219998</v>
      </c>
      <c r="AD41">
        <v>460</v>
      </c>
      <c r="AE41">
        <v>635.85869565220003</v>
      </c>
      <c r="AF41">
        <v>283</v>
      </c>
      <c r="AG41">
        <v>170.8833922261</v>
      </c>
      <c r="AH41">
        <v>10</v>
      </c>
      <c r="AI41">
        <v>696.8</v>
      </c>
      <c r="AL41" t="s">
        <v>421</v>
      </c>
      <c r="AM41">
        <v>115</v>
      </c>
      <c r="AN41">
        <v>99</v>
      </c>
      <c r="AO41">
        <v>298.76767676769998</v>
      </c>
      <c r="AP41">
        <v>11</v>
      </c>
      <c r="AQ41">
        <v>445.63636363640001</v>
      </c>
      <c r="AR41">
        <v>15</v>
      </c>
      <c r="AS41">
        <v>304.60000000000002</v>
      </c>
      <c r="AT41">
        <v>1</v>
      </c>
      <c r="AU41">
        <v>19</v>
      </c>
    </row>
    <row r="42" spans="6:49" x14ac:dyDescent="0.2">
      <c r="F42" t="s">
        <v>52</v>
      </c>
      <c r="G42">
        <v>4254</v>
      </c>
      <c r="H42">
        <v>2634</v>
      </c>
      <c r="I42">
        <v>315.58086560359999</v>
      </c>
      <c r="J42">
        <v>239</v>
      </c>
      <c r="K42">
        <v>614.96234309620002</v>
      </c>
      <c r="L42">
        <v>1072</v>
      </c>
      <c r="M42">
        <v>402.51772388059999</v>
      </c>
      <c r="N42">
        <v>539</v>
      </c>
      <c r="O42">
        <v>623.06307977740005</v>
      </c>
      <c r="R42">
        <v>9</v>
      </c>
      <c r="S42">
        <v>812</v>
      </c>
      <c r="V42" t="s">
        <v>413</v>
      </c>
      <c r="W42">
        <v>5792</v>
      </c>
      <c r="X42">
        <v>2857</v>
      </c>
      <c r="Y42">
        <v>244.22296114810001</v>
      </c>
      <c r="Z42">
        <v>203</v>
      </c>
      <c r="AA42">
        <v>534.02463054190002</v>
      </c>
      <c r="AB42">
        <v>2293</v>
      </c>
      <c r="AC42">
        <v>666.6546009594</v>
      </c>
      <c r="AD42">
        <v>342</v>
      </c>
      <c r="AE42">
        <v>424.59356725150002</v>
      </c>
      <c r="AF42">
        <v>290</v>
      </c>
      <c r="AG42">
        <v>167.4275862069</v>
      </c>
      <c r="AH42">
        <v>10</v>
      </c>
      <c r="AI42">
        <v>201.3</v>
      </c>
      <c r="AL42" t="s">
        <v>413</v>
      </c>
      <c r="AM42">
        <v>51</v>
      </c>
      <c r="AN42">
        <v>35</v>
      </c>
      <c r="AO42">
        <v>104.77142857139999</v>
      </c>
      <c r="AP42">
        <v>17</v>
      </c>
      <c r="AQ42">
        <v>263.8823529412</v>
      </c>
      <c r="AR42">
        <v>11</v>
      </c>
      <c r="AS42">
        <v>237.63636363640001</v>
      </c>
      <c r="AT42">
        <v>5</v>
      </c>
      <c r="AU42">
        <v>132.6</v>
      </c>
    </row>
    <row r="43" spans="6:49" x14ac:dyDescent="0.2">
      <c r="F43" t="s">
        <v>39</v>
      </c>
      <c r="G43">
        <v>321</v>
      </c>
      <c r="H43">
        <v>260</v>
      </c>
      <c r="I43">
        <v>273.13076923080001</v>
      </c>
      <c r="J43">
        <v>22</v>
      </c>
      <c r="K43">
        <v>503.04545454549998</v>
      </c>
      <c r="L43">
        <v>20</v>
      </c>
      <c r="M43">
        <v>449.45</v>
      </c>
      <c r="N43">
        <v>41</v>
      </c>
      <c r="O43">
        <v>347.26829268289998</v>
      </c>
      <c r="V43" t="s">
        <v>422</v>
      </c>
      <c r="W43">
        <v>4178</v>
      </c>
      <c r="X43">
        <v>2152</v>
      </c>
      <c r="Y43">
        <v>195.10641263939999</v>
      </c>
      <c r="Z43">
        <v>601</v>
      </c>
      <c r="AA43">
        <v>286.13643926790002</v>
      </c>
      <c r="AB43">
        <v>1076</v>
      </c>
      <c r="AC43">
        <v>298.05111524159997</v>
      </c>
      <c r="AD43">
        <v>548</v>
      </c>
      <c r="AE43">
        <v>274.95620437960002</v>
      </c>
      <c r="AF43">
        <v>390</v>
      </c>
      <c r="AG43">
        <v>175.11538461539999</v>
      </c>
      <c r="AH43">
        <v>12</v>
      </c>
      <c r="AI43">
        <v>245.75</v>
      </c>
      <c r="AL43" t="s">
        <v>422</v>
      </c>
      <c r="AM43">
        <v>71</v>
      </c>
      <c r="AN43">
        <v>56</v>
      </c>
      <c r="AO43">
        <v>159.21428571429999</v>
      </c>
      <c r="AP43">
        <v>49</v>
      </c>
      <c r="AQ43">
        <v>239.5918367347</v>
      </c>
      <c r="AR43">
        <v>12</v>
      </c>
      <c r="AS43">
        <v>110.3333333333</v>
      </c>
      <c r="AT43">
        <v>3</v>
      </c>
      <c r="AU43">
        <v>101</v>
      </c>
    </row>
    <row r="44" spans="6:49" x14ac:dyDescent="0.2">
      <c r="F44" t="s">
        <v>27</v>
      </c>
      <c r="G44">
        <v>3738</v>
      </c>
      <c r="H44">
        <v>2081</v>
      </c>
      <c r="I44">
        <v>184.1782796732</v>
      </c>
      <c r="J44">
        <v>595</v>
      </c>
      <c r="K44">
        <v>273.83697478990001</v>
      </c>
      <c r="L44">
        <v>1081</v>
      </c>
      <c r="M44">
        <v>295.81498612399997</v>
      </c>
      <c r="N44">
        <v>563</v>
      </c>
      <c r="O44">
        <v>264.22912966249999</v>
      </c>
      <c r="R44">
        <v>13</v>
      </c>
      <c r="S44">
        <v>263.15384615379998</v>
      </c>
      <c r="V44" t="s">
        <v>397</v>
      </c>
      <c r="W44">
        <v>5936</v>
      </c>
      <c r="X44">
        <v>4712</v>
      </c>
      <c r="Y44">
        <v>430.77631578950002</v>
      </c>
      <c r="Z44">
        <v>284</v>
      </c>
      <c r="AA44">
        <v>755.50352112680002</v>
      </c>
      <c r="AB44">
        <v>592</v>
      </c>
      <c r="AC44">
        <v>484.125</v>
      </c>
      <c r="AD44">
        <v>352</v>
      </c>
      <c r="AE44">
        <v>421.51704545450002</v>
      </c>
      <c r="AF44">
        <v>266</v>
      </c>
      <c r="AG44">
        <v>163.3308270677</v>
      </c>
      <c r="AH44">
        <v>14</v>
      </c>
      <c r="AI44">
        <v>434.28571428570001</v>
      </c>
      <c r="AL44" t="s">
        <v>397</v>
      </c>
      <c r="AM44">
        <v>163</v>
      </c>
      <c r="AN44">
        <v>143</v>
      </c>
      <c r="AO44">
        <v>366.04195804199998</v>
      </c>
      <c r="AP44">
        <v>17</v>
      </c>
      <c r="AQ44">
        <v>643.23529411760001</v>
      </c>
      <c r="AR44">
        <v>20</v>
      </c>
      <c r="AS44">
        <v>252.45</v>
      </c>
    </row>
    <row r="45" spans="6:49" x14ac:dyDescent="0.2">
      <c r="F45" t="s">
        <v>54</v>
      </c>
      <c r="G45">
        <v>5102</v>
      </c>
      <c r="H45">
        <v>4062</v>
      </c>
      <c r="I45">
        <v>480.2166420483</v>
      </c>
      <c r="J45">
        <v>135</v>
      </c>
      <c r="K45">
        <v>913.51111111110004</v>
      </c>
      <c r="L45">
        <v>561</v>
      </c>
      <c r="M45">
        <v>308.3868092692</v>
      </c>
      <c r="N45">
        <v>470</v>
      </c>
      <c r="O45">
        <v>655.0574468085</v>
      </c>
      <c r="R45">
        <v>9</v>
      </c>
      <c r="S45">
        <v>624</v>
      </c>
      <c r="V45" t="s">
        <v>399</v>
      </c>
      <c r="W45">
        <v>4544</v>
      </c>
      <c r="X45">
        <v>2701</v>
      </c>
      <c r="Y45">
        <v>321.92077008519999</v>
      </c>
      <c r="Z45">
        <v>244</v>
      </c>
      <c r="AA45">
        <v>621.02049180330005</v>
      </c>
      <c r="AB45">
        <v>1074</v>
      </c>
      <c r="AC45">
        <v>414.49627560520003</v>
      </c>
      <c r="AD45">
        <v>544</v>
      </c>
      <c r="AE45">
        <v>626.97794117650005</v>
      </c>
      <c r="AF45">
        <v>216</v>
      </c>
      <c r="AG45">
        <v>180.44444444440001</v>
      </c>
      <c r="AH45">
        <v>9</v>
      </c>
      <c r="AI45">
        <v>812</v>
      </c>
      <c r="AL45" t="s">
        <v>399</v>
      </c>
      <c r="AM45">
        <v>112</v>
      </c>
      <c r="AN45">
        <v>94</v>
      </c>
      <c r="AO45">
        <v>283.75531914890001</v>
      </c>
      <c r="AP45">
        <v>14</v>
      </c>
      <c r="AQ45">
        <v>401.57142857140002</v>
      </c>
      <c r="AR45">
        <v>18</v>
      </c>
      <c r="AS45">
        <v>342.6111111111</v>
      </c>
    </row>
    <row r="46" spans="6:49" x14ac:dyDescent="0.2">
      <c r="F46" t="s">
        <v>62</v>
      </c>
      <c r="G46">
        <v>5710</v>
      </c>
      <c r="H46">
        <v>4753</v>
      </c>
      <c r="I46">
        <v>431.20976225539999</v>
      </c>
      <c r="J46">
        <v>285</v>
      </c>
      <c r="K46">
        <v>766.61052631580003</v>
      </c>
      <c r="L46">
        <v>584</v>
      </c>
      <c r="M46">
        <v>466.66952054789999</v>
      </c>
      <c r="N46">
        <v>361</v>
      </c>
      <c r="O46">
        <v>423.7617728532</v>
      </c>
      <c r="R46">
        <v>12</v>
      </c>
      <c r="S46">
        <v>336</v>
      </c>
      <c r="V46" t="s">
        <v>395</v>
      </c>
      <c r="W46">
        <v>66040</v>
      </c>
      <c r="X46">
        <v>44229</v>
      </c>
      <c r="Y46">
        <v>418.16812498590002</v>
      </c>
      <c r="Z46">
        <v>3591</v>
      </c>
      <c r="AA46">
        <v>558.95878585349999</v>
      </c>
      <c r="AB46">
        <v>13948</v>
      </c>
      <c r="AC46">
        <v>643.58201892739999</v>
      </c>
      <c r="AD46">
        <v>4780</v>
      </c>
      <c r="AE46">
        <v>522.91297071129998</v>
      </c>
      <c r="AF46">
        <v>2965</v>
      </c>
      <c r="AG46">
        <v>185.20472175379999</v>
      </c>
      <c r="AH46">
        <v>118</v>
      </c>
      <c r="AI46">
        <v>459.37288135590001</v>
      </c>
      <c r="AL46" t="s">
        <v>395</v>
      </c>
      <c r="AM46">
        <v>919</v>
      </c>
      <c r="AN46">
        <v>730</v>
      </c>
      <c r="AO46">
        <v>237.24246575340001</v>
      </c>
      <c r="AP46">
        <v>315</v>
      </c>
      <c r="AQ46">
        <v>295.83809523809998</v>
      </c>
      <c r="AR46">
        <v>164</v>
      </c>
      <c r="AS46">
        <v>259.98170731710002</v>
      </c>
      <c r="AT46">
        <v>24</v>
      </c>
      <c r="AU46">
        <v>160.7916666667</v>
      </c>
      <c r="AV46">
        <v>1</v>
      </c>
      <c r="AW46">
        <v>2096</v>
      </c>
    </row>
    <row r="47" spans="6:49" x14ac:dyDescent="0.2">
      <c r="F47" t="s">
        <v>187</v>
      </c>
      <c r="G47">
        <v>274</v>
      </c>
      <c r="H47">
        <v>135</v>
      </c>
      <c r="I47">
        <v>177.19259259259999</v>
      </c>
      <c r="J47">
        <v>101</v>
      </c>
      <c r="K47">
        <v>244.1683168317</v>
      </c>
      <c r="L47">
        <v>78</v>
      </c>
      <c r="M47">
        <v>407.17948717949997</v>
      </c>
      <c r="N47">
        <v>61</v>
      </c>
      <c r="O47">
        <v>344.90163934430001</v>
      </c>
      <c r="V47" t="s">
        <v>426</v>
      </c>
      <c r="W47">
        <v>445</v>
      </c>
      <c r="X47">
        <v>279</v>
      </c>
      <c r="Y47">
        <v>298.35842293910002</v>
      </c>
      <c r="Z47">
        <v>35</v>
      </c>
      <c r="AA47">
        <v>414.65714285709998</v>
      </c>
      <c r="AB47">
        <v>66</v>
      </c>
      <c r="AC47">
        <v>472.59090909090003</v>
      </c>
      <c r="AD47">
        <v>66</v>
      </c>
      <c r="AE47">
        <v>315.45454545450002</v>
      </c>
      <c r="AF47">
        <v>34</v>
      </c>
      <c r="AG47">
        <v>227.5882352941</v>
      </c>
      <c r="AL47" t="s">
        <v>426</v>
      </c>
      <c r="AM47">
        <v>26</v>
      </c>
      <c r="AN47">
        <v>24</v>
      </c>
      <c r="AO47">
        <v>192.5833333333</v>
      </c>
      <c r="AP47">
        <v>6</v>
      </c>
      <c r="AQ47">
        <v>279.3333333333</v>
      </c>
      <c r="AR47">
        <v>1</v>
      </c>
      <c r="AS47">
        <v>38</v>
      </c>
      <c r="AT47">
        <v>1</v>
      </c>
      <c r="AU47">
        <v>213</v>
      </c>
    </row>
    <row r="48" spans="6:49" x14ac:dyDescent="0.2">
      <c r="F48" t="s">
        <v>73</v>
      </c>
      <c r="G48">
        <v>452</v>
      </c>
      <c r="H48">
        <v>267</v>
      </c>
      <c r="I48">
        <v>115.925093633</v>
      </c>
      <c r="J48">
        <v>220</v>
      </c>
      <c r="K48">
        <v>214.81363636360001</v>
      </c>
      <c r="L48">
        <v>74</v>
      </c>
      <c r="M48">
        <v>153.1351351351</v>
      </c>
      <c r="N48">
        <v>101</v>
      </c>
      <c r="O48">
        <v>184.04950495049999</v>
      </c>
      <c r="R48">
        <v>10</v>
      </c>
      <c r="S48">
        <v>272.3</v>
      </c>
      <c r="V48" t="s">
        <v>427</v>
      </c>
      <c r="W48">
        <v>184</v>
      </c>
      <c r="X48">
        <v>108</v>
      </c>
      <c r="Y48">
        <v>218.5</v>
      </c>
      <c r="Z48">
        <v>17</v>
      </c>
      <c r="AA48">
        <v>296.1176470588</v>
      </c>
      <c r="AB48">
        <v>23</v>
      </c>
      <c r="AC48">
        <v>413.39130434779997</v>
      </c>
      <c r="AD48">
        <v>29</v>
      </c>
      <c r="AE48">
        <v>386.72413793099997</v>
      </c>
      <c r="AF48">
        <v>24</v>
      </c>
      <c r="AG48">
        <v>147.2083333333</v>
      </c>
      <c r="AL48" t="s">
        <v>427</v>
      </c>
      <c r="AM48">
        <v>5</v>
      </c>
      <c r="AN48">
        <v>4</v>
      </c>
      <c r="AO48">
        <v>180</v>
      </c>
      <c r="AT48">
        <v>1</v>
      </c>
      <c r="AU48">
        <v>401</v>
      </c>
    </row>
    <row r="49" spans="6:51" x14ac:dyDescent="0.2">
      <c r="F49" t="s">
        <v>395</v>
      </c>
      <c r="G49">
        <v>63296</v>
      </c>
      <c r="H49">
        <v>44373</v>
      </c>
      <c r="I49">
        <v>418.05172064089999</v>
      </c>
      <c r="J49">
        <v>3577</v>
      </c>
      <c r="K49">
        <v>555.2161028795</v>
      </c>
      <c r="L49">
        <v>14018</v>
      </c>
      <c r="M49">
        <v>644.26301897559995</v>
      </c>
      <c r="N49">
        <v>4790</v>
      </c>
      <c r="O49">
        <v>523.36910229650005</v>
      </c>
      <c r="R49">
        <v>115</v>
      </c>
      <c r="S49">
        <v>449.72173913040001</v>
      </c>
      <c r="V49" t="s">
        <v>433</v>
      </c>
      <c r="W49">
        <v>474</v>
      </c>
      <c r="X49">
        <v>283</v>
      </c>
      <c r="Y49">
        <v>385.74911660779998</v>
      </c>
      <c r="Z49">
        <v>54</v>
      </c>
      <c r="AA49">
        <v>555.57407407410005</v>
      </c>
      <c r="AB49">
        <v>111</v>
      </c>
      <c r="AC49">
        <v>450.43243243239999</v>
      </c>
      <c r="AD49">
        <v>57</v>
      </c>
      <c r="AE49">
        <v>596.87719298249999</v>
      </c>
      <c r="AF49">
        <v>21</v>
      </c>
      <c r="AG49">
        <v>143.1428571429</v>
      </c>
      <c r="AH49">
        <v>2</v>
      </c>
      <c r="AI49">
        <v>127</v>
      </c>
      <c r="AL49" t="s">
        <v>433</v>
      </c>
      <c r="AM49">
        <v>17</v>
      </c>
      <c r="AN49">
        <v>13</v>
      </c>
      <c r="AO49">
        <v>225.1538461538</v>
      </c>
      <c r="AP49">
        <v>3</v>
      </c>
      <c r="AQ49">
        <v>239</v>
      </c>
      <c r="AR49">
        <v>1</v>
      </c>
      <c r="AS49">
        <v>93</v>
      </c>
      <c r="AT49">
        <v>3</v>
      </c>
      <c r="AU49">
        <v>327.6666666667</v>
      </c>
    </row>
    <row r="50" spans="6:51" x14ac:dyDescent="0.2">
      <c r="F50" t="s">
        <v>220</v>
      </c>
      <c r="G50">
        <v>1335</v>
      </c>
      <c r="H50">
        <v>970</v>
      </c>
      <c r="I50">
        <v>151.8721649485</v>
      </c>
      <c r="J50">
        <v>652</v>
      </c>
      <c r="K50">
        <v>251.60736196319999</v>
      </c>
      <c r="L50">
        <v>305</v>
      </c>
      <c r="M50">
        <v>230.6131147541</v>
      </c>
      <c r="N50">
        <v>60</v>
      </c>
      <c r="O50">
        <v>133.4166666667</v>
      </c>
      <c r="V50" t="s">
        <v>386</v>
      </c>
      <c r="W50">
        <v>5197</v>
      </c>
      <c r="X50">
        <v>3884</v>
      </c>
      <c r="Y50">
        <v>555.65679711639996</v>
      </c>
      <c r="Z50">
        <v>255</v>
      </c>
      <c r="AA50">
        <v>1030.9333333333</v>
      </c>
      <c r="AB50">
        <v>994</v>
      </c>
      <c r="AC50">
        <v>855.95171026160006</v>
      </c>
      <c r="AD50">
        <v>229</v>
      </c>
      <c r="AE50">
        <v>608.04366812230001</v>
      </c>
      <c r="AF50">
        <v>86</v>
      </c>
      <c r="AG50">
        <v>183.97674418599999</v>
      </c>
      <c r="AH50">
        <v>4</v>
      </c>
      <c r="AI50">
        <v>460.5</v>
      </c>
      <c r="AL50" t="s">
        <v>386</v>
      </c>
      <c r="AM50">
        <v>80</v>
      </c>
      <c r="AN50">
        <v>64</v>
      </c>
      <c r="AO50">
        <v>202.03125</v>
      </c>
      <c r="AP50">
        <v>16</v>
      </c>
      <c r="AQ50">
        <v>459.75</v>
      </c>
      <c r="AR50">
        <v>14</v>
      </c>
      <c r="AS50">
        <v>386.14285714290003</v>
      </c>
      <c r="AT50">
        <v>2</v>
      </c>
      <c r="AU50">
        <v>144.5</v>
      </c>
    </row>
    <row r="51" spans="6:51" x14ac:dyDescent="0.2">
      <c r="F51" t="s">
        <v>217</v>
      </c>
      <c r="G51">
        <v>2040</v>
      </c>
      <c r="H51">
        <v>1724</v>
      </c>
      <c r="I51">
        <v>313.10730858469998</v>
      </c>
      <c r="J51">
        <v>215</v>
      </c>
      <c r="K51">
        <v>576.10232558140001</v>
      </c>
      <c r="L51">
        <v>293</v>
      </c>
      <c r="M51">
        <v>361.91126279859998</v>
      </c>
      <c r="N51">
        <v>23</v>
      </c>
      <c r="O51">
        <v>112.6086956522</v>
      </c>
      <c r="V51" t="s">
        <v>63</v>
      </c>
      <c r="W51">
        <v>5338</v>
      </c>
      <c r="X51">
        <v>3525</v>
      </c>
      <c r="Y51">
        <v>300.79148936169997</v>
      </c>
      <c r="Z51">
        <v>677</v>
      </c>
      <c r="AA51">
        <v>469.39586410639998</v>
      </c>
      <c r="AB51">
        <v>878</v>
      </c>
      <c r="AC51">
        <v>367.17198177680001</v>
      </c>
      <c r="AD51">
        <v>596</v>
      </c>
      <c r="AE51">
        <v>599.1728187919</v>
      </c>
      <c r="AF51">
        <v>306</v>
      </c>
      <c r="AG51">
        <v>187.5751633987</v>
      </c>
      <c r="AH51">
        <v>33</v>
      </c>
      <c r="AI51">
        <v>544.36363636359999</v>
      </c>
      <c r="AL51" t="s">
        <v>63</v>
      </c>
      <c r="AM51">
        <v>255</v>
      </c>
      <c r="AN51">
        <v>209</v>
      </c>
      <c r="AO51">
        <v>256.13397129190002</v>
      </c>
      <c r="AP51">
        <v>41</v>
      </c>
      <c r="AQ51">
        <v>264.97560975610003</v>
      </c>
      <c r="AR51">
        <v>40</v>
      </c>
      <c r="AS51">
        <v>224.375</v>
      </c>
      <c r="AT51">
        <v>4</v>
      </c>
      <c r="AU51">
        <v>153.25</v>
      </c>
      <c r="AV51">
        <v>1</v>
      </c>
      <c r="AW51">
        <v>1615</v>
      </c>
      <c r="AX51">
        <v>1</v>
      </c>
      <c r="AY51">
        <v>845</v>
      </c>
    </row>
    <row r="52" spans="6:51" x14ac:dyDescent="0.2">
      <c r="F52" t="s">
        <v>218</v>
      </c>
      <c r="G52">
        <v>2601</v>
      </c>
      <c r="H52">
        <v>2199</v>
      </c>
      <c r="I52">
        <v>239.58208276490001</v>
      </c>
      <c r="J52">
        <v>422</v>
      </c>
      <c r="K52">
        <v>328.77251184829998</v>
      </c>
      <c r="L52">
        <v>313</v>
      </c>
      <c r="M52">
        <v>228.66453674120001</v>
      </c>
      <c r="N52">
        <v>88</v>
      </c>
      <c r="O52">
        <v>154.01136363640001</v>
      </c>
      <c r="R52">
        <v>1</v>
      </c>
      <c r="S52">
        <v>845</v>
      </c>
      <c r="V52" t="s">
        <v>388</v>
      </c>
      <c r="W52">
        <v>13337</v>
      </c>
      <c r="X52">
        <v>8433</v>
      </c>
      <c r="Y52">
        <v>347.62860192099998</v>
      </c>
      <c r="Z52">
        <v>535</v>
      </c>
      <c r="AA52">
        <v>755.21495327100001</v>
      </c>
      <c r="AB52">
        <v>3866</v>
      </c>
      <c r="AC52">
        <v>776.1885669943</v>
      </c>
      <c r="AD52">
        <v>700</v>
      </c>
      <c r="AE52">
        <v>516.07571428569997</v>
      </c>
      <c r="AF52">
        <v>337</v>
      </c>
      <c r="AG52">
        <v>168.79525222550001</v>
      </c>
      <c r="AH52">
        <v>1</v>
      </c>
      <c r="AI52">
        <v>302</v>
      </c>
      <c r="AL52" t="s">
        <v>388</v>
      </c>
      <c r="AM52">
        <v>160</v>
      </c>
      <c r="AN52">
        <v>132</v>
      </c>
      <c r="AO52">
        <v>238.5</v>
      </c>
      <c r="AP52">
        <v>29</v>
      </c>
      <c r="AQ52">
        <v>228.96551724139999</v>
      </c>
      <c r="AR52">
        <v>21</v>
      </c>
      <c r="AS52">
        <v>342.47619047619997</v>
      </c>
      <c r="AT52">
        <v>6</v>
      </c>
      <c r="AU52">
        <v>163.6666666667</v>
      </c>
      <c r="AV52">
        <v>1</v>
      </c>
      <c r="AW52">
        <v>186</v>
      </c>
    </row>
    <row r="53" spans="6:51" x14ac:dyDescent="0.2">
      <c r="F53" t="s">
        <v>472</v>
      </c>
      <c r="G53">
        <v>5976</v>
      </c>
      <c r="H53">
        <v>4893</v>
      </c>
      <c r="I53">
        <v>248.10014306150001</v>
      </c>
      <c r="J53">
        <v>1289</v>
      </c>
      <c r="K53">
        <v>330.99456943370001</v>
      </c>
      <c r="L53">
        <v>911</v>
      </c>
      <c r="M53">
        <v>272.17233808999998</v>
      </c>
      <c r="N53">
        <v>171</v>
      </c>
      <c r="O53">
        <v>141.216374269</v>
      </c>
      <c r="R53">
        <v>1</v>
      </c>
      <c r="S53">
        <v>845</v>
      </c>
      <c r="V53" t="s">
        <v>384</v>
      </c>
      <c r="W53">
        <v>4035</v>
      </c>
      <c r="X53">
        <v>2766</v>
      </c>
      <c r="Y53">
        <v>346.27982646420003</v>
      </c>
      <c r="Z53">
        <v>311</v>
      </c>
      <c r="AA53">
        <v>475.05466237939999</v>
      </c>
      <c r="AB53">
        <v>553</v>
      </c>
      <c r="AC53">
        <v>332.57504520800001</v>
      </c>
      <c r="AD53">
        <v>495</v>
      </c>
      <c r="AE53">
        <v>434.39595959600001</v>
      </c>
      <c r="AF53">
        <v>214</v>
      </c>
      <c r="AG53">
        <v>186.8271028037</v>
      </c>
      <c r="AH53">
        <v>7</v>
      </c>
      <c r="AI53">
        <v>288.42857142859998</v>
      </c>
      <c r="AL53" t="s">
        <v>384</v>
      </c>
      <c r="AM53">
        <v>175</v>
      </c>
      <c r="AN53">
        <v>139</v>
      </c>
      <c r="AO53">
        <v>215.82014388490001</v>
      </c>
      <c r="AP53">
        <v>21</v>
      </c>
      <c r="AQ53">
        <v>226.38095238099999</v>
      </c>
      <c r="AR53">
        <v>27</v>
      </c>
      <c r="AS53">
        <v>168.2222222222</v>
      </c>
      <c r="AT53">
        <v>7</v>
      </c>
      <c r="AU53">
        <v>241</v>
      </c>
      <c r="AV53">
        <v>2</v>
      </c>
      <c r="AW53">
        <v>951.5</v>
      </c>
    </row>
    <row r="54" spans="6:51" x14ac:dyDescent="0.2">
      <c r="F54" t="s">
        <v>81</v>
      </c>
      <c r="G54">
        <v>348</v>
      </c>
      <c r="H54">
        <v>241</v>
      </c>
      <c r="I54">
        <v>260.33195020749997</v>
      </c>
      <c r="J54">
        <v>38</v>
      </c>
      <c r="K54">
        <v>429.05263157889999</v>
      </c>
      <c r="L54">
        <v>48</v>
      </c>
      <c r="M54">
        <v>354.0208333333</v>
      </c>
      <c r="N54">
        <v>59</v>
      </c>
      <c r="O54">
        <v>258.93220338980001</v>
      </c>
      <c r="V54" t="s">
        <v>383</v>
      </c>
      <c r="W54">
        <v>1066</v>
      </c>
      <c r="X54">
        <v>558</v>
      </c>
      <c r="Y54">
        <v>225.17025089609999</v>
      </c>
      <c r="Z54">
        <v>163</v>
      </c>
      <c r="AA54">
        <v>297.12269938650002</v>
      </c>
      <c r="AB54">
        <v>240</v>
      </c>
      <c r="AC54">
        <v>229.3958333333</v>
      </c>
      <c r="AD54">
        <v>140</v>
      </c>
      <c r="AE54">
        <v>284.17142857139999</v>
      </c>
      <c r="AF54">
        <v>127</v>
      </c>
      <c r="AG54">
        <v>176.68503937009999</v>
      </c>
      <c r="AH54">
        <v>1</v>
      </c>
      <c r="AI54">
        <v>43</v>
      </c>
      <c r="AL54" t="s">
        <v>383</v>
      </c>
      <c r="AM54">
        <v>56</v>
      </c>
      <c r="AN54">
        <v>51</v>
      </c>
      <c r="AO54">
        <v>197.8039215686</v>
      </c>
      <c r="AP54">
        <v>4</v>
      </c>
      <c r="AQ54">
        <v>642.5</v>
      </c>
      <c r="AR54">
        <v>5</v>
      </c>
      <c r="AS54">
        <v>113.4</v>
      </c>
    </row>
    <row r="55" spans="6:51" x14ac:dyDescent="0.2">
      <c r="F55" t="s">
        <v>38</v>
      </c>
      <c r="G55">
        <v>3478</v>
      </c>
      <c r="H55">
        <v>2354</v>
      </c>
      <c r="I55">
        <v>507.96261682239998</v>
      </c>
      <c r="J55">
        <v>243</v>
      </c>
      <c r="K55">
        <v>776.27572016459999</v>
      </c>
      <c r="L55">
        <v>813</v>
      </c>
      <c r="M55">
        <v>733.61623616240001</v>
      </c>
      <c r="N55">
        <v>311</v>
      </c>
      <c r="O55">
        <v>689.25080385850003</v>
      </c>
      <c r="V55" t="s">
        <v>385</v>
      </c>
      <c r="W55">
        <v>6319</v>
      </c>
      <c r="X55">
        <v>4147</v>
      </c>
      <c r="Y55">
        <v>380.16952013500003</v>
      </c>
      <c r="Z55">
        <v>404</v>
      </c>
      <c r="AA55">
        <v>516.67574257429999</v>
      </c>
      <c r="AB55">
        <v>934</v>
      </c>
      <c r="AC55">
        <v>541.78479657390005</v>
      </c>
      <c r="AD55">
        <v>889</v>
      </c>
      <c r="AE55">
        <v>638.56805399330005</v>
      </c>
      <c r="AF55">
        <v>342</v>
      </c>
      <c r="AG55">
        <v>171.84795321639999</v>
      </c>
      <c r="AH55">
        <v>7</v>
      </c>
      <c r="AI55">
        <v>441.42857142859998</v>
      </c>
      <c r="AL55" t="s">
        <v>385</v>
      </c>
      <c r="AM55">
        <v>276</v>
      </c>
      <c r="AN55">
        <v>227</v>
      </c>
      <c r="AO55">
        <v>227.0837004405</v>
      </c>
      <c r="AP55">
        <v>43</v>
      </c>
      <c r="AQ55">
        <v>329.44186046509998</v>
      </c>
      <c r="AR55">
        <v>35</v>
      </c>
      <c r="AS55">
        <v>270.8</v>
      </c>
      <c r="AT55">
        <v>10</v>
      </c>
      <c r="AU55">
        <v>166.6</v>
      </c>
      <c r="AV55">
        <v>4</v>
      </c>
      <c r="AW55">
        <v>140</v>
      </c>
    </row>
    <row r="56" spans="6:51" x14ac:dyDescent="0.2">
      <c r="F56" t="s">
        <v>64</v>
      </c>
      <c r="G56">
        <v>2692</v>
      </c>
      <c r="H56">
        <v>2096</v>
      </c>
      <c r="I56">
        <v>365.69990458019998</v>
      </c>
      <c r="J56">
        <v>167</v>
      </c>
      <c r="K56">
        <v>565.05988023949999</v>
      </c>
      <c r="L56">
        <v>251</v>
      </c>
      <c r="M56">
        <v>112.7490039841</v>
      </c>
      <c r="N56">
        <v>344</v>
      </c>
      <c r="O56">
        <v>353.26453488369998</v>
      </c>
      <c r="R56">
        <v>1</v>
      </c>
      <c r="S56">
        <v>746</v>
      </c>
      <c r="V56" t="s">
        <v>382</v>
      </c>
      <c r="W56">
        <v>315</v>
      </c>
      <c r="X56">
        <v>133</v>
      </c>
      <c r="Y56">
        <v>139.2255639098</v>
      </c>
      <c r="Z56">
        <v>96</v>
      </c>
      <c r="AA56">
        <v>234.5833333333</v>
      </c>
      <c r="AB56">
        <v>74</v>
      </c>
      <c r="AC56">
        <v>149.94594594590001</v>
      </c>
      <c r="AD56">
        <v>44</v>
      </c>
      <c r="AE56">
        <v>189.2272727273</v>
      </c>
      <c r="AF56">
        <v>62</v>
      </c>
      <c r="AG56">
        <v>143.5806451613</v>
      </c>
      <c r="AH56">
        <v>2</v>
      </c>
      <c r="AI56">
        <v>222.5</v>
      </c>
      <c r="AL56" t="s">
        <v>382</v>
      </c>
      <c r="AM56">
        <v>23</v>
      </c>
      <c r="AN56">
        <v>17</v>
      </c>
      <c r="AO56">
        <v>218.4705882353</v>
      </c>
      <c r="AP56">
        <v>1</v>
      </c>
      <c r="AQ56">
        <v>110</v>
      </c>
      <c r="AR56">
        <v>4</v>
      </c>
      <c r="AS56">
        <v>234.5</v>
      </c>
      <c r="AT56">
        <v>2</v>
      </c>
      <c r="AU56">
        <v>20.5</v>
      </c>
    </row>
    <row r="57" spans="6:51" x14ac:dyDescent="0.2">
      <c r="F57" t="s">
        <v>24</v>
      </c>
      <c r="G57">
        <v>1715</v>
      </c>
      <c r="H57">
        <v>1037</v>
      </c>
      <c r="I57">
        <v>242.86981677919999</v>
      </c>
      <c r="J57">
        <v>323</v>
      </c>
      <c r="K57">
        <v>270.38390092880002</v>
      </c>
      <c r="L57">
        <v>470</v>
      </c>
      <c r="M57">
        <v>356.05957446809998</v>
      </c>
      <c r="N57">
        <v>200</v>
      </c>
      <c r="O57">
        <v>513.61500000000001</v>
      </c>
      <c r="R57">
        <v>8</v>
      </c>
      <c r="S57">
        <v>387</v>
      </c>
      <c r="V57" t="s">
        <v>381</v>
      </c>
      <c r="W57">
        <v>3536</v>
      </c>
      <c r="X57">
        <v>2196</v>
      </c>
      <c r="Y57">
        <v>507.48360655739998</v>
      </c>
      <c r="Z57">
        <v>329</v>
      </c>
      <c r="AA57">
        <v>607.08206686929998</v>
      </c>
      <c r="AB57">
        <v>858</v>
      </c>
      <c r="AC57">
        <v>651.82051282049997</v>
      </c>
      <c r="AD57">
        <v>344</v>
      </c>
      <c r="AE57">
        <v>632.86046511630002</v>
      </c>
      <c r="AF57">
        <v>138</v>
      </c>
      <c r="AG57">
        <v>205.80434782610001</v>
      </c>
      <c r="AL57" t="s">
        <v>381</v>
      </c>
      <c r="AM57">
        <v>117</v>
      </c>
      <c r="AN57">
        <v>100</v>
      </c>
      <c r="AO57">
        <v>277.73</v>
      </c>
      <c r="AP57">
        <v>20</v>
      </c>
      <c r="AQ57">
        <v>403.9</v>
      </c>
      <c r="AR57">
        <v>12</v>
      </c>
      <c r="AS57">
        <v>269.5</v>
      </c>
      <c r="AT57">
        <v>5</v>
      </c>
      <c r="AU57">
        <v>139</v>
      </c>
    </row>
    <row r="58" spans="6:51" x14ac:dyDescent="0.2">
      <c r="F58" t="s">
        <v>72</v>
      </c>
      <c r="G58">
        <v>13397</v>
      </c>
      <c r="H58">
        <v>8583</v>
      </c>
      <c r="I58">
        <v>340.18198765</v>
      </c>
      <c r="J58">
        <v>542</v>
      </c>
      <c r="K58">
        <v>770.07749077489996</v>
      </c>
      <c r="L58">
        <v>4114</v>
      </c>
      <c r="M58">
        <v>784.09625668449996</v>
      </c>
      <c r="N58">
        <v>699</v>
      </c>
      <c r="O58">
        <v>515.46351931330003</v>
      </c>
      <c r="R58">
        <v>1</v>
      </c>
      <c r="S58">
        <v>302</v>
      </c>
      <c r="V58" t="s">
        <v>425</v>
      </c>
      <c r="W58">
        <v>735</v>
      </c>
      <c r="X58">
        <v>597</v>
      </c>
      <c r="Y58">
        <v>374.15075376879997</v>
      </c>
      <c r="Z58">
        <v>91</v>
      </c>
      <c r="AA58">
        <v>757.28571428570001</v>
      </c>
      <c r="AB58">
        <v>37</v>
      </c>
      <c r="AC58">
        <v>312.08108108110002</v>
      </c>
      <c r="AD58">
        <v>54</v>
      </c>
      <c r="AE58">
        <v>306.2777777778</v>
      </c>
      <c r="AF58">
        <v>47</v>
      </c>
      <c r="AG58">
        <v>268.6595744681</v>
      </c>
      <c r="AL58" t="s">
        <v>425</v>
      </c>
      <c r="AM58">
        <v>22</v>
      </c>
      <c r="AN58">
        <v>20</v>
      </c>
      <c r="AO58">
        <v>233.45</v>
      </c>
      <c r="AP58">
        <v>1</v>
      </c>
      <c r="AQ58">
        <v>183</v>
      </c>
      <c r="AR58">
        <v>2</v>
      </c>
      <c r="AS58">
        <v>127.5</v>
      </c>
    </row>
    <row r="59" spans="6:51" x14ac:dyDescent="0.2">
      <c r="F59" t="s">
        <v>47</v>
      </c>
      <c r="G59">
        <v>874</v>
      </c>
      <c r="H59">
        <v>520</v>
      </c>
      <c r="I59">
        <v>202.43653846149999</v>
      </c>
      <c r="J59">
        <v>156</v>
      </c>
      <c r="K59">
        <v>289.67307692309998</v>
      </c>
      <c r="L59">
        <v>227</v>
      </c>
      <c r="M59">
        <v>207.40088105730001</v>
      </c>
      <c r="N59">
        <v>126</v>
      </c>
      <c r="O59">
        <v>247.10317460319999</v>
      </c>
      <c r="R59">
        <v>1</v>
      </c>
      <c r="S59">
        <v>43</v>
      </c>
      <c r="V59" t="s">
        <v>389</v>
      </c>
      <c r="W59">
        <v>2364</v>
      </c>
      <c r="X59">
        <v>1504</v>
      </c>
      <c r="Y59">
        <v>374.17819148939998</v>
      </c>
      <c r="Z59">
        <v>393</v>
      </c>
      <c r="AA59">
        <v>453.9923664122</v>
      </c>
      <c r="AB59">
        <v>206</v>
      </c>
      <c r="AC59">
        <v>251.05825242719999</v>
      </c>
      <c r="AD59">
        <v>474</v>
      </c>
      <c r="AE59">
        <v>436.13080168779999</v>
      </c>
      <c r="AF59">
        <v>177</v>
      </c>
      <c r="AG59">
        <v>158.3446327684</v>
      </c>
      <c r="AH59">
        <v>3</v>
      </c>
      <c r="AI59">
        <v>469.6666666667</v>
      </c>
      <c r="AL59" t="s">
        <v>389</v>
      </c>
      <c r="AM59">
        <v>44</v>
      </c>
      <c r="AN59">
        <v>32</v>
      </c>
      <c r="AO59">
        <v>191.78125</v>
      </c>
      <c r="AP59">
        <v>10</v>
      </c>
      <c r="AQ59">
        <v>244.4</v>
      </c>
      <c r="AR59">
        <v>9</v>
      </c>
      <c r="AS59">
        <v>130.6666666667</v>
      </c>
      <c r="AT59">
        <v>3</v>
      </c>
      <c r="AU59">
        <v>76</v>
      </c>
    </row>
    <row r="60" spans="6:51" x14ac:dyDescent="0.2">
      <c r="F60" t="s">
        <v>63</v>
      </c>
      <c r="G60">
        <v>3277</v>
      </c>
      <c r="H60">
        <v>2442</v>
      </c>
      <c r="I60">
        <v>314.85544635539998</v>
      </c>
      <c r="J60">
        <v>362</v>
      </c>
      <c r="K60">
        <v>657.88950276239996</v>
      </c>
      <c r="L60">
        <v>388</v>
      </c>
      <c r="M60">
        <v>347.54896907220001</v>
      </c>
      <c r="N60">
        <v>422</v>
      </c>
      <c r="O60">
        <v>637.5687203791</v>
      </c>
      <c r="R60">
        <v>25</v>
      </c>
      <c r="S60">
        <v>594.72</v>
      </c>
      <c r="V60" t="s">
        <v>392</v>
      </c>
      <c r="W60">
        <v>9929</v>
      </c>
      <c r="X60">
        <v>7058</v>
      </c>
      <c r="Y60">
        <v>276.44672711819999</v>
      </c>
      <c r="Z60">
        <v>792</v>
      </c>
      <c r="AA60">
        <v>486.31439393940002</v>
      </c>
      <c r="AB60">
        <v>1333</v>
      </c>
      <c r="AC60">
        <v>232.4021005251</v>
      </c>
      <c r="AD60">
        <v>922</v>
      </c>
      <c r="AE60">
        <v>386.16377440349999</v>
      </c>
      <c r="AF60">
        <v>595</v>
      </c>
      <c r="AG60">
        <v>161.79327731090001</v>
      </c>
      <c r="AH60">
        <v>21</v>
      </c>
      <c r="AI60">
        <v>265.47619047619997</v>
      </c>
      <c r="AL60" t="s">
        <v>392</v>
      </c>
      <c r="AM60">
        <v>233</v>
      </c>
      <c r="AN60">
        <v>202</v>
      </c>
      <c r="AO60">
        <v>204.64851485150001</v>
      </c>
      <c r="AP60">
        <v>32</v>
      </c>
      <c r="AQ60">
        <v>348.34375</v>
      </c>
      <c r="AR60">
        <v>18</v>
      </c>
      <c r="AS60">
        <v>233.8888888889</v>
      </c>
      <c r="AT60">
        <v>10</v>
      </c>
      <c r="AU60">
        <v>179.3</v>
      </c>
      <c r="AV60">
        <v>3</v>
      </c>
      <c r="AW60">
        <v>198</v>
      </c>
    </row>
    <row r="61" spans="6:51" x14ac:dyDescent="0.2">
      <c r="F61" t="s">
        <v>36</v>
      </c>
      <c r="G61">
        <v>5360</v>
      </c>
      <c r="H61">
        <v>4068</v>
      </c>
      <c r="I61">
        <v>571.77900688299997</v>
      </c>
      <c r="J61">
        <v>257</v>
      </c>
      <c r="K61">
        <v>1081.7470817121</v>
      </c>
      <c r="L61">
        <v>1041</v>
      </c>
      <c r="M61">
        <v>867.41114313160006</v>
      </c>
      <c r="N61">
        <v>247</v>
      </c>
      <c r="O61">
        <v>642.14170040490001</v>
      </c>
      <c r="R61">
        <v>4</v>
      </c>
      <c r="S61">
        <v>560.75</v>
      </c>
      <c r="V61" t="s">
        <v>424</v>
      </c>
      <c r="W61">
        <v>525</v>
      </c>
      <c r="X61">
        <v>307</v>
      </c>
      <c r="Y61">
        <v>349.38436482079999</v>
      </c>
      <c r="Z61">
        <v>29</v>
      </c>
      <c r="AA61">
        <v>1060.6551724138001</v>
      </c>
      <c r="AB61">
        <v>170</v>
      </c>
      <c r="AC61">
        <v>866.0588235294</v>
      </c>
      <c r="AD61">
        <v>32</v>
      </c>
      <c r="AE61">
        <v>535.1875</v>
      </c>
      <c r="AF61">
        <v>16</v>
      </c>
      <c r="AG61">
        <v>153.375</v>
      </c>
      <c r="AL61" t="s">
        <v>424</v>
      </c>
      <c r="AM61">
        <v>11</v>
      </c>
      <c r="AN61">
        <v>11</v>
      </c>
      <c r="AO61">
        <v>125.54545454549999</v>
      </c>
      <c r="AP61">
        <v>1</v>
      </c>
      <c r="AQ61">
        <v>122</v>
      </c>
    </row>
    <row r="62" spans="6:51" x14ac:dyDescent="0.2">
      <c r="F62" t="s">
        <v>50</v>
      </c>
      <c r="G62">
        <v>1970</v>
      </c>
      <c r="H62">
        <v>1348</v>
      </c>
      <c r="I62">
        <v>356.3672106825</v>
      </c>
      <c r="J62">
        <v>400</v>
      </c>
      <c r="K62">
        <v>474.44499999999999</v>
      </c>
      <c r="L62">
        <v>170</v>
      </c>
      <c r="M62">
        <v>144.44705882349999</v>
      </c>
      <c r="N62">
        <v>449</v>
      </c>
      <c r="O62">
        <v>404.14476614699998</v>
      </c>
      <c r="R62">
        <v>3</v>
      </c>
      <c r="S62">
        <v>469.6666666667</v>
      </c>
      <c r="V62" t="s">
        <v>379</v>
      </c>
      <c r="W62">
        <v>53799</v>
      </c>
      <c r="X62">
        <v>35778</v>
      </c>
      <c r="Y62">
        <v>363.45080775899999</v>
      </c>
      <c r="Z62">
        <v>4181</v>
      </c>
      <c r="AA62">
        <v>556.00789284860002</v>
      </c>
      <c r="AB62">
        <v>10343</v>
      </c>
      <c r="AC62">
        <v>589.79754423279996</v>
      </c>
      <c r="AD62">
        <v>5071</v>
      </c>
      <c r="AE62">
        <v>506.53125616249997</v>
      </c>
      <c r="AF62">
        <v>2526</v>
      </c>
      <c r="AG62">
        <v>175.0795724466</v>
      </c>
      <c r="AH62">
        <v>81</v>
      </c>
      <c r="AI62">
        <v>406.7037037037</v>
      </c>
      <c r="AL62" t="s">
        <v>379</v>
      </c>
      <c r="AM62">
        <v>1500</v>
      </c>
      <c r="AN62">
        <v>1245</v>
      </c>
      <c r="AO62">
        <v>227.19759036139999</v>
      </c>
      <c r="AP62">
        <v>228</v>
      </c>
      <c r="AQ62">
        <v>310.64473684209997</v>
      </c>
      <c r="AR62">
        <v>189</v>
      </c>
      <c r="AS62">
        <v>243.93650793649999</v>
      </c>
      <c r="AT62">
        <v>54</v>
      </c>
      <c r="AU62">
        <v>177.6111111111</v>
      </c>
      <c r="AV62">
        <v>11</v>
      </c>
      <c r="AW62">
        <v>441.63636363640001</v>
      </c>
      <c r="AX62">
        <v>1</v>
      </c>
      <c r="AY62">
        <v>845</v>
      </c>
    </row>
    <row r="63" spans="6:51" x14ac:dyDescent="0.2">
      <c r="F63" t="s">
        <v>57</v>
      </c>
      <c r="G63">
        <v>667</v>
      </c>
      <c r="H63">
        <v>578</v>
      </c>
      <c r="I63">
        <v>368.05363321800002</v>
      </c>
      <c r="J63">
        <v>89</v>
      </c>
      <c r="K63">
        <v>781.33707865170004</v>
      </c>
      <c r="L63">
        <v>30</v>
      </c>
      <c r="M63">
        <v>120.7</v>
      </c>
      <c r="N63">
        <v>59</v>
      </c>
      <c r="O63">
        <v>278.1355932203</v>
      </c>
      <c r="V63" t="s">
        <v>715</v>
      </c>
      <c r="W63">
        <v>301951</v>
      </c>
      <c r="X63">
        <v>208665</v>
      </c>
      <c r="Y63">
        <v>402.0694654111</v>
      </c>
      <c r="Z63">
        <v>18333</v>
      </c>
      <c r="AA63">
        <v>573.5470463099</v>
      </c>
      <c r="AB63">
        <v>56748</v>
      </c>
      <c r="AC63">
        <v>623.81900683720005</v>
      </c>
      <c r="AD63">
        <v>23079</v>
      </c>
      <c r="AE63">
        <v>530.66839984399996</v>
      </c>
      <c r="AF63">
        <v>13071</v>
      </c>
      <c r="AG63">
        <v>179.00726799789999</v>
      </c>
      <c r="AH63">
        <v>388</v>
      </c>
      <c r="AI63">
        <v>465.79381443300002</v>
      </c>
      <c r="AL63" t="s">
        <v>715</v>
      </c>
      <c r="AM63">
        <v>6004</v>
      </c>
      <c r="AN63">
        <v>4893</v>
      </c>
      <c r="AO63">
        <v>248.10014306150001</v>
      </c>
      <c r="AP63">
        <v>1289</v>
      </c>
      <c r="AQ63">
        <v>330.99456943370001</v>
      </c>
      <c r="AR63">
        <v>911</v>
      </c>
      <c r="AS63">
        <v>272.17233808999998</v>
      </c>
      <c r="AT63">
        <v>171</v>
      </c>
      <c r="AU63">
        <v>141.216374269</v>
      </c>
      <c r="AV63">
        <v>28</v>
      </c>
      <c r="AW63">
        <v>352.96428571429999</v>
      </c>
      <c r="AX63">
        <v>1</v>
      </c>
      <c r="AY63">
        <v>845</v>
      </c>
    </row>
    <row r="64" spans="6:51" x14ac:dyDescent="0.2">
      <c r="F64" t="s">
        <v>68</v>
      </c>
      <c r="G64">
        <v>4691</v>
      </c>
      <c r="H64">
        <v>3549</v>
      </c>
      <c r="I64">
        <v>546.28092420400003</v>
      </c>
      <c r="J64">
        <v>109</v>
      </c>
      <c r="K64">
        <v>870.26605504589998</v>
      </c>
      <c r="L64">
        <v>289</v>
      </c>
      <c r="M64">
        <v>648.1626297578</v>
      </c>
      <c r="N64">
        <v>850</v>
      </c>
      <c r="O64">
        <v>860.5</v>
      </c>
      <c r="R64">
        <v>3</v>
      </c>
      <c r="S64">
        <v>572.66666666670005</v>
      </c>
    </row>
    <row r="65" spans="6:19" x14ac:dyDescent="0.2">
      <c r="F65" t="s">
        <v>70</v>
      </c>
      <c r="G65">
        <v>467</v>
      </c>
      <c r="H65">
        <v>238</v>
      </c>
      <c r="I65">
        <v>112.6470588235</v>
      </c>
      <c r="J65">
        <v>183</v>
      </c>
      <c r="K65">
        <v>208.93989071039999</v>
      </c>
      <c r="L65">
        <v>149</v>
      </c>
      <c r="M65">
        <v>120.0469798658</v>
      </c>
      <c r="N65">
        <v>78</v>
      </c>
      <c r="O65">
        <v>188.4615384615</v>
      </c>
      <c r="R65">
        <v>2</v>
      </c>
      <c r="S65">
        <v>222.5</v>
      </c>
    </row>
    <row r="66" spans="6:19" x14ac:dyDescent="0.2">
      <c r="F66" t="s">
        <v>85</v>
      </c>
      <c r="G66">
        <v>193</v>
      </c>
      <c r="H66">
        <v>65</v>
      </c>
      <c r="I66">
        <v>943.35384615379996</v>
      </c>
      <c r="J66">
        <v>20</v>
      </c>
      <c r="K66">
        <v>1001.15</v>
      </c>
      <c r="L66">
        <v>72</v>
      </c>
      <c r="M66">
        <v>561.5</v>
      </c>
      <c r="N66">
        <v>55</v>
      </c>
      <c r="O66">
        <v>611.90909090909997</v>
      </c>
      <c r="R66">
        <v>1</v>
      </c>
      <c r="S66">
        <v>215</v>
      </c>
    </row>
    <row r="67" spans="6:19" x14ac:dyDescent="0.2">
      <c r="F67" t="s">
        <v>66</v>
      </c>
      <c r="G67">
        <v>4605</v>
      </c>
      <c r="H67">
        <v>2937</v>
      </c>
      <c r="I67">
        <v>245.4712291454</v>
      </c>
      <c r="J67">
        <v>502</v>
      </c>
      <c r="K67">
        <v>393.08565737049997</v>
      </c>
      <c r="L67">
        <v>1058</v>
      </c>
      <c r="M67">
        <v>496.93100189040001</v>
      </c>
      <c r="N67">
        <v>598</v>
      </c>
      <c r="O67">
        <v>573.92140468230002</v>
      </c>
      <c r="R67">
        <v>12</v>
      </c>
      <c r="S67">
        <v>259.0833333333</v>
      </c>
    </row>
    <row r="68" spans="6:19" x14ac:dyDescent="0.2">
      <c r="F68" t="s">
        <v>440</v>
      </c>
      <c r="G68">
        <v>4</v>
      </c>
      <c r="H68">
        <v>2</v>
      </c>
      <c r="I68">
        <v>430</v>
      </c>
      <c r="N68">
        <v>1</v>
      </c>
      <c r="O68">
        <v>52</v>
      </c>
      <c r="R68">
        <v>1</v>
      </c>
      <c r="S68">
        <v>171</v>
      </c>
    </row>
    <row r="69" spans="6:19" x14ac:dyDescent="0.2">
      <c r="F69" t="s">
        <v>86</v>
      </c>
      <c r="G69">
        <v>9033</v>
      </c>
      <c r="H69">
        <v>6855</v>
      </c>
      <c r="I69">
        <v>266.61765134939998</v>
      </c>
      <c r="J69">
        <v>780</v>
      </c>
      <c r="K69">
        <v>486.38076923080001</v>
      </c>
      <c r="L69">
        <v>1254</v>
      </c>
      <c r="M69">
        <v>189.75757575759999</v>
      </c>
      <c r="N69">
        <v>903</v>
      </c>
      <c r="O69">
        <v>374.99224806199999</v>
      </c>
      <c r="R69">
        <v>21</v>
      </c>
      <c r="S69">
        <v>265.47619047619997</v>
      </c>
    </row>
    <row r="70" spans="6:19" x14ac:dyDescent="0.2">
      <c r="F70" t="s">
        <v>141</v>
      </c>
      <c r="G70">
        <v>184</v>
      </c>
      <c r="H70">
        <v>103</v>
      </c>
      <c r="I70">
        <v>202.35922330099999</v>
      </c>
      <c r="J70">
        <v>18</v>
      </c>
      <c r="K70">
        <v>294.1111111111</v>
      </c>
      <c r="L70">
        <v>36</v>
      </c>
      <c r="M70">
        <v>574.83333333329995</v>
      </c>
      <c r="N70">
        <v>45</v>
      </c>
      <c r="O70">
        <v>491.2</v>
      </c>
    </row>
    <row r="71" spans="6:19" x14ac:dyDescent="0.2">
      <c r="F71" t="s">
        <v>379</v>
      </c>
      <c r="G71">
        <v>52955</v>
      </c>
      <c r="H71">
        <v>37016</v>
      </c>
      <c r="I71">
        <v>369.7612653987</v>
      </c>
      <c r="J71">
        <v>4189</v>
      </c>
      <c r="K71">
        <v>563.3346860826</v>
      </c>
      <c r="L71">
        <v>10410</v>
      </c>
      <c r="M71">
        <v>593.4640730067</v>
      </c>
      <c r="N71">
        <v>5446</v>
      </c>
      <c r="O71">
        <v>542.52974660300004</v>
      </c>
      <c r="R71">
        <v>83</v>
      </c>
      <c r="S71">
        <v>408.91566265059998</v>
      </c>
    </row>
    <row r="72" spans="6:19" x14ac:dyDescent="0.2">
      <c r="F72" t="s">
        <v>715</v>
      </c>
      <c r="G72">
        <v>307955</v>
      </c>
      <c r="H72">
        <v>213558</v>
      </c>
      <c r="I72">
        <v>398.54174978229997</v>
      </c>
      <c r="J72">
        <v>19622</v>
      </c>
      <c r="K72">
        <v>557.61339313020005</v>
      </c>
      <c r="L72">
        <v>57659</v>
      </c>
      <c r="M72">
        <v>618.26306387550005</v>
      </c>
      <c r="N72">
        <v>23250</v>
      </c>
      <c r="O72">
        <v>527.8040430108</v>
      </c>
      <c r="P72">
        <v>13099</v>
      </c>
      <c r="Q72">
        <v>179.37911290939999</v>
      </c>
      <c r="R72">
        <v>389</v>
      </c>
      <c r="S72">
        <v>466.7686375321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4"/>
  <sheetViews>
    <sheetView zoomScale="85" zoomScaleNormal="85" workbookViewId="0"/>
  </sheetViews>
  <sheetFormatPr defaultRowHeight="12.75" x14ac:dyDescent="0.2"/>
  <cols>
    <col min="2" max="2" width="24.140625" bestFit="1" customWidth="1"/>
    <col min="3" max="3" width="12.28515625" bestFit="1" customWidth="1"/>
    <col min="4" max="4" width="15.42578125" bestFit="1" customWidth="1"/>
    <col min="5" max="5" width="6.28515625" bestFit="1" customWidth="1"/>
    <col min="6" max="6" width="30.140625" bestFit="1" customWidth="1"/>
    <col min="7" max="7" width="33.42578125" bestFit="1" customWidth="1"/>
    <col min="8" max="8" width="34.5703125" bestFit="1" customWidth="1"/>
    <col min="9" max="9" width="28.5703125" bestFit="1" customWidth="1"/>
    <col min="10" max="10" width="34.42578125" bestFit="1" customWidth="1"/>
    <col min="11" max="11" width="25.28515625" bestFit="1" customWidth="1"/>
    <col min="12" max="12" width="32" bestFit="1" customWidth="1"/>
    <col min="13" max="13" width="33" bestFit="1" customWidth="1"/>
    <col min="14" max="14" width="24" bestFit="1" customWidth="1"/>
    <col min="15" max="15" width="32.85546875" bestFit="1" customWidth="1"/>
    <col min="16" max="16" width="24" bestFit="1" customWidth="1"/>
    <col min="17" max="19" width="12.7109375" bestFit="1" customWidth="1"/>
  </cols>
  <sheetData>
    <row r="2" spans="2:16" x14ac:dyDescent="0.2">
      <c r="B2" t="s">
        <v>945</v>
      </c>
      <c r="C2" t="s">
        <v>512</v>
      </c>
      <c r="D2" t="s">
        <v>935</v>
      </c>
      <c r="E2" t="s">
        <v>936</v>
      </c>
      <c r="F2" t="s">
        <v>937</v>
      </c>
      <c r="G2" t="s">
        <v>938</v>
      </c>
      <c r="H2" t="s">
        <v>940</v>
      </c>
      <c r="I2" t="s">
        <v>941</v>
      </c>
      <c r="J2" t="s">
        <v>942</v>
      </c>
      <c r="K2" t="s">
        <v>943</v>
      </c>
      <c r="L2" t="s">
        <v>939</v>
      </c>
      <c r="M2" t="s">
        <v>949</v>
      </c>
      <c r="N2" t="s">
        <v>950</v>
      </c>
      <c r="O2" t="s">
        <v>951</v>
      </c>
      <c r="P2" t="s">
        <v>952</v>
      </c>
    </row>
    <row r="3" spans="2:16" x14ac:dyDescent="0.2">
      <c r="B3" t="s">
        <v>535</v>
      </c>
      <c r="C3" t="s">
        <v>379</v>
      </c>
      <c r="D3" s="18">
        <v>42172</v>
      </c>
      <c r="E3" t="s">
        <v>144</v>
      </c>
      <c r="F3" s="19">
        <v>0.94380649199729905</v>
      </c>
      <c r="G3" s="19">
        <v>0.89254704199909662</v>
      </c>
      <c r="H3" s="19">
        <v>0.90507961152224692</v>
      </c>
      <c r="I3" s="19">
        <v>4.2516139834241858E-2</v>
      </c>
      <c r="J3" s="19">
        <v>0.89503876121664161</v>
      </c>
      <c r="K3" s="19">
        <v>4.5780591180819244E-2</v>
      </c>
      <c r="L3" s="19"/>
      <c r="M3" s="19"/>
      <c r="N3" s="19"/>
      <c r="O3" s="19"/>
      <c r="P3" s="19"/>
    </row>
    <row r="4" spans="2:16" x14ac:dyDescent="0.2">
      <c r="B4" t="s">
        <v>541</v>
      </c>
      <c r="C4" t="s">
        <v>379</v>
      </c>
      <c r="D4" s="18">
        <v>42172</v>
      </c>
      <c r="E4" t="s">
        <v>147</v>
      </c>
      <c r="F4" s="19">
        <v>0.95362548688336601</v>
      </c>
      <c r="G4" s="19">
        <v>0.88282261545101415</v>
      </c>
      <c r="H4" s="19">
        <v>0.86581783171170357</v>
      </c>
      <c r="I4" s="19">
        <v>4.4544866268599888E-2</v>
      </c>
      <c r="J4" s="19">
        <v>0.84286298940536586</v>
      </c>
      <c r="K4" s="19">
        <v>4.4991386866490402E-2</v>
      </c>
      <c r="L4" s="19"/>
      <c r="M4" s="19"/>
      <c r="N4" s="19"/>
      <c r="O4" s="19"/>
      <c r="P4" s="19"/>
    </row>
    <row r="5" spans="2:16" x14ac:dyDescent="0.2">
      <c r="B5" t="s">
        <v>548</v>
      </c>
      <c r="C5" t="s">
        <v>379</v>
      </c>
      <c r="D5" s="18">
        <v>42172</v>
      </c>
      <c r="E5" t="s">
        <v>148</v>
      </c>
      <c r="F5" s="19">
        <v>0.94871407496934057</v>
      </c>
      <c r="G5" s="19">
        <v>0.84826126053578133</v>
      </c>
      <c r="H5" s="19">
        <v>0.89220254852439496</v>
      </c>
      <c r="I5" s="19">
        <v>4.4380652729539206E-2</v>
      </c>
      <c r="J5" s="19">
        <v>0.90551892337998352</v>
      </c>
      <c r="K5" s="19">
        <v>5.0594791823523055E-2</v>
      </c>
      <c r="L5" s="19"/>
      <c r="M5" s="19"/>
      <c r="N5" s="19"/>
      <c r="O5" s="19"/>
      <c r="P5" s="19"/>
    </row>
    <row r="6" spans="2:16" x14ac:dyDescent="0.2">
      <c r="B6" t="s">
        <v>570</v>
      </c>
      <c r="C6" t="s">
        <v>390</v>
      </c>
      <c r="D6" s="18">
        <v>42172</v>
      </c>
      <c r="E6" t="s">
        <v>156</v>
      </c>
      <c r="F6" s="19">
        <v>0.9724941586212561</v>
      </c>
      <c r="G6" s="19">
        <v>0.97792480020961614</v>
      </c>
      <c r="H6" s="19">
        <v>0.9156731264795549</v>
      </c>
      <c r="I6" s="19">
        <v>3.496702939113263E-2</v>
      </c>
      <c r="J6" s="19">
        <v>0.92168894572165416</v>
      </c>
      <c r="K6" s="19">
        <v>3.4320015663085145E-2</v>
      </c>
      <c r="L6" s="19"/>
      <c r="M6" s="19"/>
      <c r="N6" s="19"/>
      <c r="O6" s="19"/>
      <c r="P6" s="19"/>
    </row>
    <row r="7" spans="2:16" x14ac:dyDescent="0.2">
      <c r="B7" t="s">
        <v>584</v>
      </c>
      <c r="C7" t="s">
        <v>400</v>
      </c>
      <c r="D7" s="18">
        <v>42172</v>
      </c>
      <c r="E7" t="s">
        <v>161</v>
      </c>
      <c r="F7" s="19">
        <v>0.91195796110793981</v>
      </c>
      <c r="G7" s="19">
        <v>0.85867375929702794</v>
      </c>
      <c r="H7" s="19">
        <v>0.8918617287818863</v>
      </c>
      <c r="I7" s="19">
        <v>4.1756628023527753E-2</v>
      </c>
      <c r="J7" s="19">
        <v>0.86429911431446627</v>
      </c>
      <c r="K7" s="19">
        <v>4.916708525299214E-2</v>
      </c>
      <c r="L7" s="19"/>
      <c r="M7" s="19"/>
      <c r="N7" s="19"/>
      <c r="O7" s="19"/>
      <c r="P7" s="19"/>
    </row>
    <row r="8" spans="2:16" x14ac:dyDescent="0.2">
      <c r="B8" t="s">
        <v>608</v>
      </c>
      <c r="C8" t="s">
        <v>414</v>
      </c>
      <c r="D8" s="18">
        <v>42172</v>
      </c>
      <c r="E8" t="s">
        <v>171</v>
      </c>
      <c r="F8" s="19">
        <v>0.99437622219100763</v>
      </c>
      <c r="G8" s="19">
        <v>0.97638257616945401</v>
      </c>
      <c r="H8" s="19">
        <v>0.93169186077843202</v>
      </c>
      <c r="I8" s="19">
        <v>3.0303610062754345E-2</v>
      </c>
      <c r="J8" s="19">
        <v>0.89602018724641974</v>
      </c>
      <c r="K8" s="19">
        <v>4.8076060907046456E-2</v>
      </c>
      <c r="L8" s="19"/>
      <c r="M8" s="19"/>
      <c r="N8" s="19"/>
      <c r="O8" s="19"/>
      <c r="P8" s="19"/>
    </row>
    <row r="9" spans="2:16" x14ac:dyDescent="0.2">
      <c r="B9" t="s">
        <v>610</v>
      </c>
      <c r="C9" t="s">
        <v>414</v>
      </c>
      <c r="D9" s="18">
        <v>42172</v>
      </c>
      <c r="E9" t="s">
        <v>172</v>
      </c>
      <c r="F9" s="19">
        <v>0.95514839538716045</v>
      </c>
      <c r="G9" s="19">
        <v>0.88206202019359159</v>
      </c>
      <c r="H9" s="19">
        <v>0.88665367680441842</v>
      </c>
      <c r="I9" s="19">
        <v>4.4800392641262121E-2</v>
      </c>
      <c r="J9" s="19">
        <v>0.9041646986328411</v>
      </c>
      <c r="K9" s="19">
        <v>4.0923319615191932E-2</v>
      </c>
      <c r="L9" s="19"/>
      <c r="M9" s="19"/>
      <c r="N9" s="19"/>
      <c r="O9" s="19"/>
      <c r="P9" s="19"/>
    </row>
    <row r="10" spans="2:16" x14ac:dyDescent="0.2">
      <c r="B10" t="s">
        <v>556</v>
      </c>
      <c r="C10" t="s">
        <v>390</v>
      </c>
      <c r="D10" s="18">
        <v>42172</v>
      </c>
      <c r="E10" t="s">
        <v>151</v>
      </c>
      <c r="F10" s="19">
        <v>0.93086141098555164</v>
      </c>
      <c r="G10" s="19">
        <v>0.90022476608645652</v>
      </c>
      <c r="H10" s="19">
        <v>0.91150324612073286</v>
      </c>
      <c r="I10" s="19">
        <v>3.9428989092747953E-2</v>
      </c>
      <c r="J10" s="19">
        <v>0.82643402959861478</v>
      </c>
      <c r="K10" s="19">
        <v>5.1273092319139124E-2</v>
      </c>
      <c r="L10" s="19"/>
      <c r="M10" s="19"/>
      <c r="N10" s="19"/>
      <c r="O10" s="19"/>
      <c r="P10" s="19"/>
    </row>
    <row r="11" spans="2:16" x14ac:dyDescent="0.2">
      <c r="B11" t="s">
        <v>221</v>
      </c>
      <c r="C11" t="s">
        <v>379</v>
      </c>
      <c r="D11" s="18">
        <v>42172</v>
      </c>
      <c r="E11" t="s">
        <v>153</v>
      </c>
      <c r="F11" s="19">
        <v>0.95892118819625649</v>
      </c>
      <c r="G11" s="19">
        <v>0.79939185656733402</v>
      </c>
      <c r="H11" s="19">
        <v>0.83629756840852632</v>
      </c>
      <c r="I11" s="19">
        <v>5.0583679595135961E-2</v>
      </c>
      <c r="J11" s="19">
        <v>0.93371976313245308</v>
      </c>
      <c r="K11" s="19">
        <v>3.0014731871330795E-2</v>
      </c>
      <c r="L11" s="255"/>
      <c r="M11" s="255"/>
      <c r="N11" s="255"/>
      <c r="O11" s="255"/>
      <c r="P11" s="255"/>
    </row>
    <row r="12" spans="2:16" x14ac:dyDescent="0.2">
      <c r="B12" t="s">
        <v>576</v>
      </c>
      <c r="C12" t="s">
        <v>400</v>
      </c>
      <c r="D12" s="18">
        <v>42172</v>
      </c>
      <c r="E12" t="s">
        <v>158</v>
      </c>
      <c r="F12" s="19">
        <v>0.95128413254602928</v>
      </c>
      <c r="G12" s="19">
        <v>0.95036111596482031</v>
      </c>
      <c r="H12" s="19">
        <v>0.92818981404552925</v>
      </c>
      <c r="I12" s="19">
        <v>3.5012899236234102E-2</v>
      </c>
      <c r="J12" s="19">
        <v>0.88639952847045034</v>
      </c>
      <c r="K12" s="19">
        <v>4.7898092171808813E-2</v>
      </c>
      <c r="L12" s="19"/>
      <c r="M12" s="19"/>
      <c r="N12" s="19"/>
      <c r="O12" s="19"/>
      <c r="P12" s="19"/>
    </row>
    <row r="13" spans="2:16" x14ac:dyDescent="0.2">
      <c r="B13" t="s">
        <v>595</v>
      </c>
      <c r="C13" t="s">
        <v>400</v>
      </c>
      <c r="D13" s="18">
        <v>42172</v>
      </c>
      <c r="E13" t="s">
        <v>166</v>
      </c>
      <c r="F13" s="19">
        <v>0.982554484160166</v>
      </c>
      <c r="G13" s="19">
        <v>0.92912796697626421</v>
      </c>
      <c r="H13" s="19">
        <v>0.96784292972805974</v>
      </c>
      <c r="I13" s="19">
        <v>3.1078183342788536E-2</v>
      </c>
      <c r="J13" s="19">
        <v>0.97969992945021578</v>
      </c>
      <c r="K13" s="19">
        <v>2.0676142347980785E-2</v>
      </c>
      <c r="L13" s="19"/>
      <c r="M13" s="19"/>
      <c r="N13" s="19"/>
      <c r="O13" s="19"/>
      <c r="P13" s="19"/>
    </row>
    <row r="14" spans="2:16" x14ac:dyDescent="0.2">
      <c r="B14" t="s">
        <v>603</v>
      </c>
      <c r="C14" t="s">
        <v>414</v>
      </c>
      <c r="D14" s="18">
        <v>42172</v>
      </c>
      <c r="E14" t="s">
        <v>169</v>
      </c>
      <c r="F14" s="19">
        <v>0.95546819231945879</v>
      </c>
      <c r="G14" s="19">
        <v>0.88816305861501443</v>
      </c>
      <c r="H14" s="19">
        <v>0.90764900295284567</v>
      </c>
      <c r="I14" s="19">
        <v>4.4552930505570243E-2</v>
      </c>
      <c r="J14" s="19">
        <v>0.94385078548907597</v>
      </c>
      <c r="K14" s="19">
        <v>3.2844461061456373E-2</v>
      </c>
      <c r="L14" s="19"/>
      <c r="M14" s="19"/>
      <c r="N14" s="19"/>
      <c r="O14" s="19"/>
      <c r="P14" s="19"/>
    </row>
    <row r="15" spans="2:16" x14ac:dyDescent="0.2">
      <c r="B15" t="s">
        <v>644</v>
      </c>
      <c r="C15" t="s">
        <v>379</v>
      </c>
      <c r="D15" s="18">
        <v>42172</v>
      </c>
      <c r="E15" t="s">
        <v>186</v>
      </c>
      <c r="F15" s="19">
        <v>0.97136833894912233</v>
      </c>
      <c r="G15" s="19">
        <v>0.90754927919976458</v>
      </c>
      <c r="H15" s="19">
        <v>0.89543861051315943</v>
      </c>
      <c r="I15" s="19">
        <v>5.0565755933903486E-2</v>
      </c>
      <c r="J15" s="19">
        <v>0.96208750600990522</v>
      </c>
      <c r="K15" s="19">
        <v>3.2102920575488907E-2</v>
      </c>
      <c r="L15" s="19"/>
      <c r="M15" s="19"/>
      <c r="N15" s="19"/>
      <c r="O15" s="19"/>
      <c r="P15" s="19"/>
    </row>
    <row r="16" spans="2:16" x14ac:dyDescent="0.2">
      <c r="B16" t="s">
        <v>660</v>
      </c>
      <c r="C16" t="s">
        <v>379</v>
      </c>
      <c r="D16" s="18">
        <v>42172</v>
      </c>
      <c r="E16" t="s">
        <v>193</v>
      </c>
      <c r="F16" s="19">
        <v>0.94191628545479666</v>
      </c>
      <c r="G16" s="19">
        <v>0.87576237391508338</v>
      </c>
      <c r="H16" s="19">
        <v>0.87278812135354511</v>
      </c>
      <c r="I16" s="19">
        <v>4.1148542696516376E-2</v>
      </c>
      <c r="J16" s="19">
        <v>0.89020310815742787</v>
      </c>
      <c r="K16" s="19">
        <v>4.6809227432633167E-2</v>
      </c>
      <c r="L16" s="255"/>
      <c r="M16" s="255"/>
      <c r="N16" s="255"/>
      <c r="O16" s="255"/>
      <c r="P16" s="255"/>
    </row>
    <row r="17" spans="2:16" x14ac:dyDescent="0.2">
      <c r="B17" t="s">
        <v>662</v>
      </c>
      <c r="C17" t="s">
        <v>414</v>
      </c>
      <c r="D17" s="18">
        <v>42172</v>
      </c>
      <c r="E17" t="s">
        <v>194</v>
      </c>
      <c r="F17" s="19">
        <v>0.94408417988725424</v>
      </c>
      <c r="G17" s="19">
        <v>0.82203134418324308</v>
      </c>
      <c r="H17" s="19">
        <v>0.86426318483196962</v>
      </c>
      <c r="I17" s="19">
        <v>4.5180524245403288E-2</v>
      </c>
      <c r="J17" s="19">
        <v>0.95809596847760081</v>
      </c>
      <c r="K17" s="19">
        <v>2.9972375158303706E-2</v>
      </c>
      <c r="L17" s="19"/>
      <c r="M17" s="19"/>
      <c r="N17" s="19"/>
      <c r="O17" s="19"/>
      <c r="P17" s="19"/>
    </row>
    <row r="18" spans="2:16" x14ac:dyDescent="0.2">
      <c r="B18" t="s">
        <v>715</v>
      </c>
      <c r="D18" s="18">
        <v>42172</v>
      </c>
      <c r="E18" t="s">
        <v>946</v>
      </c>
      <c r="F18" s="19">
        <v>0.96182586538183457</v>
      </c>
      <c r="G18" s="19">
        <v>0.90110625575584147</v>
      </c>
      <c r="H18" s="19">
        <v>0.90686154524514007</v>
      </c>
      <c r="I18" s="19">
        <v>6.8423548499075794E-3</v>
      </c>
      <c r="J18" s="19">
        <v>0.91566535234070079</v>
      </c>
      <c r="K18" s="19">
        <v>7.0650939435798676E-3</v>
      </c>
      <c r="L18" s="19">
        <v>0.96604685863498774</v>
      </c>
      <c r="M18" s="19">
        <v>0.97815698969526177</v>
      </c>
      <c r="N18" s="19">
        <v>1.2382576246398358E-2</v>
      </c>
      <c r="O18" s="19">
        <v>0.97694405088297964</v>
      </c>
      <c r="P18" s="19">
        <v>1.6233640928266835E-2</v>
      </c>
    </row>
    <row r="19" spans="2:16" x14ac:dyDescent="0.2">
      <c r="B19" t="s">
        <v>550</v>
      </c>
      <c r="C19" t="s">
        <v>379</v>
      </c>
      <c r="D19" s="18">
        <v>42172</v>
      </c>
      <c r="E19" t="s">
        <v>149</v>
      </c>
      <c r="F19" s="19">
        <v>0.93134075670949423</v>
      </c>
      <c r="G19" s="19">
        <v>0.87277920163492295</v>
      </c>
      <c r="H19" s="19">
        <v>0.83221513545106207</v>
      </c>
      <c r="I19" s="19">
        <v>4.7832508114165645E-2</v>
      </c>
      <c r="J19" s="19">
        <v>0.83830711771888256</v>
      </c>
      <c r="K19" s="19">
        <v>4.9479304242210628E-2</v>
      </c>
      <c r="L19" s="19"/>
      <c r="M19" s="19"/>
      <c r="N19" s="19"/>
      <c r="O19" s="19"/>
      <c r="P19" s="19"/>
    </row>
    <row r="20" spans="2:16" x14ac:dyDescent="0.2">
      <c r="B20" t="s">
        <v>558</v>
      </c>
      <c r="C20" t="s">
        <v>390</v>
      </c>
      <c r="D20" s="18">
        <v>42172</v>
      </c>
      <c r="E20" t="s">
        <v>152</v>
      </c>
      <c r="F20" s="19">
        <v>0.93971421142620704</v>
      </c>
      <c r="G20" s="19">
        <v>0.88045103441544326</v>
      </c>
      <c r="H20" s="19">
        <v>0.894179462371682</v>
      </c>
      <c r="I20" s="19">
        <v>4.7464579727555148E-2</v>
      </c>
      <c r="J20" s="19">
        <v>0.95504092002809204</v>
      </c>
      <c r="K20" s="19">
        <v>3.1862045661256812E-2</v>
      </c>
      <c r="L20" s="19"/>
      <c r="M20" s="19"/>
      <c r="N20" s="19"/>
      <c r="O20" s="19"/>
      <c r="P20" s="19"/>
    </row>
    <row r="21" spans="2:16" x14ac:dyDescent="0.2">
      <c r="B21" t="s">
        <v>568</v>
      </c>
      <c r="C21" t="s">
        <v>395</v>
      </c>
      <c r="D21" s="18">
        <v>42172</v>
      </c>
      <c r="E21" t="s">
        <v>155</v>
      </c>
      <c r="F21" s="19">
        <v>0.88276247984852896</v>
      </c>
      <c r="G21" s="19">
        <v>0.87444247671520403</v>
      </c>
      <c r="H21" s="19">
        <v>0.9051670470672204</v>
      </c>
      <c r="I21" s="19">
        <v>4.2194122989220519E-2</v>
      </c>
      <c r="J21" s="19">
        <v>0.92045051976334724</v>
      </c>
      <c r="K21" s="19">
        <v>3.8881304068965006E-2</v>
      </c>
      <c r="L21" s="19"/>
      <c r="M21" s="19"/>
      <c r="N21" s="19"/>
      <c r="O21" s="19"/>
      <c r="P21" s="19"/>
    </row>
    <row r="22" spans="2:16" x14ac:dyDescent="0.2">
      <c r="B22" t="s">
        <v>572</v>
      </c>
      <c r="C22" t="s">
        <v>395</v>
      </c>
      <c r="D22" s="18">
        <v>42172</v>
      </c>
      <c r="E22" t="s">
        <v>157</v>
      </c>
      <c r="F22" s="19">
        <v>0.98301274092926538</v>
      </c>
      <c r="G22" s="19">
        <v>0.93906909575649844</v>
      </c>
      <c r="H22" s="19">
        <v>0.93007278804742755</v>
      </c>
      <c r="I22" s="19">
        <v>3.2014453398777218E-2</v>
      </c>
      <c r="J22" s="19">
        <v>0.85144373541626239</v>
      </c>
      <c r="K22" s="19">
        <v>5.9488292074374415E-2</v>
      </c>
      <c r="L22" s="19"/>
      <c r="M22" s="19"/>
      <c r="N22" s="19"/>
      <c r="O22" s="19"/>
      <c r="P22" s="19"/>
    </row>
    <row r="23" spans="2:16" x14ac:dyDescent="0.2">
      <c r="B23" t="s">
        <v>622</v>
      </c>
      <c r="C23" t="s">
        <v>395</v>
      </c>
      <c r="D23" s="18">
        <v>42172</v>
      </c>
      <c r="E23" t="s">
        <v>177</v>
      </c>
      <c r="F23" s="19">
        <v>0.98374626796329789</v>
      </c>
      <c r="G23" s="19">
        <v>0.97679116004594246</v>
      </c>
      <c r="H23" s="19">
        <v>0.93630478694501973</v>
      </c>
      <c r="I23" s="19">
        <v>3.2967646727877879E-2</v>
      </c>
      <c r="J23" s="19">
        <v>0.91156987419684243</v>
      </c>
      <c r="K23" s="19">
        <v>4.3246363682477522E-2</v>
      </c>
      <c r="L23" s="19"/>
      <c r="M23" s="19"/>
      <c r="N23" s="19"/>
      <c r="O23" s="19"/>
      <c r="P23" s="19"/>
    </row>
    <row r="24" spans="2:16" x14ac:dyDescent="0.2">
      <c r="B24" t="s">
        <v>630</v>
      </c>
      <c r="C24" t="s">
        <v>390</v>
      </c>
      <c r="D24" s="18">
        <v>42172</v>
      </c>
      <c r="E24" t="s">
        <v>181</v>
      </c>
      <c r="F24" s="19">
        <v>0.9617061956258699</v>
      </c>
      <c r="G24" s="19">
        <v>0.83844729000563745</v>
      </c>
      <c r="H24" s="19">
        <v>0.88210046091108452</v>
      </c>
      <c r="I24" s="19">
        <v>4.5133841904029311E-2</v>
      </c>
      <c r="J24" s="19">
        <v>0.88432526568786285</v>
      </c>
      <c r="K24" s="19">
        <v>4.5498488767913584E-2</v>
      </c>
      <c r="L24" s="19"/>
      <c r="M24" s="19"/>
      <c r="N24" s="19"/>
      <c r="O24" s="19"/>
      <c r="P24" s="19"/>
    </row>
    <row r="25" spans="2:16" x14ac:dyDescent="0.2">
      <c r="B25" t="s">
        <v>543</v>
      </c>
      <c r="C25" t="s">
        <v>379</v>
      </c>
      <c r="D25" s="18">
        <v>42172</v>
      </c>
      <c r="E25" t="s">
        <v>102</v>
      </c>
      <c r="F25" s="19">
        <v>0.90865213041132786</v>
      </c>
      <c r="G25" s="19">
        <v>0.78308141584780711</v>
      </c>
      <c r="H25" s="19">
        <v>0.86450871504688398</v>
      </c>
      <c r="I25" s="19">
        <v>4.898247766391968E-2</v>
      </c>
      <c r="J25" s="19">
        <v>0.91848003911697462</v>
      </c>
      <c r="K25" s="19">
        <v>4.3623460147812522E-2</v>
      </c>
      <c r="L25" s="19">
        <v>0.96956848030018761</v>
      </c>
      <c r="M25" s="19">
        <v>0.97429808300267595</v>
      </c>
      <c r="N25" s="19">
        <v>2.6383439443076213E-2</v>
      </c>
      <c r="O25" s="19">
        <v>0.95524786762096037</v>
      </c>
      <c r="P25" s="19">
        <v>3.8407991962022478E-2</v>
      </c>
    </row>
    <row r="26" spans="2:16" x14ac:dyDescent="0.2">
      <c r="B26" t="s">
        <v>546</v>
      </c>
      <c r="C26" t="s">
        <v>379</v>
      </c>
      <c r="D26" s="18">
        <v>42172</v>
      </c>
      <c r="E26" t="s">
        <v>148</v>
      </c>
      <c r="F26" s="19">
        <v>0.94871407496934057</v>
      </c>
      <c r="G26" s="19">
        <v>0.84826126053578133</v>
      </c>
      <c r="H26" s="19">
        <v>0.89220254852439496</v>
      </c>
      <c r="I26" s="19">
        <v>4.4380652729539206E-2</v>
      </c>
      <c r="J26" s="19">
        <v>0.90551892337998352</v>
      </c>
      <c r="K26" s="19">
        <v>5.0594791823523055E-2</v>
      </c>
      <c r="L26" s="19"/>
      <c r="M26" s="19"/>
      <c r="N26" s="19"/>
      <c r="O26" s="19"/>
      <c r="P26" s="19"/>
    </row>
    <row r="27" spans="2:16" x14ac:dyDescent="0.2">
      <c r="B27" t="s">
        <v>552</v>
      </c>
      <c r="C27" t="s">
        <v>379</v>
      </c>
      <c r="D27" s="18">
        <v>42172</v>
      </c>
      <c r="E27" t="s">
        <v>108</v>
      </c>
      <c r="F27" s="19">
        <v>0.96690726900268587</v>
      </c>
      <c r="G27" s="19">
        <v>0.85710220464893372</v>
      </c>
      <c r="H27" s="19">
        <v>0.91197422642180992</v>
      </c>
      <c r="I27" s="19">
        <v>4.4676480650515132E-2</v>
      </c>
      <c r="J27" s="19">
        <v>0.95360792222993207</v>
      </c>
      <c r="K27" s="19">
        <v>2.6055898443749826E-2</v>
      </c>
      <c r="L27" s="19"/>
      <c r="M27" s="19"/>
      <c r="N27" s="19"/>
      <c r="O27" s="19"/>
      <c r="P27" s="19"/>
    </row>
    <row r="28" spans="2:16" x14ac:dyDescent="0.2">
      <c r="B28" t="s">
        <v>564</v>
      </c>
      <c r="C28" t="s">
        <v>390</v>
      </c>
      <c r="D28" s="18">
        <v>42172</v>
      </c>
      <c r="E28" t="s">
        <v>154</v>
      </c>
      <c r="F28" s="19">
        <v>0.97162302545143442</v>
      </c>
      <c r="G28" s="19">
        <v>0.87771051183269122</v>
      </c>
      <c r="H28" s="19">
        <v>0.92971471226188196</v>
      </c>
      <c r="I28" s="19">
        <v>4.8113621139600722E-2</v>
      </c>
      <c r="J28" s="19">
        <v>0.94213915947425519</v>
      </c>
      <c r="K28" s="19">
        <v>4.3123667600010691E-2</v>
      </c>
      <c r="L28" s="19"/>
      <c r="M28" s="19"/>
      <c r="N28" s="19"/>
      <c r="O28" s="19"/>
      <c r="P28" s="19"/>
    </row>
    <row r="29" spans="2:16" x14ac:dyDescent="0.2">
      <c r="B29" t="s">
        <v>588</v>
      </c>
      <c r="C29" t="s">
        <v>400</v>
      </c>
      <c r="D29" s="18">
        <v>42172</v>
      </c>
      <c r="E29" t="s">
        <v>163</v>
      </c>
      <c r="F29" s="19">
        <v>0.98861259862479789</v>
      </c>
      <c r="G29" s="19">
        <v>0.95273713628144008</v>
      </c>
      <c r="H29" s="19">
        <v>0.95669990173578767</v>
      </c>
      <c r="I29" s="19">
        <v>3.5571906670509038E-2</v>
      </c>
      <c r="J29" s="19">
        <v>0.90955461997105147</v>
      </c>
      <c r="K29" s="19">
        <v>5.3616653461801604E-2</v>
      </c>
      <c r="L29" s="19">
        <v>0.92004174357860691</v>
      </c>
      <c r="M29" s="19">
        <v>0.96470723620678556</v>
      </c>
      <c r="N29" s="19">
        <v>2.6375501105053302E-2</v>
      </c>
      <c r="O29" s="19">
        <v>0.99654953665206458</v>
      </c>
      <c r="P29" s="19">
        <v>5.1258035087415974E-3</v>
      </c>
    </row>
    <row r="30" spans="2:16" x14ac:dyDescent="0.2">
      <c r="B30" t="s">
        <v>593</v>
      </c>
      <c r="C30" t="s">
        <v>400</v>
      </c>
      <c r="D30" s="18">
        <v>42172</v>
      </c>
      <c r="E30" t="s">
        <v>165</v>
      </c>
      <c r="F30" s="19">
        <v>1</v>
      </c>
      <c r="G30" s="19">
        <v>1</v>
      </c>
      <c r="H30" s="19">
        <v>0.97425389608244861</v>
      </c>
      <c r="I30" s="19">
        <v>1.9269149785533842E-2</v>
      </c>
      <c r="J30" s="19">
        <v>0.95664148712616282</v>
      </c>
      <c r="K30" s="19">
        <v>2.7266720544085247E-2</v>
      </c>
      <c r="L30" s="19"/>
      <c r="M30" s="19"/>
      <c r="N30" s="19"/>
      <c r="O30" s="19"/>
      <c r="P30" s="19"/>
    </row>
    <row r="31" spans="2:16" x14ac:dyDescent="0.2">
      <c r="B31" t="s">
        <v>601</v>
      </c>
      <c r="C31" t="s">
        <v>395</v>
      </c>
      <c r="D31" s="18">
        <v>42172</v>
      </c>
      <c r="E31" t="s">
        <v>168</v>
      </c>
      <c r="F31" s="19">
        <v>0.98422791732397652</v>
      </c>
      <c r="G31" s="19">
        <v>0.92902408111533585</v>
      </c>
      <c r="H31" s="19">
        <v>0.9240777455488014</v>
      </c>
      <c r="I31" s="19">
        <v>3.5916356446442491E-2</v>
      </c>
      <c r="J31" s="19">
        <v>0.9283687911791112</v>
      </c>
      <c r="K31" s="19">
        <v>3.4371378165650057E-2</v>
      </c>
      <c r="L31" s="19"/>
      <c r="M31" s="19"/>
      <c r="N31" s="19"/>
      <c r="O31" s="19"/>
      <c r="P31" s="19"/>
    </row>
    <row r="32" spans="2:16" x14ac:dyDescent="0.2">
      <c r="B32" t="s">
        <v>219</v>
      </c>
      <c r="C32" t="s">
        <v>395</v>
      </c>
      <c r="D32" s="18">
        <v>42172</v>
      </c>
      <c r="E32" t="s">
        <v>170</v>
      </c>
      <c r="F32" s="19">
        <v>0.99490722785817831</v>
      </c>
      <c r="G32" s="19">
        <v>1</v>
      </c>
      <c r="H32" s="19">
        <v>0.88781454823299877</v>
      </c>
      <c r="I32" s="19">
        <v>3.9833610010014266E-2</v>
      </c>
      <c r="J32" s="19">
        <v>0.92666335168058311</v>
      </c>
      <c r="K32" s="19">
        <v>4.0073296388496257E-2</v>
      </c>
      <c r="L32" s="19"/>
      <c r="M32" s="19"/>
      <c r="N32" s="19"/>
      <c r="O32" s="19"/>
      <c r="P32" s="19"/>
    </row>
    <row r="33" spans="2:16" x14ac:dyDescent="0.2">
      <c r="B33" t="s">
        <v>614</v>
      </c>
      <c r="C33" t="s">
        <v>414</v>
      </c>
      <c r="D33" s="18">
        <v>42172</v>
      </c>
      <c r="E33" t="s">
        <v>174</v>
      </c>
      <c r="F33" s="19">
        <v>0.98687181680314295</v>
      </c>
      <c r="G33" s="19">
        <v>0.90453342218766797</v>
      </c>
      <c r="H33" s="19">
        <v>0.90503444791288412</v>
      </c>
      <c r="I33" s="19">
        <v>3.9128746633845496E-2</v>
      </c>
      <c r="J33" s="19">
        <v>0.93200818304915023</v>
      </c>
      <c r="K33" s="19">
        <v>4.1069770551507859E-2</v>
      </c>
      <c r="L33" s="19"/>
      <c r="M33" s="19"/>
      <c r="N33" s="19"/>
      <c r="O33" s="19"/>
      <c r="P33" s="19"/>
    </row>
    <row r="34" spans="2:16" x14ac:dyDescent="0.2">
      <c r="B34" t="s">
        <v>626</v>
      </c>
      <c r="C34" t="s">
        <v>395</v>
      </c>
      <c r="D34" s="18">
        <v>42172</v>
      </c>
      <c r="E34" t="s">
        <v>179</v>
      </c>
      <c r="F34" s="19">
        <v>0.98576296159867371</v>
      </c>
      <c r="G34" s="19">
        <v>0.92780424021668073</v>
      </c>
      <c r="H34" s="19">
        <v>0.93092666647188504</v>
      </c>
      <c r="I34" s="19">
        <v>3.9036618661732587E-2</v>
      </c>
      <c r="J34" s="19">
        <v>0.95046272385975394</v>
      </c>
      <c r="K34" s="19">
        <v>4.8164094682962927E-2</v>
      </c>
      <c r="L34" s="19"/>
      <c r="M34" s="19"/>
      <c r="N34" s="19"/>
      <c r="O34" s="19"/>
      <c r="P34" s="19"/>
    </row>
    <row r="35" spans="2:16" x14ac:dyDescent="0.2">
      <c r="B35" t="s">
        <v>529</v>
      </c>
      <c r="C35" t="s">
        <v>379</v>
      </c>
      <c r="D35" s="18">
        <v>42172</v>
      </c>
      <c r="E35" t="s">
        <v>142</v>
      </c>
      <c r="F35" s="19">
        <v>0.89547703739678575</v>
      </c>
      <c r="G35" s="19">
        <v>0.85724912090884497</v>
      </c>
      <c r="H35" s="19">
        <v>0.88080231846990087</v>
      </c>
      <c r="I35" s="19">
        <v>4.8730308413492907E-2</v>
      </c>
      <c r="J35" s="19">
        <v>0.87561903097797933</v>
      </c>
      <c r="K35" s="19">
        <v>5.9075420563334619E-2</v>
      </c>
      <c r="L35" s="19"/>
      <c r="M35" s="19"/>
      <c r="N35" s="19"/>
      <c r="O35" s="19"/>
      <c r="P35" s="19"/>
    </row>
    <row r="36" spans="2:16" x14ac:dyDescent="0.2">
      <c r="B36" t="s">
        <v>539</v>
      </c>
      <c r="C36" t="s">
        <v>379</v>
      </c>
      <c r="D36" s="18">
        <v>42172</v>
      </c>
      <c r="E36" t="s">
        <v>146</v>
      </c>
      <c r="F36" s="19">
        <v>0.96061599959001698</v>
      </c>
      <c r="G36" s="19">
        <v>0.92735426008968613</v>
      </c>
      <c r="H36" s="19">
        <v>0.93565771383262453</v>
      </c>
      <c r="I36" s="19">
        <v>3.2359269054381912E-2</v>
      </c>
      <c r="J36" s="19">
        <v>0.97464881883895971</v>
      </c>
      <c r="K36" s="19">
        <v>2.6565834709229037E-2</v>
      </c>
      <c r="L36" s="19"/>
      <c r="M36" s="19"/>
      <c r="N36" s="19"/>
      <c r="O36" s="19"/>
      <c r="P36" s="19"/>
    </row>
    <row r="37" spans="2:16" x14ac:dyDescent="0.2">
      <c r="B37" t="s">
        <v>218</v>
      </c>
      <c r="C37" t="s">
        <v>379</v>
      </c>
      <c r="D37" s="18">
        <v>42172</v>
      </c>
      <c r="E37" t="s">
        <v>102</v>
      </c>
      <c r="F37" s="19">
        <v>0.90865213041132786</v>
      </c>
      <c r="G37" s="19">
        <v>0.78308141584780711</v>
      </c>
      <c r="H37" s="19">
        <v>0.86450871504688398</v>
      </c>
      <c r="I37" s="19">
        <v>4.898247766391968E-2</v>
      </c>
      <c r="J37" s="19">
        <v>0.91848003911697462</v>
      </c>
      <c r="K37" s="19">
        <v>4.3623460147812522E-2</v>
      </c>
      <c r="L37" s="19">
        <v>0.96956848030018761</v>
      </c>
      <c r="M37" s="19">
        <v>0.97429808300267595</v>
      </c>
      <c r="N37" s="19">
        <v>2.6383439443076213E-2</v>
      </c>
      <c r="O37" s="19">
        <v>0.95524786762096037</v>
      </c>
      <c r="P37" s="19">
        <v>3.8407991962022478E-2</v>
      </c>
    </row>
    <row r="38" spans="2:16" x14ac:dyDescent="0.2">
      <c r="B38" t="s">
        <v>979</v>
      </c>
      <c r="C38" t="s">
        <v>379</v>
      </c>
      <c r="D38" s="18">
        <v>42172</v>
      </c>
      <c r="E38" t="s">
        <v>153</v>
      </c>
      <c r="F38" s="19">
        <v>0.95892118819625649</v>
      </c>
      <c r="G38" s="19">
        <v>0.79939185656733402</v>
      </c>
      <c r="H38" s="19">
        <v>0.83629756840852632</v>
      </c>
      <c r="I38" s="19">
        <v>5.0583679595135961E-2</v>
      </c>
      <c r="J38" s="19">
        <v>0.93371976313245308</v>
      </c>
      <c r="K38" s="19">
        <v>3.0014731871330795E-2</v>
      </c>
      <c r="L38" s="19"/>
      <c r="M38" s="19"/>
      <c r="N38" s="19"/>
      <c r="O38" s="19"/>
      <c r="P38" s="19"/>
    </row>
    <row r="39" spans="2:16" x14ac:dyDescent="0.2">
      <c r="B39" t="s">
        <v>580</v>
      </c>
      <c r="C39" t="s">
        <v>390</v>
      </c>
      <c r="D39" s="18">
        <v>42172</v>
      </c>
      <c r="E39" t="s">
        <v>160</v>
      </c>
      <c r="F39" s="19">
        <v>0.97766101223568391</v>
      </c>
      <c r="G39" s="19">
        <v>0.94532476960915035</v>
      </c>
      <c r="H39" s="19">
        <v>0.89857665958696287</v>
      </c>
      <c r="I39" s="19">
        <v>4.238026065999094E-2</v>
      </c>
      <c r="J39" s="19">
        <v>0.90143299053110748</v>
      </c>
      <c r="K39" s="19">
        <v>4.2366719229232998E-2</v>
      </c>
      <c r="L39" s="19"/>
      <c r="M39" s="19"/>
      <c r="N39" s="19"/>
      <c r="O39" s="19"/>
      <c r="P39" s="19"/>
    </row>
    <row r="40" spans="2:16" x14ac:dyDescent="0.2">
      <c r="B40" t="s">
        <v>582</v>
      </c>
      <c r="C40" t="s">
        <v>390</v>
      </c>
      <c r="D40" s="18">
        <v>42172</v>
      </c>
      <c r="E40" t="s">
        <v>160</v>
      </c>
      <c r="F40" s="19">
        <v>0.97766101223568391</v>
      </c>
      <c r="G40" s="19">
        <v>0.94532476960915035</v>
      </c>
      <c r="H40" s="19">
        <v>0.89857665958696287</v>
      </c>
      <c r="I40" s="19">
        <v>4.238026065999094E-2</v>
      </c>
      <c r="J40" s="19">
        <v>0.90143299053110748</v>
      </c>
      <c r="K40" s="19">
        <v>4.2366719229232998E-2</v>
      </c>
      <c r="L40" s="19"/>
      <c r="M40" s="19"/>
      <c r="N40" s="19"/>
      <c r="O40" s="19"/>
      <c r="P40" s="19"/>
    </row>
    <row r="41" spans="2:16" x14ac:dyDescent="0.2">
      <c r="B41" t="s">
        <v>217</v>
      </c>
      <c r="C41" t="s">
        <v>400</v>
      </c>
      <c r="D41" s="18">
        <v>42172</v>
      </c>
      <c r="E41" t="s">
        <v>163</v>
      </c>
      <c r="F41" s="19">
        <v>0.98861259862479789</v>
      </c>
      <c r="G41" s="19">
        <v>0.95273713628144008</v>
      </c>
      <c r="H41" s="19">
        <v>0.95669990173578767</v>
      </c>
      <c r="I41" s="19">
        <v>3.5571906670509038E-2</v>
      </c>
      <c r="J41" s="19">
        <v>0.90955461997105147</v>
      </c>
      <c r="K41" s="19">
        <v>5.3616653461801604E-2</v>
      </c>
      <c r="L41" s="19">
        <v>0.92004174357860691</v>
      </c>
      <c r="M41" s="19">
        <v>0.96470723620678556</v>
      </c>
      <c r="N41" s="19">
        <v>2.6375501105053302E-2</v>
      </c>
      <c r="O41" s="19">
        <v>0.99654953665206458</v>
      </c>
      <c r="P41" s="19">
        <v>5.1258035087415974E-3</v>
      </c>
    </row>
    <row r="42" spans="2:16" x14ac:dyDescent="0.2">
      <c r="B42" t="s">
        <v>591</v>
      </c>
      <c r="C42" t="s">
        <v>400</v>
      </c>
      <c r="D42" s="18">
        <v>42172</v>
      </c>
      <c r="E42" t="s">
        <v>164</v>
      </c>
      <c r="F42" s="19">
        <v>0.96302538523158265</v>
      </c>
      <c r="G42" s="19">
        <v>0.893779941749687</v>
      </c>
      <c r="H42" s="19">
        <v>0.92586683539381009</v>
      </c>
      <c r="I42" s="19">
        <v>3.6957147357049323E-2</v>
      </c>
      <c r="J42" s="19">
        <v>0.89560598917157042</v>
      </c>
      <c r="K42" s="19">
        <v>4.1605776699392368E-2</v>
      </c>
      <c r="L42" s="19"/>
      <c r="M42" s="19"/>
      <c r="N42" s="19"/>
      <c r="O42" s="19"/>
      <c r="P42" s="19"/>
    </row>
    <row r="43" spans="2:16" x14ac:dyDescent="0.2">
      <c r="B43" t="s">
        <v>597</v>
      </c>
      <c r="C43" t="s">
        <v>400</v>
      </c>
      <c r="D43" s="18">
        <v>42172</v>
      </c>
      <c r="E43" t="s">
        <v>167</v>
      </c>
      <c r="F43" s="19">
        <v>0.99239147648636705</v>
      </c>
      <c r="G43" s="19">
        <v>0.9765904000968465</v>
      </c>
      <c r="H43" s="19">
        <v>0.92676736068967358</v>
      </c>
      <c r="I43" s="19">
        <v>3.4350593440282184E-2</v>
      </c>
      <c r="J43" s="19">
        <v>0.87294754314692757</v>
      </c>
      <c r="K43" s="19">
        <v>6.5492544141974557E-2</v>
      </c>
      <c r="L43" s="19">
        <v>1</v>
      </c>
      <c r="M43" s="19">
        <v>0.99185396206751464</v>
      </c>
      <c r="N43" s="19">
        <v>9.7579621915807029E-3</v>
      </c>
      <c r="O43" s="19">
        <v>0.98049425229308584</v>
      </c>
      <c r="P43" s="19">
        <v>2.3698938642957044E-2</v>
      </c>
    </row>
    <row r="44" spans="2:16" x14ac:dyDescent="0.2">
      <c r="B44" t="s">
        <v>501</v>
      </c>
      <c r="C44" t="s">
        <v>400</v>
      </c>
      <c r="D44" s="18">
        <v>42172</v>
      </c>
      <c r="E44" t="s">
        <v>167</v>
      </c>
      <c r="F44" s="19">
        <v>0.99239147648636705</v>
      </c>
      <c r="G44" s="19">
        <v>0.9765904000968465</v>
      </c>
      <c r="H44" s="19">
        <v>0.92676736068967358</v>
      </c>
      <c r="I44" s="19">
        <v>3.4350593440282184E-2</v>
      </c>
      <c r="J44" s="19">
        <v>0.87294754314692757</v>
      </c>
      <c r="K44" s="19">
        <v>6.5492544141974557E-2</v>
      </c>
      <c r="L44" s="19">
        <v>1</v>
      </c>
      <c r="M44" s="19">
        <v>0.99185396206751464</v>
      </c>
      <c r="N44" s="19">
        <v>9.7579621915807029E-3</v>
      </c>
      <c r="O44" s="19">
        <v>0.98049425229308584</v>
      </c>
      <c r="P44" s="19">
        <v>2.3698938642957044E-2</v>
      </c>
    </row>
    <row r="45" spans="2:16" x14ac:dyDescent="0.2">
      <c r="B45" t="s">
        <v>605</v>
      </c>
      <c r="C45" t="s">
        <v>395</v>
      </c>
      <c r="D45" s="18">
        <v>42172</v>
      </c>
      <c r="E45" t="s">
        <v>170</v>
      </c>
      <c r="F45" s="19">
        <v>0.99490722785817831</v>
      </c>
      <c r="G45" s="19">
        <v>1</v>
      </c>
      <c r="H45" s="19">
        <v>0.88781454823299877</v>
      </c>
      <c r="I45" s="19">
        <v>3.9833610010014266E-2</v>
      </c>
      <c r="J45" s="19">
        <v>0.92666335168058311</v>
      </c>
      <c r="K45" s="19">
        <v>4.0073296388496257E-2</v>
      </c>
      <c r="L45" s="19"/>
      <c r="M45" s="19"/>
      <c r="N45" s="19"/>
      <c r="O45" s="19"/>
      <c r="P45" s="19"/>
    </row>
    <row r="46" spans="2:16" x14ac:dyDescent="0.2">
      <c r="B46" t="s">
        <v>618</v>
      </c>
      <c r="C46" t="s">
        <v>414</v>
      </c>
      <c r="D46" s="18">
        <v>42172</v>
      </c>
      <c r="E46" t="s">
        <v>175</v>
      </c>
      <c r="F46" s="19">
        <v>0.96993718993555855</v>
      </c>
      <c r="G46" s="19">
        <v>0.89218085106382972</v>
      </c>
      <c r="H46" s="19">
        <v>0.93126733582104448</v>
      </c>
      <c r="I46" s="19">
        <v>3.9580739516554359E-2</v>
      </c>
      <c r="J46" s="19">
        <v>0.96015848430645623</v>
      </c>
      <c r="K46" s="19">
        <v>3.0800166853592471E-2</v>
      </c>
      <c r="L46" s="19"/>
      <c r="M46" s="19"/>
      <c r="N46" s="19"/>
      <c r="O46" s="19"/>
      <c r="P46" s="19"/>
    </row>
    <row r="47" spans="2:16" x14ac:dyDescent="0.2">
      <c r="B47" t="s">
        <v>628</v>
      </c>
      <c r="C47" t="s">
        <v>414</v>
      </c>
      <c r="D47" s="18">
        <v>42172</v>
      </c>
      <c r="E47" t="s">
        <v>180</v>
      </c>
      <c r="F47" s="19">
        <v>0.95799603265605637</v>
      </c>
      <c r="G47" s="19">
        <v>0.87328093399521978</v>
      </c>
      <c r="H47" s="19">
        <v>0.90147063163805929</v>
      </c>
      <c r="I47" s="19">
        <v>4.3363926700426207E-2</v>
      </c>
      <c r="J47" s="19">
        <v>0.92670929151120163</v>
      </c>
      <c r="K47" s="19">
        <v>3.5438409030601151E-2</v>
      </c>
      <c r="L47" s="19"/>
      <c r="M47" s="19"/>
      <c r="N47" s="19"/>
      <c r="O47" s="19"/>
      <c r="P47" s="19"/>
    </row>
    <row r="48" spans="2:16" x14ac:dyDescent="0.2">
      <c r="B48" t="s">
        <v>650</v>
      </c>
      <c r="C48" t="s">
        <v>400</v>
      </c>
      <c r="D48" s="18">
        <v>42172</v>
      </c>
      <c r="E48" t="s">
        <v>189</v>
      </c>
      <c r="F48" s="19">
        <v>0.98146019783325467</v>
      </c>
      <c r="G48" s="19">
        <v>0.96933433059087504</v>
      </c>
      <c r="H48" s="19">
        <v>0.96759610821072617</v>
      </c>
      <c r="I48" s="19">
        <v>2.5018829254954227E-2</v>
      </c>
      <c r="J48" s="19">
        <v>0.9538365043059881</v>
      </c>
      <c r="K48" s="19">
        <v>3.3232133754960883E-2</v>
      </c>
      <c r="L48" s="19"/>
      <c r="M48" s="19"/>
      <c r="N48" s="19"/>
      <c r="O48" s="19"/>
      <c r="P48" s="19"/>
    </row>
    <row r="49" spans="2:16" x14ac:dyDescent="0.2">
      <c r="B49" t="s">
        <v>531</v>
      </c>
      <c r="C49" t="s">
        <v>379</v>
      </c>
      <c r="D49" s="18">
        <v>42172</v>
      </c>
      <c r="E49" t="s">
        <v>143</v>
      </c>
      <c r="F49" s="19">
        <v>0.95877532475481553</v>
      </c>
      <c r="G49" s="19">
        <v>0.74662914896060639</v>
      </c>
      <c r="H49" s="19">
        <v>0.87104958417637723</v>
      </c>
      <c r="I49" s="19">
        <v>5.4077870587640506E-2</v>
      </c>
      <c r="J49" s="19">
        <v>0.94176371022342575</v>
      </c>
      <c r="K49" s="19">
        <v>3.2726725697578306E-2</v>
      </c>
      <c r="L49" s="19"/>
      <c r="M49" s="19"/>
      <c r="N49" s="19"/>
      <c r="O49" s="19"/>
      <c r="P49" s="19"/>
    </row>
    <row r="50" spans="2:16" x14ac:dyDescent="0.2">
      <c r="B50" t="s">
        <v>533</v>
      </c>
      <c r="C50" t="s">
        <v>379</v>
      </c>
      <c r="D50" s="18">
        <v>42172</v>
      </c>
      <c r="E50" t="s">
        <v>143</v>
      </c>
      <c r="F50" s="19">
        <v>0.95877532475481553</v>
      </c>
      <c r="G50" s="19">
        <v>0.74662914896060639</v>
      </c>
      <c r="H50" s="19">
        <v>0.87104958417637723</v>
      </c>
      <c r="I50" s="19">
        <v>5.4077870587640506E-2</v>
      </c>
      <c r="J50" s="19">
        <v>0.94176371022342575</v>
      </c>
      <c r="K50" s="19">
        <v>3.2726725697578306E-2</v>
      </c>
      <c r="L50" s="19"/>
      <c r="M50" s="19"/>
      <c r="N50" s="19"/>
      <c r="O50" s="19"/>
      <c r="P50" s="19"/>
    </row>
    <row r="51" spans="2:16" x14ac:dyDescent="0.2">
      <c r="B51" t="s">
        <v>537</v>
      </c>
      <c r="C51" t="s">
        <v>379</v>
      </c>
      <c r="D51" s="18">
        <v>42172</v>
      </c>
      <c r="E51" t="s">
        <v>145</v>
      </c>
      <c r="F51" s="19">
        <v>0.90460762202875344</v>
      </c>
      <c r="G51" s="19">
        <v>0.84031885306905862</v>
      </c>
      <c r="H51" s="19">
        <v>0.90570831544016039</v>
      </c>
      <c r="I51" s="19">
        <v>4.1002036623732113E-2</v>
      </c>
      <c r="J51" s="19">
        <v>0.87463737062674474</v>
      </c>
      <c r="K51" s="19">
        <v>4.3542756692518267E-2</v>
      </c>
      <c r="L51" s="19"/>
      <c r="M51" s="19"/>
      <c r="N51" s="19"/>
      <c r="O51" s="19"/>
      <c r="P51" s="19"/>
    </row>
    <row r="52" spans="2:16" x14ac:dyDescent="0.2">
      <c r="B52" t="s">
        <v>220</v>
      </c>
      <c r="C52" t="s">
        <v>400</v>
      </c>
      <c r="D52" s="18">
        <v>42172</v>
      </c>
      <c r="E52" t="s">
        <v>167</v>
      </c>
      <c r="F52" s="19">
        <v>0.99239147648636705</v>
      </c>
      <c r="G52" s="19">
        <v>0.9765904000968465</v>
      </c>
      <c r="H52" s="19">
        <v>0.92676736068967358</v>
      </c>
      <c r="I52" s="19">
        <v>3.4350593440282184E-2</v>
      </c>
      <c r="J52" s="19">
        <v>0.87294754314692757</v>
      </c>
      <c r="K52" s="19">
        <v>6.5492544141974557E-2</v>
      </c>
      <c r="L52" s="19">
        <v>1</v>
      </c>
      <c r="M52" s="19">
        <v>0.99185396206751464</v>
      </c>
      <c r="N52" s="19">
        <v>9.7579621915807029E-3</v>
      </c>
      <c r="O52" s="19">
        <v>0.98049425229308584</v>
      </c>
      <c r="P52" s="19">
        <v>2.3698938642957044E-2</v>
      </c>
    </row>
    <row r="53" spans="2:16" x14ac:dyDescent="0.2">
      <c r="B53" t="s">
        <v>616</v>
      </c>
      <c r="C53" t="s">
        <v>414</v>
      </c>
      <c r="D53" s="18">
        <v>42172</v>
      </c>
      <c r="E53" t="s">
        <v>174</v>
      </c>
      <c r="F53" s="19">
        <v>0.98687181680314295</v>
      </c>
      <c r="G53" s="19">
        <v>0.90453342218766797</v>
      </c>
      <c r="H53" s="19">
        <v>0.90503444791288412</v>
      </c>
      <c r="I53" s="19">
        <v>3.9128746633845496E-2</v>
      </c>
      <c r="J53" s="19">
        <v>0.93200818304915023</v>
      </c>
      <c r="K53" s="19">
        <v>4.1069770551507859E-2</v>
      </c>
      <c r="L53" s="255"/>
      <c r="M53" s="255"/>
      <c r="N53" s="255"/>
      <c r="O53" s="255"/>
      <c r="P53" s="255"/>
    </row>
    <row r="54" spans="2:16" x14ac:dyDescent="0.2">
      <c r="B54" t="s">
        <v>620</v>
      </c>
      <c r="C54" t="s">
        <v>414</v>
      </c>
      <c r="D54" s="18">
        <v>42172</v>
      </c>
      <c r="E54" t="s">
        <v>176</v>
      </c>
      <c r="F54" s="19">
        <v>0.95999475542969459</v>
      </c>
      <c r="G54" s="19">
        <v>0.94218877391031663</v>
      </c>
      <c r="H54" s="19">
        <v>0.95737238361413501</v>
      </c>
      <c r="I54" s="19">
        <v>2.935521073441592E-2</v>
      </c>
      <c r="J54" s="19">
        <v>0.95900204867596162</v>
      </c>
      <c r="K54" s="19">
        <v>3.047604951320004E-2</v>
      </c>
      <c r="L54" s="19"/>
      <c r="M54" s="19"/>
      <c r="N54" s="19"/>
      <c r="O54" s="19"/>
      <c r="P54" s="19"/>
    </row>
    <row r="55" spans="2:16" x14ac:dyDescent="0.2">
      <c r="B55" t="s">
        <v>586</v>
      </c>
      <c r="C55" t="s">
        <v>400</v>
      </c>
      <c r="D55" s="18">
        <v>42172</v>
      </c>
      <c r="E55" t="s">
        <v>162</v>
      </c>
      <c r="F55" s="19">
        <v>0.93900624681512213</v>
      </c>
      <c r="G55" s="19">
        <v>0.83530608588831445</v>
      </c>
      <c r="H55" s="19">
        <v>0.88709976887597519</v>
      </c>
      <c r="I55" s="19">
        <v>4.3349847339170466E-2</v>
      </c>
      <c r="J55" s="19">
        <v>0.91730607307707634</v>
      </c>
      <c r="K55" s="19">
        <v>3.7168850337201749E-2</v>
      </c>
      <c r="L55" s="19"/>
      <c r="M55" s="19"/>
      <c r="N55" s="19"/>
      <c r="O55" s="19"/>
      <c r="P55" s="19"/>
    </row>
    <row r="56" spans="2:16" x14ac:dyDescent="0.2">
      <c r="B56" t="s">
        <v>612</v>
      </c>
      <c r="C56" t="s">
        <v>414</v>
      </c>
      <c r="D56" s="18">
        <v>42172</v>
      </c>
      <c r="E56" t="s">
        <v>173</v>
      </c>
      <c r="F56" s="19">
        <v>0.90530787451486272</v>
      </c>
      <c r="G56" s="19">
        <v>0.89226058985389289</v>
      </c>
      <c r="H56" s="19">
        <v>0.93261029633495629</v>
      </c>
      <c r="I56" s="19">
        <v>3.8455608289039704E-2</v>
      </c>
      <c r="J56" s="19">
        <v>0.91702083026995884</v>
      </c>
      <c r="K56" s="19">
        <v>3.9742855967041212E-2</v>
      </c>
      <c r="L56" s="19"/>
      <c r="M56" s="19"/>
      <c r="N56" s="19"/>
      <c r="O56" s="19"/>
      <c r="P56" s="19"/>
    </row>
    <row r="57" spans="2:16" x14ac:dyDescent="0.2">
      <c r="B57" t="s">
        <v>624</v>
      </c>
      <c r="C57" t="s">
        <v>395</v>
      </c>
      <c r="D57" s="18">
        <v>42172</v>
      </c>
      <c r="E57" t="s">
        <v>178</v>
      </c>
      <c r="F57" s="19">
        <v>0.95133728404352036</v>
      </c>
      <c r="G57" s="19">
        <v>0.88203681311299209</v>
      </c>
      <c r="H57" s="19">
        <v>0.89957126455217162</v>
      </c>
      <c r="I57" s="19">
        <v>4.5719968861485681E-2</v>
      </c>
      <c r="J57" s="19">
        <v>0.94167017730178937</v>
      </c>
      <c r="K57" s="19">
        <v>3.7650625372654574E-2</v>
      </c>
      <c r="L57" s="19"/>
      <c r="M57" s="19"/>
      <c r="N57" s="19"/>
      <c r="O57" s="19"/>
      <c r="P57" s="19"/>
    </row>
    <row r="58" spans="2:16" x14ac:dyDescent="0.2">
      <c r="B58" t="s">
        <v>636</v>
      </c>
      <c r="C58" t="s">
        <v>395</v>
      </c>
      <c r="D58" s="18">
        <v>42172</v>
      </c>
      <c r="E58" t="s">
        <v>183</v>
      </c>
      <c r="F58" s="19">
        <v>0.91901477555298416</v>
      </c>
      <c r="G58" s="19">
        <v>0.86427381064679443</v>
      </c>
      <c r="H58" s="19">
        <v>0.88823518996922146</v>
      </c>
      <c r="I58" s="19">
        <v>4.1580440129110767E-2</v>
      </c>
      <c r="J58" s="19">
        <v>0.91501734146003633</v>
      </c>
      <c r="K58" s="19">
        <v>3.848129534101169E-2</v>
      </c>
      <c r="L58" s="19"/>
      <c r="M58" s="19"/>
      <c r="N58" s="19"/>
      <c r="O58" s="19"/>
      <c r="P58" s="19"/>
    </row>
    <row r="59" spans="2:16" x14ac:dyDescent="0.2">
      <c r="B59" t="s">
        <v>639</v>
      </c>
      <c r="C59" t="s">
        <v>379</v>
      </c>
      <c r="D59" s="18">
        <v>42172</v>
      </c>
      <c r="E59" t="s">
        <v>184</v>
      </c>
      <c r="F59" s="19">
        <v>0.94562122567128137</v>
      </c>
      <c r="G59" s="19">
        <v>0.88989076184198135</v>
      </c>
      <c r="H59" s="19">
        <v>0.90027656773516762</v>
      </c>
      <c r="I59" s="19">
        <v>4.3131920360894679E-2</v>
      </c>
      <c r="J59" s="19">
        <v>0.93063214403375671</v>
      </c>
      <c r="K59" s="19">
        <v>2.9201016572666133E-2</v>
      </c>
      <c r="L59" s="19"/>
      <c r="M59" s="19"/>
      <c r="N59" s="19"/>
      <c r="O59" s="19"/>
      <c r="P59" s="19"/>
    </row>
    <row r="60" spans="2:16" x14ac:dyDescent="0.2">
      <c r="B60" t="s">
        <v>641</v>
      </c>
      <c r="C60" t="s">
        <v>414</v>
      </c>
      <c r="D60" s="18">
        <v>42172</v>
      </c>
      <c r="E60" t="s">
        <v>185</v>
      </c>
      <c r="F60" s="19">
        <v>0.97845686168331547</v>
      </c>
      <c r="G60" s="19">
        <v>0.93901899060477589</v>
      </c>
      <c r="H60" s="19">
        <v>0.87081876952715032</v>
      </c>
      <c r="I60" s="19">
        <v>4.2728353780138943E-2</v>
      </c>
      <c r="J60" s="19">
        <v>0.94065600878825717</v>
      </c>
      <c r="K60" s="19">
        <v>3.0949816570412309E-2</v>
      </c>
      <c r="L60" s="19"/>
      <c r="M60" s="19"/>
      <c r="N60" s="19"/>
      <c r="O60" s="19"/>
      <c r="P60" s="19"/>
    </row>
    <row r="61" spans="2:16" x14ac:dyDescent="0.2">
      <c r="B61" t="s">
        <v>978</v>
      </c>
      <c r="C61" t="s">
        <v>414</v>
      </c>
      <c r="D61" s="18">
        <v>42172</v>
      </c>
      <c r="E61" t="s">
        <v>185</v>
      </c>
      <c r="F61" s="19">
        <v>0.97845686168331547</v>
      </c>
      <c r="G61" s="19">
        <v>0.93901899060477589</v>
      </c>
      <c r="H61" s="19">
        <v>0.87081876952715032</v>
      </c>
      <c r="I61" s="19">
        <v>4.2728353780138943E-2</v>
      </c>
      <c r="J61" s="19">
        <v>0.94065600878825717</v>
      </c>
      <c r="K61" s="19">
        <v>3.0949816570412309E-2</v>
      </c>
      <c r="L61" s="19"/>
      <c r="M61" s="19"/>
      <c r="N61" s="19"/>
      <c r="O61" s="19"/>
      <c r="P61" s="19"/>
    </row>
    <row r="62" spans="2:16" x14ac:dyDescent="0.2">
      <c r="B62" t="s">
        <v>646</v>
      </c>
      <c r="C62" t="s">
        <v>379</v>
      </c>
      <c r="D62" s="18">
        <v>42172</v>
      </c>
      <c r="E62" t="s">
        <v>92</v>
      </c>
      <c r="F62" s="19">
        <v>0.90407738295156836</v>
      </c>
      <c r="G62" s="19">
        <v>0.78799392097264431</v>
      </c>
      <c r="H62" s="19">
        <v>0.83558366623763303</v>
      </c>
      <c r="I62" s="19">
        <v>5.0315883255151878E-2</v>
      </c>
      <c r="J62" s="19">
        <v>0.86957951296460589</v>
      </c>
      <c r="K62" s="19">
        <v>3.6472295560088103E-2</v>
      </c>
      <c r="L62" s="19"/>
      <c r="M62" s="19"/>
      <c r="N62" s="19"/>
      <c r="O62" s="19"/>
      <c r="P62" s="19"/>
    </row>
    <row r="63" spans="2:16" x14ac:dyDescent="0.2">
      <c r="B63" t="s">
        <v>648</v>
      </c>
      <c r="C63" t="s">
        <v>395</v>
      </c>
      <c r="D63" s="18">
        <v>42172</v>
      </c>
      <c r="E63" t="s">
        <v>188</v>
      </c>
      <c r="F63" s="19">
        <v>1</v>
      </c>
      <c r="G63" s="19">
        <v>1</v>
      </c>
      <c r="H63" s="19">
        <v>0.94357026346952955</v>
      </c>
      <c r="I63" s="19">
        <v>3.3993479733984561E-2</v>
      </c>
      <c r="J63" s="19">
        <v>0.96023580391681163</v>
      </c>
      <c r="K63" s="19">
        <v>2.8338980003874567E-2</v>
      </c>
      <c r="L63" s="19"/>
      <c r="M63" s="19"/>
      <c r="N63" s="19"/>
      <c r="O63" s="19"/>
      <c r="P63" s="19"/>
    </row>
    <row r="64" spans="2:16" x14ac:dyDescent="0.2">
      <c r="B64" t="s">
        <v>652</v>
      </c>
      <c r="C64" t="s">
        <v>400</v>
      </c>
      <c r="D64" s="18">
        <v>42172</v>
      </c>
      <c r="E64" t="s">
        <v>190</v>
      </c>
      <c r="F64" s="19">
        <v>0.97897857431612989</v>
      </c>
      <c r="G64" s="19">
        <v>0.96822810590631359</v>
      </c>
      <c r="H64" s="19">
        <v>0.96501787461892674</v>
      </c>
      <c r="I64" s="19">
        <v>2.5593474531166577E-2</v>
      </c>
      <c r="J64" s="19">
        <v>0.95195911161551683</v>
      </c>
      <c r="K64" s="19">
        <v>3.3378926350499043E-2</v>
      </c>
      <c r="L64" s="19"/>
      <c r="M64" s="19"/>
      <c r="N64" s="19"/>
      <c r="O64" s="19"/>
      <c r="P64" s="19"/>
    </row>
    <row r="65" spans="2:16" x14ac:dyDescent="0.2">
      <c r="B65" t="s">
        <v>658</v>
      </c>
      <c r="C65" t="s">
        <v>414</v>
      </c>
      <c r="D65" s="18">
        <v>42172</v>
      </c>
      <c r="E65" t="s">
        <v>192</v>
      </c>
      <c r="F65" s="19">
        <v>0.96745566331094623</v>
      </c>
      <c r="G65" s="19">
        <v>0.86463993397069938</v>
      </c>
      <c r="H65" s="19">
        <v>0.90382762053172394</v>
      </c>
      <c r="I65" s="19">
        <v>4.0548060049353796E-2</v>
      </c>
      <c r="J65" s="19">
        <v>0.94360210308255144</v>
      </c>
      <c r="K65" s="19">
        <v>3.404369958661782E-2</v>
      </c>
      <c r="L65" s="19"/>
      <c r="M65" s="19"/>
      <c r="N65" s="19"/>
      <c r="O65" s="19"/>
      <c r="P65" s="19"/>
    </row>
    <row r="66" spans="2:16" x14ac:dyDescent="0.2">
      <c r="B66" t="s">
        <v>554</v>
      </c>
      <c r="C66" t="s">
        <v>379</v>
      </c>
      <c r="D66" s="18">
        <v>42172</v>
      </c>
      <c r="E66" t="s">
        <v>150</v>
      </c>
      <c r="F66" s="19">
        <v>0.88047528089071614</v>
      </c>
      <c r="G66" s="19">
        <v>0.85989691242609534</v>
      </c>
      <c r="H66" s="19">
        <v>0.91264354378571755</v>
      </c>
      <c r="I66" s="19">
        <v>3.9663167617869491E-2</v>
      </c>
      <c r="J66" s="19">
        <v>0.93151672050268219</v>
      </c>
      <c r="K66" s="19">
        <v>3.8916220579615697E-2</v>
      </c>
      <c r="L66" s="19"/>
      <c r="M66" s="19"/>
      <c r="N66" s="19"/>
      <c r="O66" s="19"/>
      <c r="P66" s="19"/>
    </row>
    <row r="67" spans="2:16" x14ac:dyDescent="0.2">
      <c r="B67" t="s">
        <v>560</v>
      </c>
      <c r="C67" t="s">
        <v>379</v>
      </c>
      <c r="D67" s="18">
        <v>42172</v>
      </c>
      <c r="E67" t="s">
        <v>153</v>
      </c>
      <c r="F67" s="19">
        <v>0.95892118819625649</v>
      </c>
      <c r="G67" s="19">
        <v>0.79939185656733402</v>
      </c>
      <c r="H67" s="19">
        <v>0.83629756840852632</v>
      </c>
      <c r="I67" s="19">
        <v>5.0583679595135961E-2</v>
      </c>
      <c r="J67" s="19">
        <v>0.93371976313245308</v>
      </c>
      <c r="K67" s="19">
        <v>3.0014731871330795E-2</v>
      </c>
      <c r="L67" s="19"/>
      <c r="M67" s="19"/>
      <c r="N67" s="19"/>
      <c r="O67" s="19"/>
      <c r="P67" s="19"/>
    </row>
    <row r="68" spans="2:16" x14ac:dyDescent="0.2">
      <c r="B68" t="s">
        <v>566</v>
      </c>
      <c r="C68" t="s">
        <v>390</v>
      </c>
      <c r="D68" s="18">
        <v>42172</v>
      </c>
      <c r="E68" t="s">
        <v>94</v>
      </c>
      <c r="F68" s="19">
        <v>0.98439964484677178</v>
      </c>
      <c r="G68" s="19">
        <v>0.97266445066480056</v>
      </c>
      <c r="H68" s="19">
        <v>0.91363053832734675</v>
      </c>
      <c r="I68" s="19">
        <v>3.8005544286215172E-2</v>
      </c>
      <c r="J68" s="19">
        <v>0.96514766758427062</v>
      </c>
      <c r="K68" s="19">
        <v>2.6457519552308427E-2</v>
      </c>
      <c r="L68" s="19"/>
      <c r="M68" s="19"/>
      <c r="N68" s="19"/>
      <c r="O68" s="19"/>
      <c r="P68" s="19"/>
    </row>
    <row r="69" spans="2:16" x14ac:dyDescent="0.2">
      <c r="B69" t="s">
        <v>574</v>
      </c>
      <c r="C69" t="s">
        <v>395</v>
      </c>
      <c r="D69" s="18">
        <v>42172</v>
      </c>
      <c r="E69" t="s">
        <v>157</v>
      </c>
      <c r="F69" s="19">
        <v>0.98301274092926538</v>
      </c>
      <c r="G69" s="19">
        <v>0.93906909575649844</v>
      </c>
      <c r="H69" s="19">
        <v>0.93007278804742755</v>
      </c>
      <c r="I69" s="19">
        <v>3.2014453398777218E-2</v>
      </c>
      <c r="J69" s="19">
        <v>0.85144373541626239</v>
      </c>
      <c r="K69" s="19">
        <v>5.9488292074374415E-2</v>
      </c>
      <c r="L69" s="19"/>
      <c r="M69" s="19"/>
      <c r="N69" s="19"/>
      <c r="O69" s="19"/>
      <c r="P69" s="19"/>
    </row>
    <row r="70" spans="2:16" x14ac:dyDescent="0.2">
      <c r="B70" t="s">
        <v>578</v>
      </c>
      <c r="C70" t="s">
        <v>400</v>
      </c>
      <c r="D70" s="18">
        <v>42172</v>
      </c>
      <c r="E70" t="s">
        <v>159</v>
      </c>
      <c r="F70" s="19">
        <v>0.9606147338592288</v>
      </c>
      <c r="G70" s="19">
        <v>0.88733559434196363</v>
      </c>
      <c r="H70" s="19">
        <v>0.92811139176220148</v>
      </c>
      <c r="I70" s="19">
        <v>3.4391547927238336E-2</v>
      </c>
      <c r="J70" s="19">
        <v>0.90957460069352725</v>
      </c>
      <c r="K70" s="19">
        <v>4.9850923980669176E-2</v>
      </c>
      <c r="L70" s="19"/>
      <c r="M70" s="19"/>
      <c r="N70" s="19"/>
      <c r="O70" s="19"/>
      <c r="P70" s="19"/>
    </row>
    <row r="71" spans="2:16" x14ac:dyDescent="0.2">
      <c r="B71" t="s">
        <v>632</v>
      </c>
      <c r="C71" t="s">
        <v>414</v>
      </c>
      <c r="D71" s="18">
        <v>42172</v>
      </c>
      <c r="E71" t="s">
        <v>182</v>
      </c>
      <c r="F71" s="19">
        <v>0.988268665338498</v>
      </c>
      <c r="G71" s="19">
        <v>0.93666533386645345</v>
      </c>
      <c r="H71" s="19">
        <v>0.9522613727115703</v>
      </c>
      <c r="I71" s="19">
        <v>3.3432657648602059E-2</v>
      </c>
      <c r="J71" s="19">
        <v>0.95200346247162249</v>
      </c>
      <c r="K71" s="19">
        <v>2.9247757220740526E-2</v>
      </c>
      <c r="L71" s="19"/>
      <c r="M71" s="19"/>
      <c r="N71" s="19"/>
      <c r="O71" s="19"/>
      <c r="P71" s="19"/>
    </row>
    <row r="72" spans="2:16" x14ac:dyDescent="0.2">
      <c r="B72" t="s">
        <v>687</v>
      </c>
      <c r="C72" t="s">
        <v>379</v>
      </c>
      <c r="D72" s="18">
        <v>42172</v>
      </c>
      <c r="E72" t="s">
        <v>686</v>
      </c>
      <c r="F72" s="19">
        <v>0.99432190434592704</v>
      </c>
      <c r="G72" s="19">
        <v>0.94871794871794857</v>
      </c>
      <c r="H72" s="19">
        <v>0.94871794871794857</v>
      </c>
      <c r="I72" s="19">
        <v>5.9216411741924942E-2</v>
      </c>
      <c r="J72" s="19">
        <v>0.79321910511109228</v>
      </c>
      <c r="K72" s="19">
        <v>3.3511110723036169E-2</v>
      </c>
      <c r="L72" s="19"/>
      <c r="M72" s="19"/>
      <c r="N72" s="19"/>
      <c r="O72" s="19"/>
      <c r="P72" s="19"/>
    </row>
    <row r="73" spans="2:16" x14ac:dyDescent="0.2">
      <c r="B73" t="s">
        <v>654</v>
      </c>
      <c r="C73" t="s">
        <v>395</v>
      </c>
      <c r="D73" s="18">
        <v>42172</v>
      </c>
      <c r="E73" t="s">
        <v>690</v>
      </c>
      <c r="F73" s="19">
        <v>0.9523782705775562</v>
      </c>
      <c r="G73" s="19">
        <v>0.82622155287817933</v>
      </c>
      <c r="H73" s="19">
        <v>0.88054542555678983</v>
      </c>
      <c r="I73" s="19">
        <v>4.8733493447432608E-2</v>
      </c>
      <c r="J73" s="19">
        <v>0.93388679123503404</v>
      </c>
      <c r="K73" s="19">
        <v>4.2867240511050821E-2</v>
      </c>
      <c r="L73" s="19"/>
      <c r="M73" s="19"/>
      <c r="N73" s="19"/>
      <c r="O73" s="19"/>
      <c r="P73" s="19"/>
    </row>
    <row r="74" spans="2:16" x14ac:dyDescent="0.2">
      <c r="B74" t="s">
        <v>656</v>
      </c>
      <c r="C74" t="s">
        <v>400</v>
      </c>
      <c r="D74" s="18">
        <v>42172</v>
      </c>
      <c r="E74" t="s">
        <v>191</v>
      </c>
      <c r="F74" s="153">
        <v>0.95962618057635463</v>
      </c>
      <c r="G74" s="153">
        <v>0.88461337513061655</v>
      </c>
      <c r="H74" s="153">
        <v>0.93531052302914053</v>
      </c>
      <c r="I74" s="153">
        <v>3.468448204925359E-2</v>
      </c>
      <c r="J74" s="153">
        <v>0.95461560778867482</v>
      </c>
      <c r="K74" s="153">
        <v>3.3752083491129452E-2</v>
      </c>
      <c r="L74" s="153"/>
      <c r="M74" s="153"/>
      <c r="N74" s="153"/>
      <c r="O74" s="153"/>
      <c r="P74" s="153"/>
    </row>
  </sheetData>
  <sheetProtection autoFilter="0"/>
  <conditionalFormatting sqref="B3:B74">
    <cfRule type="duplicateValues" dxfId="16"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customWidth="1"/>
    <col min="2" max="2" width="27.28515625" customWidth="1"/>
    <col min="3" max="3" width="8.5703125" customWidth="1"/>
    <col min="4" max="4" width="19.140625" bestFit="1" customWidth="1"/>
    <col min="5" max="5" width="10.28515625" customWidth="1"/>
    <col min="6" max="6" width="34" customWidth="1"/>
    <col min="7" max="7" width="11.5703125" customWidth="1"/>
    <col min="8" max="8" width="14" customWidth="1"/>
    <col min="9" max="9" width="14.42578125" customWidth="1"/>
    <col min="10" max="10" width="10.28515625" customWidth="1"/>
    <col min="11" max="11" width="13.140625" customWidth="1"/>
    <col min="12" max="12" width="11.140625" customWidth="1"/>
    <col min="13" max="13" width="12.5703125" customWidth="1"/>
    <col min="14" max="14" width="18.7109375" customWidth="1"/>
    <col min="15" max="15" width="10.5703125" customWidth="1"/>
    <col min="16" max="16" width="12.42578125" customWidth="1"/>
    <col min="17" max="17" width="10.140625" customWidth="1"/>
    <col min="18" max="18" width="12.5703125" customWidth="1"/>
  </cols>
  <sheetData>
    <row r="1" spans="1:18" x14ac:dyDescent="0.2">
      <c r="A1" t="s">
        <v>504</v>
      </c>
      <c r="B1" t="s">
        <v>376</v>
      </c>
      <c r="C1" t="s">
        <v>503</v>
      </c>
      <c r="D1" t="s">
        <v>505</v>
      </c>
      <c r="E1" t="s">
        <v>506</v>
      </c>
      <c r="F1" t="s">
        <v>507</v>
      </c>
      <c r="G1" t="s">
        <v>508</v>
      </c>
      <c r="H1" t="s">
        <v>509</v>
      </c>
      <c r="I1" t="s">
        <v>510</v>
      </c>
      <c r="J1" t="s">
        <v>511</v>
      </c>
      <c r="K1" t="s">
        <v>512</v>
      </c>
      <c r="L1" t="s">
        <v>377</v>
      </c>
      <c r="M1" t="s">
        <v>513</v>
      </c>
      <c r="N1" t="s">
        <v>514</v>
      </c>
      <c r="O1" t="s">
        <v>515</v>
      </c>
      <c r="P1" t="s">
        <v>516</v>
      </c>
      <c r="Q1" t="s">
        <v>517</v>
      </c>
      <c r="R1" t="s">
        <v>695</v>
      </c>
    </row>
    <row r="2" spans="1:18" x14ac:dyDescent="0.2">
      <c r="A2">
        <v>1</v>
      </c>
      <c r="B2">
        <v>-99</v>
      </c>
      <c r="C2" t="s">
        <v>447</v>
      </c>
      <c r="D2" t="s">
        <v>6</v>
      </c>
      <c r="E2" t="s">
        <v>447</v>
      </c>
      <c r="F2" t="s">
        <v>518</v>
      </c>
      <c r="G2" t="s">
        <v>447</v>
      </c>
      <c r="H2" t="s">
        <v>6</v>
      </c>
      <c r="I2">
        <v>-99</v>
      </c>
      <c r="J2">
        <v>1</v>
      </c>
      <c r="K2" t="s">
        <v>6</v>
      </c>
      <c r="L2">
        <v>-99</v>
      </c>
      <c r="M2" t="s">
        <v>671</v>
      </c>
      <c r="N2" t="s">
        <v>671</v>
      </c>
      <c r="O2">
        <v>-99</v>
      </c>
      <c r="P2">
        <v>-99</v>
      </c>
      <c r="Q2">
        <v>1</v>
      </c>
      <c r="R2" t="s">
        <v>671</v>
      </c>
    </row>
    <row r="3" spans="1:18" x14ac:dyDescent="0.2">
      <c r="A3">
        <v>2</v>
      </c>
      <c r="B3">
        <v>-99</v>
      </c>
      <c r="C3" t="s">
        <v>448</v>
      </c>
      <c r="D3" t="s">
        <v>6</v>
      </c>
      <c r="E3" t="s">
        <v>448</v>
      </c>
      <c r="F3" t="s">
        <v>471</v>
      </c>
      <c r="G3" t="s">
        <v>447</v>
      </c>
      <c r="H3" t="s">
        <v>6</v>
      </c>
      <c r="I3">
        <v>-99</v>
      </c>
      <c r="J3">
        <v>1</v>
      </c>
      <c r="K3" t="s">
        <v>6</v>
      </c>
      <c r="L3">
        <v>-99</v>
      </c>
      <c r="M3" t="s">
        <v>671</v>
      </c>
      <c r="N3" t="s">
        <v>671</v>
      </c>
      <c r="O3">
        <v>-99</v>
      </c>
      <c r="P3">
        <v>-99</v>
      </c>
      <c r="Q3">
        <v>1</v>
      </c>
      <c r="R3" t="s">
        <v>671</v>
      </c>
    </row>
    <row r="4" spans="1:18" x14ac:dyDescent="0.2">
      <c r="A4">
        <v>3</v>
      </c>
      <c r="B4">
        <v>-99</v>
      </c>
      <c r="C4" t="s">
        <v>672</v>
      </c>
      <c r="D4" t="s">
        <v>6</v>
      </c>
      <c r="E4" t="s">
        <v>672</v>
      </c>
      <c r="F4" t="s">
        <v>472</v>
      </c>
      <c r="G4" t="s">
        <v>447</v>
      </c>
      <c r="H4" t="s">
        <v>6</v>
      </c>
      <c r="I4">
        <v>-99</v>
      </c>
      <c r="J4">
        <v>1</v>
      </c>
      <c r="K4" t="s">
        <v>6</v>
      </c>
      <c r="L4">
        <v>-99</v>
      </c>
      <c r="M4" t="s">
        <v>671</v>
      </c>
      <c r="N4" t="s">
        <v>671</v>
      </c>
      <c r="O4">
        <v>-99</v>
      </c>
      <c r="P4">
        <v>-99</v>
      </c>
      <c r="Q4">
        <v>1</v>
      </c>
      <c r="R4" t="s">
        <v>216</v>
      </c>
    </row>
    <row r="5" spans="1:18" x14ac:dyDescent="0.2">
      <c r="A5">
        <v>4</v>
      </c>
      <c r="B5">
        <v>-99</v>
      </c>
      <c r="C5" t="s">
        <v>449</v>
      </c>
      <c r="D5" t="s">
        <v>6</v>
      </c>
      <c r="E5" t="s">
        <v>449</v>
      </c>
      <c r="F5" t="s">
        <v>519</v>
      </c>
      <c r="G5" t="s">
        <v>447</v>
      </c>
      <c r="H5" t="s">
        <v>6</v>
      </c>
      <c r="I5">
        <v>-99</v>
      </c>
      <c r="J5">
        <v>1</v>
      </c>
      <c r="K5" t="s">
        <v>6</v>
      </c>
      <c r="L5">
        <v>-99</v>
      </c>
      <c r="M5" t="s">
        <v>671</v>
      </c>
      <c r="N5" t="s">
        <v>671</v>
      </c>
      <c r="O5">
        <v>-99</v>
      </c>
      <c r="P5">
        <v>-99</v>
      </c>
      <c r="Q5">
        <v>1</v>
      </c>
      <c r="R5" t="s">
        <v>700</v>
      </c>
    </row>
    <row r="6" spans="1:18" x14ac:dyDescent="0.2">
      <c r="A6">
        <v>5</v>
      </c>
      <c r="B6">
        <v>-99</v>
      </c>
      <c r="C6" t="s">
        <v>450</v>
      </c>
      <c r="D6" t="s">
        <v>6</v>
      </c>
      <c r="E6" t="s">
        <v>450</v>
      </c>
      <c r="F6" t="s">
        <v>520</v>
      </c>
      <c r="G6" t="s">
        <v>447</v>
      </c>
      <c r="H6" t="s">
        <v>6</v>
      </c>
      <c r="I6">
        <v>-99</v>
      </c>
      <c r="J6">
        <v>1</v>
      </c>
      <c r="K6" t="s">
        <v>6</v>
      </c>
      <c r="L6">
        <v>-99</v>
      </c>
      <c r="M6" t="s">
        <v>671</v>
      </c>
      <c r="N6" t="s">
        <v>671</v>
      </c>
      <c r="O6">
        <v>-99</v>
      </c>
      <c r="P6">
        <v>-99</v>
      </c>
      <c r="Q6">
        <v>1</v>
      </c>
      <c r="R6" t="s">
        <v>696</v>
      </c>
    </row>
    <row r="7" spans="1:18" x14ac:dyDescent="0.2">
      <c r="A7">
        <v>6</v>
      </c>
      <c r="B7">
        <v>-99</v>
      </c>
      <c r="C7" t="s">
        <v>451</v>
      </c>
      <c r="D7" t="s">
        <v>6</v>
      </c>
      <c r="E7" t="s">
        <v>451</v>
      </c>
      <c r="F7" t="s">
        <v>980</v>
      </c>
      <c r="G7" t="s">
        <v>447</v>
      </c>
      <c r="H7" t="s">
        <v>6</v>
      </c>
      <c r="I7">
        <v>-99</v>
      </c>
      <c r="J7">
        <v>1</v>
      </c>
      <c r="K7" t="s">
        <v>6</v>
      </c>
      <c r="L7">
        <v>-99</v>
      </c>
      <c r="M7" t="s">
        <v>671</v>
      </c>
      <c r="N7" t="s">
        <v>671</v>
      </c>
      <c r="O7">
        <v>-99</v>
      </c>
      <c r="P7">
        <v>-99</v>
      </c>
      <c r="Q7">
        <v>1</v>
      </c>
      <c r="R7" t="s">
        <v>697</v>
      </c>
    </row>
    <row r="8" spans="1:18" x14ac:dyDescent="0.2">
      <c r="A8">
        <v>7</v>
      </c>
      <c r="B8">
        <v>-99</v>
      </c>
      <c r="C8" t="s">
        <v>452</v>
      </c>
      <c r="D8" t="s">
        <v>6</v>
      </c>
      <c r="E8" t="s">
        <v>452</v>
      </c>
      <c r="F8" t="s">
        <v>521</v>
      </c>
      <c r="G8" t="s">
        <v>447</v>
      </c>
      <c r="H8" t="s">
        <v>6</v>
      </c>
      <c r="I8">
        <v>-99</v>
      </c>
      <c r="J8">
        <v>1</v>
      </c>
      <c r="K8" t="s">
        <v>6</v>
      </c>
      <c r="L8">
        <v>-99</v>
      </c>
      <c r="M8" t="s">
        <v>671</v>
      </c>
      <c r="N8" t="s">
        <v>671</v>
      </c>
      <c r="O8">
        <v>-99</v>
      </c>
      <c r="P8">
        <v>-99</v>
      </c>
      <c r="Q8">
        <v>1</v>
      </c>
      <c r="R8" t="s">
        <v>698</v>
      </c>
    </row>
    <row r="9" spans="1:18" x14ac:dyDescent="0.2">
      <c r="A9">
        <v>8</v>
      </c>
      <c r="B9">
        <v>-99</v>
      </c>
      <c r="C9" t="s">
        <v>453</v>
      </c>
      <c r="D9" t="s">
        <v>6</v>
      </c>
      <c r="E9" t="s">
        <v>453</v>
      </c>
      <c r="F9" t="s">
        <v>522</v>
      </c>
      <c r="G9" t="s">
        <v>447</v>
      </c>
      <c r="H9" t="s">
        <v>6</v>
      </c>
      <c r="I9">
        <v>-99</v>
      </c>
      <c r="J9">
        <v>1</v>
      </c>
      <c r="K9" t="s">
        <v>6</v>
      </c>
      <c r="L9">
        <v>-99</v>
      </c>
      <c r="M9" t="s">
        <v>671</v>
      </c>
      <c r="N9" t="s">
        <v>671</v>
      </c>
      <c r="O9">
        <v>-99</v>
      </c>
      <c r="P9">
        <v>-99</v>
      </c>
      <c r="Q9">
        <v>1</v>
      </c>
      <c r="R9" t="s">
        <v>408</v>
      </c>
    </row>
    <row r="10" spans="1:18" x14ac:dyDescent="0.2">
      <c r="A10">
        <v>9</v>
      </c>
      <c r="B10">
        <v>-99</v>
      </c>
      <c r="C10" t="s">
        <v>454</v>
      </c>
      <c r="D10" t="s">
        <v>6</v>
      </c>
      <c r="E10" t="s">
        <v>454</v>
      </c>
      <c r="F10" t="s">
        <v>523</v>
      </c>
      <c r="G10" t="s">
        <v>447</v>
      </c>
      <c r="H10" t="s">
        <v>6</v>
      </c>
      <c r="I10">
        <v>-99</v>
      </c>
      <c r="J10">
        <v>1</v>
      </c>
      <c r="K10" t="s">
        <v>6</v>
      </c>
      <c r="L10">
        <v>-99</v>
      </c>
      <c r="M10" t="s">
        <v>671</v>
      </c>
      <c r="N10" t="s">
        <v>671</v>
      </c>
      <c r="O10">
        <v>-99</v>
      </c>
      <c r="P10">
        <v>-99</v>
      </c>
      <c r="Q10">
        <v>1</v>
      </c>
      <c r="R10" t="s">
        <v>701</v>
      </c>
    </row>
    <row r="11" spans="1:18" x14ac:dyDescent="0.2">
      <c r="A11">
        <v>10</v>
      </c>
      <c r="B11">
        <v>-99</v>
      </c>
      <c r="C11" t="s">
        <v>455</v>
      </c>
      <c r="D11" t="s">
        <v>6</v>
      </c>
      <c r="E11" t="s">
        <v>455</v>
      </c>
      <c r="F11" t="s">
        <v>524</v>
      </c>
      <c r="G11" t="s">
        <v>447</v>
      </c>
      <c r="H11" t="s">
        <v>6</v>
      </c>
      <c r="I11">
        <v>-99</v>
      </c>
      <c r="J11">
        <v>1</v>
      </c>
      <c r="K11" t="s">
        <v>6</v>
      </c>
      <c r="L11">
        <v>-99</v>
      </c>
      <c r="M11" t="s">
        <v>671</v>
      </c>
      <c r="N11" t="s">
        <v>671</v>
      </c>
      <c r="O11">
        <v>-99</v>
      </c>
      <c r="P11">
        <v>-99</v>
      </c>
      <c r="Q11">
        <v>1</v>
      </c>
      <c r="R11" t="s">
        <v>671</v>
      </c>
    </row>
    <row r="12" spans="1:18" x14ac:dyDescent="0.2">
      <c r="A12">
        <v>11</v>
      </c>
      <c r="B12">
        <v>-99</v>
      </c>
      <c r="C12" t="s">
        <v>457</v>
      </c>
      <c r="D12" t="s">
        <v>525</v>
      </c>
      <c r="E12" t="s">
        <v>673</v>
      </c>
      <c r="F12" t="s">
        <v>135</v>
      </c>
      <c r="G12" t="s">
        <v>673</v>
      </c>
      <c r="H12" t="s">
        <v>380</v>
      </c>
      <c r="I12">
        <v>-99</v>
      </c>
      <c r="J12">
        <v>-99</v>
      </c>
      <c r="K12" t="s">
        <v>671</v>
      </c>
      <c r="L12">
        <v>-99</v>
      </c>
      <c r="M12" t="s">
        <v>671</v>
      </c>
      <c r="N12" t="s">
        <v>671</v>
      </c>
      <c r="O12">
        <v>-99</v>
      </c>
      <c r="P12">
        <v>-99</v>
      </c>
      <c r="Q12">
        <v>2</v>
      </c>
      <c r="R12" t="s">
        <v>671</v>
      </c>
    </row>
    <row r="13" spans="1:18" x14ac:dyDescent="0.2">
      <c r="A13">
        <v>12</v>
      </c>
      <c r="B13">
        <v>-99</v>
      </c>
      <c r="C13" t="s">
        <v>459</v>
      </c>
      <c r="D13" t="s">
        <v>525</v>
      </c>
      <c r="E13" t="s">
        <v>674</v>
      </c>
      <c r="F13" t="s">
        <v>136</v>
      </c>
      <c r="G13" t="s">
        <v>674</v>
      </c>
      <c r="H13" t="s">
        <v>387</v>
      </c>
      <c r="I13">
        <v>-99</v>
      </c>
      <c r="J13">
        <v>-99</v>
      </c>
      <c r="K13" t="s">
        <v>671</v>
      </c>
      <c r="L13">
        <v>-99</v>
      </c>
      <c r="M13" t="s">
        <v>671</v>
      </c>
      <c r="N13" t="s">
        <v>671</v>
      </c>
      <c r="O13">
        <v>-99</v>
      </c>
      <c r="P13">
        <v>-99</v>
      </c>
      <c r="Q13">
        <v>2</v>
      </c>
      <c r="R13" t="s">
        <v>671</v>
      </c>
    </row>
    <row r="14" spans="1:18" x14ac:dyDescent="0.2">
      <c r="A14">
        <v>13</v>
      </c>
      <c r="B14">
        <v>-99</v>
      </c>
      <c r="C14" t="s">
        <v>462</v>
      </c>
      <c r="D14" t="s">
        <v>525</v>
      </c>
      <c r="E14" t="s">
        <v>675</v>
      </c>
      <c r="F14" t="s">
        <v>137</v>
      </c>
      <c r="G14" t="s">
        <v>675</v>
      </c>
      <c r="H14" t="s">
        <v>396</v>
      </c>
      <c r="I14">
        <v>-99</v>
      </c>
      <c r="J14">
        <v>-99</v>
      </c>
      <c r="K14" t="s">
        <v>671</v>
      </c>
      <c r="L14">
        <v>-99</v>
      </c>
      <c r="M14" t="s">
        <v>671</v>
      </c>
      <c r="N14" t="s">
        <v>671</v>
      </c>
      <c r="O14">
        <v>-99</v>
      </c>
      <c r="P14">
        <v>-99</v>
      </c>
      <c r="Q14">
        <v>2</v>
      </c>
      <c r="R14" t="s">
        <v>671</v>
      </c>
    </row>
    <row r="15" spans="1:18" x14ac:dyDescent="0.2">
      <c r="A15">
        <v>14</v>
      </c>
      <c r="B15">
        <v>-99</v>
      </c>
      <c r="C15" t="s">
        <v>676</v>
      </c>
      <c r="D15" t="s">
        <v>525</v>
      </c>
      <c r="E15" t="s">
        <v>677</v>
      </c>
      <c r="F15" t="s">
        <v>138</v>
      </c>
      <c r="G15" t="s">
        <v>677</v>
      </c>
      <c r="H15" t="s">
        <v>412</v>
      </c>
      <c r="I15">
        <v>-99</v>
      </c>
      <c r="J15">
        <v>-99</v>
      </c>
      <c r="K15" t="s">
        <v>671</v>
      </c>
      <c r="L15">
        <v>-99</v>
      </c>
      <c r="M15" t="s">
        <v>671</v>
      </c>
      <c r="N15" t="s">
        <v>671</v>
      </c>
      <c r="O15">
        <v>-99</v>
      </c>
      <c r="P15">
        <v>-99</v>
      </c>
      <c r="Q15">
        <v>2</v>
      </c>
      <c r="R15" t="s">
        <v>671</v>
      </c>
    </row>
    <row r="16" spans="1:18" x14ac:dyDescent="0.2">
      <c r="A16">
        <v>15</v>
      </c>
      <c r="B16">
        <v>-99</v>
      </c>
      <c r="C16" t="s">
        <v>678</v>
      </c>
      <c r="D16" t="s">
        <v>446</v>
      </c>
      <c r="E16" t="s">
        <v>679</v>
      </c>
      <c r="F16" t="s">
        <v>439</v>
      </c>
      <c r="G16" t="s">
        <v>671</v>
      </c>
      <c r="H16" t="s">
        <v>671</v>
      </c>
      <c r="I16">
        <v>-99</v>
      </c>
      <c r="J16">
        <v>30</v>
      </c>
      <c r="K16" t="s">
        <v>379</v>
      </c>
      <c r="L16">
        <v>-99</v>
      </c>
      <c r="M16" t="s">
        <v>671</v>
      </c>
      <c r="N16" t="s">
        <v>671</v>
      </c>
      <c r="O16">
        <v>-99</v>
      </c>
      <c r="P16">
        <v>-99</v>
      </c>
      <c r="Q16">
        <v>3</v>
      </c>
      <c r="R16" t="s">
        <v>671</v>
      </c>
    </row>
    <row r="17" spans="1:18" x14ac:dyDescent="0.2">
      <c r="A17">
        <v>16</v>
      </c>
      <c r="B17">
        <v>-99</v>
      </c>
      <c r="C17" t="s">
        <v>680</v>
      </c>
      <c r="D17" t="s">
        <v>446</v>
      </c>
      <c r="E17" t="s">
        <v>678</v>
      </c>
      <c r="F17" t="s">
        <v>445</v>
      </c>
      <c r="G17" t="s">
        <v>671</v>
      </c>
      <c r="H17" t="s">
        <v>671</v>
      </c>
      <c r="I17">
        <v>-99</v>
      </c>
      <c r="J17">
        <v>31</v>
      </c>
      <c r="K17" t="s">
        <v>390</v>
      </c>
      <c r="L17">
        <v>-99</v>
      </c>
      <c r="M17" t="s">
        <v>671</v>
      </c>
      <c r="N17" t="s">
        <v>671</v>
      </c>
      <c r="O17">
        <v>-99</v>
      </c>
      <c r="P17">
        <v>-99</v>
      </c>
      <c r="Q17">
        <v>3</v>
      </c>
      <c r="R17" t="s">
        <v>671</v>
      </c>
    </row>
    <row r="18" spans="1:18" x14ac:dyDescent="0.2">
      <c r="A18">
        <v>17</v>
      </c>
      <c r="B18">
        <v>-99</v>
      </c>
      <c r="C18" t="s">
        <v>681</v>
      </c>
      <c r="D18" t="s">
        <v>446</v>
      </c>
      <c r="E18" t="s">
        <v>680</v>
      </c>
      <c r="F18" t="s">
        <v>443</v>
      </c>
      <c r="G18" t="s">
        <v>671</v>
      </c>
      <c r="H18" t="s">
        <v>671</v>
      </c>
      <c r="I18">
        <v>-99</v>
      </c>
      <c r="J18">
        <v>32</v>
      </c>
      <c r="K18" t="s">
        <v>400</v>
      </c>
      <c r="L18">
        <v>-99</v>
      </c>
      <c r="M18" t="s">
        <v>671</v>
      </c>
      <c r="N18" t="s">
        <v>671</v>
      </c>
      <c r="O18">
        <v>-99</v>
      </c>
      <c r="P18">
        <v>-99</v>
      </c>
      <c r="Q18">
        <v>3</v>
      </c>
      <c r="R18" t="s">
        <v>671</v>
      </c>
    </row>
    <row r="19" spans="1:18" x14ac:dyDescent="0.2">
      <c r="A19">
        <v>18</v>
      </c>
      <c r="B19">
        <v>-99</v>
      </c>
      <c r="C19" t="s">
        <v>682</v>
      </c>
      <c r="D19" t="s">
        <v>446</v>
      </c>
      <c r="E19" t="s">
        <v>681</v>
      </c>
      <c r="F19" t="s">
        <v>442</v>
      </c>
      <c r="G19" t="s">
        <v>671</v>
      </c>
      <c r="H19" t="s">
        <v>671</v>
      </c>
      <c r="I19">
        <v>-99</v>
      </c>
      <c r="J19">
        <v>33</v>
      </c>
      <c r="K19" t="s">
        <v>395</v>
      </c>
      <c r="L19">
        <v>-99</v>
      </c>
      <c r="M19" t="s">
        <v>671</v>
      </c>
      <c r="N19" t="s">
        <v>671</v>
      </c>
      <c r="O19">
        <v>-99</v>
      </c>
      <c r="P19">
        <v>-99</v>
      </c>
      <c r="Q19">
        <v>3</v>
      </c>
      <c r="R19" t="s">
        <v>671</v>
      </c>
    </row>
    <row r="20" spans="1:18" x14ac:dyDescent="0.2">
      <c r="A20">
        <v>19</v>
      </c>
      <c r="B20">
        <v>-99</v>
      </c>
      <c r="C20" t="s">
        <v>683</v>
      </c>
      <c r="D20" t="s">
        <v>446</v>
      </c>
      <c r="E20" t="s">
        <v>682</v>
      </c>
      <c r="F20" t="s">
        <v>444</v>
      </c>
      <c r="G20" t="s">
        <v>671</v>
      </c>
      <c r="H20" t="s">
        <v>671</v>
      </c>
      <c r="I20">
        <v>-99</v>
      </c>
      <c r="J20">
        <v>34</v>
      </c>
      <c r="K20" t="s">
        <v>414</v>
      </c>
      <c r="L20">
        <v>-99</v>
      </c>
      <c r="M20" t="s">
        <v>671</v>
      </c>
      <c r="N20" t="s">
        <v>671</v>
      </c>
      <c r="O20">
        <v>-99</v>
      </c>
      <c r="P20">
        <v>-99</v>
      </c>
      <c r="Q20">
        <v>3</v>
      </c>
      <c r="R20" t="s">
        <v>671</v>
      </c>
    </row>
    <row r="21" spans="1:18" x14ac:dyDescent="0.2">
      <c r="A21">
        <v>20</v>
      </c>
      <c r="B21">
        <v>1</v>
      </c>
      <c r="C21" t="s">
        <v>684</v>
      </c>
      <c r="D21" t="s">
        <v>378</v>
      </c>
      <c r="E21" t="s">
        <v>684</v>
      </c>
      <c r="F21" t="s">
        <v>526</v>
      </c>
      <c r="G21" t="s">
        <v>685</v>
      </c>
      <c r="H21" t="s">
        <v>8</v>
      </c>
      <c r="I21">
        <v>-99</v>
      </c>
      <c r="J21">
        <v>35</v>
      </c>
      <c r="K21" t="s">
        <v>8</v>
      </c>
      <c r="L21">
        <v>8240</v>
      </c>
      <c r="M21" t="s">
        <v>527</v>
      </c>
      <c r="N21" t="s">
        <v>671</v>
      </c>
      <c r="O21">
        <v>1</v>
      </c>
      <c r="P21">
        <v>2</v>
      </c>
      <c r="Q21">
        <v>-99</v>
      </c>
      <c r="R21" t="s">
        <v>671</v>
      </c>
    </row>
    <row r="22" spans="1:18" x14ac:dyDescent="0.2">
      <c r="A22">
        <v>21</v>
      </c>
      <c r="B22">
        <v>8</v>
      </c>
      <c r="C22" t="s">
        <v>142</v>
      </c>
      <c r="D22" t="s">
        <v>38</v>
      </c>
      <c r="E22" t="s">
        <v>528</v>
      </c>
      <c r="F22" t="s">
        <v>529</v>
      </c>
      <c r="G22" t="s">
        <v>673</v>
      </c>
      <c r="H22" t="s">
        <v>380</v>
      </c>
      <c r="I22">
        <v>380</v>
      </c>
      <c r="J22">
        <v>30</v>
      </c>
      <c r="K22" t="s">
        <v>379</v>
      </c>
      <c r="L22">
        <v>8233</v>
      </c>
      <c r="M22" t="s">
        <v>335</v>
      </c>
      <c r="N22" t="s">
        <v>381</v>
      </c>
      <c r="O22">
        <v>1</v>
      </c>
      <c r="P22">
        <v>2</v>
      </c>
      <c r="Q22">
        <v>-99</v>
      </c>
      <c r="R22" t="s">
        <v>699</v>
      </c>
    </row>
    <row r="23" spans="1:18" x14ac:dyDescent="0.2">
      <c r="A23">
        <v>22</v>
      </c>
      <c r="B23">
        <v>9</v>
      </c>
      <c r="C23" t="s">
        <v>143</v>
      </c>
      <c r="D23" t="s">
        <v>70</v>
      </c>
      <c r="E23" t="s">
        <v>530</v>
      </c>
      <c r="F23" t="s">
        <v>531</v>
      </c>
      <c r="G23" t="s">
        <v>673</v>
      </c>
      <c r="H23" t="s">
        <v>380</v>
      </c>
      <c r="I23">
        <v>380</v>
      </c>
      <c r="J23">
        <v>30</v>
      </c>
      <c r="K23" t="s">
        <v>379</v>
      </c>
      <c r="L23">
        <v>8235</v>
      </c>
      <c r="M23" t="s">
        <v>370</v>
      </c>
      <c r="N23" t="s">
        <v>382</v>
      </c>
      <c r="O23">
        <v>1</v>
      </c>
      <c r="P23">
        <v>1</v>
      </c>
      <c r="Q23">
        <v>-99</v>
      </c>
      <c r="R23" t="s">
        <v>699</v>
      </c>
    </row>
    <row r="24" spans="1:18" x14ac:dyDescent="0.2">
      <c r="A24">
        <v>23</v>
      </c>
      <c r="B24">
        <v>-99</v>
      </c>
      <c r="C24" t="s">
        <v>143</v>
      </c>
      <c r="D24" t="s">
        <v>70</v>
      </c>
      <c r="E24" t="s">
        <v>532</v>
      </c>
      <c r="F24" t="s">
        <v>533</v>
      </c>
      <c r="G24" t="s">
        <v>673</v>
      </c>
      <c r="H24" t="s">
        <v>380</v>
      </c>
      <c r="I24">
        <v>380</v>
      </c>
      <c r="J24">
        <v>30</v>
      </c>
      <c r="K24" t="s">
        <v>379</v>
      </c>
      <c r="L24">
        <v>8235</v>
      </c>
      <c r="M24" t="s">
        <v>370</v>
      </c>
      <c r="N24" t="s">
        <v>382</v>
      </c>
      <c r="O24">
        <v>-99</v>
      </c>
      <c r="P24">
        <v>1</v>
      </c>
      <c r="Q24">
        <v>-99</v>
      </c>
      <c r="R24" t="s">
        <v>408</v>
      </c>
    </row>
    <row r="25" spans="1:18" x14ac:dyDescent="0.2">
      <c r="A25">
        <v>24</v>
      </c>
      <c r="B25">
        <v>10</v>
      </c>
      <c r="C25" t="s">
        <v>144</v>
      </c>
      <c r="D25" t="s">
        <v>63</v>
      </c>
      <c r="E25" t="s">
        <v>534</v>
      </c>
      <c r="F25" t="s">
        <v>535</v>
      </c>
      <c r="G25" t="s">
        <v>673</v>
      </c>
      <c r="H25" t="s">
        <v>380</v>
      </c>
      <c r="I25">
        <v>380</v>
      </c>
      <c r="J25">
        <v>30</v>
      </c>
      <c r="K25" t="s">
        <v>379</v>
      </c>
      <c r="L25">
        <v>8237</v>
      </c>
      <c r="M25" t="s">
        <v>345</v>
      </c>
      <c r="N25" t="s">
        <v>63</v>
      </c>
      <c r="O25">
        <v>1</v>
      </c>
      <c r="P25">
        <v>2</v>
      </c>
      <c r="Q25">
        <v>-99</v>
      </c>
      <c r="R25" t="s">
        <v>699</v>
      </c>
    </row>
    <row r="26" spans="1:18" x14ac:dyDescent="0.2">
      <c r="A26">
        <v>25</v>
      </c>
      <c r="B26">
        <v>11</v>
      </c>
      <c r="C26" t="s">
        <v>145</v>
      </c>
      <c r="D26" t="s">
        <v>24</v>
      </c>
      <c r="E26" t="s">
        <v>536</v>
      </c>
      <c r="F26" t="s">
        <v>537</v>
      </c>
      <c r="G26" t="s">
        <v>673</v>
      </c>
      <c r="H26" t="s">
        <v>380</v>
      </c>
      <c r="I26">
        <v>380</v>
      </c>
      <c r="J26">
        <v>30</v>
      </c>
      <c r="K26" t="s">
        <v>379</v>
      </c>
      <c r="L26">
        <v>8238</v>
      </c>
      <c r="M26" t="s">
        <v>345</v>
      </c>
      <c r="N26" t="s">
        <v>63</v>
      </c>
      <c r="O26">
        <v>1</v>
      </c>
      <c r="P26">
        <v>2</v>
      </c>
      <c r="Q26">
        <v>-99</v>
      </c>
      <c r="R26" t="s">
        <v>699</v>
      </c>
    </row>
    <row r="27" spans="1:18" x14ac:dyDescent="0.2">
      <c r="A27">
        <v>26</v>
      </c>
      <c r="B27">
        <v>12</v>
      </c>
      <c r="C27" t="s">
        <v>146</v>
      </c>
      <c r="D27" t="s">
        <v>47</v>
      </c>
      <c r="E27" t="s">
        <v>538</v>
      </c>
      <c r="F27" t="s">
        <v>539</v>
      </c>
      <c r="G27" t="s">
        <v>673</v>
      </c>
      <c r="H27" t="s">
        <v>380</v>
      </c>
      <c r="I27">
        <v>380</v>
      </c>
      <c r="J27">
        <v>30</v>
      </c>
      <c r="K27" t="s">
        <v>379</v>
      </c>
      <c r="L27">
        <v>8239</v>
      </c>
      <c r="M27" t="s">
        <v>363</v>
      </c>
      <c r="N27" t="s">
        <v>383</v>
      </c>
      <c r="O27">
        <v>1</v>
      </c>
      <c r="P27">
        <v>2</v>
      </c>
      <c r="Q27">
        <v>-99</v>
      </c>
      <c r="R27" t="s">
        <v>699</v>
      </c>
    </row>
    <row r="28" spans="1:18" x14ac:dyDescent="0.2">
      <c r="A28">
        <v>27</v>
      </c>
      <c r="B28">
        <v>13</v>
      </c>
      <c r="C28" t="s">
        <v>147</v>
      </c>
      <c r="D28" t="s">
        <v>64</v>
      </c>
      <c r="E28" t="s">
        <v>540</v>
      </c>
      <c r="F28" t="s">
        <v>541</v>
      </c>
      <c r="G28" t="s">
        <v>673</v>
      </c>
      <c r="H28" t="s">
        <v>380</v>
      </c>
      <c r="I28">
        <v>380</v>
      </c>
      <c r="J28">
        <v>30</v>
      </c>
      <c r="K28" t="s">
        <v>379</v>
      </c>
      <c r="L28">
        <v>8241</v>
      </c>
      <c r="M28" t="s">
        <v>367</v>
      </c>
      <c r="N28" t="s">
        <v>384</v>
      </c>
      <c r="O28">
        <v>1</v>
      </c>
      <c r="P28">
        <v>2</v>
      </c>
      <c r="Q28">
        <v>-99</v>
      </c>
      <c r="R28" t="s">
        <v>699</v>
      </c>
    </row>
    <row r="29" spans="1:18" x14ac:dyDescent="0.2">
      <c r="A29">
        <v>28</v>
      </c>
      <c r="B29">
        <v>14</v>
      </c>
      <c r="C29" t="s">
        <v>102</v>
      </c>
      <c r="D29" t="s">
        <v>66</v>
      </c>
      <c r="E29" t="s">
        <v>542</v>
      </c>
      <c r="F29" t="s">
        <v>543</v>
      </c>
      <c r="G29" t="s">
        <v>673</v>
      </c>
      <c r="H29" t="s">
        <v>380</v>
      </c>
      <c r="I29">
        <v>380</v>
      </c>
      <c r="J29">
        <v>30</v>
      </c>
      <c r="K29" t="s">
        <v>379</v>
      </c>
      <c r="L29">
        <v>8242</v>
      </c>
      <c r="M29" t="s">
        <v>357</v>
      </c>
      <c r="N29" t="s">
        <v>385</v>
      </c>
      <c r="O29">
        <v>1</v>
      </c>
      <c r="P29">
        <v>1</v>
      </c>
      <c r="Q29">
        <v>-99</v>
      </c>
      <c r="R29" t="s">
        <v>699</v>
      </c>
    </row>
    <row r="30" spans="1:18" x14ac:dyDescent="0.2">
      <c r="A30">
        <v>29</v>
      </c>
      <c r="B30">
        <v>-99</v>
      </c>
      <c r="C30" t="s">
        <v>102</v>
      </c>
      <c r="D30" t="s">
        <v>66</v>
      </c>
      <c r="E30" t="s">
        <v>544</v>
      </c>
      <c r="F30" t="s">
        <v>218</v>
      </c>
      <c r="G30" t="s">
        <v>673</v>
      </c>
      <c r="H30" t="s">
        <v>380</v>
      </c>
      <c r="I30">
        <v>380</v>
      </c>
      <c r="J30">
        <v>30</v>
      </c>
      <c r="K30" t="s">
        <v>379</v>
      </c>
      <c r="L30">
        <v>8242</v>
      </c>
      <c r="M30" t="s">
        <v>357</v>
      </c>
      <c r="N30" t="s">
        <v>385</v>
      </c>
      <c r="O30">
        <v>-99</v>
      </c>
      <c r="P30">
        <v>1</v>
      </c>
      <c r="Q30">
        <v>-99</v>
      </c>
      <c r="R30" t="s">
        <v>216</v>
      </c>
    </row>
    <row r="31" spans="1:18" x14ac:dyDescent="0.2">
      <c r="A31">
        <v>30</v>
      </c>
      <c r="B31">
        <v>15</v>
      </c>
      <c r="C31" t="s">
        <v>148</v>
      </c>
      <c r="D31" t="s">
        <v>68</v>
      </c>
      <c r="E31" t="s">
        <v>545</v>
      </c>
      <c r="F31" t="s">
        <v>546</v>
      </c>
      <c r="G31" t="s">
        <v>673</v>
      </c>
      <c r="H31" t="s">
        <v>380</v>
      </c>
      <c r="I31">
        <v>380</v>
      </c>
      <c r="J31">
        <v>30</v>
      </c>
      <c r="K31" t="s">
        <v>379</v>
      </c>
      <c r="L31">
        <v>8243</v>
      </c>
      <c r="M31" t="s">
        <v>357</v>
      </c>
      <c r="N31" t="s">
        <v>385</v>
      </c>
      <c r="O31">
        <v>1</v>
      </c>
      <c r="P31">
        <v>1</v>
      </c>
      <c r="Q31">
        <v>-99</v>
      </c>
      <c r="R31" t="s">
        <v>699</v>
      </c>
    </row>
    <row r="32" spans="1:18" x14ac:dyDescent="0.2">
      <c r="A32">
        <v>31</v>
      </c>
      <c r="B32">
        <v>-99</v>
      </c>
      <c r="C32" t="s">
        <v>148</v>
      </c>
      <c r="D32" t="s">
        <v>68</v>
      </c>
      <c r="E32" t="s">
        <v>547</v>
      </c>
      <c r="F32" t="s">
        <v>548</v>
      </c>
      <c r="G32" t="s">
        <v>673</v>
      </c>
      <c r="H32" t="s">
        <v>380</v>
      </c>
      <c r="I32">
        <v>380</v>
      </c>
      <c r="J32">
        <v>30</v>
      </c>
      <c r="K32" t="s">
        <v>379</v>
      </c>
      <c r="L32">
        <v>8243</v>
      </c>
      <c r="M32" t="s">
        <v>357</v>
      </c>
      <c r="N32" t="s">
        <v>385</v>
      </c>
      <c r="O32">
        <v>-99</v>
      </c>
      <c r="P32">
        <v>1</v>
      </c>
      <c r="Q32">
        <v>-99</v>
      </c>
      <c r="R32" t="s">
        <v>698</v>
      </c>
    </row>
    <row r="33" spans="1:18" x14ac:dyDescent="0.2">
      <c r="A33">
        <v>32</v>
      </c>
      <c r="B33">
        <v>16</v>
      </c>
      <c r="C33" t="s">
        <v>149</v>
      </c>
      <c r="D33" t="s">
        <v>36</v>
      </c>
      <c r="E33" t="s">
        <v>549</v>
      </c>
      <c r="F33" t="s">
        <v>550</v>
      </c>
      <c r="G33" t="s">
        <v>673</v>
      </c>
      <c r="H33" t="s">
        <v>380</v>
      </c>
      <c r="I33">
        <v>380</v>
      </c>
      <c r="J33">
        <v>30</v>
      </c>
      <c r="K33" t="s">
        <v>379</v>
      </c>
      <c r="L33">
        <v>8244</v>
      </c>
      <c r="M33" t="s">
        <v>352</v>
      </c>
      <c r="N33" t="s">
        <v>386</v>
      </c>
      <c r="O33">
        <v>1</v>
      </c>
      <c r="P33">
        <v>2</v>
      </c>
      <c r="Q33">
        <v>-99</v>
      </c>
      <c r="R33" t="s">
        <v>699</v>
      </c>
    </row>
    <row r="34" spans="1:18" x14ac:dyDescent="0.2">
      <c r="A34">
        <v>33</v>
      </c>
      <c r="B34">
        <v>23</v>
      </c>
      <c r="C34" t="s">
        <v>108</v>
      </c>
      <c r="D34" t="s">
        <v>72</v>
      </c>
      <c r="E34" t="s">
        <v>551</v>
      </c>
      <c r="F34" t="s">
        <v>552</v>
      </c>
      <c r="G34" t="s">
        <v>674</v>
      </c>
      <c r="H34" t="s">
        <v>387</v>
      </c>
      <c r="I34">
        <v>381</v>
      </c>
      <c r="J34">
        <v>30</v>
      </c>
      <c r="K34" t="s">
        <v>379</v>
      </c>
      <c r="L34">
        <v>8245</v>
      </c>
      <c r="M34" t="s">
        <v>331</v>
      </c>
      <c r="N34" t="s">
        <v>388</v>
      </c>
      <c r="O34">
        <v>1</v>
      </c>
      <c r="P34">
        <v>2</v>
      </c>
      <c r="Q34">
        <v>-99</v>
      </c>
      <c r="R34" t="s">
        <v>699</v>
      </c>
    </row>
    <row r="35" spans="1:18" x14ac:dyDescent="0.2">
      <c r="A35">
        <v>34</v>
      </c>
      <c r="B35">
        <v>24</v>
      </c>
      <c r="C35" t="s">
        <v>150</v>
      </c>
      <c r="D35" t="s">
        <v>50</v>
      </c>
      <c r="E35" t="s">
        <v>553</v>
      </c>
      <c r="F35" t="s">
        <v>554</v>
      </c>
      <c r="G35" t="s">
        <v>674</v>
      </c>
      <c r="H35" t="s">
        <v>387</v>
      </c>
      <c r="I35">
        <v>381</v>
      </c>
      <c r="J35">
        <v>30</v>
      </c>
      <c r="K35" t="s">
        <v>379</v>
      </c>
      <c r="L35">
        <v>8246</v>
      </c>
      <c r="M35" t="s">
        <v>347</v>
      </c>
      <c r="N35" t="s">
        <v>389</v>
      </c>
      <c r="O35">
        <v>1</v>
      </c>
      <c r="P35">
        <v>2</v>
      </c>
      <c r="Q35">
        <v>-99</v>
      </c>
      <c r="R35" t="s">
        <v>699</v>
      </c>
    </row>
    <row r="36" spans="1:18" x14ac:dyDescent="0.2">
      <c r="A36">
        <v>35</v>
      </c>
      <c r="B36">
        <v>30</v>
      </c>
      <c r="C36" t="s">
        <v>151</v>
      </c>
      <c r="D36" t="s">
        <v>25</v>
      </c>
      <c r="E36" t="s">
        <v>555</v>
      </c>
      <c r="F36" t="s">
        <v>556</v>
      </c>
      <c r="G36" t="s">
        <v>674</v>
      </c>
      <c r="H36" t="s">
        <v>387</v>
      </c>
      <c r="I36">
        <v>381</v>
      </c>
      <c r="J36">
        <v>31</v>
      </c>
      <c r="K36" t="s">
        <v>390</v>
      </c>
      <c r="L36">
        <v>8247</v>
      </c>
      <c r="M36" t="s">
        <v>372</v>
      </c>
      <c r="N36" t="s">
        <v>391</v>
      </c>
      <c r="O36">
        <v>1</v>
      </c>
      <c r="P36">
        <v>2</v>
      </c>
      <c r="Q36">
        <v>-99</v>
      </c>
      <c r="R36" t="s">
        <v>699</v>
      </c>
    </row>
    <row r="37" spans="1:18" x14ac:dyDescent="0.2">
      <c r="A37">
        <v>36</v>
      </c>
      <c r="B37">
        <v>194</v>
      </c>
      <c r="C37" t="s">
        <v>152</v>
      </c>
      <c r="D37" t="s">
        <v>80</v>
      </c>
      <c r="E37" t="s">
        <v>557</v>
      </c>
      <c r="F37" t="s">
        <v>558</v>
      </c>
      <c r="G37" t="s">
        <v>674</v>
      </c>
      <c r="H37" t="s">
        <v>387</v>
      </c>
      <c r="I37">
        <v>381</v>
      </c>
      <c r="J37">
        <v>31</v>
      </c>
      <c r="K37" t="s">
        <v>390</v>
      </c>
      <c r="L37">
        <v>8248</v>
      </c>
      <c r="M37" t="s">
        <v>327</v>
      </c>
      <c r="N37" t="s">
        <v>435</v>
      </c>
      <c r="O37">
        <v>1</v>
      </c>
      <c r="P37">
        <v>2</v>
      </c>
      <c r="Q37">
        <v>-99</v>
      </c>
      <c r="R37" t="s">
        <v>699</v>
      </c>
    </row>
    <row r="38" spans="1:18" x14ac:dyDescent="0.2">
      <c r="A38">
        <v>37</v>
      </c>
      <c r="B38">
        <v>34</v>
      </c>
      <c r="C38" t="s">
        <v>153</v>
      </c>
      <c r="D38" t="s">
        <v>86</v>
      </c>
      <c r="E38" t="s">
        <v>559</v>
      </c>
      <c r="F38" t="s">
        <v>560</v>
      </c>
      <c r="G38" t="s">
        <v>674</v>
      </c>
      <c r="H38" t="s">
        <v>387</v>
      </c>
      <c r="I38">
        <v>381</v>
      </c>
      <c r="J38">
        <v>30</v>
      </c>
      <c r="K38" t="s">
        <v>379</v>
      </c>
      <c r="L38">
        <v>8249</v>
      </c>
      <c r="M38" t="s">
        <v>358</v>
      </c>
      <c r="N38" t="s">
        <v>392</v>
      </c>
      <c r="O38">
        <v>1</v>
      </c>
      <c r="P38">
        <v>1</v>
      </c>
      <c r="Q38">
        <v>-99</v>
      </c>
      <c r="R38" t="s">
        <v>699</v>
      </c>
    </row>
    <row r="39" spans="1:18" x14ac:dyDescent="0.2">
      <c r="A39">
        <v>38</v>
      </c>
      <c r="B39">
        <v>-99</v>
      </c>
      <c r="C39" t="s">
        <v>153</v>
      </c>
      <c r="D39" t="s">
        <v>86</v>
      </c>
      <c r="E39" t="s">
        <v>561</v>
      </c>
      <c r="F39" t="s">
        <v>221</v>
      </c>
      <c r="G39" t="s">
        <v>674</v>
      </c>
      <c r="H39" t="s">
        <v>387</v>
      </c>
      <c r="I39">
        <v>381</v>
      </c>
      <c r="J39">
        <v>30</v>
      </c>
      <c r="K39" t="s">
        <v>379</v>
      </c>
      <c r="L39">
        <v>8249</v>
      </c>
      <c r="M39" t="s">
        <v>358</v>
      </c>
      <c r="N39" t="s">
        <v>392</v>
      </c>
      <c r="O39">
        <v>-99</v>
      </c>
      <c r="P39">
        <v>1</v>
      </c>
      <c r="Q39">
        <v>-99</v>
      </c>
      <c r="R39" t="s">
        <v>696</v>
      </c>
    </row>
    <row r="40" spans="1:18" x14ac:dyDescent="0.2">
      <c r="A40">
        <v>39</v>
      </c>
      <c r="B40">
        <v>-99</v>
      </c>
      <c r="C40" t="s">
        <v>153</v>
      </c>
      <c r="D40" t="s">
        <v>86</v>
      </c>
      <c r="E40" t="s">
        <v>562</v>
      </c>
      <c r="F40" t="s">
        <v>979</v>
      </c>
      <c r="G40" t="s">
        <v>674</v>
      </c>
      <c r="H40" t="s">
        <v>387</v>
      </c>
      <c r="I40">
        <v>381</v>
      </c>
      <c r="J40">
        <v>30</v>
      </c>
      <c r="K40" t="s">
        <v>379</v>
      </c>
      <c r="L40">
        <v>8249</v>
      </c>
      <c r="M40" t="s">
        <v>358</v>
      </c>
      <c r="N40" t="s">
        <v>392</v>
      </c>
      <c r="O40">
        <v>-99</v>
      </c>
      <c r="P40">
        <v>1</v>
      </c>
      <c r="Q40">
        <v>-99</v>
      </c>
      <c r="R40" t="s">
        <v>697</v>
      </c>
    </row>
    <row r="41" spans="1:18" x14ac:dyDescent="0.2">
      <c r="A41">
        <v>40</v>
      </c>
      <c r="B41">
        <v>35</v>
      </c>
      <c r="C41" t="s">
        <v>154</v>
      </c>
      <c r="D41" t="s">
        <v>42</v>
      </c>
      <c r="E41" t="s">
        <v>563</v>
      </c>
      <c r="F41" t="s">
        <v>564</v>
      </c>
      <c r="G41" t="s">
        <v>674</v>
      </c>
      <c r="H41" t="s">
        <v>387</v>
      </c>
      <c r="I41">
        <v>381</v>
      </c>
      <c r="J41">
        <v>31</v>
      </c>
      <c r="K41" t="s">
        <v>390</v>
      </c>
      <c r="L41">
        <v>8250</v>
      </c>
      <c r="M41" t="s">
        <v>350</v>
      </c>
      <c r="N41" t="s">
        <v>393</v>
      </c>
      <c r="O41">
        <v>1</v>
      </c>
      <c r="P41">
        <v>2</v>
      </c>
      <c r="Q41">
        <v>-99</v>
      </c>
      <c r="R41" t="s">
        <v>699</v>
      </c>
    </row>
    <row r="42" spans="1:18" x14ac:dyDescent="0.2">
      <c r="A42">
        <v>41</v>
      </c>
      <c r="B42">
        <v>36</v>
      </c>
      <c r="C42" t="s">
        <v>94</v>
      </c>
      <c r="D42" t="s">
        <v>61</v>
      </c>
      <c r="E42" t="s">
        <v>565</v>
      </c>
      <c r="F42" t="s">
        <v>566</v>
      </c>
      <c r="G42" t="s">
        <v>674</v>
      </c>
      <c r="H42" t="s">
        <v>387</v>
      </c>
      <c r="I42">
        <v>381</v>
      </c>
      <c r="J42">
        <v>31</v>
      </c>
      <c r="K42" t="s">
        <v>390</v>
      </c>
      <c r="L42">
        <v>8251</v>
      </c>
      <c r="M42" t="s">
        <v>353</v>
      </c>
      <c r="N42" t="s">
        <v>394</v>
      </c>
      <c r="O42">
        <v>1</v>
      </c>
      <c r="P42">
        <v>2</v>
      </c>
      <c r="Q42">
        <v>-99</v>
      </c>
      <c r="R42" t="s">
        <v>699</v>
      </c>
    </row>
    <row r="43" spans="1:18" x14ac:dyDescent="0.2">
      <c r="A43">
        <v>42</v>
      </c>
      <c r="B43">
        <v>37</v>
      </c>
      <c r="C43" t="s">
        <v>155</v>
      </c>
      <c r="D43" t="s">
        <v>62</v>
      </c>
      <c r="E43" t="s">
        <v>567</v>
      </c>
      <c r="F43" t="s">
        <v>568</v>
      </c>
      <c r="G43" t="s">
        <v>675</v>
      </c>
      <c r="H43" t="s">
        <v>396</v>
      </c>
      <c r="I43">
        <v>382</v>
      </c>
      <c r="J43">
        <v>33</v>
      </c>
      <c r="K43" t="s">
        <v>395</v>
      </c>
      <c r="L43">
        <v>8252</v>
      </c>
      <c r="M43" t="s">
        <v>330</v>
      </c>
      <c r="N43" t="s">
        <v>397</v>
      </c>
      <c r="O43">
        <v>1</v>
      </c>
      <c r="P43">
        <v>2</v>
      </c>
      <c r="Q43">
        <v>-99</v>
      </c>
      <c r="R43" t="s">
        <v>699</v>
      </c>
    </row>
    <row r="44" spans="1:18" x14ac:dyDescent="0.2">
      <c r="A44">
        <v>43</v>
      </c>
      <c r="B44">
        <v>38</v>
      </c>
      <c r="C44" t="s">
        <v>156</v>
      </c>
      <c r="D44" t="s">
        <v>60</v>
      </c>
      <c r="E44" t="s">
        <v>569</v>
      </c>
      <c r="F44" t="s">
        <v>570</v>
      </c>
      <c r="G44" t="s">
        <v>674</v>
      </c>
      <c r="H44" t="s">
        <v>387</v>
      </c>
      <c r="I44">
        <v>381</v>
      </c>
      <c r="J44">
        <v>31</v>
      </c>
      <c r="K44" t="s">
        <v>390</v>
      </c>
      <c r="L44">
        <v>8253</v>
      </c>
      <c r="M44" t="s">
        <v>364</v>
      </c>
      <c r="N44" t="s">
        <v>398</v>
      </c>
      <c r="O44">
        <v>1</v>
      </c>
      <c r="P44">
        <v>2</v>
      </c>
      <c r="Q44">
        <v>-99</v>
      </c>
      <c r="R44" t="s">
        <v>699</v>
      </c>
    </row>
    <row r="45" spans="1:18" x14ac:dyDescent="0.2">
      <c r="A45">
        <v>44</v>
      </c>
      <c r="B45">
        <v>39</v>
      </c>
      <c r="C45" t="s">
        <v>157</v>
      </c>
      <c r="D45" t="s">
        <v>52</v>
      </c>
      <c r="E45" t="s">
        <v>571</v>
      </c>
      <c r="F45" t="s">
        <v>572</v>
      </c>
      <c r="G45" t="s">
        <v>674</v>
      </c>
      <c r="H45" t="s">
        <v>387</v>
      </c>
      <c r="I45">
        <v>381</v>
      </c>
      <c r="J45">
        <v>33</v>
      </c>
      <c r="K45" t="s">
        <v>395</v>
      </c>
      <c r="L45">
        <v>8254</v>
      </c>
      <c r="M45" t="s">
        <v>365</v>
      </c>
      <c r="N45" t="s">
        <v>399</v>
      </c>
      <c r="O45">
        <v>1</v>
      </c>
      <c r="P45">
        <v>1</v>
      </c>
      <c r="Q45">
        <v>-99</v>
      </c>
      <c r="R45" t="s">
        <v>699</v>
      </c>
    </row>
    <row r="46" spans="1:18" x14ac:dyDescent="0.2">
      <c r="A46">
        <v>45</v>
      </c>
      <c r="B46">
        <v>-99</v>
      </c>
      <c r="C46" t="s">
        <v>157</v>
      </c>
      <c r="D46" t="s">
        <v>52</v>
      </c>
      <c r="E46" t="s">
        <v>573</v>
      </c>
      <c r="F46" t="s">
        <v>574</v>
      </c>
      <c r="G46" t="s">
        <v>674</v>
      </c>
      <c r="H46" t="s">
        <v>387</v>
      </c>
      <c r="I46">
        <v>381</v>
      </c>
      <c r="J46">
        <v>33</v>
      </c>
      <c r="K46" t="s">
        <v>395</v>
      </c>
      <c r="L46">
        <v>8254</v>
      </c>
      <c r="M46" t="s">
        <v>365</v>
      </c>
      <c r="N46" t="s">
        <v>399</v>
      </c>
      <c r="O46">
        <v>-99</v>
      </c>
      <c r="P46">
        <v>1</v>
      </c>
      <c r="Q46">
        <v>-99</v>
      </c>
      <c r="R46" t="s">
        <v>700</v>
      </c>
    </row>
    <row r="47" spans="1:18" x14ac:dyDescent="0.2">
      <c r="A47">
        <v>46</v>
      </c>
      <c r="B47">
        <v>52</v>
      </c>
      <c r="C47" t="s">
        <v>158</v>
      </c>
      <c r="D47" t="s">
        <v>41</v>
      </c>
      <c r="E47" t="s">
        <v>575</v>
      </c>
      <c r="F47" t="s">
        <v>576</v>
      </c>
      <c r="G47" t="s">
        <v>673</v>
      </c>
      <c r="H47" t="s">
        <v>380</v>
      </c>
      <c r="I47">
        <v>380</v>
      </c>
      <c r="J47">
        <v>32</v>
      </c>
      <c r="K47" t="s">
        <v>400</v>
      </c>
      <c r="L47">
        <v>8255</v>
      </c>
      <c r="M47" t="s">
        <v>366</v>
      </c>
      <c r="N47" t="s">
        <v>401</v>
      </c>
      <c r="O47">
        <v>1</v>
      </c>
      <c r="P47">
        <v>2</v>
      </c>
      <c r="Q47">
        <v>-99</v>
      </c>
      <c r="R47" t="s">
        <v>699</v>
      </c>
    </row>
    <row r="48" spans="1:18" x14ac:dyDescent="0.2">
      <c r="A48">
        <v>47</v>
      </c>
      <c r="B48">
        <v>53</v>
      </c>
      <c r="C48" t="s">
        <v>159</v>
      </c>
      <c r="D48" t="s">
        <v>51</v>
      </c>
      <c r="E48" t="s">
        <v>577</v>
      </c>
      <c r="F48" t="s">
        <v>578</v>
      </c>
      <c r="G48" t="s">
        <v>673</v>
      </c>
      <c r="H48" t="s">
        <v>380</v>
      </c>
      <c r="I48">
        <v>380</v>
      </c>
      <c r="J48">
        <v>32</v>
      </c>
      <c r="K48" t="s">
        <v>400</v>
      </c>
      <c r="L48">
        <v>8256</v>
      </c>
      <c r="M48" t="s">
        <v>340</v>
      </c>
      <c r="N48" t="s">
        <v>402</v>
      </c>
      <c r="O48">
        <v>1</v>
      </c>
      <c r="P48">
        <v>2</v>
      </c>
      <c r="Q48">
        <v>-99</v>
      </c>
      <c r="R48" t="s">
        <v>699</v>
      </c>
    </row>
    <row r="49" spans="1:18" x14ac:dyDescent="0.2">
      <c r="A49">
        <v>48</v>
      </c>
      <c r="B49">
        <v>54</v>
      </c>
      <c r="C49" t="s">
        <v>160</v>
      </c>
      <c r="D49" t="s">
        <v>56</v>
      </c>
      <c r="E49" t="s">
        <v>579</v>
      </c>
      <c r="F49" t="s">
        <v>580</v>
      </c>
      <c r="G49" t="s">
        <v>674</v>
      </c>
      <c r="H49" t="s">
        <v>387</v>
      </c>
      <c r="I49">
        <v>381</v>
      </c>
      <c r="J49">
        <v>31</v>
      </c>
      <c r="K49" t="s">
        <v>390</v>
      </c>
      <c r="L49">
        <v>8257</v>
      </c>
      <c r="M49" t="s">
        <v>346</v>
      </c>
      <c r="N49" t="s">
        <v>403</v>
      </c>
      <c r="O49">
        <v>1</v>
      </c>
      <c r="P49">
        <v>1</v>
      </c>
      <c r="Q49">
        <v>-99</v>
      </c>
      <c r="R49" t="s">
        <v>699</v>
      </c>
    </row>
    <row r="50" spans="1:18" x14ac:dyDescent="0.2">
      <c r="A50">
        <v>49</v>
      </c>
      <c r="B50">
        <v>-99</v>
      </c>
      <c r="C50" t="s">
        <v>160</v>
      </c>
      <c r="D50" t="s">
        <v>56</v>
      </c>
      <c r="E50" t="s">
        <v>581</v>
      </c>
      <c r="F50" t="s">
        <v>582</v>
      </c>
      <c r="G50" t="s">
        <v>674</v>
      </c>
      <c r="H50" t="s">
        <v>387</v>
      </c>
      <c r="I50">
        <v>381</v>
      </c>
      <c r="J50">
        <v>31</v>
      </c>
      <c r="K50" t="s">
        <v>390</v>
      </c>
      <c r="L50">
        <v>8257</v>
      </c>
      <c r="M50" t="s">
        <v>346</v>
      </c>
      <c r="N50" t="s">
        <v>403</v>
      </c>
      <c r="O50">
        <v>-99</v>
      </c>
      <c r="P50">
        <v>1</v>
      </c>
      <c r="Q50">
        <v>-99</v>
      </c>
      <c r="R50" t="s">
        <v>701</v>
      </c>
    </row>
    <row r="51" spans="1:18" x14ac:dyDescent="0.2">
      <c r="A51">
        <v>50</v>
      </c>
      <c r="B51">
        <v>55</v>
      </c>
      <c r="C51" t="s">
        <v>161</v>
      </c>
      <c r="D51" t="s">
        <v>40</v>
      </c>
      <c r="E51" t="s">
        <v>583</v>
      </c>
      <c r="F51" t="s">
        <v>584</v>
      </c>
      <c r="G51" t="s">
        <v>675</v>
      </c>
      <c r="H51" t="s">
        <v>396</v>
      </c>
      <c r="I51">
        <v>382</v>
      </c>
      <c r="J51">
        <v>32</v>
      </c>
      <c r="K51" t="s">
        <v>400</v>
      </c>
      <c r="L51">
        <v>8258</v>
      </c>
      <c r="M51" t="s">
        <v>359</v>
      </c>
      <c r="N51" t="s">
        <v>404</v>
      </c>
      <c r="O51">
        <v>1</v>
      </c>
      <c r="P51">
        <v>2</v>
      </c>
      <c r="Q51">
        <v>-99</v>
      </c>
      <c r="R51" t="s">
        <v>699</v>
      </c>
    </row>
    <row r="52" spans="1:18" x14ac:dyDescent="0.2">
      <c r="A52">
        <v>51</v>
      </c>
      <c r="B52">
        <v>56</v>
      </c>
      <c r="C52" t="s">
        <v>162</v>
      </c>
      <c r="D52" t="s">
        <v>45</v>
      </c>
      <c r="E52" t="s">
        <v>585</v>
      </c>
      <c r="F52" t="s">
        <v>586</v>
      </c>
      <c r="G52" t="s">
        <v>673</v>
      </c>
      <c r="H52" t="s">
        <v>380</v>
      </c>
      <c r="I52">
        <v>380</v>
      </c>
      <c r="J52">
        <v>32</v>
      </c>
      <c r="K52" t="s">
        <v>400</v>
      </c>
      <c r="L52">
        <v>8259</v>
      </c>
      <c r="M52" t="s">
        <v>336</v>
      </c>
      <c r="N52" t="s">
        <v>405</v>
      </c>
      <c r="O52">
        <v>1</v>
      </c>
      <c r="P52">
        <v>2</v>
      </c>
      <c r="Q52">
        <v>-99</v>
      </c>
      <c r="R52" t="s">
        <v>699</v>
      </c>
    </row>
    <row r="53" spans="1:18" x14ac:dyDescent="0.2">
      <c r="A53">
        <v>52</v>
      </c>
      <c r="B53">
        <v>57</v>
      </c>
      <c r="C53" t="s">
        <v>163</v>
      </c>
      <c r="D53" t="s">
        <v>59</v>
      </c>
      <c r="E53" t="s">
        <v>587</v>
      </c>
      <c r="F53" t="s">
        <v>588</v>
      </c>
      <c r="G53" t="s">
        <v>675</v>
      </c>
      <c r="H53" t="s">
        <v>396</v>
      </c>
      <c r="I53">
        <v>382</v>
      </c>
      <c r="J53">
        <v>32</v>
      </c>
      <c r="K53" t="s">
        <v>400</v>
      </c>
      <c r="L53">
        <v>8260</v>
      </c>
      <c r="M53" t="s">
        <v>326</v>
      </c>
      <c r="N53" t="s">
        <v>406</v>
      </c>
      <c r="O53">
        <v>1</v>
      </c>
      <c r="P53">
        <v>1</v>
      </c>
      <c r="Q53">
        <v>-99</v>
      </c>
      <c r="R53" t="s">
        <v>699</v>
      </c>
    </row>
    <row r="54" spans="1:18" x14ac:dyDescent="0.2">
      <c r="A54">
        <v>53</v>
      </c>
      <c r="B54">
        <v>-99</v>
      </c>
      <c r="C54" t="s">
        <v>163</v>
      </c>
      <c r="D54" t="s">
        <v>59</v>
      </c>
      <c r="E54" t="s">
        <v>589</v>
      </c>
      <c r="F54" t="s">
        <v>217</v>
      </c>
      <c r="G54" t="s">
        <v>675</v>
      </c>
      <c r="H54" t="s">
        <v>396</v>
      </c>
      <c r="I54">
        <v>382</v>
      </c>
      <c r="J54">
        <v>32</v>
      </c>
      <c r="K54" t="s">
        <v>400</v>
      </c>
      <c r="L54">
        <v>8260</v>
      </c>
      <c r="M54" t="s">
        <v>326</v>
      </c>
      <c r="N54" t="s">
        <v>406</v>
      </c>
      <c r="O54">
        <v>-99</v>
      </c>
      <c r="P54">
        <v>1</v>
      </c>
      <c r="Q54">
        <v>-99</v>
      </c>
      <c r="R54" t="s">
        <v>216</v>
      </c>
    </row>
    <row r="55" spans="1:18" x14ac:dyDescent="0.2">
      <c r="A55">
        <v>54</v>
      </c>
      <c r="B55">
        <v>58</v>
      </c>
      <c r="C55" t="s">
        <v>164</v>
      </c>
      <c r="D55" t="s">
        <v>78</v>
      </c>
      <c r="E55" t="s">
        <v>590</v>
      </c>
      <c r="F55" t="s">
        <v>591</v>
      </c>
      <c r="G55" t="s">
        <v>675</v>
      </c>
      <c r="H55" t="s">
        <v>396</v>
      </c>
      <c r="I55">
        <v>382</v>
      </c>
      <c r="J55">
        <v>32</v>
      </c>
      <c r="K55" t="s">
        <v>400</v>
      </c>
      <c r="L55">
        <v>8261</v>
      </c>
      <c r="M55" t="s">
        <v>349</v>
      </c>
      <c r="N55" t="s">
        <v>407</v>
      </c>
      <c r="O55">
        <v>1</v>
      </c>
      <c r="P55">
        <v>2</v>
      </c>
      <c r="Q55">
        <v>-99</v>
      </c>
      <c r="R55" t="s">
        <v>699</v>
      </c>
    </row>
    <row r="56" spans="1:18" x14ac:dyDescent="0.2">
      <c r="A56">
        <v>55</v>
      </c>
      <c r="B56">
        <v>59</v>
      </c>
      <c r="C56" t="s">
        <v>165</v>
      </c>
      <c r="D56" t="s">
        <v>44</v>
      </c>
      <c r="E56" t="s">
        <v>592</v>
      </c>
      <c r="F56" t="s">
        <v>593</v>
      </c>
      <c r="G56" t="s">
        <v>675</v>
      </c>
      <c r="H56" t="s">
        <v>396</v>
      </c>
      <c r="I56">
        <v>382</v>
      </c>
      <c r="J56">
        <v>32</v>
      </c>
      <c r="K56" t="s">
        <v>400</v>
      </c>
      <c r="L56">
        <v>8262</v>
      </c>
      <c r="M56" t="s">
        <v>373</v>
      </c>
      <c r="N56" t="s">
        <v>409</v>
      </c>
      <c r="O56">
        <v>1</v>
      </c>
      <c r="P56">
        <v>2</v>
      </c>
      <c r="Q56">
        <v>-99</v>
      </c>
      <c r="R56" t="s">
        <v>699</v>
      </c>
    </row>
    <row r="57" spans="1:18" x14ac:dyDescent="0.2">
      <c r="A57">
        <v>56</v>
      </c>
      <c r="B57">
        <v>60</v>
      </c>
      <c r="C57" t="s">
        <v>166</v>
      </c>
      <c r="D57" t="s">
        <v>53</v>
      </c>
      <c r="E57" t="s">
        <v>594</v>
      </c>
      <c r="F57" t="s">
        <v>595</v>
      </c>
      <c r="G57" t="s">
        <v>675</v>
      </c>
      <c r="H57" t="s">
        <v>396</v>
      </c>
      <c r="I57">
        <v>382</v>
      </c>
      <c r="J57">
        <v>32</v>
      </c>
      <c r="K57" t="s">
        <v>400</v>
      </c>
      <c r="L57">
        <v>8263</v>
      </c>
      <c r="M57" t="s">
        <v>332</v>
      </c>
      <c r="N57" t="s">
        <v>410</v>
      </c>
      <c r="O57">
        <v>1</v>
      </c>
      <c r="P57">
        <v>2</v>
      </c>
      <c r="Q57">
        <v>-99</v>
      </c>
      <c r="R57" t="s">
        <v>699</v>
      </c>
    </row>
    <row r="58" spans="1:18" x14ac:dyDescent="0.2">
      <c r="A58">
        <v>57</v>
      </c>
      <c r="B58">
        <v>84</v>
      </c>
      <c r="C58" t="s">
        <v>167</v>
      </c>
      <c r="D58" t="s">
        <v>79</v>
      </c>
      <c r="E58" t="s">
        <v>596</v>
      </c>
      <c r="F58" t="s">
        <v>597</v>
      </c>
      <c r="G58" t="s">
        <v>675</v>
      </c>
      <c r="H58" t="s">
        <v>396</v>
      </c>
      <c r="I58">
        <v>382</v>
      </c>
      <c r="J58">
        <v>32</v>
      </c>
      <c r="K58" t="s">
        <v>400</v>
      </c>
      <c r="L58">
        <v>8264</v>
      </c>
      <c r="M58" t="s">
        <v>343</v>
      </c>
      <c r="N58" t="s">
        <v>411</v>
      </c>
      <c r="O58">
        <v>1</v>
      </c>
      <c r="P58">
        <v>1</v>
      </c>
      <c r="Q58">
        <v>-99</v>
      </c>
      <c r="R58" t="s">
        <v>699</v>
      </c>
    </row>
    <row r="59" spans="1:18" x14ac:dyDescent="0.2">
      <c r="A59">
        <v>58</v>
      </c>
      <c r="B59">
        <v>-99</v>
      </c>
      <c r="C59" t="s">
        <v>167</v>
      </c>
      <c r="D59" t="s">
        <v>79</v>
      </c>
      <c r="E59" t="s">
        <v>598</v>
      </c>
      <c r="F59" t="s">
        <v>501</v>
      </c>
      <c r="G59" t="s">
        <v>675</v>
      </c>
      <c r="H59" t="s">
        <v>396</v>
      </c>
      <c r="I59">
        <v>382</v>
      </c>
      <c r="J59">
        <v>32</v>
      </c>
      <c r="K59" t="s">
        <v>400</v>
      </c>
      <c r="L59">
        <v>8264</v>
      </c>
      <c r="M59" t="s">
        <v>343</v>
      </c>
      <c r="N59" t="s">
        <v>411</v>
      </c>
      <c r="O59">
        <v>-99</v>
      </c>
      <c r="P59">
        <v>1</v>
      </c>
      <c r="Q59">
        <v>-99</v>
      </c>
      <c r="R59" t="s">
        <v>671</v>
      </c>
    </row>
    <row r="60" spans="1:18" x14ac:dyDescent="0.2">
      <c r="A60">
        <v>59</v>
      </c>
      <c r="B60">
        <v>-99</v>
      </c>
      <c r="C60" t="s">
        <v>167</v>
      </c>
      <c r="D60" t="s">
        <v>79</v>
      </c>
      <c r="E60" t="s">
        <v>599</v>
      </c>
      <c r="F60" t="s">
        <v>220</v>
      </c>
      <c r="G60" t="s">
        <v>675</v>
      </c>
      <c r="H60" t="s">
        <v>396</v>
      </c>
      <c r="I60">
        <v>382</v>
      </c>
      <c r="J60">
        <v>32</v>
      </c>
      <c r="K60" t="s">
        <v>400</v>
      </c>
      <c r="L60">
        <v>8264</v>
      </c>
      <c r="M60" t="s">
        <v>343</v>
      </c>
      <c r="N60" t="s">
        <v>411</v>
      </c>
      <c r="O60">
        <v>-99</v>
      </c>
      <c r="P60">
        <v>1</v>
      </c>
      <c r="Q60">
        <v>-99</v>
      </c>
      <c r="R60" t="s">
        <v>216</v>
      </c>
    </row>
    <row r="61" spans="1:18" x14ac:dyDescent="0.2">
      <c r="A61">
        <v>60</v>
      </c>
      <c r="B61">
        <v>100</v>
      </c>
      <c r="C61" t="s">
        <v>168</v>
      </c>
      <c r="D61" t="s">
        <v>43</v>
      </c>
      <c r="E61" t="s">
        <v>600</v>
      </c>
      <c r="F61" t="s">
        <v>601</v>
      </c>
      <c r="G61" t="s">
        <v>677</v>
      </c>
      <c r="H61" t="s">
        <v>412</v>
      </c>
      <c r="I61">
        <v>383</v>
      </c>
      <c r="J61">
        <v>33</v>
      </c>
      <c r="K61" t="s">
        <v>395</v>
      </c>
      <c r="L61">
        <v>8268</v>
      </c>
      <c r="M61" t="s">
        <v>360</v>
      </c>
      <c r="N61" t="s">
        <v>413</v>
      </c>
      <c r="O61">
        <v>1</v>
      </c>
      <c r="P61">
        <v>2</v>
      </c>
      <c r="Q61">
        <v>-99</v>
      </c>
      <c r="R61" t="s">
        <v>699</v>
      </c>
    </row>
    <row r="62" spans="1:18" x14ac:dyDescent="0.2">
      <c r="A62">
        <v>61</v>
      </c>
      <c r="B62">
        <v>101</v>
      </c>
      <c r="C62" t="s">
        <v>169</v>
      </c>
      <c r="D62" t="s">
        <v>34</v>
      </c>
      <c r="E62" t="s">
        <v>602</v>
      </c>
      <c r="F62" t="s">
        <v>603</v>
      </c>
      <c r="G62" t="s">
        <v>677</v>
      </c>
      <c r="H62" t="s">
        <v>412</v>
      </c>
      <c r="I62">
        <v>383</v>
      </c>
      <c r="J62">
        <v>34</v>
      </c>
      <c r="K62" t="s">
        <v>414</v>
      </c>
      <c r="L62">
        <v>8269</v>
      </c>
      <c r="M62" t="s">
        <v>328</v>
      </c>
      <c r="N62" t="s">
        <v>415</v>
      </c>
      <c r="O62">
        <v>1</v>
      </c>
      <c r="P62">
        <v>2</v>
      </c>
      <c r="Q62">
        <v>-99</v>
      </c>
      <c r="R62" t="s">
        <v>699</v>
      </c>
    </row>
    <row r="63" spans="1:18" x14ac:dyDescent="0.2">
      <c r="A63">
        <v>62</v>
      </c>
      <c r="B63">
        <v>102</v>
      </c>
      <c r="C63" t="s">
        <v>170</v>
      </c>
      <c r="D63" t="s">
        <v>73</v>
      </c>
      <c r="E63" t="s">
        <v>604</v>
      </c>
      <c r="F63" t="s">
        <v>605</v>
      </c>
      <c r="G63" t="s">
        <v>677</v>
      </c>
      <c r="H63" t="s">
        <v>412</v>
      </c>
      <c r="I63">
        <v>383</v>
      </c>
      <c r="J63">
        <v>33</v>
      </c>
      <c r="K63" t="s">
        <v>395</v>
      </c>
      <c r="L63">
        <v>8270</v>
      </c>
      <c r="M63" t="s">
        <v>354</v>
      </c>
      <c r="N63" t="s">
        <v>416</v>
      </c>
      <c r="O63">
        <v>1</v>
      </c>
      <c r="P63">
        <v>1</v>
      </c>
      <c r="Q63">
        <v>-99</v>
      </c>
      <c r="R63" t="s">
        <v>699</v>
      </c>
    </row>
    <row r="64" spans="1:18" x14ac:dyDescent="0.2">
      <c r="A64">
        <v>63</v>
      </c>
      <c r="B64">
        <v>-99</v>
      </c>
      <c r="C64" t="s">
        <v>170</v>
      </c>
      <c r="D64" t="s">
        <v>73</v>
      </c>
      <c r="E64" t="s">
        <v>606</v>
      </c>
      <c r="F64" t="s">
        <v>219</v>
      </c>
      <c r="G64" t="s">
        <v>677</v>
      </c>
      <c r="H64" t="s">
        <v>412</v>
      </c>
      <c r="I64">
        <v>383</v>
      </c>
      <c r="J64">
        <v>33</v>
      </c>
      <c r="K64" t="s">
        <v>395</v>
      </c>
      <c r="L64">
        <v>8270</v>
      </c>
      <c r="M64" t="s">
        <v>354</v>
      </c>
      <c r="N64" t="s">
        <v>416</v>
      </c>
      <c r="O64">
        <v>-99</v>
      </c>
      <c r="P64">
        <v>1</v>
      </c>
      <c r="Q64">
        <v>-99</v>
      </c>
      <c r="R64" t="s">
        <v>696</v>
      </c>
    </row>
    <row r="65" spans="1:18" x14ac:dyDescent="0.2">
      <c r="A65">
        <v>64</v>
      </c>
      <c r="B65">
        <v>103</v>
      </c>
      <c r="C65" t="s">
        <v>171</v>
      </c>
      <c r="D65" t="s">
        <v>65</v>
      </c>
      <c r="E65" t="s">
        <v>607</v>
      </c>
      <c r="F65" t="s">
        <v>608</v>
      </c>
      <c r="G65" t="s">
        <v>677</v>
      </c>
      <c r="H65" t="s">
        <v>412</v>
      </c>
      <c r="I65">
        <v>383</v>
      </c>
      <c r="J65">
        <v>34</v>
      </c>
      <c r="K65" t="s">
        <v>414</v>
      </c>
      <c r="L65">
        <v>8272</v>
      </c>
      <c r="M65" t="s">
        <v>342</v>
      </c>
      <c r="N65" t="s">
        <v>417</v>
      </c>
      <c r="O65">
        <v>1</v>
      </c>
      <c r="P65">
        <v>2</v>
      </c>
      <c r="Q65">
        <v>-99</v>
      </c>
      <c r="R65" t="s">
        <v>699</v>
      </c>
    </row>
    <row r="66" spans="1:18" x14ac:dyDescent="0.2">
      <c r="A66">
        <v>65</v>
      </c>
      <c r="B66">
        <v>104</v>
      </c>
      <c r="C66" t="s">
        <v>172</v>
      </c>
      <c r="D66" t="s">
        <v>55</v>
      </c>
      <c r="E66" t="s">
        <v>609</v>
      </c>
      <c r="F66" t="s">
        <v>610</v>
      </c>
      <c r="G66" t="s">
        <v>677</v>
      </c>
      <c r="H66" t="s">
        <v>412</v>
      </c>
      <c r="I66">
        <v>383</v>
      </c>
      <c r="J66">
        <v>34</v>
      </c>
      <c r="K66" t="s">
        <v>414</v>
      </c>
      <c r="L66">
        <v>8221</v>
      </c>
      <c r="M66" t="s">
        <v>342</v>
      </c>
      <c r="N66" t="s">
        <v>417</v>
      </c>
      <c r="O66">
        <v>1</v>
      </c>
      <c r="P66">
        <v>2</v>
      </c>
      <c r="Q66">
        <v>-99</v>
      </c>
      <c r="R66" t="s">
        <v>699</v>
      </c>
    </row>
    <row r="67" spans="1:18" x14ac:dyDescent="0.2">
      <c r="A67">
        <v>66</v>
      </c>
      <c r="B67">
        <v>196</v>
      </c>
      <c r="C67" t="s">
        <v>173</v>
      </c>
      <c r="D67" t="s">
        <v>67</v>
      </c>
      <c r="E67" t="s">
        <v>611</v>
      </c>
      <c r="F67" t="s">
        <v>612</v>
      </c>
      <c r="G67" t="s">
        <v>677</v>
      </c>
      <c r="H67" t="s">
        <v>412</v>
      </c>
      <c r="I67">
        <v>383</v>
      </c>
      <c r="J67">
        <v>34</v>
      </c>
      <c r="K67" t="s">
        <v>414</v>
      </c>
      <c r="L67">
        <v>8202</v>
      </c>
      <c r="M67" t="s">
        <v>355</v>
      </c>
      <c r="N67" t="s">
        <v>436</v>
      </c>
      <c r="O67">
        <v>1</v>
      </c>
      <c r="P67">
        <v>2</v>
      </c>
      <c r="Q67">
        <v>-99</v>
      </c>
      <c r="R67" t="s">
        <v>699</v>
      </c>
    </row>
    <row r="68" spans="1:18" x14ac:dyDescent="0.2">
      <c r="A68">
        <v>67</v>
      </c>
      <c r="B68">
        <v>110</v>
      </c>
      <c r="C68" t="s">
        <v>174</v>
      </c>
      <c r="D68" t="s">
        <v>76</v>
      </c>
      <c r="E68" t="s">
        <v>613</v>
      </c>
      <c r="F68" t="s">
        <v>614</v>
      </c>
      <c r="G68" t="s">
        <v>677</v>
      </c>
      <c r="H68" t="s">
        <v>412</v>
      </c>
      <c r="I68">
        <v>383</v>
      </c>
      <c r="J68">
        <v>34</v>
      </c>
      <c r="K68" t="s">
        <v>414</v>
      </c>
      <c r="L68">
        <v>8203</v>
      </c>
      <c r="M68" t="s">
        <v>339</v>
      </c>
      <c r="N68" t="s">
        <v>83</v>
      </c>
      <c r="O68">
        <v>1</v>
      </c>
      <c r="P68">
        <v>1</v>
      </c>
      <c r="Q68">
        <v>-99</v>
      </c>
      <c r="R68" t="s">
        <v>699</v>
      </c>
    </row>
    <row r="69" spans="1:18" x14ac:dyDescent="0.2">
      <c r="A69">
        <v>68</v>
      </c>
      <c r="B69">
        <v>-99</v>
      </c>
      <c r="C69" t="s">
        <v>174</v>
      </c>
      <c r="D69" t="s">
        <v>76</v>
      </c>
      <c r="E69" t="s">
        <v>615</v>
      </c>
      <c r="F69" t="s">
        <v>616</v>
      </c>
      <c r="G69" t="s">
        <v>677</v>
      </c>
      <c r="H69" t="s">
        <v>412</v>
      </c>
      <c r="I69">
        <v>383</v>
      </c>
      <c r="J69">
        <v>34</v>
      </c>
      <c r="K69" t="s">
        <v>414</v>
      </c>
      <c r="L69">
        <v>8203</v>
      </c>
      <c r="M69" t="s">
        <v>339</v>
      </c>
      <c r="N69" t="s">
        <v>83</v>
      </c>
      <c r="O69">
        <v>-99</v>
      </c>
      <c r="P69">
        <v>1</v>
      </c>
      <c r="Q69">
        <v>-99</v>
      </c>
      <c r="R69" t="s">
        <v>408</v>
      </c>
    </row>
    <row r="70" spans="1:18" x14ac:dyDescent="0.2">
      <c r="A70">
        <v>69</v>
      </c>
      <c r="B70">
        <v>111</v>
      </c>
      <c r="C70" t="s">
        <v>175</v>
      </c>
      <c r="D70" t="s">
        <v>37</v>
      </c>
      <c r="E70" t="s">
        <v>617</v>
      </c>
      <c r="F70" t="s">
        <v>618</v>
      </c>
      <c r="G70" t="s">
        <v>677</v>
      </c>
      <c r="H70" t="s">
        <v>412</v>
      </c>
      <c r="I70">
        <v>383</v>
      </c>
      <c r="J70">
        <v>34</v>
      </c>
      <c r="K70" t="s">
        <v>414</v>
      </c>
      <c r="L70">
        <v>8204</v>
      </c>
      <c r="M70" t="s">
        <v>344</v>
      </c>
      <c r="N70" t="s">
        <v>418</v>
      </c>
      <c r="O70">
        <v>1</v>
      </c>
      <c r="P70">
        <v>2</v>
      </c>
      <c r="Q70">
        <v>-99</v>
      </c>
      <c r="R70" t="s">
        <v>699</v>
      </c>
    </row>
    <row r="71" spans="1:18" x14ac:dyDescent="0.2">
      <c r="A71">
        <v>70</v>
      </c>
      <c r="B71">
        <v>112</v>
      </c>
      <c r="C71" t="s">
        <v>176</v>
      </c>
      <c r="D71" t="s">
        <v>69</v>
      </c>
      <c r="E71" t="s">
        <v>619</v>
      </c>
      <c r="F71" t="s">
        <v>620</v>
      </c>
      <c r="G71" t="s">
        <v>677</v>
      </c>
      <c r="H71" t="s">
        <v>412</v>
      </c>
      <c r="I71">
        <v>383</v>
      </c>
      <c r="J71">
        <v>34</v>
      </c>
      <c r="K71" t="s">
        <v>414</v>
      </c>
      <c r="L71">
        <v>8205</v>
      </c>
      <c r="M71" t="s">
        <v>361</v>
      </c>
      <c r="N71" t="s">
        <v>419</v>
      </c>
      <c r="O71">
        <v>1</v>
      </c>
      <c r="P71">
        <v>2</v>
      </c>
      <c r="Q71">
        <v>-99</v>
      </c>
      <c r="R71" t="s">
        <v>699</v>
      </c>
    </row>
    <row r="72" spans="1:18" x14ac:dyDescent="0.2">
      <c r="A72">
        <v>71</v>
      </c>
      <c r="B72">
        <v>113</v>
      </c>
      <c r="C72" t="s">
        <v>177</v>
      </c>
      <c r="D72" t="s">
        <v>82</v>
      </c>
      <c r="E72" t="s">
        <v>621</v>
      </c>
      <c r="F72" t="s">
        <v>622</v>
      </c>
      <c r="G72" t="s">
        <v>675</v>
      </c>
      <c r="H72" t="s">
        <v>396</v>
      </c>
      <c r="I72">
        <v>382</v>
      </c>
      <c r="J72">
        <v>33</v>
      </c>
      <c r="K72" t="s">
        <v>395</v>
      </c>
      <c r="L72">
        <v>8206</v>
      </c>
      <c r="M72" t="s">
        <v>337</v>
      </c>
      <c r="N72" t="s">
        <v>420</v>
      </c>
      <c r="O72">
        <v>1</v>
      </c>
      <c r="P72">
        <v>2</v>
      </c>
      <c r="Q72">
        <v>-99</v>
      </c>
      <c r="R72" t="s">
        <v>699</v>
      </c>
    </row>
    <row r="73" spans="1:18" x14ac:dyDescent="0.2">
      <c r="A73">
        <v>72</v>
      </c>
      <c r="B73">
        <v>114</v>
      </c>
      <c r="C73" t="s">
        <v>178</v>
      </c>
      <c r="D73" t="s">
        <v>54</v>
      </c>
      <c r="E73" t="s">
        <v>623</v>
      </c>
      <c r="F73" t="s">
        <v>624</v>
      </c>
      <c r="G73" t="s">
        <v>675</v>
      </c>
      <c r="H73" t="s">
        <v>396</v>
      </c>
      <c r="I73">
        <v>382</v>
      </c>
      <c r="J73">
        <v>33</v>
      </c>
      <c r="K73" t="s">
        <v>395</v>
      </c>
      <c r="L73">
        <v>8207</v>
      </c>
      <c r="M73" t="s">
        <v>325</v>
      </c>
      <c r="N73" t="s">
        <v>421</v>
      </c>
      <c r="O73">
        <v>1</v>
      </c>
      <c r="P73">
        <v>2</v>
      </c>
      <c r="Q73">
        <v>-99</v>
      </c>
      <c r="R73" t="s">
        <v>699</v>
      </c>
    </row>
    <row r="74" spans="1:18" x14ac:dyDescent="0.2">
      <c r="A74">
        <v>73</v>
      </c>
      <c r="B74">
        <v>115</v>
      </c>
      <c r="C74" t="s">
        <v>179</v>
      </c>
      <c r="D74" t="s">
        <v>27</v>
      </c>
      <c r="E74" t="s">
        <v>625</v>
      </c>
      <c r="F74" t="s">
        <v>626</v>
      </c>
      <c r="G74" t="s">
        <v>675</v>
      </c>
      <c r="H74" t="s">
        <v>396</v>
      </c>
      <c r="I74">
        <v>382</v>
      </c>
      <c r="J74">
        <v>33</v>
      </c>
      <c r="K74" t="s">
        <v>395</v>
      </c>
      <c r="L74">
        <v>8208</v>
      </c>
      <c r="M74" t="s">
        <v>348</v>
      </c>
      <c r="N74" t="s">
        <v>422</v>
      </c>
      <c r="O74">
        <v>1</v>
      </c>
      <c r="P74">
        <v>2</v>
      </c>
      <c r="Q74">
        <v>-99</v>
      </c>
      <c r="R74" t="s">
        <v>699</v>
      </c>
    </row>
    <row r="75" spans="1:18" x14ac:dyDescent="0.2">
      <c r="A75">
        <v>74</v>
      </c>
      <c r="B75">
        <v>116</v>
      </c>
      <c r="C75" t="s">
        <v>180</v>
      </c>
      <c r="D75" t="s">
        <v>71</v>
      </c>
      <c r="E75" t="s">
        <v>627</v>
      </c>
      <c r="F75" t="s">
        <v>628</v>
      </c>
      <c r="G75" t="s">
        <v>677</v>
      </c>
      <c r="H75" t="s">
        <v>412</v>
      </c>
      <c r="I75">
        <v>383</v>
      </c>
      <c r="J75">
        <v>34</v>
      </c>
      <c r="K75" t="s">
        <v>414</v>
      </c>
      <c r="L75">
        <v>8210</v>
      </c>
      <c r="M75" t="s">
        <v>338</v>
      </c>
      <c r="N75" t="s">
        <v>423</v>
      </c>
      <c r="O75">
        <v>1</v>
      </c>
      <c r="P75">
        <v>2</v>
      </c>
      <c r="Q75">
        <v>-99</v>
      </c>
      <c r="R75" t="s">
        <v>699</v>
      </c>
    </row>
    <row r="76" spans="1:18" x14ac:dyDescent="0.2">
      <c r="A76">
        <v>75</v>
      </c>
      <c r="B76">
        <v>197</v>
      </c>
      <c r="C76" t="s">
        <v>181</v>
      </c>
      <c r="D76" t="s">
        <v>75</v>
      </c>
      <c r="E76" t="s">
        <v>629</v>
      </c>
      <c r="F76" t="s">
        <v>630</v>
      </c>
      <c r="G76" t="s">
        <v>674</v>
      </c>
      <c r="H76" t="s">
        <v>387</v>
      </c>
      <c r="I76">
        <v>381</v>
      </c>
      <c r="J76">
        <v>31</v>
      </c>
      <c r="K76" t="s">
        <v>390</v>
      </c>
      <c r="L76">
        <v>8211</v>
      </c>
      <c r="M76" t="s">
        <v>341</v>
      </c>
      <c r="N76" t="s">
        <v>437</v>
      </c>
      <c r="O76">
        <v>1</v>
      </c>
      <c r="P76">
        <v>2</v>
      </c>
      <c r="Q76">
        <v>-99</v>
      </c>
      <c r="R76" t="s">
        <v>699</v>
      </c>
    </row>
    <row r="77" spans="1:18" x14ac:dyDescent="0.2">
      <c r="A77">
        <v>76</v>
      </c>
      <c r="B77">
        <v>119</v>
      </c>
      <c r="C77" t="s">
        <v>182</v>
      </c>
      <c r="D77" t="s">
        <v>58</v>
      </c>
      <c r="E77" t="s">
        <v>631</v>
      </c>
      <c r="F77" t="s">
        <v>632</v>
      </c>
      <c r="G77" t="s">
        <v>677</v>
      </c>
      <c r="H77" t="s">
        <v>412</v>
      </c>
      <c r="I77">
        <v>383</v>
      </c>
      <c r="J77">
        <v>34</v>
      </c>
      <c r="K77" t="s">
        <v>414</v>
      </c>
      <c r="L77">
        <v>8223</v>
      </c>
      <c r="M77" t="s">
        <v>633</v>
      </c>
      <c r="N77" t="s">
        <v>634</v>
      </c>
      <c r="O77">
        <v>1</v>
      </c>
      <c r="P77">
        <v>2</v>
      </c>
      <c r="Q77">
        <v>-99</v>
      </c>
      <c r="R77" t="s">
        <v>699</v>
      </c>
    </row>
    <row r="78" spans="1:18" x14ac:dyDescent="0.2">
      <c r="A78">
        <v>77</v>
      </c>
      <c r="B78">
        <v>131</v>
      </c>
      <c r="C78" t="s">
        <v>183</v>
      </c>
      <c r="D78" t="s">
        <v>49</v>
      </c>
      <c r="E78" t="s">
        <v>635</v>
      </c>
      <c r="F78" t="s">
        <v>636</v>
      </c>
      <c r="G78" t="s">
        <v>675</v>
      </c>
      <c r="H78" t="s">
        <v>396</v>
      </c>
      <c r="I78">
        <v>382</v>
      </c>
      <c r="J78">
        <v>33</v>
      </c>
      <c r="K78" t="s">
        <v>395</v>
      </c>
      <c r="L78">
        <v>8226</v>
      </c>
      <c r="M78" t="s">
        <v>337</v>
      </c>
      <c r="N78" t="s">
        <v>420</v>
      </c>
      <c r="O78">
        <v>1</v>
      </c>
      <c r="P78">
        <v>2</v>
      </c>
      <c r="Q78">
        <v>-99</v>
      </c>
      <c r="R78" t="s">
        <v>699</v>
      </c>
    </row>
    <row r="79" spans="1:18" x14ac:dyDescent="0.2">
      <c r="A79">
        <v>78</v>
      </c>
      <c r="B79">
        <v>132</v>
      </c>
      <c r="C79" t="s">
        <v>686</v>
      </c>
      <c r="D79" t="s">
        <v>440</v>
      </c>
      <c r="E79" t="s">
        <v>637</v>
      </c>
      <c r="F79" t="s">
        <v>687</v>
      </c>
      <c r="G79" t="s">
        <v>674</v>
      </c>
      <c r="H79" t="s">
        <v>387</v>
      </c>
      <c r="I79">
        <v>381</v>
      </c>
      <c r="J79">
        <v>30</v>
      </c>
      <c r="K79" t="s">
        <v>379</v>
      </c>
      <c r="L79">
        <v>8229</v>
      </c>
      <c r="M79" t="s">
        <v>356</v>
      </c>
      <c r="N79" t="s">
        <v>424</v>
      </c>
      <c r="O79">
        <v>1</v>
      </c>
      <c r="P79">
        <v>2</v>
      </c>
      <c r="Q79">
        <v>-99</v>
      </c>
      <c r="R79" t="s">
        <v>699</v>
      </c>
    </row>
    <row r="80" spans="1:18" x14ac:dyDescent="0.2">
      <c r="A80">
        <v>79</v>
      </c>
      <c r="B80">
        <v>143</v>
      </c>
      <c r="C80" t="s">
        <v>184</v>
      </c>
      <c r="D80" t="s">
        <v>57</v>
      </c>
      <c r="E80" t="s">
        <v>638</v>
      </c>
      <c r="F80" t="s">
        <v>639</v>
      </c>
      <c r="G80" t="s">
        <v>673</v>
      </c>
      <c r="H80" t="s">
        <v>380</v>
      </c>
      <c r="I80">
        <v>380</v>
      </c>
      <c r="J80">
        <v>30</v>
      </c>
      <c r="K80" t="s">
        <v>379</v>
      </c>
      <c r="L80">
        <v>8230</v>
      </c>
      <c r="M80" t="s">
        <v>369</v>
      </c>
      <c r="N80" t="s">
        <v>425</v>
      </c>
      <c r="O80">
        <v>1</v>
      </c>
      <c r="P80">
        <v>2</v>
      </c>
      <c r="Q80">
        <v>-99</v>
      </c>
      <c r="R80" t="s">
        <v>699</v>
      </c>
    </row>
    <row r="81" spans="1:18" x14ac:dyDescent="0.2">
      <c r="A81">
        <v>80</v>
      </c>
      <c r="B81">
        <v>144</v>
      </c>
      <c r="C81" t="s">
        <v>688</v>
      </c>
      <c r="D81" t="s">
        <v>499</v>
      </c>
      <c r="E81" t="s">
        <v>688</v>
      </c>
      <c r="F81" t="s">
        <v>499</v>
      </c>
      <c r="G81" t="s">
        <v>685</v>
      </c>
      <c r="H81" t="s">
        <v>8</v>
      </c>
      <c r="I81">
        <v>-99</v>
      </c>
      <c r="J81">
        <v>35</v>
      </c>
      <c r="K81" t="s">
        <v>8</v>
      </c>
      <c r="L81">
        <v>8215</v>
      </c>
      <c r="M81" t="s">
        <v>349</v>
      </c>
      <c r="N81" t="s">
        <v>407</v>
      </c>
      <c r="O81">
        <v>1</v>
      </c>
      <c r="P81">
        <v>2</v>
      </c>
      <c r="Q81">
        <v>-99</v>
      </c>
      <c r="R81" t="s">
        <v>671</v>
      </c>
    </row>
    <row r="82" spans="1:18" x14ac:dyDescent="0.2">
      <c r="A82">
        <v>81</v>
      </c>
      <c r="B82">
        <v>145</v>
      </c>
      <c r="C82" t="s">
        <v>185</v>
      </c>
      <c r="D82" t="s">
        <v>74</v>
      </c>
      <c r="E82" t="s">
        <v>640</v>
      </c>
      <c r="F82" t="s">
        <v>641</v>
      </c>
      <c r="G82" t="s">
        <v>677</v>
      </c>
      <c r="H82" t="s">
        <v>412</v>
      </c>
      <c r="I82">
        <v>383</v>
      </c>
      <c r="J82">
        <v>34</v>
      </c>
      <c r="K82" t="s">
        <v>414</v>
      </c>
      <c r="L82">
        <v>8231</v>
      </c>
      <c r="M82" t="s">
        <v>342</v>
      </c>
      <c r="N82" t="s">
        <v>417</v>
      </c>
      <c r="O82">
        <v>1</v>
      </c>
      <c r="P82">
        <v>1</v>
      </c>
      <c r="Q82">
        <v>-99</v>
      </c>
      <c r="R82" t="s">
        <v>699</v>
      </c>
    </row>
    <row r="83" spans="1:18" x14ac:dyDescent="0.2">
      <c r="A83">
        <v>82</v>
      </c>
      <c r="B83">
        <v>-99</v>
      </c>
      <c r="C83" t="s">
        <v>185</v>
      </c>
      <c r="D83" t="s">
        <v>74</v>
      </c>
      <c r="E83" t="s">
        <v>642</v>
      </c>
      <c r="F83" t="s">
        <v>978</v>
      </c>
      <c r="G83" t="s">
        <v>677</v>
      </c>
      <c r="H83" t="s">
        <v>412</v>
      </c>
      <c r="I83">
        <v>383</v>
      </c>
      <c r="J83">
        <v>34</v>
      </c>
      <c r="K83" t="s">
        <v>414</v>
      </c>
      <c r="L83">
        <v>8231</v>
      </c>
      <c r="M83" t="s">
        <v>342</v>
      </c>
      <c r="N83" t="s">
        <v>417</v>
      </c>
      <c r="O83">
        <v>-99</v>
      </c>
      <c r="P83">
        <v>1</v>
      </c>
      <c r="Q83">
        <v>-99</v>
      </c>
      <c r="R83" t="s">
        <v>697</v>
      </c>
    </row>
    <row r="84" spans="1:18" x14ac:dyDescent="0.2">
      <c r="A84">
        <v>83</v>
      </c>
      <c r="B84">
        <v>151</v>
      </c>
      <c r="C84" t="s">
        <v>689</v>
      </c>
      <c r="D84" t="s">
        <v>8</v>
      </c>
      <c r="E84" t="s">
        <v>689</v>
      </c>
      <c r="F84" t="s">
        <v>500</v>
      </c>
      <c r="G84" t="s">
        <v>685</v>
      </c>
      <c r="H84" t="s">
        <v>8</v>
      </c>
      <c r="I84">
        <v>380</v>
      </c>
      <c r="J84">
        <v>35</v>
      </c>
      <c r="K84" t="s">
        <v>8</v>
      </c>
      <c r="L84">
        <v>3180155</v>
      </c>
      <c r="M84" t="s">
        <v>356</v>
      </c>
      <c r="N84" t="s">
        <v>424</v>
      </c>
      <c r="O84">
        <v>1</v>
      </c>
      <c r="P84">
        <v>2</v>
      </c>
      <c r="Q84">
        <v>-99</v>
      </c>
      <c r="R84" t="s">
        <v>671</v>
      </c>
    </row>
    <row r="85" spans="1:18" x14ac:dyDescent="0.2">
      <c r="A85">
        <v>84</v>
      </c>
      <c r="B85">
        <v>152</v>
      </c>
      <c r="C85" t="s">
        <v>186</v>
      </c>
      <c r="D85" t="s">
        <v>81</v>
      </c>
      <c r="E85" t="s">
        <v>643</v>
      </c>
      <c r="F85" t="s">
        <v>644</v>
      </c>
      <c r="G85" t="s">
        <v>673</v>
      </c>
      <c r="H85" t="s">
        <v>380</v>
      </c>
      <c r="I85">
        <v>380</v>
      </c>
      <c r="J85">
        <v>30</v>
      </c>
      <c r="K85" t="s">
        <v>379</v>
      </c>
      <c r="L85">
        <v>8234</v>
      </c>
      <c r="M85" t="s">
        <v>362</v>
      </c>
      <c r="N85" t="s">
        <v>426</v>
      </c>
      <c r="O85">
        <v>1</v>
      </c>
      <c r="P85">
        <v>2</v>
      </c>
      <c r="Q85">
        <v>-99</v>
      </c>
      <c r="R85" t="s">
        <v>699</v>
      </c>
    </row>
    <row r="86" spans="1:18" x14ac:dyDescent="0.2">
      <c r="A86">
        <v>85</v>
      </c>
      <c r="B86">
        <v>153</v>
      </c>
      <c r="C86" t="s">
        <v>92</v>
      </c>
      <c r="D86" t="s">
        <v>141</v>
      </c>
      <c r="E86" t="s">
        <v>645</v>
      </c>
      <c r="F86" t="s">
        <v>646</v>
      </c>
      <c r="G86" t="s">
        <v>673</v>
      </c>
      <c r="H86" t="s">
        <v>380</v>
      </c>
      <c r="I86">
        <v>380</v>
      </c>
      <c r="J86">
        <v>30</v>
      </c>
      <c r="K86" t="s">
        <v>379</v>
      </c>
      <c r="L86">
        <v>8236</v>
      </c>
      <c r="M86" t="s">
        <v>375</v>
      </c>
      <c r="N86" t="s">
        <v>427</v>
      </c>
      <c r="O86">
        <v>1</v>
      </c>
      <c r="P86">
        <v>2</v>
      </c>
      <c r="Q86">
        <v>-99</v>
      </c>
      <c r="R86" t="s">
        <v>699</v>
      </c>
    </row>
    <row r="87" spans="1:18" x14ac:dyDescent="0.2">
      <c r="A87">
        <v>86</v>
      </c>
      <c r="B87">
        <v>154</v>
      </c>
      <c r="C87" t="s">
        <v>188</v>
      </c>
      <c r="D87" t="s">
        <v>187</v>
      </c>
      <c r="E87" t="s">
        <v>647</v>
      </c>
      <c r="F87" t="s">
        <v>648</v>
      </c>
      <c r="G87" t="s">
        <v>677</v>
      </c>
      <c r="H87" t="s">
        <v>412</v>
      </c>
      <c r="I87">
        <v>383</v>
      </c>
      <c r="J87">
        <v>33</v>
      </c>
      <c r="K87" t="s">
        <v>395</v>
      </c>
      <c r="L87">
        <v>8265</v>
      </c>
      <c r="M87" t="s">
        <v>368</v>
      </c>
      <c r="N87" t="s">
        <v>428</v>
      </c>
      <c r="O87">
        <v>1</v>
      </c>
      <c r="P87">
        <v>2</v>
      </c>
      <c r="Q87">
        <v>-99</v>
      </c>
      <c r="R87" t="s">
        <v>699</v>
      </c>
    </row>
    <row r="88" spans="1:18" x14ac:dyDescent="0.2">
      <c r="A88">
        <v>87</v>
      </c>
      <c r="B88">
        <v>155</v>
      </c>
      <c r="C88" t="s">
        <v>189</v>
      </c>
      <c r="D88" t="s">
        <v>46</v>
      </c>
      <c r="E88" t="s">
        <v>649</v>
      </c>
      <c r="F88" t="s">
        <v>650</v>
      </c>
      <c r="G88" t="s">
        <v>675</v>
      </c>
      <c r="H88" t="s">
        <v>396</v>
      </c>
      <c r="I88">
        <v>382</v>
      </c>
      <c r="J88">
        <v>32</v>
      </c>
      <c r="K88" t="s">
        <v>400</v>
      </c>
      <c r="L88">
        <v>8266</v>
      </c>
      <c r="M88" t="s">
        <v>333</v>
      </c>
      <c r="N88" t="s">
        <v>429</v>
      </c>
      <c r="O88">
        <v>1</v>
      </c>
      <c r="P88">
        <v>2</v>
      </c>
      <c r="Q88">
        <v>-99</v>
      </c>
      <c r="R88" t="s">
        <v>699</v>
      </c>
    </row>
    <row r="89" spans="1:18" x14ac:dyDescent="0.2">
      <c r="A89">
        <v>88</v>
      </c>
      <c r="B89">
        <v>156</v>
      </c>
      <c r="C89" t="s">
        <v>190</v>
      </c>
      <c r="D89" t="s">
        <v>77</v>
      </c>
      <c r="E89" t="s">
        <v>651</v>
      </c>
      <c r="F89" t="s">
        <v>652</v>
      </c>
      <c r="G89" t="s">
        <v>675</v>
      </c>
      <c r="H89" t="s">
        <v>396</v>
      </c>
      <c r="I89">
        <v>382</v>
      </c>
      <c r="J89">
        <v>32</v>
      </c>
      <c r="K89" t="s">
        <v>400</v>
      </c>
      <c r="L89">
        <v>8267</v>
      </c>
      <c r="M89" t="s">
        <v>351</v>
      </c>
      <c r="N89" t="s">
        <v>430</v>
      </c>
      <c r="O89">
        <v>1</v>
      </c>
      <c r="P89">
        <v>2</v>
      </c>
      <c r="Q89">
        <v>-99</v>
      </c>
      <c r="R89" t="s">
        <v>699</v>
      </c>
    </row>
    <row r="90" spans="1:18" x14ac:dyDescent="0.2">
      <c r="A90">
        <v>89</v>
      </c>
      <c r="B90">
        <v>157</v>
      </c>
      <c r="C90" t="s">
        <v>690</v>
      </c>
      <c r="D90" t="s">
        <v>39</v>
      </c>
      <c r="E90" t="s">
        <v>653</v>
      </c>
      <c r="F90" t="s">
        <v>654</v>
      </c>
      <c r="G90" t="s">
        <v>677</v>
      </c>
      <c r="H90" t="s">
        <v>412</v>
      </c>
      <c r="I90">
        <v>383</v>
      </c>
      <c r="J90">
        <v>33</v>
      </c>
      <c r="K90" t="s">
        <v>395</v>
      </c>
      <c r="L90">
        <v>8271</v>
      </c>
      <c r="M90" t="s">
        <v>329</v>
      </c>
      <c r="N90" t="s">
        <v>431</v>
      </c>
      <c r="O90">
        <v>1</v>
      </c>
      <c r="P90">
        <v>2</v>
      </c>
      <c r="Q90">
        <v>-99</v>
      </c>
      <c r="R90" t="s">
        <v>699</v>
      </c>
    </row>
    <row r="91" spans="1:18" x14ac:dyDescent="0.2">
      <c r="A91">
        <v>90</v>
      </c>
      <c r="B91">
        <v>158</v>
      </c>
      <c r="C91" t="s">
        <v>191</v>
      </c>
      <c r="D91" t="s">
        <v>84</v>
      </c>
      <c r="E91" t="s">
        <v>655</v>
      </c>
      <c r="F91" t="s">
        <v>656</v>
      </c>
      <c r="G91" t="s">
        <v>675</v>
      </c>
      <c r="H91" t="s">
        <v>396</v>
      </c>
      <c r="I91">
        <v>382</v>
      </c>
      <c r="J91">
        <v>32</v>
      </c>
      <c r="K91" t="s">
        <v>400</v>
      </c>
      <c r="L91">
        <v>8209</v>
      </c>
      <c r="M91" t="s">
        <v>374</v>
      </c>
      <c r="N91" t="s">
        <v>432</v>
      </c>
      <c r="O91">
        <v>1</v>
      </c>
      <c r="P91">
        <v>2</v>
      </c>
      <c r="Q91">
        <v>-99</v>
      </c>
      <c r="R91" t="s">
        <v>699</v>
      </c>
    </row>
    <row r="92" spans="1:18" x14ac:dyDescent="0.2">
      <c r="A92">
        <v>91</v>
      </c>
      <c r="B92">
        <v>198</v>
      </c>
      <c r="C92" t="s">
        <v>192</v>
      </c>
      <c r="D92" t="s">
        <v>48</v>
      </c>
      <c r="E92" t="s">
        <v>657</v>
      </c>
      <c r="F92" t="s">
        <v>658</v>
      </c>
      <c r="G92" t="s">
        <v>677</v>
      </c>
      <c r="H92" t="s">
        <v>412</v>
      </c>
      <c r="I92">
        <v>383</v>
      </c>
      <c r="J92">
        <v>34</v>
      </c>
      <c r="K92" t="s">
        <v>414</v>
      </c>
      <c r="L92">
        <v>8224</v>
      </c>
      <c r="M92" t="s">
        <v>371</v>
      </c>
      <c r="N92" t="s">
        <v>438</v>
      </c>
      <c r="O92">
        <v>1</v>
      </c>
      <c r="P92">
        <v>2</v>
      </c>
      <c r="Q92">
        <v>-99</v>
      </c>
      <c r="R92" t="s">
        <v>699</v>
      </c>
    </row>
    <row r="93" spans="1:18" x14ac:dyDescent="0.2">
      <c r="A93">
        <v>92</v>
      </c>
      <c r="B93">
        <v>161</v>
      </c>
      <c r="C93" t="s">
        <v>193</v>
      </c>
      <c r="D93" t="s">
        <v>85</v>
      </c>
      <c r="E93" t="s">
        <v>659</v>
      </c>
      <c r="F93" t="s">
        <v>660</v>
      </c>
      <c r="G93" t="s">
        <v>673</v>
      </c>
      <c r="H93" t="s">
        <v>380</v>
      </c>
      <c r="I93">
        <v>380</v>
      </c>
      <c r="J93">
        <v>30</v>
      </c>
      <c r="K93" t="s">
        <v>379</v>
      </c>
      <c r="L93">
        <v>8225</v>
      </c>
      <c r="M93" t="s">
        <v>334</v>
      </c>
      <c r="N93" t="s">
        <v>433</v>
      </c>
      <c r="O93">
        <v>1</v>
      </c>
      <c r="P93">
        <v>2</v>
      </c>
      <c r="Q93">
        <v>-99</v>
      </c>
      <c r="R93" t="s">
        <v>699</v>
      </c>
    </row>
    <row r="94" spans="1:18" x14ac:dyDescent="0.2">
      <c r="A94">
        <v>93</v>
      </c>
      <c r="B94">
        <v>162</v>
      </c>
      <c r="C94" t="s">
        <v>194</v>
      </c>
      <c r="D94" t="s">
        <v>35</v>
      </c>
      <c r="E94" t="s">
        <v>661</v>
      </c>
      <c r="F94" t="s">
        <v>662</v>
      </c>
      <c r="G94" t="s">
        <v>677</v>
      </c>
      <c r="H94" t="s">
        <v>412</v>
      </c>
      <c r="I94">
        <v>383</v>
      </c>
      <c r="J94">
        <v>34</v>
      </c>
      <c r="K94" t="s">
        <v>414</v>
      </c>
      <c r="L94">
        <v>8227</v>
      </c>
      <c r="M94" t="s">
        <v>487</v>
      </c>
      <c r="N94" t="s">
        <v>434</v>
      </c>
      <c r="O94">
        <v>1</v>
      </c>
      <c r="P94">
        <v>2</v>
      </c>
      <c r="Q94">
        <v>-99</v>
      </c>
      <c r="R94" t="s">
        <v>699</v>
      </c>
    </row>
    <row r="95" spans="1:18" x14ac:dyDescent="0.2">
      <c r="A95">
        <v>94</v>
      </c>
      <c r="B95">
        <v>-99</v>
      </c>
      <c r="C95" t="s">
        <v>691</v>
      </c>
      <c r="D95" t="s">
        <v>8</v>
      </c>
      <c r="E95" t="s">
        <v>692</v>
      </c>
      <c r="F95" t="s">
        <v>232</v>
      </c>
      <c r="G95" t="s">
        <v>671</v>
      </c>
      <c r="H95" t="s">
        <v>8</v>
      </c>
      <c r="I95">
        <v>-99</v>
      </c>
      <c r="J95">
        <v>-99</v>
      </c>
      <c r="K95" t="s">
        <v>8</v>
      </c>
      <c r="L95">
        <v>-99</v>
      </c>
      <c r="M95" t="s">
        <v>671</v>
      </c>
      <c r="N95" t="s">
        <v>671</v>
      </c>
      <c r="O95">
        <v>-99</v>
      </c>
      <c r="P95">
        <v>-99</v>
      </c>
      <c r="Q95">
        <v>-99</v>
      </c>
      <c r="R95" t="s">
        <v>216</v>
      </c>
    </row>
    <row r="96" spans="1:18" x14ac:dyDescent="0.2">
      <c r="A96">
        <v>95</v>
      </c>
      <c r="B96">
        <v>-99</v>
      </c>
      <c r="C96" t="s">
        <v>691</v>
      </c>
      <c r="D96" t="s">
        <v>8</v>
      </c>
      <c r="E96" t="s">
        <v>693</v>
      </c>
      <c r="F96" t="s">
        <v>317</v>
      </c>
      <c r="G96" t="s">
        <v>671</v>
      </c>
      <c r="H96" t="s">
        <v>8</v>
      </c>
      <c r="I96">
        <v>-99</v>
      </c>
      <c r="J96">
        <v>-99</v>
      </c>
      <c r="K96" t="s">
        <v>8</v>
      </c>
      <c r="L96">
        <v>-99</v>
      </c>
      <c r="M96" t="s">
        <v>671</v>
      </c>
      <c r="N96" t="s">
        <v>671</v>
      </c>
      <c r="O96">
        <v>-99</v>
      </c>
      <c r="P96">
        <v>-99</v>
      </c>
      <c r="Q96">
        <v>-99</v>
      </c>
      <c r="R96" t="s">
        <v>696</v>
      </c>
    </row>
    <row r="97" spans="1:18" x14ac:dyDescent="0.2">
      <c r="A97">
        <v>96</v>
      </c>
      <c r="B97">
        <v>-99</v>
      </c>
      <c r="C97" t="s">
        <v>691</v>
      </c>
      <c r="D97" t="s">
        <v>8</v>
      </c>
      <c r="E97" t="s">
        <v>694</v>
      </c>
      <c r="F97" t="s">
        <v>316</v>
      </c>
      <c r="G97" t="s">
        <v>671</v>
      </c>
      <c r="H97" t="s">
        <v>8</v>
      </c>
      <c r="I97">
        <v>-99</v>
      </c>
      <c r="J97">
        <v>-99</v>
      </c>
      <c r="K97" t="s">
        <v>8</v>
      </c>
      <c r="L97">
        <v>-99</v>
      </c>
      <c r="M97" t="s">
        <v>671</v>
      </c>
      <c r="N97" t="s">
        <v>671</v>
      </c>
      <c r="O97">
        <v>-99</v>
      </c>
      <c r="P97">
        <v>-99</v>
      </c>
      <c r="Q97">
        <v>-99</v>
      </c>
      <c r="R97" t="s">
        <v>697</v>
      </c>
    </row>
    <row r="98" spans="1:18" x14ac:dyDescent="0.2">
      <c r="A98">
        <v>97</v>
      </c>
      <c r="B98">
        <v>-99</v>
      </c>
      <c r="C98" t="s">
        <v>691</v>
      </c>
      <c r="D98" t="s">
        <v>8</v>
      </c>
      <c r="E98" t="s">
        <v>691</v>
      </c>
      <c r="F98" t="s">
        <v>8</v>
      </c>
      <c r="G98" t="s">
        <v>671</v>
      </c>
      <c r="H98" t="s">
        <v>8</v>
      </c>
      <c r="I98">
        <v>-99</v>
      </c>
      <c r="J98">
        <v>-99</v>
      </c>
      <c r="K98" t="s">
        <v>8</v>
      </c>
      <c r="L98">
        <v>-99</v>
      </c>
      <c r="M98" t="s">
        <v>671</v>
      </c>
      <c r="N98" t="s">
        <v>671</v>
      </c>
      <c r="O98">
        <v>-99</v>
      </c>
      <c r="P98">
        <v>-99</v>
      </c>
      <c r="Q98">
        <v>-99</v>
      </c>
      <c r="R98" t="s">
        <v>671</v>
      </c>
    </row>
    <row r="99" spans="1:18" x14ac:dyDescent="0.2">
      <c r="A99">
        <v>98</v>
      </c>
      <c r="B99">
        <v>-99</v>
      </c>
      <c r="C99" t="s">
        <v>691</v>
      </c>
      <c r="D99" t="s">
        <v>8</v>
      </c>
      <c r="E99" t="s">
        <v>702</v>
      </c>
      <c r="F99" t="s">
        <v>703</v>
      </c>
      <c r="G99" t="s">
        <v>671</v>
      </c>
      <c r="H99" t="s">
        <v>8</v>
      </c>
      <c r="I99">
        <v>-99</v>
      </c>
      <c r="J99">
        <v>-99</v>
      </c>
      <c r="K99" t="s">
        <v>8</v>
      </c>
      <c r="L99">
        <v>-99</v>
      </c>
      <c r="M99" t="s">
        <v>671</v>
      </c>
      <c r="N99" t="s">
        <v>671</v>
      </c>
      <c r="O99">
        <v>-99</v>
      </c>
      <c r="P99">
        <v>-99</v>
      </c>
      <c r="Q99">
        <v>-99</v>
      </c>
      <c r="R99" t="s">
        <v>699</v>
      </c>
    </row>
    <row r="100" spans="1:18" x14ac:dyDescent="0.2">
      <c r="A100">
        <v>99</v>
      </c>
      <c r="B100">
        <v>250</v>
      </c>
      <c r="C100" t="s">
        <v>671</v>
      </c>
      <c r="D100" t="s">
        <v>35</v>
      </c>
      <c r="E100" t="s">
        <v>738</v>
      </c>
      <c r="F100" t="s">
        <v>704</v>
      </c>
      <c r="G100" t="s">
        <v>671</v>
      </c>
      <c r="H100" t="s">
        <v>412</v>
      </c>
      <c r="I100">
        <v>-99</v>
      </c>
      <c r="J100">
        <v>-99</v>
      </c>
      <c r="K100" t="s">
        <v>414</v>
      </c>
      <c r="L100">
        <v>-99</v>
      </c>
      <c r="M100" t="s">
        <v>671</v>
      </c>
      <c r="N100" t="s">
        <v>671</v>
      </c>
      <c r="O100">
        <v>-99</v>
      </c>
      <c r="P100">
        <v>-99</v>
      </c>
      <c r="Q100">
        <v>-99</v>
      </c>
      <c r="R100" t="s">
        <v>705</v>
      </c>
    </row>
    <row r="101" spans="1:18" x14ac:dyDescent="0.2">
      <c r="A101">
        <v>100</v>
      </c>
      <c r="B101">
        <v>256</v>
      </c>
      <c r="C101" t="s">
        <v>671</v>
      </c>
      <c r="D101" t="s">
        <v>220</v>
      </c>
      <c r="E101" t="s">
        <v>739</v>
      </c>
      <c r="F101" t="s">
        <v>706</v>
      </c>
      <c r="G101" t="s">
        <v>671</v>
      </c>
      <c r="H101" t="s">
        <v>396</v>
      </c>
      <c r="I101">
        <v>-99</v>
      </c>
      <c r="J101">
        <v>-99</v>
      </c>
      <c r="K101" t="s">
        <v>400</v>
      </c>
      <c r="L101">
        <v>-99</v>
      </c>
      <c r="M101" t="s">
        <v>671</v>
      </c>
      <c r="N101" t="s">
        <v>671</v>
      </c>
      <c r="O101">
        <v>-99</v>
      </c>
      <c r="P101">
        <v>-99</v>
      </c>
      <c r="Q101">
        <v>-99</v>
      </c>
      <c r="R101" t="s">
        <v>705</v>
      </c>
    </row>
    <row r="102" spans="1:18" x14ac:dyDescent="0.2">
      <c r="A102">
        <v>101</v>
      </c>
      <c r="B102">
        <v>257</v>
      </c>
      <c r="C102" t="s">
        <v>671</v>
      </c>
      <c r="D102" t="s">
        <v>217</v>
      </c>
      <c r="E102" t="s">
        <v>740</v>
      </c>
      <c r="F102" t="s">
        <v>707</v>
      </c>
      <c r="G102" t="s">
        <v>671</v>
      </c>
      <c r="H102" t="s">
        <v>396</v>
      </c>
      <c r="I102">
        <v>-99</v>
      </c>
      <c r="J102">
        <v>-99</v>
      </c>
      <c r="K102" t="s">
        <v>400</v>
      </c>
      <c r="L102">
        <v>-99</v>
      </c>
      <c r="M102" t="s">
        <v>671</v>
      </c>
      <c r="N102" t="s">
        <v>671</v>
      </c>
      <c r="O102">
        <v>-99</v>
      </c>
      <c r="P102">
        <v>-99</v>
      </c>
      <c r="Q102">
        <v>-99</v>
      </c>
      <c r="R102" t="s">
        <v>705</v>
      </c>
    </row>
    <row r="103" spans="1:18" x14ac:dyDescent="0.2">
      <c r="A103">
        <v>102</v>
      </c>
      <c r="B103">
        <v>258</v>
      </c>
      <c r="C103" t="s">
        <v>671</v>
      </c>
      <c r="D103" t="s">
        <v>218</v>
      </c>
      <c r="E103" t="s">
        <v>741</v>
      </c>
      <c r="F103" t="s">
        <v>708</v>
      </c>
      <c r="G103" t="s">
        <v>671</v>
      </c>
      <c r="H103" t="s">
        <v>380</v>
      </c>
      <c r="I103">
        <v>-99</v>
      </c>
      <c r="J103">
        <v>-99</v>
      </c>
      <c r="K103" t="s">
        <v>379</v>
      </c>
      <c r="L103">
        <v>-99</v>
      </c>
      <c r="M103" t="s">
        <v>671</v>
      </c>
      <c r="N103" t="s">
        <v>671</v>
      </c>
      <c r="O103">
        <v>-99</v>
      </c>
      <c r="P103">
        <v>-99</v>
      </c>
      <c r="Q103">
        <v>-99</v>
      </c>
      <c r="R103" t="s">
        <v>705</v>
      </c>
    </row>
    <row r="104" spans="1:18" x14ac:dyDescent="0.2">
      <c r="A104">
        <v>103</v>
      </c>
      <c r="B104">
        <v>259</v>
      </c>
      <c r="C104" t="s">
        <v>671</v>
      </c>
      <c r="D104" t="s">
        <v>141</v>
      </c>
      <c r="E104" t="s">
        <v>742</v>
      </c>
      <c r="F104" t="s">
        <v>709</v>
      </c>
      <c r="G104" t="s">
        <v>671</v>
      </c>
      <c r="H104" t="s">
        <v>380</v>
      </c>
      <c r="I104">
        <v>-99</v>
      </c>
      <c r="J104">
        <v>-99</v>
      </c>
      <c r="K104" t="s">
        <v>379</v>
      </c>
      <c r="L104">
        <v>-99</v>
      </c>
      <c r="M104" t="s">
        <v>671</v>
      </c>
      <c r="N104" t="s">
        <v>671</v>
      </c>
      <c r="O104">
        <v>-99</v>
      </c>
      <c r="P104">
        <v>-99</v>
      </c>
      <c r="Q104">
        <v>-99</v>
      </c>
      <c r="R104" t="s">
        <v>705</v>
      </c>
    </row>
    <row r="105" spans="1:18" x14ac:dyDescent="0.2">
      <c r="A105">
        <v>104</v>
      </c>
      <c r="B105">
        <v>260</v>
      </c>
      <c r="C105" t="s">
        <v>671</v>
      </c>
      <c r="D105" t="s">
        <v>49</v>
      </c>
      <c r="E105" t="s">
        <v>743</v>
      </c>
      <c r="F105" t="s">
        <v>710</v>
      </c>
      <c r="G105" t="s">
        <v>671</v>
      </c>
      <c r="H105" t="s">
        <v>396</v>
      </c>
      <c r="I105">
        <v>-99</v>
      </c>
      <c r="J105">
        <v>-99</v>
      </c>
      <c r="K105" t="s">
        <v>395</v>
      </c>
      <c r="L105">
        <v>-99</v>
      </c>
      <c r="M105" t="s">
        <v>671</v>
      </c>
      <c r="N105" t="s">
        <v>671</v>
      </c>
      <c r="O105">
        <v>-99</v>
      </c>
      <c r="P105">
        <v>-99</v>
      </c>
      <c r="Q105">
        <v>-99</v>
      </c>
      <c r="R105" t="s">
        <v>705</v>
      </c>
    </row>
    <row r="106" spans="1:18" x14ac:dyDescent="0.2">
      <c r="A106">
        <v>105</v>
      </c>
      <c r="B106">
        <v>261</v>
      </c>
      <c r="C106" t="s">
        <v>671</v>
      </c>
      <c r="D106" t="s">
        <v>68</v>
      </c>
      <c r="E106" t="s">
        <v>744</v>
      </c>
      <c r="F106" t="s">
        <v>711</v>
      </c>
      <c r="G106" t="s">
        <v>671</v>
      </c>
      <c r="H106" t="s">
        <v>380</v>
      </c>
      <c r="I106">
        <v>-99</v>
      </c>
      <c r="J106">
        <v>-99</v>
      </c>
      <c r="K106" t="s">
        <v>379</v>
      </c>
      <c r="L106">
        <v>-99</v>
      </c>
      <c r="M106" t="s">
        <v>671</v>
      </c>
      <c r="N106" t="s">
        <v>671</v>
      </c>
      <c r="O106">
        <v>-99</v>
      </c>
      <c r="P106">
        <v>-99</v>
      </c>
      <c r="Q106">
        <v>-99</v>
      </c>
      <c r="R106" t="s">
        <v>705</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customWidth="1"/>
    <col min="3" max="3" width="17.42578125" customWidth="1"/>
    <col min="4" max="4" width="8" customWidth="1"/>
    <col min="5" max="5" width="12.28515625" customWidth="1"/>
  </cols>
  <sheetData>
    <row r="1" spans="1:5" x14ac:dyDescent="0.2">
      <c r="A1" t="s">
        <v>473</v>
      </c>
      <c r="B1" t="s">
        <v>467</v>
      </c>
      <c r="C1" t="s">
        <v>474</v>
      </c>
      <c r="D1" t="s">
        <v>475</v>
      </c>
      <c r="E1" t="s">
        <v>502</v>
      </c>
    </row>
    <row r="2" spans="1:5" x14ac:dyDescent="0.2">
      <c r="A2" t="s">
        <v>335</v>
      </c>
      <c r="B2" t="s">
        <v>381</v>
      </c>
      <c r="C2" t="s">
        <v>381</v>
      </c>
      <c r="D2" t="s">
        <v>476</v>
      </c>
      <c r="E2" t="s">
        <v>379</v>
      </c>
    </row>
    <row r="3" spans="1:5" x14ac:dyDescent="0.2">
      <c r="A3" t="s">
        <v>367</v>
      </c>
      <c r="B3" t="s">
        <v>384</v>
      </c>
      <c r="C3" t="s">
        <v>384</v>
      </c>
      <c r="D3" t="s">
        <v>476</v>
      </c>
      <c r="E3" t="s">
        <v>379</v>
      </c>
    </row>
    <row r="4" spans="1:5" x14ac:dyDescent="0.2">
      <c r="A4" t="s">
        <v>362</v>
      </c>
      <c r="B4" t="s">
        <v>426</v>
      </c>
      <c r="C4" t="s">
        <v>426</v>
      </c>
      <c r="D4" t="s">
        <v>476</v>
      </c>
      <c r="E4" t="s">
        <v>379</v>
      </c>
    </row>
    <row r="5" spans="1:5" x14ac:dyDescent="0.2">
      <c r="A5" t="s">
        <v>341</v>
      </c>
      <c r="B5" t="s">
        <v>437</v>
      </c>
      <c r="C5" t="s">
        <v>437</v>
      </c>
      <c r="D5" t="s">
        <v>477</v>
      </c>
      <c r="E5" t="s">
        <v>390</v>
      </c>
    </row>
    <row r="6" spans="1:5" x14ac:dyDescent="0.2">
      <c r="A6" t="s">
        <v>365</v>
      </c>
      <c r="B6" t="s">
        <v>399</v>
      </c>
      <c r="C6" t="s">
        <v>399</v>
      </c>
      <c r="D6" t="s">
        <v>477</v>
      </c>
      <c r="E6" t="s">
        <v>395</v>
      </c>
    </row>
    <row r="7" spans="1:5" x14ac:dyDescent="0.2">
      <c r="A7" t="s">
        <v>368</v>
      </c>
      <c r="B7" t="s">
        <v>428</v>
      </c>
      <c r="C7" t="s">
        <v>428</v>
      </c>
      <c r="D7" t="s">
        <v>479</v>
      </c>
      <c r="E7" t="s">
        <v>395</v>
      </c>
    </row>
    <row r="8" spans="1:5" x14ac:dyDescent="0.2">
      <c r="A8" t="s">
        <v>343</v>
      </c>
      <c r="B8" t="s">
        <v>411</v>
      </c>
      <c r="C8" t="s">
        <v>411</v>
      </c>
      <c r="D8" t="s">
        <v>480</v>
      </c>
      <c r="E8" t="s">
        <v>400</v>
      </c>
    </row>
    <row r="9" spans="1:5" x14ac:dyDescent="0.2">
      <c r="A9" t="s">
        <v>360</v>
      </c>
      <c r="B9" t="s">
        <v>413</v>
      </c>
      <c r="C9" t="s">
        <v>413</v>
      </c>
      <c r="D9" t="s">
        <v>479</v>
      </c>
      <c r="E9" t="s">
        <v>395</v>
      </c>
    </row>
    <row r="10" spans="1:5" x14ac:dyDescent="0.2">
      <c r="A10" t="s">
        <v>488</v>
      </c>
      <c r="B10" t="s">
        <v>489</v>
      </c>
      <c r="C10" t="s">
        <v>318</v>
      </c>
      <c r="D10" t="s">
        <v>464</v>
      </c>
      <c r="E10" t="s">
        <v>8</v>
      </c>
    </row>
    <row r="11" spans="1:5" x14ac:dyDescent="0.2">
      <c r="A11" t="s">
        <v>369</v>
      </c>
      <c r="B11" t="s">
        <v>425</v>
      </c>
      <c r="C11" t="s">
        <v>425</v>
      </c>
      <c r="D11" t="s">
        <v>476</v>
      </c>
      <c r="E11" t="s">
        <v>379</v>
      </c>
    </row>
    <row r="12" spans="1:5" x14ac:dyDescent="0.2">
      <c r="A12" t="s">
        <v>347</v>
      </c>
      <c r="B12" t="s">
        <v>389</v>
      </c>
      <c r="C12" t="s">
        <v>389</v>
      </c>
      <c r="D12" t="s">
        <v>477</v>
      </c>
      <c r="E12" t="s">
        <v>379</v>
      </c>
    </row>
    <row r="13" spans="1:5" x14ac:dyDescent="0.2">
      <c r="A13" t="s">
        <v>352</v>
      </c>
      <c r="B13" t="s">
        <v>386</v>
      </c>
      <c r="C13" t="s">
        <v>386</v>
      </c>
      <c r="D13" t="s">
        <v>476</v>
      </c>
      <c r="E13" t="s">
        <v>379</v>
      </c>
    </row>
    <row r="14" spans="1:5" x14ac:dyDescent="0.2">
      <c r="A14" t="s">
        <v>350</v>
      </c>
      <c r="B14" t="s">
        <v>393</v>
      </c>
      <c r="C14" t="s">
        <v>393</v>
      </c>
      <c r="D14" t="s">
        <v>477</v>
      </c>
      <c r="E14" t="s">
        <v>390</v>
      </c>
    </row>
    <row r="15" spans="1:5" x14ac:dyDescent="0.2">
      <c r="A15" t="s">
        <v>340</v>
      </c>
      <c r="B15" t="s">
        <v>402</v>
      </c>
      <c r="C15" t="s">
        <v>402</v>
      </c>
      <c r="D15" t="s">
        <v>476</v>
      </c>
      <c r="E15" t="s">
        <v>400</v>
      </c>
    </row>
    <row r="16" spans="1:5" x14ac:dyDescent="0.2">
      <c r="A16" t="s">
        <v>354</v>
      </c>
      <c r="B16" t="s">
        <v>416</v>
      </c>
      <c r="C16" t="s">
        <v>416</v>
      </c>
      <c r="D16" t="s">
        <v>479</v>
      </c>
      <c r="E16" t="s">
        <v>395</v>
      </c>
    </row>
    <row r="17" spans="1:5" x14ac:dyDescent="0.2">
      <c r="A17" t="s">
        <v>490</v>
      </c>
      <c r="B17" t="s">
        <v>491</v>
      </c>
      <c r="C17" t="s">
        <v>318</v>
      </c>
      <c r="D17" t="s">
        <v>464</v>
      </c>
      <c r="E17" t="s">
        <v>8</v>
      </c>
    </row>
    <row r="18" spans="1:5" x14ac:dyDescent="0.2">
      <c r="A18" t="s">
        <v>366</v>
      </c>
      <c r="B18" t="s">
        <v>401</v>
      </c>
      <c r="C18" t="s">
        <v>401</v>
      </c>
      <c r="D18" t="s">
        <v>476</v>
      </c>
      <c r="E18" t="s">
        <v>400</v>
      </c>
    </row>
    <row r="19" spans="1:5" x14ac:dyDescent="0.2">
      <c r="A19" t="s">
        <v>359</v>
      </c>
      <c r="B19" t="s">
        <v>404</v>
      </c>
      <c r="C19" t="s">
        <v>404</v>
      </c>
      <c r="D19" t="s">
        <v>480</v>
      </c>
      <c r="E19" t="s">
        <v>400</v>
      </c>
    </row>
    <row r="20" spans="1:5" x14ac:dyDescent="0.2">
      <c r="A20" t="s">
        <v>349</v>
      </c>
      <c r="B20" t="s">
        <v>407</v>
      </c>
      <c r="C20" t="s">
        <v>407</v>
      </c>
      <c r="D20" t="s">
        <v>480</v>
      </c>
      <c r="E20" t="s">
        <v>400</v>
      </c>
    </row>
    <row r="21" spans="1:5" x14ac:dyDescent="0.2">
      <c r="A21" t="s">
        <v>374</v>
      </c>
      <c r="B21" t="s">
        <v>432</v>
      </c>
      <c r="C21" t="s">
        <v>432</v>
      </c>
      <c r="D21" t="s">
        <v>480</v>
      </c>
      <c r="E21" t="s">
        <v>400</v>
      </c>
    </row>
    <row r="22" spans="1:5" x14ac:dyDescent="0.2">
      <c r="A22" t="s">
        <v>345</v>
      </c>
      <c r="B22" t="s">
        <v>63</v>
      </c>
      <c r="C22" t="s">
        <v>63</v>
      </c>
      <c r="D22" t="s">
        <v>476</v>
      </c>
      <c r="E22" t="s">
        <v>379</v>
      </c>
    </row>
    <row r="23" spans="1:5" x14ac:dyDescent="0.2">
      <c r="A23" t="s">
        <v>358</v>
      </c>
      <c r="B23" t="s">
        <v>392</v>
      </c>
      <c r="C23" t="s">
        <v>392</v>
      </c>
      <c r="D23" t="s">
        <v>318</v>
      </c>
      <c r="E23" t="s">
        <v>379</v>
      </c>
    </row>
    <row r="24" spans="1:5" x14ac:dyDescent="0.2">
      <c r="A24" t="s">
        <v>353</v>
      </c>
      <c r="B24" t="s">
        <v>394</v>
      </c>
      <c r="C24" t="s">
        <v>394</v>
      </c>
      <c r="D24" t="s">
        <v>477</v>
      </c>
      <c r="E24" t="s">
        <v>390</v>
      </c>
    </row>
    <row r="25" spans="1:5" x14ac:dyDescent="0.2">
      <c r="A25" t="s">
        <v>351</v>
      </c>
      <c r="B25" t="s">
        <v>430</v>
      </c>
      <c r="C25" t="s">
        <v>430</v>
      </c>
      <c r="D25" t="s">
        <v>480</v>
      </c>
      <c r="E25" t="s">
        <v>400</v>
      </c>
    </row>
    <row r="26" spans="1:5" x14ac:dyDescent="0.2">
      <c r="A26" t="s">
        <v>328</v>
      </c>
      <c r="B26" t="s">
        <v>415</v>
      </c>
      <c r="C26" t="s">
        <v>415</v>
      </c>
      <c r="D26" t="s">
        <v>479</v>
      </c>
      <c r="E26" t="s">
        <v>414</v>
      </c>
    </row>
    <row r="27" spans="1:5" x14ac:dyDescent="0.2">
      <c r="A27" t="s">
        <v>329</v>
      </c>
      <c r="B27" t="s">
        <v>431</v>
      </c>
      <c r="C27" t="s">
        <v>431</v>
      </c>
      <c r="D27" t="s">
        <v>479</v>
      </c>
      <c r="E27" t="s">
        <v>395</v>
      </c>
    </row>
    <row r="28" spans="1:5" x14ac:dyDescent="0.2">
      <c r="A28" t="s">
        <v>363</v>
      </c>
      <c r="B28" t="s">
        <v>383</v>
      </c>
      <c r="C28" t="s">
        <v>383</v>
      </c>
      <c r="D28" t="s">
        <v>476</v>
      </c>
      <c r="E28" t="s">
        <v>379</v>
      </c>
    </row>
    <row r="29" spans="1:5" x14ac:dyDescent="0.2">
      <c r="A29" t="s">
        <v>478</v>
      </c>
      <c r="B29" t="s">
        <v>464</v>
      </c>
      <c r="C29" t="s">
        <v>318</v>
      </c>
      <c r="D29" t="s">
        <v>464</v>
      </c>
      <c r="E29" t="s">
        <v>8</v>
      </c>
    </row>
    <row r="30" spans="1:5" x14ac:dyDescent="0.2">
      <c r="A30" t="s">
        <v>375</v>
      </c>
      <c r="B30" t="s">
        <v>427</v>
      </c>
      <c r="C30" t="s">
        <v>427</v>
      </c>
      <c r="D30" t="s">
        <v>476</v>
      </c>
      <c r="E30" t="s">
        <v>379</v>
      </c>
    </row>
    <row r="31" spans="1:5" x14ac:dyDescent="0.2">
      <c r="A31" t="s">
        <v>356</v>
      </c>
      <c r="B31" t="s">
        <v>424</v>
      </c>
      <c r="C31" t="s">
        <v>424</v>
      </c>
      <c r="D31" t="s">
        <v>318</v>
      </c>
      <c r="E31" t="s">
        <v>379</v>
      </c>
    </row>
    <row r="32" spans="1:5" x14ac:dyDescent="0.2">
      <c r="A32" t="s">
        <v>336</v>
      </c>
      <c r="B32" t="s">
        <v>405</v>
      </c>
      <c r="C32" t="s">
        <v>405</v>
      </c>
      <c r="D32" t="s">
        <v>476</v>
      </c>
      <c r="E32" t="s">
        <v>400</v>
      </c>
    </row>
    <row r="33" spans="1:5" x14ac:dyDescent="0.2">
      <c r="A33" t="s">
        <v>333</v>
      </c>
      <c r="B33" t="s">
        <v>429</v>
      </c>
      <c r="C33" t="s">
        <v>429</v>
      </c>
      <c r="D33" t="s">
        <v>480</v>
      </c>
      <c r="E33" t="s">
        <v>400</v>
      </c>
    </row>
    <row r="34" spans="1:5" x14ac:dyDescent="0.2">
      <c r="A34" t="s">
        <v>355</v>
      </c>
      <c r="B34" t="s">
        <v>436</v>
      </c>
      <c r="C34" t="s">
        <v>436</v>
      </c>
      <c r="D34" t="s">
        <v>479</v>
      </c>
      <c r="E34" t="s">
        <v>414</v>
      </c>
    </row>
    <row r="35" spans="1:5" x14ac:dyDescent="0.2">
      <c r="A35" t="s">
        <v>344</v>
      </c>
      <c r="B35" t="s">
        <v>418</v>
      </c>
      <c r="C35" t="s">
        <v>418</v>
      </c>
      <c r="D35" t="s">
        <v>479</v>
      </c>
      <c r="E35" t="s">
        <v>414</v>
      </c>
    </row>
    <row r="36" spans="1:5" x14ac:dyDescent="0.2">
      <c r="A36" t="s">
        <v>371</v>
      </c>
      <c r="B36" t="s">
        <v>438</v>
      </c>
      <c r="C36" t="s">
        <v>438</v>
      </c>
      <c r="D36" t="s">
        <v>479</v>
      </c>
      <c r="E36" t="s">
        <v>414</v>
      </c>
    </row>
    <row r="37" spans="1:5" x14ac:dyDescent="0.2">
      <c r="A37" t="s">
        <v>487</v>
      </c>
      <c r="B37" t="s">
        <v>434</v>
      </c>
      <c r="C37" t="s">
        <v>434</v>
      </c>
      <c r="D37" t="s">
        <v>479</v>
      </c>
      <c r="E37" t="s">
        <v>414</v>
      </c>
    </row>
    <row r="38" spans="1:5" x14ac:dyDescent="0.2">
      <c r="A38" t="s">
        <v>485</v>
      </c>
      <c r="B38" t="s">
        <v>486</v>
      </c>
      <c r="C38" t="s">
        <v>318</v>
      </c>
      <c r="D38" t="s">
        <v>464</v>
      </c>
      <c r="E38" t="s">
        <v>8</v>
      </c>
    </row>
    <row r="39" spans="1:5" x14ac:dyDescent="0.2">
      <c r="A39" t="s">
        <v>361</v>
      </c>
      <c r="B39" t="s">
        <v>419</v>
      </c>
      <c r="C39" t="s">
        <v>419</v>
      </c>
      <c r="D39" t="s">
        <v>479</v>
      </c>
      <c r="E39" t="s">
        <v>414</v>
      </c>
    </row>
    <row r="40" spans="1:5" x14ac:dyDescent="0.2">
      <c r="A40" t="s">
        <v>494</v>
      </c>
      <c r="B40" t="s">
        <v>495</v>
      </c>
      <c r="C40" t="s">
        <v>318</v>
      </c>
      <c r="D40" t="s">
        <v>464</v>
      </c>
      <c r="E40" t="s">
        <v>8</v>
      </c>
    </row>
    <row r="41" spans="1:5" x14ac:dyDescent="0.2">
      <c r="A41" t="s">
        <v>481</v>
      </c>
      <c r="B41" t="s">
        <v>482</v>
      </c>
      <c r="C41" t="s">
        <v>318</v>
      </c>
      <c r="D41" t="s">
        <v>464</v>
      </c>
      <c r="E41" t="s">
        <v>8</v>
      </c>
    </row>
    <row r="42" spans="1:5" x14ac:dyDescent="0.2">
      <c r="A42" t="s">
        <v>370</v>
      </c>
      <c r="B42" t="s">
        <v>382</v>
      </c>
      <c r="C42" t="s">
        <v>382</v>
      </c>
      <c r="D42" t="s">
        <v>476</v>
      </c>
      <c r="E42" t="s">
        <v>379</v>
      </c>
    </row>
    <row r="43" spans="1:5" x14ac:dyDescent="0.2">
      <c r="A43" t="s">
        <v>331</v>
      </c>
      <c r="B43" t="s">
        <v>388</v>
      </c>
      <c r="C43" t="s">
        <v>388</v>
      </c>
      <c r="D43" t="s">
        <v>477</v>
      </c>
      <c r="E43" t="s">
        <v>379</v>
      </c>
    </row>
    <row r="44" spans="1:5" x14ac:dyDescent="0.2">
      <c r="A44" t="s">
        <v>334</v>
      </c>
      <c r="B44" t="s">
        <v>433</v>
      </c>
      <c r="C44" t="s">
        <v>433</v>
      </c>
      <c r="D44" t="s">
        <v>476</v>
      </c>
      <c r="E44" t="s">
        <v>379</v>
      </c>
    </row>
    <row r="45" spans="1:5" x14ac:dyDescent="0.2">
      <c r="A45" t="s">
        <v>364</v>
      </c>
      <c r="B45" t="s">
        <v>398</v>
      </c>
      <c r="C45" t="s">
        <v>398</v>
      </c>
      <c r="D45" t="s">
        <v>477</v>
      </c>
      <c r="E45" t="s">
        <v>390</v>
      </c>
    </row>
    <row r="46" spans="1:5" x14ac:dyDescent="0.2">
      <c r="A46" t="s">
        <v>346</v>
      </c>
      <c r="B46" t="s">
        <v>403</v>
      </c>
      <c r="C46" t="s">
        <v>403</v>
      </c>
      <c r="D46" t="s">
        <v>477</v>
      </c>
      <c r="E46" t="s">
        <v>390</v>
      </c>
    </row>
    <row r="47" spans="1:5" x14ac:dyDescent="0.2">
      <c r="A47" t="s">
        <v>373</v>
      </c>
      <c r="B47" t="s">
        <v>409</v>
      </c>
      <c r="C47" t="s">
        <v>409</v>
      </c>
      <c r="D47" t="s">
        <v>480</v>
      </c>
      <c r="E47" t="s">
        <v>400</v>
      </c>
    </row>
    <row r="48" spans="1:5" x14ac:dyDescent="0.2">
      <c r="A48" t="s">
        <v>348</v>
      </c>
      <c r="B48" t="s">
        <v>422</v>
      </c>
      <c r="C48" t="s">
        <v>422</v>
      </c>
      <c r="D48" t="s">
        <v>480</v>
      </c>
      <c r="E48" t="s">
        <v>395</v>
      </c>
    </row>
    <row r="49" spans="1:5" x14ac:dyDescent="0.2">
      <c r="A49" t="s">
        <v>337</v>
      </c>
      <c r="B49" t="s">
        <v>420</v>
      </c>
      <c r="C49" t="s">
        <v>420</v>
      </c>
      <c r="D49" t="s">
        <v>480</v>
      </c>
      <c r="E49" t="s">
        <v>395</v>
      </c>
    </row>
    <row r="50" spans="1:5" x14ac:dyDescent="0.2">
      <c r="A50" t="s">
        <v>342</v>
      </c>
      <c r="B50" t="s">
        <v>417</v>
      </c>
      <c r="C50" t="s">
        <v>417</v>
      </c>
      <c r="D50" t="s">
        <v>479</v>
      </c>
      <c r="E50" t="s">
        <v>414</v>
      </c>
    </row>
    <row r="51" spans="1:5" x14ac:dyDescent="0.2">
      <c r="A51" t="s">
        <v>330</v>
      </c>
      <c r="B51" t="s">
        <v>397</v>
      </c>
      <c r="C51" t="s">
        <v>397</v>
      </c>
      <c r="D51" t="s">
        <v>480</v>
      </c>
      <c r="E51" t="s">
        <v>395</v>
      </c>
    </row>
    <row r="52" spans="1:5" x14ac:dyDescent="0.2">
      <c r="A52" t="s">
        <v>483</v>
      </c>
      <c r="B52" t="s">
        <v>484</v>
      </c>
      <c r="C52" t="s">
        <v>318</v>
      </c>
      <c r="D52" t="s">
        <v>464</v>
      </c>
      <c r="E52" t="s">
        <v>8</v>
      </c>
    </row>
    <row r="53" spans="1:5" x14ac:dyDescent="0.2">
      <c r="A53" t="s">
        <v>492</v>
      </c>
      <c r="B53" t="s">
        <v>493</v>
      </c>
      <c r="C53" t="s">
        <v>318</v>
      </c>
      <c r="D53" t="s">
        <v>464</v>
      </c>
      <c r="E53" t="s">
        <v>8</v>
      </c>
    </row>
    <row r="54" spans="1:5" x14ac:dyDescent="0.2">
      <c r="A54" t="s">
        <v>357</v>
      </c>
      <c r="B54" t="s">
        <v>385</v>
      </c>
      <c r="C54" t="s">
        <v>385</v>
      </c>
      <c r="D54" t="s">
        <v>476</v>
      </c>
      <c r="E54" t="s">
        <v>379</v>
      </c>
    </row>
    <row r="55" spans="1:5" x14ac:dyDescent="0.2">
      <c r="A55" t="s">
        <v>372</v>
      </c>
      <c r="B55" t="s">
        <v>391</v>
      </c>
      <c r="C55" t="s">
        <v>391</v>
      </c>
      <c r="D55" t="s">
        <v>477</v>
      </c>
      <c r="E55" t="s">
        <v>390</v>
      </c>
    </row>
    <row r="56" spans="1:5" x14ac:dyDescent="0.2">
      <c r="A56" t="s">
        <v>327</v>
      </c>
      <c r="B56" t="s">
        <v>435</v>
      </c>
      <c r="C56" t="s">
        <v>435</v>
      </c>
      <c r="D56" t="s">
        <v>477</v>
      </c>
      <c r="E56" t="s">
        <v>390</v>
      </c>
    </row>
    <row r="57" spans="1:5" x14ac:dyDescent="0.2">
      <c r="A57" t="s">
        <v>326</v>
      </c>
      <c r="B57" t="s">
        <v>406</v>
      </c>
      <c r="C57" t="s">
        <v>406</v>
      </c>
      <c r="D57" t="s">
        <v>480</v>
      </c>
      <c r="E57" t="s">
        <v>400</v>
      </c>
    </row>
    <row r="58" spans="1:5" x14ac:dyDescent="0.2">
      <c r="A58" t="s">
        <v>332</v>
      </c>
      <c r="B58" t="s">
        <v>410</v>
      </c>
      <c r="C58" t="s">
        <v>410</v>
      </c>
      <c r="D58" t="s">
        <v>480</v>
      </c>
      <c r="E58" t="s">
        <v>400</v>
      </c>
    </row>
    <row r="59" spans="1:5" x14ac:dyDescent="0.2">
      <c r="A59" t="s">
        <v>338</v>
      </c>
      <c r="B59" t="s">
        <v>423</v>
      </c>
      <c r="C59" t="s">
        <v>423</v>
      </c>
      <c r="D59" t="s">
        <v>479</v>
      </c>
      <c r="E59" t="s">
        <v>414</v>
      </c>
    </row>
    <row r="60" spans="1:5" x14ac:dyDescent="0.2">
      <c r="A60" t="s">
        <v>325</v>
      </c>
      <c r="B60" t="s">
        <v>421</v>
      </c>
      <c r="C60" t="s">
        <v>421</v>
      </c>
      <c r="D60" t="s">
        <v>480</v>
      </c>
      <c r="E60" t="s">
        <v>395</v>
      </c>
    </row>
    <row r="61" spans="1:5" x14ac:dyDescent="0.2">
      <c r="A61" t="s">
        <v>339</v>
      </c>
      <c r="B61" t="s">
        <v>83</v>
      </c>
      <c r="C61" t="s">
        <v>83</v>
      </c>
      <c r="D61" t="s">
        <v>479</v>
      </c>
      <c r="E61" t="s">
        <v>414</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70" zoomScaleNormal="70" workbookViewId="0"/>
  </sheetViews>
  <sheetFormatPr defaultRowHeight="12.75" x14ac:dyDescent="0.2"/>
  <cols>
    <col min="2" max="2" width="15.7109375" customWidth="1"/>
    <col min="3" max="3" width="14" customWidth="1"/>
    <col min="4" max="4" width="16.710937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1058</v>
      </c>
      <c r="C2" t="s">
        <v>447</v>
      </c>
      <c r="D2" t="s">
        <v>448</v>
      </c>
      <c r="E2" t="s">
        <v>449</v>
      </c>
      <c r="F2" t="s">
        <v>450</v>
      </c>
      <c r="G2" t="s">
        <v>451</v>
      </c>
      <c r="H2" t="s">
        <v>452</v>
      </c>
      <c r="I2" t="s">
        <v>453</v>
      </c>
      <c r="J2" t="s">
        <v>454</v>
      </c>
      <c r="K2" t="s">
        <v>455</v>
      </c>
      <c r="L2" t="s">
        <v>456</v>
      </c>
      <c r="M2" t="s">
        <v>457</v>
      </c>
      <c r="N2" t="s">
        <v>458</v>
      </c>
      <c r="O2" t="s">
        <v>459</v>
      </c>
      <c r="P2" t="s">
        <v>460</v>
      </c>
      <c r="Q2" t="s">
        <v>462</v>
      </c>
    </row>
    <row r="3" spans="2:33" x14ac:dyDescent="0.2">
      <c r="B3" t="s">
        <v>395</v>
      </c>
      <c r="C3" t="s">
        <v>421</v>
      </c>
      <c r="D3" t="s">
        <v>413</v>
      </c>
      <c r="E3" t="s">
        <v>397</v>
      </c>
      <c r="F3" t="s">
        <v>399</v>
      </c>
      <c r="G3" t="s">
        <v>428</v>
      </c>
      <c r="H3" t="s">
        <v>422</v>
      </c>
      <c r="I3" t="s">
        <v>420</v>
      </c>
      <c r="J3" t="s">
        <v>416</v>
      </c>
      <c r="K3" t="s">
        <v>431</v>
      </c>
      <c r="L3" t="s">
        <v>461</v>
      </c>
      <c r="M3" t="s">
        <v>461</v>
      </c>
      <c r="N3" t="s">
        <v>461</v>
      </c>
      <c r="O3" t="s">
        <v>461</v>
      </c>
      <c r="P3" t="s">
        <v>461</v>
      </c>
      <c r="Q3" t="s">
        <v>461</v>
      </c>
      <c r="S3" s="14" t="s">
        <v>421</v>
      </c>
      <c r="T3" s="14" t="s">
        <v>413</v>
      </c>
      <c r="U3" s="14" t="s">
        <v>397</v>
      </c>
      <c r="V3" s="14" t="s">
        <v>399</v>
      </c>
      <c r="W3" s="14" t="s">
        <v>428</v>
      </c>
      <c r="X3" s="14" t="s">
        <v>422</v>
      </c>
      <c r="Y3" s="14" t="s">
        <v>420</v>
      </c>
      <c r="Z3" s="14" t="s">
        <v>416</v>
      </c>
      <c r="AA3" s="14" t="s">
        <v>431</v>
      </c>
      <c r="AB3" s="14"/>
      <c r="AC3" s="14"/>
      <c r="AD3" s="14"/>
      <c r="AE3" s="14"/>
      <c r="AF3" s="15"/>
      <c r="AG3" s="15"/>
    </row>
    <row r="4" spans="2:33" x14ac:dyDescent="0.2">
      <c r="B4" t="s">
        <v>400</v>
      </c>
      <c r="C4" t="s">
        <v>404</v>
      </c>
      <c r="D4" t="s">
        <v>402</v>
      </c>
      <c r="E4" t="s">
        <v>409</v>
      </c>
      <c r="F4" t="s">
        <v>432</v>
      </c>
      <c r="G4" t="s">
        <v>405</v>
      </c>
      <c r="H4" t="s">
        <v>411</v>
      </c>
      <c r="I4" t="s">
        <v>407</v>
      </c>
      <c r="J4" t="s">
        <v>410</v>
      </c>
      <c r="K4" t="s">
        <v>429</v>
      </c>
      <c r="L4" t="s">
        <v>401</v>
      </c>
      <c r="M4" t="s">
        <v>430</v>
      </c>
      <c r="N4" t="s">
        <v>406</v>
      </c>
      <c r="O4" t="s">
        <v>461</v>
      </c>
      <c r="P4" t="s">
        <v>461</v>
      </c>
      <c r="Q4" t="s">
        <v>461</v>
      </c>
      <c r="S4" s="14" t="s">
        <v>404</v>
      </c>
      <c r="T4" s="14" t="s">
        <v>402</v>
      </c>
      <c r="U4" s="14" t="s">
        <v>409</v>
      </c>
      <c r="V4" s="14" t="s">
        <v>432</v>
      </c>
      <c r="W4" s="14" t="s">
        <v>405</v>
      </c>
      <c r="X4" s="14" t="s">
        <v>411</v>
      </c>
      <c r="Y4" s="14" t="s">
        <v>407</v>
      </c>
      <c r="Z4" s="14" t="s">
        <v>410</v>
      </c>
      <c r="AA4" s="14" t="s">
        <v>429</v>
      </c>
      <c r="AB4" s="14" t="s">
        <v>401</v>
      </c>
      <c r="AC4" s="14" t="s">
        <v>430</v>
      </c>
      <c r="AD4" s="14" t="s">
        <v>406</v>
      </c>
      <c r="AE4" s="14"/>
      <c r="AF4" s="15"/>
      <c r="AG4" s="15"/>
    </row>
    <row r="5" spans="2:33" x14ac:dyDescent="0.2">
      <c r="B5" t="s">
        <v>379</v>
      </c>
      <c r="C5" t="s">
        <v>383</v>
      </c>
      <c r="D5" t="s">
        <v>433</v>
      </c>
      <c r="E5" t="s">
        <v>424</v>
      </c>
      <c r="F5" t="s">
        <v>426</v>
      </c>
      <c r="G5" t="s">
        <v>386</v>
      </c>
      <c r="H5" t="s">
        <v>381</v>
      </c>
      <c r="I5" t="s">
        <v>425</v>
      </c>
      <c r="J5" t="s">
        <v>384</v>
      </c>
      <c r="K5" t="s">
        <v>63</v>
      </c>
      <c r="L5" t="s">
        <v>392</v>
      </c>
      <c r="M5" t="s">
        <v>385</v>
      </c>
      <c r="N5" t="s">
        <v>382</v>
      </c>
      <c r="O5" t="s">
        <v>427</v>
      </c>
      <c r="P5" t="s">
        <v>388</v>
      </c>
      <c r="Q5" t="s">
        <v>389</v>
      </c>
      <c r="S5" s="14" t="s">
        <v>383</v>
      </c>
      <c r="T5" s="14" t="s">
        <v>433</v>
      </c>
      <c r="U5" s="14" t="s">
        <v>424</v>
      </c>
      <c r="V5" s="14" t="s">
        <v>426</v>
      </c>
      <c r="W5" s="14" t="s">
        <v>386</v>
      </c>
      <c r="X5" s="14" t="s">
        <v>381</v>
      </c>
      <c r="Y5" s="14" t="s">
        <v>425</v>
      </c>
      <c r="Z5" s="14" t="s">
        <v>384</v>
      </c>
      <c r="AA5" s="14" t="s">
        <v>63</v>
      </c>
      <c r="AB5" s="14" t="s">
        <v>392</v>
      </c>
      <c r="AC5" s="14" t="s">
        <v>385</v>
      </c>
      <c r="AD5" s="14" t="s">
        <v>382</v>
      </c>
      <c r="AE5" s="14" t="s">
        <v>427</v>
      </c>
      <c r="AF5" s="15" t="s">
        <v>388</v>
      </c>
      <c r="AG5" s="15" t="s">
        <v>389</v>
      </c>
    </row>
    <row r="6" spans="2:33" x14ac:dyDescent="0.2">
      <c r="B6" t="s">
        <v>414</v>
      </c>
      <c r="C6" t="s">
        <v>434</v>
      </c>
      <c r="D6" t="s">
        <v>436</v>
      </c>
      <c r="E6" t="s">
        <v>417</v>
      </c>
      <c r="F6" t="s">
        <v>438</v>
      </c>
      <c r="G6" t="s">
        <v>418</v>
      </c>
      <c r="H6" t="s">
        <v>423</v>
      </c>
      <c r="I6" t="s">
        <v>415</v>
      </c>
      <c r="J6" t="s">
        <v>419</v>
      </c>
      <c r="K6" t="s">
        <v>83</v>
      </c>
      <c r="L6" t="s">
        <v>461</v>
      </c>
      <c r="M6" t="s">
        <v>461</v>
      </c>
      <c r="N6" t="s">
        <v>461</v>
      </c>
      <c r="O6" t="s">
        <v>461</v>
      </c>
      <c r="P6" t="s">
        <v>461</v>
      </c>
      <c r="Q6" t="s">
        <v>461</v>
      </c>
      <c r="S6" s="14" t="s">
        <v>434</v>
      </c>
      <c r="T6" s="14" t="s">
        <v>436</v>
      </c>
      <c r="U6" s="14" t="s">
        <v>417</v>
      </c>
      <c r="V6" s="14" t="s">
        <v>438</v>
      </c>
      <c r="W6" s="14" t="s">
        <v>418</v>
      </c>
      <c r="X6" s="14" t="s">
        <v>423</v>
      </c>
      <c r="Y6" s="14" t="s">
        <v>415</v>
      </c>
      <c r="Z6" s="14" t="s">
        <v>419</v>
      </c>
      <c r="AA6" s="14" t="s">
        <v>83</v>
      </c>
      <c r="AB6" s="14"/>
      <c r="AC6" s="14"/>
      <c r="AD6" s="14"/>
      <c r="AE6" s="14"/>
      <c r="AF6" s="15"/>
      <c r="AG6" s="15"/>
    </row>
    <row r="7" spans="2:33" x14ac:dyDescent="0.2">
      <c r="B7" t="s">
        <v>390</v>
      </c>
      <c r="C7" t="s">
        <v>398</v>
      </c>
      <c r="D7" t="s">
        <v>435</v>
      </c>
      <c r="E7" t="s">
        <v>391</v>
      </c>
      <c r="F7" t="s">
        <v>403</v>
      </c>
      <c r="G7" t="s">
        <v>437</v>
      </c>
      <c r="H7" t="s">
        <v>393</v>
      </c>
      <c r="I7" t="s">
        <v>394</v>
      </c>
      <c r="J7" t="s">
        <v>461</v>
      </c>
      <c r="K7" t="s">
        <v>461</v>
      </c>
      <c r="L7" t="s">
        <v>461</v>
      </c>
      <c r="M7" t="s">
        <v>461</v>
      </c>
      <c r="N7" t="s">
        <v>461</v>
      </c>
      <c r="O7" t="s">
        <v>461</v>
      </c>
      <c r="P7" t="s">
        <v>461</v>
      </c>
      <c r="Q7" t="s">
        <v>461</v>
      </c>
      <c r="S7" s="14" t="s">
        <v>398</v>
      </c>
      <c r="T7" s="14" t="s">
        <v>435</v>
      </c>
      <c r="U7" s="14" t="s">
        <v>391</v>
      </c>
      <c r="V7" s="14" t="s">
        <v>403</v>
      </c>
      <c r="W7" s="14" t="s">
        <v>437</v>
      </c>
      <c r="X7" s="14" t="s">
        <v>393</v>
      </c>
      <c r="Y7" s="14" t="s">
        <v>394</v>
      </c>
      <c r="Z7" s="14"/>
      <c r="AA7" s="14"/>
      <c r="AB7" s="14"/>
      <c r="AC7" s="14"/>
      <c r="AD7" s="14"/>
      <c r="AE7" s="14"/>
      <c r="AF7" s="15"/>
      <c r="AG7" s="15"/>
    </row>
    <row r="8" spans="2:33" x14ac:dyDescent="0.2">
      <c r="B8" t="s">
        <v>8</v>
      </c>
      <c r="C8" t="s">
        <v>8</v>
      </c>
      <c r="D8" t="s">
        <v>461</v>
      </c>
      <c r="E8" t="s">
        <v>461</v>
      </c>
      <c r="F8" t="s">
        <v>461</v>
      </c>
      <c r="G8" t="s">
        <v>461</v>
      </c>
      <c r="H8" t="s">
        <v>461</v>
      </c>
      <c r="I8" t="s">
        <v>461</v>
      </c>
      <c r="J8" t="s">
        <v>461</v>
      </c>
      <c r="K8" t="s">
        <v>461</v>
      </c>
      <c r="L8" t="s">
        <v>461</v>
      </c>
      <c r="M8" t="s">
        <v>461</v>
      </c>
      <c r="N8" t="s">
        <v>461</v>
      </c>
      <c r="O8" t="s">
        <v>461</v>
      </c>
      <c r="P8" t="s">
        <v>461</v>
      </c>
      <c r="Q8" t="s">
        <v>461</v>
      </c>
      <c r="S8" s="16" t="s">
        <v>8</v>
      </c>
      <c r="T8" s="16"/>
      <c r="U8" s="16"/>
      <c r="V8" s="16"/>
      <c r="W8" s="16"/>
      <c r="X8" s="16"/>
      <c r="Y8" s="16"/>
      <c r="Z8" s="16"/>
      <c r="AA8" s="16"/>
      <c r="AB8" s="16"/>
      <c r="AC8" s="16"/>
      <c r="AD8" s="16"/>
      <c r="AE8" s="16"/>
      <c r="AF8" s="17"/>
      <c r="AG8" s="17"/>
    </row>
    <row r="10" spans="2:33" x14ac:dyDescent="0.2">
      <c r="B10" t="s">
        <v>446</v>
      </c>
      <c r="C10" t="s">
        <v>447</v>
      </c>
      <c r="D10" t="s">
        <v>448</v>
      </c>
      <c r="E10" t="s">
        <v>449</v>
      </c>
      <c r="F10" t="s">
        <v>450</v>
      </c>
      <c r="G10" t="s">
        <v>451</v>
      </c>
      <c r="H10" t="s">
        <v>452</v>
      </c>
      <c r="I10" t="s">
        <v>453</v>
      </c>
      <c r="J10" t="s">
        <v>454</v>
      </c>
      <c r="K10" t="s">
        <v>455</v>
      </c>
      <c r="L10" t="s">
        <v>456</v>
      </c>
      <c r="M10" t="s">
        <v>457</v>
      </c>
      <c r="N10" t="s">
        <v>458</v>
      </c>
      <c r="O10" t="s">
        <v>459</v>
      </c>
      <c r="P10" t="s">
        <v>460</v>
      </c>
      <c r="Q10" t="s">
        <v>462</v>
      </c>
      <c r="R10" t="s">
        <v>463</v>
      </c>
    </row>
    <row r="11" spans="2:33" x14ac:dyDescent="0.2">
      <c r="B11" t="s">
        <v>395</v>
      </c>
      <c r="C11" t="s">
        <v>654</v>
      </c>
      <c r="D11" t="s">
        <v>601</v>
      </c>
      <c r="E11" t="s">
        <v>648</v>
      </c>
      <c r="F11" t="s">
        <v>636</v>
      </c>
      <c r="G11" t="s">
        <v>572</v>
      </c>
      <c r="H11" t="s">
        <v>624</v>
      </c>
      <c r="I11" t="s">
        <v>626</v>
      </c>
      <c r="J11" t="s">
        <v>568</v>
      </c>
      <c r="K11" t="s">
        <v>605</v>
      </c>
      <c r="L11" t="s">
        <v>622</v>
      </c>
      <c r="M11" t="s">
        <v>461</v>
      </c>
      <c r="N11" t="s">
        <v>461</v>
      </c>
      <c r="O11" t="s">
        <v>461</v>
      </c>
      <c r="P11" t="s">
        <v>461</v>
      </c>
      <c r="Q11" t="s">
        <v>461</v>
      </c>
      <c r="R11" t="s">
        <v>461</v>
      </c>
    </row>
    <row r="12" spans="2:33" x14ac:dyDescent="0.2">
      <c r="B12" t="s">
        <v>400</v>
      </c>
      <c r="C12" t="s">
        <v>584</v>
      </c>
      <c r="D12" t="s">
        <v>576</v>
      </c>
      <c r="E12" t="s">
        <v>593</v>
      </c>
      <c r="F12" t="s">
        <v>586</v>
      </c>
      <c r="G12" t="s">
        <v>650</v>
      </c>
      <c r="H12" t="s">
        <v>578</v>
      </c>
      <c r="I12" t="s">
        <v>595</v>
      </c>
      <c r="J12" t="s">
        <v>588</v>
      </c>
      <c r="K12" t="s">
        <v>652</v>
      </c>
      <c r="L12" t="s">
        <v>591</v>
      </c>
      <c r="M12" t="s">
        <v>597</v>
      </c>
      <c r="N12" t="s">
        <v>656</v>
      </c>
      <c r="O12" t="s">
        <v>461</v>
      </c>
      <c r="P12" t="s">
        <v>461</v>
      </c>
      <c r="Q12" t="s">
        <v>461</v>
      </c>
      <c r="R12" t="s">
        <v>461</v>
      </c>
    </row>
    <row r="13" spans="2:33" x14ac:dyDescent="0.2">
      <c r="B13" t="s">
        <v>379</v>
      </c>
      <c r="C13" t="s">
        <v>550</v>
      </c>
      <c r="D13" t="s">
        <v>529</v>
      </c>
      <c r="E13" t="s">
        <v>537</v>
      </c>
      <c r="F13" t="s">
        <v>539</v>
      </c>
      <c r="G13" t="s">
        <v>554</v>
      </c>
      <c r="H13" t="s">
        <v>639</v>
      </c>
      <c r="I13" t="s">
        <v>535</v>
      </c>
      <c r="J13" t="s">
        <v>541</v>
      </c>
      <c r="K13" t="s">
        <v>543</v>
      </c>
      <c r="L13" t="s">
        <v>546</v>
      </c>
      <c r="M13" t="s">
        <v>531</v>
      </c>
      <c r="N13" t="s">
        <v>552</v>
      </c>
      <c r="O13" t="s">
        <v>644</v>
      </c>
      <c r="P13" t="s">
        <v>646</v>
      </c>
      <c r="Q13" t="s">
        <v>660</v>
      </c>
      <c r="R13" t="s">
        <v>560</v>
      </c>
    </row>
    <row r="14" spans="2:33" x14ac:dyDescent="0.2">
      <c r="B14" t="s">
        <v>414</v>
      </c>
      <c r="C14" t="s">
        <v>603</v>
      </c>
      <c r="D14" t="s">
        <v>662</v>
      </c>
      <c r="E14" t="s">
        <v>618</v>
      </c>
      <c r="F14" t="s">
        <v>658</v>
      </c>
      <c r="G14" t="s">
        <v>610</v>
      </c>
      <c r="H14" t="s">
        <v>632</v>
      </c>
      <c r="I14" t="s">
        <v>608</v>
      </c>
      <c r="J14" t="s">
        <v>612</v>
      </c>
      <c r="K14" t="s">
        <v>620</v>
      </c>
      <c r="L14" t="s">
        <v>628</v>
      </c>
      <c r="M14" t="s">
        <v>641</v>
      </c>
      <c r="N14" t="s">
        <v>614</v>
      </c>
      <c r="O14" t="s">
        <v>461</v>
      </c>
      <c r="P14" t="s">
        <v>461</v>
      </c>
      <c r="Q14" t="s">
        <v>461</v>
      </c>
      <c r="R14" t="s">
        <v>461</v>
      </c>
    </row>
    <row r="15" spans="2:33" x14ac:dyDescent="0.2">
      <c r="B15" t="s">
        <v>390</v>
      </c>
      <c r="C15" t="s">
        <v>556</v>
      </c>
      <c r="D15" t="s">
        <v>564</v>
      </c>
      <c r="E15" t="s">
        <v>580</v>
      </c>
      <c r="F15" t="s">
        <v>570</v>
      </c>
      <c r="G15" t="s">
        <v>566</v>
      </c>
      <c r="H15" t="s">
        <v>630</v>
      </c>
      <c r="I15" t="s">
        <v>558</v>
      </c>
      <c r="J15" t="s">
        <v>461</v>
      </c>
      <c r="K15" t="s">
        <v>461</v>
      </c>
      <c r="L15" t="s">
        <v>461</v>
      </c>
      <c r="M15" t="s">
        <v>461</v>
      </c>
      <c r="N15" t="s">
        <v>461</v>
      </c>
      <c r="O15" t="s">
        <v>461</v>
      </c>
      <c r="P15" t="s">
        <v>461</v>
      </c>
      <c r="Q15" t="s">
        <v>461</v>
      </c>
      <c r="R15" t="s">
        <v>461</v>
      </c>
    </row>
    <row r="16" spans="2:33" x14ac:dyDescent="0.2">
      <c r="B16" t="s">
        <v>8</v>
      </c>
      <c r="C16" t="s">
        <v>461</v>
      </c>
      <c r="D16" t="s">
        <v>461</v>
      </c>
      <c r="E16" t="s">
        <v>461</v>
      </c>
      <c r="F16" t="s">
        <v>461</v>
      </c>
      <c r="G16" t="s">
        <v>461</v>
      </c>
      <c r="H16" t="s">
        <v>461</v>
      </c>
      <c r="I16" t="s">
        <v>461</v>
      </c>
      <c r="J16" t="s">
        <v>461</v>
      </c>
      <c r="K16" t="s">
        <v>461</v>
      </c>
      <c r="L16" t="s">
        <v>461</v>
      </c>
      <c r="M16" t="s">
        <v>461</v>
      </c>
      <c r="N16" t="s">
        <v>461</v>
      </c>
      <c r="O16" t="s">
        <v>461</v>
      </c>
      <c r="P16" t="s">
        <v>461</v>
      </c>
      <c r="Q16" t="s">
        <v>461</v>
      </c>
      <c r="R16" t="s">
        <v>461</v>
      </c>
    </row>
    <row r="19" spans="2:4" x14ac:dyDescent="0.2">
      <c r="B19" t="s">
        <v>996</v>
      </c>
      <c r="C19" t="s">
        <v>997</v>
      </c>
      <c r="D19" t="s">
        <v>998</v>
      </c>
    </row>
    <row r="20" spans="2:4" x14ac:dyDescent="0.2">
      <c r="B20" s="152">
        <v>42196</v>
      </c>
      <c r="C20">
        <v>23933</v>
      </c>
      <c r="D20">
        <v>7</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2" width="15" style="24" customWidth="1"/>
    <col min="3" max="6" width="15.42578125" style="24" customWidth="1"/>
    <col min="7"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1"/>
      <c r="B1" s="132"/>
      <c r="C1" s="132"/>
      <c r="D1" s="132"/>
      <c r="E1" s="132"/>
      <c r="F1" s="132"/>
      <c r="G1" s="133"/>
      <c r="H1" s="134"/>
      <c r="I1" s="134"/>
      <c r="J1" s="134"/>
      <c r="K1" s="135"/>
    </row>
    <row r="2" spans="1:11" ht="39" customHeight="1" thickBot="1" x14ac:dyDescent="0.25">
      <c r="A2" s="131"/>
      <c r="B2" s="314" t="s">
        <v>1002</v>
      </c>
      <c r="C2" s="315"/>
      <c r="D2" s="315"/>
      <c r="E2" s="315"/>
      <c r="F2" s="315"/>
      <c r="G2" s="316"/>
      <c r="H2" s="136" t="s">
        <v>5</v>
      </c>
      <c r="I2" s="137" t="s">
        <v>2</v>
      </c>
      <c r="J2" s="137" t="s">
        <v>236</v>
      </c>
      <c r="K2" s="135"/>
    </row>
    <row r="3" spans="1:11" ht="59.25" customHeight="1" x14ac:dyDescent="0.2">
      <c r="A3" s="131"/>
      <c r="B3" s="317"/>
      <c r="C3" s="318"/>
      <c r="D3" s="318"/>
      <c r="E3" s="318"/>
      <c r="F3" s="318"/>
      <c r="G3" s="318"/>
      <c r="H3" s="310">
        <f>SUM(H5,H10)</f>
        <v>384092</v>
      </c>
      <c r="I3" s="310">
        <f>SUM(I5,I10)</f>
        <v>123897</v>
      </c>
      <c r="J3" s="312">
        <f>ROUND(I3/H3,5)</f>
        <v>0.32257000000000002</v>
      </c>
      <c r="K3" s="135"/>
    </row>
    <row r="4" spans="1:11" ht="33" customHeight="1" thickBot="1" x14ac:dyDescent="0.25">
      <c r="A4" s="131"/>
      <c r="B4" s="319" t="str">
        <f>"As of: "&amp;TEXT(INDEX(MMWR_DATES[],1,1),"MMMM DD, YYYY")</f>
        <v>As of: July 11, 2015</v>
      </c>
      <c r="C4" s="320"/>
      <c r="D4" s="320"/>
      <c r="E4" s="320"/>
      <c r="F4" s="320"/>
      <c r="G4" s="321"/>
      <c r="H4" s="311"/>
      <c r="I4" s="311"/>
      <c r="J4" s="313"/>
      <c r="K4" s="138"/>
    </row>
    <row r="5" spans="1:11" ht="16.5" customHeight="1" thickBot="1" x14ac:dyDescent="0.25">
      <c r="A5" s="131"/>
      <c r="B5" s="308" t="s">
        <v>241</v>
      </c>
      <c r="C5" s="309"/>
      <c r="D5" s="309"/>
      <c r="E5" s="309"/>
      <c r="F5" s="309"/>
      <c r="G5" s="139" t="s">
        <v>252</v>
      </c>
      <c r="H5" s="161">
        <f>SUM(H6:H9)</f>
        <v>147513</v>
      </c>
      <c r="I5" s="161">
        <f>SUM(I6:I9)</f>
        <v>53418</v>
      </c>
      <c r="J5" s="162">
        <f t="shared" ref="J5:J15" si="0">IF(H5=0, 0,I5/H5)</f>
        <v>0.36212401618840373</v>
      </c>
      <c r="K5" s="135"/>
    </row>
    <row r="6" spans="1:11" ht="16.5" customHeight="1" x14ac:dyDescent="0.2">
      <c r="A6" s="131"/>
      <c r="B6" s="282" t="s">
        <v>16</v>
      </c>
      <c r="C6" s="283"/>
      <c r="D6" s="283"/>
      <c r="E6" s="283"/>
      <c r="F6" s="283"/>
      <c r="G6" s="140" t="s">
        <v>198</v>
      </c>
      <c r="H6" s="163">
        <f>IFERROR(VLOOKUP(MID($G6,4,3),MMWR_TRAD_AGG_NATIONAL[],2,0),0)</f>
        <v>42393</v>
      </c>
      <c r="I6" s="163">
        <f>IFERROR(VLOOKUP(MID($G6,4,3),MMWR_TRAD_AGG_NATIONAL[],3,0),0)</f>
        <v>17127</v>
      </c>
      <c r="J6" s="164">
        <f t="shared" si="0"/>
        <v>0.40400537824640859</v>
      </c>
      <c r="K6" s="135"/>
    </row>
    <row r="7" spans="1:11" ht="16.5" customHeight="1" x14ac:dyDescent="0.2">
      <c r="A7" s="131"/>
      <c r="B7" s="284" t="s">
        <v>0</v>
      </c>
      <c r="C7" s="285"/>
      <c r="D7" s="285"/>
      <c r="E7" s="285"/>
      <c r="F7" s="285"/>
      <c r="G7" s="141" t="s">
        <v>199</v>
      </c>
      <c r="H7" s="163">
        <f>IFERROR(VLOOKUP(MID($G7,4,3),MMWR_TRAD_AGG_NATIONAL[],2,0),0)</f>
        <v>93591</v>
      </c>
      <c r="I7" s="163">
        <f>IFERROR(VLOOKUP(MID($G7,4,3),MMWR_TRAD_AGG_NATIONAL[],3,0),0)</f>
        <v>34999</v>
      </c>
      <c r="J7" s="164">
        <f t="shared" si="0"/>
        <v>0.37395689756493677</v>
      </c>
      <c r="K7" s="135"/>
    </row>
    <row r="8" spans="1:11" ht="16.5" customHeight="1" x14ac:dyDescent="0.2">
      <c r="A8" s="131"/>
      <c r="B8" s="286" t="s">
        <v>242</v>
      </c>
      <c r="C8" s="287"/>
      <c r="D8" s="287"/>
      <c r="E8" s="287"/>
      <c r="F8" s="287"/>
      <c r="G8" s="142" t="s">
        <v>201</v>
      </c>
      <c r="H8" s="163">
        <f>IFERROR(VLOOKUP(MID($G8,4,3),MMWR_TRAD_AGG_NATIONAL[],2,0),0)</f>
        <v>5151</v>
      </c>
      <c r="I8" s="163">
        <f>IFERROR(VLOOKUP(MID($G8,4,3),MMWR_TRAD_AGG_NATIONAL[],3,0),0)</f>
        <v>288</v>
      </c>
      <c r="J8" s="164">
        <f t="shared" si="0"/>
        <v>5.5911473500291207E-2</v>
      </c>
      <c r="K8" s="135"/>
    </row>
    <row r="9" spans="1:11" ht="16.5" customHeight="1" thickBot="1" x14ac:dyDescent="0.25">
      <c r="A9" s="131"/>
      <c r="B9" s="291" t="s">
        <v>17</v>
      </c>
      <c r="C9" s="292"/>
      <c r="D9" s="292"/>
      <c r="E9" s="292"/>
      <c r="F9" s="292"/>
      <c r="G9" s="141" t="s">
        <v>203</v>
      </c>
      <c r="H9" s="163">
        <f>IFERROR(VLOOKUP(MID($G9,4,3),MMWR_TRAD_AGG_NATIONAL[],2,0),0)</f>
        <v>6378</v>
      </c>
      <c r="I9" s="163">
        <f>IFERROR(VLOOKUP(MID($G9,4,3),MMWR_TRAD_AGG_NATIONAL[],3,0),0)</f>
        <v>1004</v>
      </c>
      <c r="J9" s="164">
        <f t="shared" si="0"/>
        <v>0.15741611790529947</v>
      </c>
      <c r="K9" s="135"/>
    </row>
    <row r="10" spans="1:11" ht="17.25" thickBot="1" x14ac:dyDescent="0.25">
      <c r="A10" s="131"/>
      <c r="B10" s="308" t="s">
        <v>1</v>
      </c>
      <c r="C10" s="309"/>
      <c r="D10" s="309"/>
      <c r="E10" s="309"/>
      <c r="F10" s="309"/>
      <c r="G10" s="139" t="s">
        <v>252</v>
      </c>
      <c r="H10" s="161">
        <f>SUM(H11:H18)</f>
        <v>236579</v>
      </c>
      <c r="I10" s="161">
        <f>SUM(I11:I18)</f>
        <v>70479</v>
      </c>
      <c r="J10" s="162">
        <f t="shared" si="0"/>
        <v>0.29790894373549637</v>
      </c>
      <c r="K10" s="135"/>
    </row>
    <row r="11" spans="1:11" ht="16.5" customHeight="1" x14ac:dyDescent="0.2">
      <c r="A11" s="131"/>
      <c r="B11" s="282" t="s">
        <v>207</v>
      </c>
      <c r="C11" s="283"/>
      <c r="D11" s="283"/>
      <c r="E11" s="283"/>
      <c r="F11" s="283"/>
      <c r="G11" s="143" t="s">
        <v>202</v>
      </c>
      <c r="H11" s="165">
        <f>IFERROR(VLOOKUP(MID($G11,4,3),MMWR_TRAD_AGG_NATIONAL[],2,0),0)</f>
        <v>5712</v>
      </c>
      <c r="I11" s="163">
        <f>IFERROR(VLOOKUP(MID($G11,4,3),MMWR_TRAD_AGG_NATIONAL[],3,0),0)</f>
        <v>272</v>
      </c>
      <c r="J11" s="164">
        <f t="shared" si="0"/>
        <v>4.7619047619047616E-2</v>
      </c>
      <c r="K11" s="135"/>
    </row>
    <row r="12" spans="1:11" ht="16.5" customHeight="1" x14ac:dyDescent="0.2">
      <c r="A12" s="131"/>
      <c r="B12" s="284" t="s">
        <v>18</v>
      </c>
      <c r="C12" s="285"/>
      <c r="D12" s="285"/>
      <c r="E12" s="285"/>
      <c r="F12" s="285"/>
      <c r="G12" s="144" t="s">
        <v>200</v>
      </c>
      <c r="H12" s="166">
        <f>IFERROR(VLOOKUP(MID($G12,4,3),MMWR_TRAD_AGG_NATIONAL[],2,0),0)</f>
        <v>213748</v>
      </c>
      <c r="I12" s="163">
        <f>IFERROR(VLOOKUP(MID($G12,4,3),MMWR_TRAD_AGG_NATIONAL[],3,0),0)</f>
        <v>66975</v>
      </c>
      <c r="J12" s="164">
        <f t="shared" si="0"/>
        <v>0.31333626513464452</v>
      </c>
      <c r="K12" s="135"/>
    </row>
    <row r="13" spans="1:11" ht="16.5" customHeight="1" x14ac:dyDescent="0.2">
      <c r="A13" s="131"/>
      <c r="B13" s="284" t="s">
        <v>14</v>
      </c>
      <c r="C13" s="285"/>
      <c r="D13" s="285"/>
      <c r="E13" s="285"/>
      <c r="F13" s="285"/>
      <c r="G13" s="144" t="s">
        <v>204</v>
      </c>
      <c r="H13" s="166">
        <f>IFERROR(VLOOKUP(MID($G13,4,3),MMWR_TRAD_AGG_NATIONAL[],2,0),0)</f>
        <v>16812</v>
      </c>
      <c r="I13" s="163">
        <f>IFERROR(VLOOKUP(MID($G13,4,3),MMWR_TRAD_AGG_NATIONAL[],3,0),0)</f>
        <v>3194</v>
      </c>
      <c r="J13" s="164">
        <f t="shared" si="0"/>
        <v>0.18998334522959789</v>
      </c>
      <c r="K13" s="135"/>
    </row>
    <row r="14" spans="1:11" ht="16.5" customHeight="1" x14ac:dyDescent="0.2">
      <c r="A14" s="131"/>
      <c r="B14" s="286" t="s">
        <v>19</v>
      </c>
      <c r="C14" s="287"/>
      <c r="D14" s="287"/>
      <c r="E14" s="287"/>
      <c r="F14" s="287"/>
      <c r="G14" s="143" t="s">
        <v>205</v>
      </c>
      <c r="H14" s="166">
        <f>IFERROR(VLOOKUP(MID($G14,4,3),MMWR_TRAD_AGG_NATIONAL[],2,0),0)</f>
        <v>251</v>
      </c>
      <c r="I14" s="163">
        <f>IFERROR(VLOOKUP(MID($G14,4,3),MMWR_TRAD_AGG_NATIONAL[],3,0),0)</f>
        <v>28</v>
      </c>
      <c r="J14" s="164">
        <f t="shared" si="0"/>
        <v>0.11155378486055777</v>
      </c>
      <c r="K14" s="135"/>
    </row>
    <row r="15" spans="1:11" ht="16.5" customHeight="1" x14ac:dyDescent="0.2">
      <c r="A15" s="131"/>
      <c r="B15" s="286" t="s">
        <v>87</v>
      </c>
      <c r="C15" s="287"/>
      <c r="D15" s="287"/>
      <c r="E15" s="287"/>
      <c r="F15" s="287"/>
      <c r="G15" s="143" t="s">
        <v>208</v>
      </c>
      <c r="H15" s="166">
        <f>IFERROR(VLOOKUP(MID($G15,4,3),MMWR_TRAD_AGG_NATIONAL[],2,0),0)</f>
        <v>20</v>
      </c>
      <c r="I15" s="163">
        <f>IFERROR(VLOOKUP(MID($G15,4,3),MMWR_TRAD_AGG_NATIONAL[],3,0),0)</f>
        <v>8</v>
      </c>
      <c r="J15" s="164">
        <f t="shared" si="0"/>
        <v>0.4</v>
      </c>
      <c r="K15" s="135"/>
    </row>
    <row r="16" spans="1:11" ht="15" x14ac:dyDescent="0.2">
      <c r="A16" s="131"/>
      <c r="B16" s="286" t="s">
        <v>88</v>
      </c>
      <c r="C16" s="287"/>
      <c r="D16" s="287"/>
      <c r="E16" s="287"/>
      <c r="F16" s="287"/>
      <c r="G16" s="143" t="s">
        <v>209</v>
      </c>
      <c r="H16" s="166">
        <f>IFERROR(VLOOKUP(MID($G16,4,3),MMWR_TRAD_AGG_NATIONAL[],2,0),0)</f>
        <v>2</v>
      </c>
      <c r="I16" s="163">
        <f>IFERROR(VLOOKUP(MID($G16,4,3),MMWR_TRAD_AGG_NATIONAL[],3,0),0)</f>
        <v>2</v>
      </c>
      <c r="J16" s="164">
        <f>IF(H16=0, 0,I16/H16)</f>
        <v>1</v>
      </c>
      <c r="K16" s="135"/>
    </row>
    <row r="17" spans="1:11" ht="16.5" customHeight="1" x14ac:dyDescent="0.2">
      <c r="A17" s="131"/>
      <c r="B17" s="286" t="s">
        <v>90</v>
      </c>
      <c r="C17" s="287"/>
      <c r="D17" s="287"/>
      <c r="E17" s="287"/>
      <c r="F17" s="287"/>
      <c r="G17" s="143" t="s">
        <v>210</v>
      </c>
      <c r="H17" s="166">
        <f>IFERROR(VLOOKUP(MID($G17,4,3),MMWR_TRAD_AGG_NATIONAL[],2,0),0)</f>
        <v>29</v>
      </c>
      <c r="I17" s="163">
        <f>IFERROR(VLOOKUP(MID($G17,4,3),MMWR_TRAD_AGG_NATIONAL[],3,0),0)</f>
        <v>0</v>
      </c>
      <c r="J17" s="164">
        <f>IF(H17=0, 0,I17/H17)</f>
        <v>0</v>
      </c>
      <c r="K17" s="135"/>
    </row>
    <row r="18" spans="1:11" ht="16.5" customHeight="1" thickBot="1" x14ac:dyDescent="0.25">
      <c r="A18" s="131"/>
      <c r="B18" s="291" t="s">
        <v>89</v>
      </c>
      <c r="C18" s="292"/>
      <c r="D18" s="292"/>
      <c r="E18" s="292"/>
      <c r="F18" s="292"/>
      <c r="G18" s="143" t="s">
        <v>211</v>
      </c>
      <c r="H18" s="167">
        <f>IFERROR(VLOOKUP(MID($G18,4,3),MMWR_TRAD_AGG_NATIONAL[],2,0),0)</f>
        <v>5</v>
      </c>
      <c r="I18" s="163">
        <f>IFERROR(VLOOKUP(MID($G18,4,3),MMWR_TRAD_AGG_NATIONAL[],3,0),0)</f>
        <v>0</v>
      </c>
      <c r="J18" s="168">
        <f>IF(H18=0, 0,I18/H18)</f>
        <v>0</v>
      </c>
      <c r="K18" s="135"/>
    </row>
    <row r="19" spans="1:11" ht="16.5" customHeight="1" x14ac:dyDescent="0.2">
      <c r="A19" s="131"/>
      <c r="B19" s="296" t="s">
        <v>992</v>
      </c>
      <c r="C19" s="297"/>
      <c r="D19" s="297"/>
      <c r="E19" s="297"/>
      <c r="F19" s="297"/>
      <c r="G19" s="297"/>
      <c r="H19" s="297"/>
      <c r="I19" s="297"/>
      <c r="J19" s="298"/>
      <c r="K19" s="135"/>
    </row>
    <row r="20" spans="1:11" ht="36" customHeight="1" thickBot="1" x14ac:dyDescent="0.25">
      <c r="A20" s="131"/>
      <c r="B20" s="299"/>
      <c r="C20" s="300"/>
      <c r="D20" s="300"/>
      <c r="E20" s="300"/>
      <c r="F20" s="300"/>
      <c r="G20" s="300"/>
      <c r="H20" s="300"/>
      <c r="I20" s="300"/>
      <c r="J20" s="301"/>
      <c r="K20" s="135"/>
    </row>
    <row r="21" spans="1:11" ht="36" customHeight="1" x14ac:dyDescent="0.2">
      <c r="A21" s="131"/>
      <c r="B21" s="302" t="s">
        <v>983</v>
      </c>
      <c r="C21" s="303"/>
      <c r="D21" s="304"/>
      <c r="E21" s="302" t="s">
        <v>984</v>
      </c>
      <c r="F21" s="303"/>
      <c r="G21" s="304"/>
      <c r="H21" s="302" t="s">
        <v>985</v>
      </c>
      <c r="I21" s="303"/>
      <c r="J21" s="304"/>
      <c r="K21" s="135"/>
    </row>
    <row r="22" spans="1:11" ht="29.25" customHeight="1" thickBot="1" x14ac:dyDescent="0.25">
      <c r="A22" s="131"/>
      <c r="B22" s="305"/>
      <c r="C22" s="306"/>
      <c r="D22" s="307"/>
      <c r="E22" s="305"/>
      <c r="F22" s="306"/>
      <c r="G22" s="307"/>
      <c r="H22" s="305"/>
      <c r="I22" s="306"/>
      <c r="J22" s="307"/>
      <c r="K22" s="135"/>
    </row>
    <row r="23" spans="1:11" ht="36" customHeight="1" x14ac:dyDescent="0.35">
      <c r="A23" s="131"/>
      <c r="B23" s="302" t="s">
        <v>976</v>
      </c>
      <c r="C23" s="303"/>
      <c r="D23" s="304"/>
      <c r="E23" s="302" t="s">
        <v>977</v>
      </c>
      <c r="F23" s="303"/>
      <c r="G23" s="304"/>
      <c r="H23" s="145"/>
      <c r="I23" s="145"/>
      <c r="J23" s="145"/>
      <c r="K23" s="135"/>
    </row>
    <row r="24" spans="1:11" ht="29.25" customHeight="1" thickBot="1" x14ac:dyDescent="0.4">
      <c r="A24" s="131"/>
      <c r="B24" s="305"/>
      <c r="C24" s="306"/>
      <c r="D24" s="307"/>
      <c r="E24" s="305"/>
      <c r="F24" s="306"/>
      <c r="G24" s="307"/>
      <c r="H24" s="145"/>
      <c r="I24" s="145"/>
      <c r="J24" s="145"/>
      <c r="K24" s="135"/>
    </row>
    <row r="25" spans="1:11" ht="29.25" customHeight="1" thickBot="1" x14ac:dyDescent="0.25">
      <c r="A25" s="131"/>
      <c r="B25" s="146"/>
      <c r="C25" s="147"/>
      <c r="D25" s="147"/>
      <c r="E25" s="147"/>
      <c r="F25" s="147"/>
      <c r="G25" s="147"/>
      <c r="H25" s="147"/>
      <c r="I25" s="147"/>
      <c r="J25" s="147"/>
      <c r="K25" s="148"/>
    </row>
    <row r="26" spans="1:11" ht="38.25" customHeight="1" x14ac:dyDescent="0.2">
      <c r="A26" s="131"/>
      <c r="B26" s="149" t="s">
        <v>23</v>
      </c>
      <c r="C26" s="322" t="s">
        <v>1066</v>
      </c>
      <c r="D26" s="322"/>
      <c r="E26" s="322"/>
      <c r="F26" s="323"/>
      <c r="G26" s="445" t="s">
        <v>28</v>
      </c>
      <c r="H26" s="445" t="s">
        <v>29</v>
      </c>
      <c r="I26" s="445" t="s">
        <v>30</v>
      </c>
      <c r="J26" s="446" t="s">
        <v>31</v>
      </c>
      <c r="K26" s="135"/>
    </row>
    <row r="27" spans="1:11" ht="16.5" customHeight="1" x14ac:dyDescent="0.2">
      <c r="A27" s="131"/>
      <c r="B27" s="293" t="s">
        <v>986</v>
      </c>
      <c r="C27" s="294"/>
      <c r="D27" s="294"/>
      <c r="E27" s="294"/>
      <c r="F27" s="295"/>
      <c r="G27" s="259">
        <v>12500</v>
      </c>
      <c r="H27" s="259">
        <v>12090</v>
      </c>
      <c r="I27" s="259">
        <v>410</v>
      </c>
      <c r="J27" s="260">
        <v>3.4000000000000002E-2</v>
      </c>
      <c r="K27" s="135"/>
    </row>
    <row r="28" spans="1:11" ht="15" x14ac:dyDescent="0.2">
      <c r="A28" s="131"/>
      <c r="B28" s="447" t="s">
        <v>24</v>
      </c>
      <c r="C28" s="448"/>
      <c r="D28" s="448"/>
      <c r="E28" s="448"/>
      <c r="F28" s="449"/>
      <c r="G28" s="261">
        <v>1351</v>
      </c>
      <c r="H28" s="261">
        <v>1429</v>
      </c>
      <c r="I28" s="261">
        <v>-78</v>
      </c>
      <c r="J28" s="256">
        <v>-5.5E-2</v>
      </c>
      <c r="K28" s="135"/>
    </row>
    <row r="29" spans="1:11" ht="15" x14ac:dyDescent="0.2">
      <c r="A29" s="131"/>
      <c r="B29" s="450" t="s">
        <v>25</v>
      </c>
      <c r="C29" s="451"/>
      <c r="D29" s="451"/>
      <c r="E29" s="451"/>
      <c r="F29" s="452"/>
      <c r="G29" s="262">
        <v>1009</v>
      </c>
      <c r="H29" s="262">
        <v>1000</v>
      </c>
      <c r="I29" s="262">
        <v>9</v>
      </c>
      <c r="J29" s="257">
        <v>8.9999999999999993E-3</v>
      </c>
      <c r="K29" s="135"/>
    </row>
    <row r="30" spans="1:11" ht="15" x14ac:dyDescent="0.2">
      <c r="A30" s="131"/>
      <c r="B30" s="453" t="s">
        <v>26</v>
      </c>
      <c r="C30" s="454"/>
      <c r="D30" s="454"/>
      <c r="E30" s="454"/>
      <c r="F30" s="455"/>
      <c r="G30" s="262">
        <v>1966</v>
      </c>
      <c r="H30" s="262">
        <v>1801</v>
      </c>
      <c r="I30" s="262">
        <v>165</v>
      </c>
      <c r="J30" s="257">
        <v>9.1999999999999998E-2</v>
      </c>
      <c r="K30" s="135"/>
    </row>
    <row r="31" spans="1:11" ht="15" x14ac:dyDescent="0.2">
      <c r="A31" s="131"/>
      <c r="B31" s="456" t="s">
        <v>27</v>
      </c>
      <c r="C31" s="457"/>
      <c r="D31" s="457"/>
      <c r="E31" s="457"/>
      <c r="F31" s="458"/>
      <c r="G31" s="263">
        <v>8174</v>
      </c>
      <c r="H31" s="263">
        <v>7860</v>
      </c>
      <c r="I31" s="263">
        <v>314</v>
      </c>
      <c r="J31" s="258">
        <v>0.04</v>
      </c>
      <c r="K31" s="135"/>
    </row>
    <row r="32" spans="1:11" ht="16.5" customHeight="1" x14ac:dyDescent="0.2">
      <c r="A32" s="131"/>
      <c r="B32" s="293" t="s">
        <v>243</v>
      </c>
      <c r="C32" s="294"/>
      <c r="D32" s="294"/>
      <c r="E32" s="294"/>
      <c r="F32" s="295"/>
      <c r="G32" s="259">
        <v>92559</v>
      </c>
      <c r="H32" s="259">
        <v>78137</v>
      </c>
      <c r="I32" s="259">
        <v>14422</v>
      </c>
      <c r="J32" s="260">
        <v>0.185</v>
      </c>
      <c r="K32" s="135"/>
    </row>
    <row r="33" spans="1:11" ht="15" x14ac:dyDescent="0.2">
      <c r="A33" s="131"/>
      <c r="B33" s="447" t="s">
        <v>24</v>
      </c>
      <c r="C33" s="448"/>
      <c r="D33" s="448"/>
      <c r="E33" s="448"/>
      <c r="F33" s="449"/>
      <c r="G33" s="261">
        <v>7574</v>
      </c>
      <c r="H33" s="261">
        <v>5277</v>
      </c>
      <c r="I33" s="261">
        <v>2297</v>
      </c>
      <c r="J33" s="256">
        <v>0.435</v>
      </c>
      <c r="K33" s="135"/>
    </row>
    <row r="34" spans="1:11" ht="15" x14ac:dyDescent="0.2">
      <c r="A34" s="131"/>
      <c r="B34" s="450" t="s">
        <v>25</v>
      </c>
      <c r="C34" s="451"/>
      <c r="D34" s="451"/>
      <c r="E34" s="451"/>
      <c r="F34" s="452"/>
      <c r="G34" s="262">
        <v>5783</v>
      </c>
      <c r="H34" s="262">
        <v>5824</v>
      </c>
      <c r="I34" s="262">
        <v>-41</v>
      </c>
      <c r="J34" s="257">
        <v>-7.0000000000000001E-3</v>
      </c>
      <c r="K34" s="135"/>
    </row>
    <row r="35" spans="1:11" ht="15" x14ac:dyDescent="0.2">
      <c r="A35" s="131"/>
      <c r="B35" s="453" t="s">
        <v>26</v>
      </c>
      <c r="C35" s="454"/>
      <c r="D35" s="454"/>
      <c r="E35" s="454"/>
      <c r="F35" s="455"/>
      <c r="G35" s="262">
        <v>22532</v>
      </c>
      <c r="H35" s="262">
        <v>17822</v>
      </c>
      <c r="I35" s="262">
        <v>4710</v>
      </c>
      <c r="J35" s="257">
        <v>0.26400000000000001</v>
      </c>
      <c r="K35" s="135"/>
    </row>
    <row r="36" spans="1:11" ht="15.75" thickBot="1" x14ac:dyDescent="0.25">
      <c r="A36" s="131"/>
      <c r="B36" s="459" t="s">
        <v>27</v>
      </c>
      <c r="C36" s="460"/>
      <c r="D36" s="460"/>
      <c r="E36" s="460"/>
      <c r="F36" s="461"/>
      <c r="G36" s="262">
        <v>56670</v>
      </c>
      <c r="H36" s="262">
        <v>49214</v>
      </c>
      <c r="I36" s="262">
        <v>7456</v>
      </c>
      <c r="J36" s="257">
        <v>0.152</v>
      </c>
      <c r="K36" s="135"/>
    </row>
    <row r="37" spans="1:11" ht="15.75" customHeight="1" thickBot="1" x14ac:dyDescent="0.25">
      <c r="A37" s="131"/>
      <c r="B37" s="288" t="s">
        <v>991</v>
      </c>
      <c r="C37" s="289"/>
      <c r="D37" s="289"/>
      <c r="E37" s="289"/>
      <c r="F37" s="289"/>
      <c r="G37" s="289"/>
      <c r="H37" s="289"/>
      <c r="I37" s="289"/>
      <c r="J37" s="290"/>
      <c r="K37" s="135"/>
    </row>
    <row r="38" spans="1:11" ht="15" customHeight="1" x14ac:dyDescent="0.2">
      <c r="A38" s="150"/>
      <c r="B38" s="151"/>
      <c r="C38" s="151"/>
      <c r="D38" s="151"/>
      <c r="E38" s="151"/>
      <c r="F38" s="151"/>
      <c r="G38" s="151"/>
      <c r="H38" s="151"/>
      <c r="I38" s="151"/>
      <c r="J38" s="151"/>
      <c r="K38" s="148"/>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A320" sheet="1" objects="1" scenarios="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7" priority="26" stopIfTrue="1">
      <formula>ISERROR(J6)</formula>
    </cfRule>
  </conditionalFormatting>
  <conditionalFormatting sqref="J8">
    <cfRule type="expression" dxfId="436"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2"/>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37" t="s">
        <v>304</v>
      </c>
      <c r="D2" s="338"/>
      <c r="E2" s="338"/>
      <c r="F2" s="338"/>
      <c r="G2" s="338"/>
      <c r="H2" s="338"/>
      <c r="I2" s="338"/>
      <c r="J2" s="338"/>
      <c r="K2" s="339"/>
      <c r="L2" s="337" t="s">
        <v>309</v>
      </c>
      <c r="M2" s="338"/>
      <c r="N2" s="338"/>
      <c r="O2" s="339"/>
      <c r="P2" s="28"/>
    </row>
    <row r="3" spans="1:16" ht="24" customHeight="1" thickBot="1" x14ac:dyDescent="0.4">
      <c r="A3" s="25"/>
      <c r="B3" s="29"/>
      <c r="C3" s="340"/>
      <c r="D3" s="341"/>
      <c r="E3" s="341"/>
      <c r="F3" s="341"/>
      <c r="G3" s="341"/>
      <c r="H3" s="341"/>
      <c r="I3" s="341"/>
      <c r="J3" s="341"/>
      <c r="K3" s="342"/>
      <c r="L3" s="340" t="str">
        <f>Transformation!B4</f>
        <v>As of: July 11, 2015</v>
      </c>
      <c r="M3" s="341"/>
      <c r="N3" s="341"/>
      <c r="O3" s="342"/>
      <c r="P3" s="28"/>
    </row>
    <row r="4" spans="1:16" ht="51.75" customHeight="1" thickBot="1" x14ac:dyDescent="0.35">
      <c r="A4" s="30"/>
      <c r="B4" s="249" t="s">
        <v>465</v>
      </c>
      <c r="C4" s="343" t="s">
        <v>313</v>
      </c>
      <c r="D4" s="344"/>
      <c r="E4" s="344"/>
      <c r="F4" s="344"/>
      <c r="G4" s="344"/>
      <c r="H4" s="344"/>
      <c r="I4" s="344"/>
      <c r="J4" s="344"/>
      <c r="K4" s="344"/>
      <c r="L4" s="344"/>
      <c r="M4" s="344"/>
      <c r="N4" s="344"/>
      <c r="O4" s="345"/>
      <c r="P4" s="28"/>
    </row>
    <row r="5" spans="1:16" ht="27" customHeight="1" thickBot="1" x14ac:dyDescent="0.25">
      <c r="A5" s="30"/>
      <c r="B5" s="26"/>
      <c r="C5" s="346" t="s">
        <v>1065</v>
      </c>
      <c r="D5" s="347"/>
      <c r="E5" s="347"/>
      <c r="F5" s="347"/>
      <c r="G5" s="347"/>
      <c r="H5" s="347"/>
      <c r="I5" s="347"/>
      <c r="J5" s="347"/>
      <c r="K5" s="347"/>
      <c r="L5" s="347"/>
      <c r="M5" s="347"/>
      <c r="N5" s="347"/>
      <c r="O5" s="348"/>
      <c r="P5" s="28"/>
    </row>
    <row r="6" spans="1:16" ht="55.5" customHeight="1" x14ac:dyDescent="0.2">
      <c r="A6" s="30"/>
      <c r="B6" s="31"/>
      <c r="C6" s="32" t="s">
        <v>198</v>
      </c>
      <c r="D6" s="349" t="s">
        <v>16</v>
      </c>
      <c r="E6" s="350"/>
      <c r="F6" s="33" t="s">
        <v>201</v>
      </c>
      <c r="G6" s="349" t="s">
        <v>206</v>
      </c>
      <c r="H6" s="351"/>
      <c r="I6" s="33" t="s">
        <v>204</v>
      </c>
      <c r="J6" s="355" t="s">
        <v>14</v>
      </c>
      <c r="K6" s="356"/>
      <c r="L6" s="33" t="s">
        <v>209</v>
      </c>
      <c r="M6" s="352" t="s">
        <v>88</v>
      </c>
      <c r="N6" s="353"/>
      <c r="O6" s="354"/>
      <c r="P6" s="28"/>
    </row>
    <row r="7" spans="1:16" ht="51.75" customHeight="1" x14ac:dyDescent="0.2">
      <c r="A7" s="30"/>
      <c r="B7" s="34"/>
      <c r="C7" s="35" t="s">
        <v>199</v>
      </c>
      <c r="D7" s="359" t="s">
        <v>0</v>
      </c>
      <c r="E7" s="360"/>
      <c r="F7" s="36" t="s">
        <v>202</v>
      </c>
      <c r="G7" s="361" t="s">
        <v>207</v>
      </c>
      <c r="H7" s="361"/>
      <c r="I7" s="36" t="s">
        <v>205</v>
      </c>
      <c r="J7" s="324" t="s">
        <v>19</v>
      </c>
      <c r="K7" s="325"/>
      <c r="L7" s="36" t="s">
        <v>210</v>
      </c>
      <c r="M7" s="334" t="s">
        <v>90</v>
      </c>
      <c r="N7" s="335"/>
      <c r="O7" s="336"/>
      <c r="P7" s="28"/>
    </row>
    <row r="8" spans="1:16" ht="51.75" customHeight="1" thickBot="1" x14ac:dyDescent="0.25">
      <c r="A8" s="25"/>
      <c r="B8" s="28"/>
      <c r="C8" s="37" t="s">
        <v>200</v>
      </c>
      <c r="D8" s="362" t="s">
        <v>18</v>
      </c>
      <c r="E8" s="363"/>
      <c r="F8" s="38" t="s">
        <v>203</v>
      </c>
      <c r="G8" s="364" t="s">
        <v>17</v>
      </c>
      <c r="H8" s="364"/>
      <c r="I8" s="38" t="s">
        <v>208</v>
      </c>
      <c r="J8" s="326" t="s">
        <v>87</v>
      </c>
      <c r="K8" s="327"/>
      <c r="L8" s="38" t="s">
        <v>211</v>
      </c>
      <c r="M8" s="366" t="s">
        <v>89</v>
      </c>
      <c r="N8" s="367"/>
      <c r="O8" s="368"/>
      <c r="P8" s="28"/>
    </row>
    <row r="9" spans="1:16" x14ac:dyDescent="0.2">
      <c r="A9" s="28"/>
      <c r="B9" s="28"/>
      <c r="C9" s="39" t="s">
        <v>721</v>
      </c>
      <c r="D9" s="39" t="s">
        <v>723</v>
      </c>
      <c r="E9" s="39" t="s">
        <v>722</v>
      </c>
      <c r="F9" s="39" t="s">
        <v>725</v>
      </c>
      <c r="G9" s="39" t="s">
        <v>724</v>
      </c>
      <c r="H9" s="39" t="s">
        <v>727</v>
      </c>
      <c r="I9" s="39" t="s">
        <v>726</v>
      </c>
      <c r="J9" s="39" t="s">
        <v>937</v>
      </c>
      <c r="K9" s="39" t="s">
        <v>938</v>
      </c>
      <c r="L9" s="39" t="s">
        <v>940</v>
      </c>
      <c r="M9" s="39" t="s">
        <v>941</v>
      </c>
      <c r="N9" s="39" t="s">
        <v>942</v>
      </c>
      <c r="O9" s="39" t="s">
        <v>943</v>
      </c>
      <c r="P9" s="28"/>
    </row>
    <row r="10" spans="1:16" ht="15.75" customHeight="1" x14ac:dyDescent="0.2">
      <c r="A10" s="25"/>
      <c r="B10" s="26"/>
      <c r="C10" s="365" t="s">
        <v>302</v>
      </c>
      <c r="D10" s="365"/>
      <c r="E10" s="365"/>
      <c r="F10" s="365"/>
      <c r="G10" s="365"/>
      <c r="H10" s="365"/>
      <c r="I10" s="365"/>
      <c r="J10" s="365"/>
      <c r="K10" s="365"/>
      <c r="L10" s="365"/>
      <c r="M10" s="365"/>
      <c r="N10" s="365"/>
      <c r="O10" s="365"/>
      <c r="P10" s="28"/>
    </row>
    <row r="11" spans="1:16" ht="32.25" customHeight="1" x14ac:dyDescent="0.2">
      <c r="A11" s="25"/>
      <c r="B11" s="26"/>
      <c r="C11" s="328" t="s">
        <v>234</v>
      </c>
      <c r="D11" s="328" t="s">
        <v>140</v>
      </c>
      <c r="E11" s="328" t="s">
        <v>235</v>
      </c>
      <c r="F11" s="328" t="s">
        <v>195</v>
      </c>
      <c r="G11" s="328" t="s">
        <v>212</v>
      </c>
      <c r="H11" s="328" t="s">
        <v>214</v>
      </c>
      <c r="I11" s="328" t="s">
        <v>215</v>
      </c>
      <c r="J11" s="332" t="s">
        <v>947</v>
      </c>
      <c r="K11" s="332" t="s">
        <v>948</v>
      </c>
      <c r="L11" s="330" t="s">
        <v>197</v>
      </c>
      <c r="M11" s="331"/>
      <c r="N11" s="330" t="s">
        <v>196</v>
      </c>
      <c r="O11" s="331"/>
      <c r="P11" s="28"/>
    </row>
    <row r="12" spans="1:16" ht="32.25" customHeight="1" x14ac:dyDescent="0.2">
      <c r="A12" s="25"/>
      <c r="B12" s="26"/>
      <c r="C12" s="329"/>
      <c r="D12" s="329"/>
      <c r="E12" s="329"/>
      <c r="F12" s="329"/>
      <c r="G12" s="329"/>
      <c r="H12" s="329"/>
      <c r="I12" s="329"/>
      <c r="J12" s="333"/>
      <c r="K12" s="333"/>
      <c r="L12" s="40" t="s">
        <v>944</v>
      </c>
      <c r="M12" s="40" t="s">
        <v>953</v>
      </c>
      <c r="N12" s="40" t="s">
        <v>944</v>
      </c>
      <c r="O12" s="40" t="s">
        <v>953</v>
      </c>
      <c r="P12" s="28"/>
    </row>
    <row r="13" spans="1:16" x14ac:dyDescent="0.2">
      <c r="A13" s="25"/>
      <c r="B13" s="41" t="s">
        <v>746</v>
      </c>
      <c r="C13" s="155">
        <f>IF($B13=" ","",IFERROR(INDEX(MMWR_RATING_RO_ROLLUP[],MATCH($B13,MMWR_RATING_RO_ROLLUP[MMWR_RATING_RO_ROLLUP],0),MATCH(C$9,MMWR_RATING_RO_ROLLUP[#Headers],0)),"ERROR"))</f>
        <v>384092</v>
      </c>
      <c r="D13" s="156">
        <f>IF($B13=" ","",IFERROR(INDEX(MMWR_RATING_RO_ROLLUP[],MATCH($B13,MMWR_RATING_RO_ROLLUP[MMWR_RATING_RO_ROLLUP],0),MATCH(D$9,MMWR_RATING_RO_ROLLUP[#Headers],0)),"ERROR"))</f>
        <v>117.7405595534</v>
      </c>
      <c r="E13" s="157">
        <f>IF($B13=" ","",IFERROR(INDEX(MMWR_RATING_RO_ROLLUP[],MATCH($B13,MMWR_RATING_RO_ROLLUP[MMWR_RATING_RO_ROLLUP],0),MATCH(E$9,MMWR_RATING_RO_ROLLUP[#Headers],0))/$C13,"ERROR"))</f>
        <v>0.32257115482748927</v>
      </c>
      <c r="F13" s="155">
        <f>IF($B13=" ","",IFERROR(INDEX(MMWR_RATING_RO_ROLLUP[],MATCH($B13,MMWR_RATING_RO_ROLLUP[MMWR_RATING_RO_ROLLUP],0),MATCH(F$9,MMWR_RATING_RO_ROLLUP[#Headers],0)),"ERROR"))</f>
        <v>34029</v>
      </c>
      <c r="G13" s="155">
        <f>IF($B13=" ","",IFERROR(INDEX(MMWR_RATING_RO_ROLLUP[],MATCH($B13,MMWR_RATING_RO_ROLLUP[MMWR_RATING_RO_ROLLUP],0),MATCH(G$9,MMWR_RATING_RO_ROLLUP[#Headers],0)),"ERROR"))</f>
        <v>1074587</v>
      </c>
      <c r="H13" s="156">
        <f>IF($B13=" ","",IFERROR(INDEX(MMWR_RATING_RO_ROLLUP[],MATCH($B13,MMWR_RATING_RO_ROLLUP[MMWR_RATING_RO_ROLLUP],0),MATCH(H$9,MMWR_RATING_RO_ROLLUP[#Headers],0)),"ERROR"))</f>
        <v>152.41805518819999</v>
      </c>
      <c r="I13" s="156">
        <f>IF($B13=" ","",IFERROR(INDEX(MMWR_RATING_RO_ROLLUP[],MATCH($B13,MMWR_RATING_RO_ROLLUP[MMWR_RATING_RO_ROLLUP],0),MATCH(I$9,MMWR_RATING_RO_ROLLUP[#Headers],0)),"ERROR"))</f>
        <v>175.49751578979999</v>
      </c>
      <c r="J13" s="158">
        <f>VLOOKUP($B13,MMWR_ACCURACY_RO[],MATCH(J$9,MMWR_ACCURACY_RO[#Headers],0),0)</f>
        <v>0.96182586538183457</v>
      </c>
      <c r="K13" s="158">
        <f>VLOOKUP($B13,MMWR_ACCURACY_RO[],MATCH(K$9,MMWR_ACCURACY_RO[#Headers],0),0)</f>
        <v>0.90110625575584147</v>
      </c>
      <c r="L13" s="158">
        <f>VLOOKUP($B13,MMWR_ACCURACY_RO[],MATCH(L$9,MMWR_ACCURACY_RO[#Headers],0),0)</f>
        <v>0.90686154524514007</v>
      </c>
      <c r="M13" s="158">
        <f>VLOOKUP($B13,MMWR_ACCURACY_RO[],MATCH(M$9,MMWR_ACCURACY_RO[#Headers],0),0)</f>
        <v>6.8423548499075794E-3</v>
      </c>
      <c r="N13" s="158">
        <f>VLOOKUP($B13,MMWR_ACCURACY_RO[],MATCH(N$9,MMWR_ACCURACY_RO[#Headers],0),0)</f>
        <v>0.91566535234070079</v>
      </c>
      <c r="O13" s="158">
        <f>VLOOKUP($B13,MMWR_ACCURACY_RO[],MATCH(O$9,MMWR_ACCURACY_RO[#Headers],0),0)</f>
        <v>7.0650939435798676E-3</v>
      </c>
      <c r="P13" s="28"/>
    </row>
    <row r="14" spans="1:16" x14ac:dyDescent="0.2">
      <c r="A14" s="25"/>
      <c r="B14" s="357" t="s">
        <v>749</v>
      </c>
      <c r="C14" s="358"/>
      <c r="D14" s="358"/>
      <c r="E14" s="358"/>
      <c r="F14" s="358"/>
      <c r="G14" s="358"/>
      <c r="H14" s="358"/>
      <c r="I14" s="358"/>
      <c r="J14" s="358"/>
      <c r="K14" s="358"/>
      <c r="L14" s="358"/>
      <c r="M14" s="358"/>
      <c r="N14" s="358"/>
      <c r="O14" s="358"/>
      <c r="P14" s="28"/>
    </row>
    <row r="15" spans="1:16" x14ac:dyDescent="0.2">
      <c r="A15" s="25"/>
      <c r="B15" s="41" t="s">
        <v>745</v>
      </c>
      <c r="C15" s="155">
        <f>IF($B15=" ","",IFERROR(INDEX(MMWR_RATING_RO_ROLLUP[],MATCH($B15,MMWR_RATING_RO_ROLLUP[MMWR_RATING_RO_ROLLUP],0),MATCH(C$9,MMWR_RATING_RO_ROLLUP[#Headers],0)),"ERROR"))</f>
        <v>347927</v>
      </c>
      <c r="D15" s="156">
        <f>IF($B15=" ","",IFERROR(INDEX(MMWR_RATING_RO_ROLLUP[],MATCH($B15,MMWR_RATING_RO_ROLLUP[MMWR_RATING_RO_ROLLUP],0),MATCH(D$9,MMWR_RATING_RO_ROLLUP[#Headers],0)),"ERROR"))</f>
        <v>123.0316273241</v>
      </c>
      <c r="E15" s="157">
        <f>IF($B15=" ","",IFERROR(INDEX(MMWR_RATING_RO_ROLLUP[],MATCH($B15,MMWR_RATING_RO_ROLLUP[MMWR_RATING_RO_ROLLUP],0),MATCH(E$9,MMWR_RATING_RO_ROLLUP[#Headers],0))/$C15,"ERROR"))</f>
        <v>0.34239078887237839</v>
      </c>
      <c r="F15" s="155">
        <f>IF($B15=" ","",IFERROR(INDEX(MMWR_RATING_RO_ROLLUP[],MATCH($B15,MMWR_RATING_RO_ROLLUP[MMWR_RATING_RO_ROLLUP],0),MATCH(F$9,MMWR_RATING_RO_ROLLUP[#Headers],0)),"ERROR"))</f>
        <v>29501</v>
      </c>
      <c r="G15" s="155">
        <f>IF($B15=" ","",IFERROR(INDEX(MMWR_RATING_RO_ROLLUP[],MATCH($B15,MMWR_RATING_RO_ROLLUP[MMWR_RATING_RO_ROLLUP],0),MATCH(G$9,MMWR_RATING_RO_ROLLUP[#Headers],0)),"ERROR"))</f>
        <v>915445</v>
      </c>
      <c r="H15" s="156">
        <f>IF($B15=" ","",IFERROR(INDEX(MMWR_RATING_RO_ROLLUP[],MATCH($B15,MMWR_RATING_RO_ROLLUP[MMWR_RATING_RO_ROLLUP],0),MATCH(H$9,MMWR_RATING_RO_ROLLUP[#Headers],0)),"ERROR"))</f>
        <v>162.38259720010001</v>
      </c>
      <c r="I15" s="156">
        <f>IF($B15=" ","",IFERROR(INDEX(MMWR_RATING_RO_ROLLUP[],MATCH($B15,MMWR_RATING_RO_ROLLUP[MMWR_RATING_RO_ROLLUP],0),MATCH(I$9,MMWR_RATING_RO_ROLLUP[#Headers],0)),"ERROR"))</f>
        <v>191.27548678509999</v>
      </c>
      <c r="J15" s="159"/>
      <c r="K15" s="159"/>
      <c r="L15" s="159"/>
      <c r="M15" s="159"/>
      <c r="N15" s="159"/>
      <c r="O15" s="159"/>
      <c r="P15" s="28"/>
    </row>
    <row r="16" spans="1:16" x14ac:dyDescent="0.2">
      <c r="A16" s="25"/>
      <c r="B16" s="250" t="s">
        <v>379</v>
      </c>
      <c r="C16" s="155">
        <f>IF($B16=" ","",IFERROR(INDEX(MMWR_RATING_RO_ROLLUP[],MATCH($B16,MMWR_RATING_RO_ROLLUP[MMWR_RATING_RO_ROLLUP],0),MATCH(C$9,MMWR_RATING_RO_ROLLUP[#Headers],0)),"ERROR"))</f>
        <v>75251</v>
      </c>
      <c r="D16" s="156">
        <f>IF($B16=" ","",IFERROR(INDEX(MMWR_RATING_RO_ROLLUP[],MATCH($B16,MMWR_RATING_RO_ROLLUP[MMWR_RATING_RO_ROLLUP],0),MATCH(D$9,MMWR_RATING_RO_ROLLUP[#Headers],0)),"ERROR"))</f>
        <v>124.0830952413</v>
      </c>
      <c r="E16" s="157">
        <f>IF($B16=" ","",IFERROR(INDEX(MMWR_RATING_RO_ROLLUP[],MATCH($B16,MMWR_RATING_RO_ROLLUP[MMWR_RATING_RO_ROLLUP],0),MATCH(E$9,MMWR_RATING_RO_ROLLUP[#Headers],0))/$C16,"ERROR"))</f>
        <v>0.35030763710781254</v>
      </c>
      <c r="F16" s="155">
        <f>IF($B16=" ","",IFERROR(INDEX(MMWR_RATING_RO_ROLLUP[],MATCH($B16,MMWR_RATING_RO_ROLLUP[MMWR_RATING_RO_ROLLUP],0),MATCH(F$9,MMWR_RATING_RO_ROLLUP[#Headers],0)),"ERROR"))</f>
        <v>6422</v>
      </c>
      <c r="G16" s="155">
        <f>IF($B16=" ","",IFERROR(INDEX(MMWR_RATING_RO_ROLLUP[],MATCH($B16,MMWR_RATING_RO_ROLLUP[MMWR_RATING_RO_ROLLUP],0),MATCH(G$9,MMWR_RATING_RO_ROLLUP[#Headers],0)),"ERROR"))</f>
        <v>199876</v>
      </c>
      <c r="H16" s="156">
        <f>IF($B16=" ","",IFERROR(INDEX(MMWR_RATING_RO_ROLLUP[],MATCH($B16,MMWR_RATING_RO_ROLLUP[MMWR_RATING_RO_ROLLUP],0),MATCH(H$9,MMWR_RATING_RO_ROLLUP[#Headers],0)),"ERROR"))</f>
        <v>169.6837433821</v>
      </c>
      <c r="I16" s="156">
        <f>IF($B16=" ","",IFERROR(INDEX(MMWR_RATING_RO_ROLLUP[],MATCH($B16,MMWR_RATING_RO_ROLLUP[MMWR_RATING_RO_ROLLUP],0),MATCH(I$9,MMWR_RATING_RO_ROLLUP[#Headers],0)),"ERROR"))</f>
        <v>194.42743500969999</v>
      </c>
      <c r="J16" s="159"/>
      <c r="K16" s="159"/>
      <c r="L16" s="159"/>
      <c r="M16" s="159"/>
      <c r="N16" s="159"/>
      <c r="O16" s="159"/>
      <c r="P16" s="28"/>
    </row>
    <row r="17" spans="1:16" x14ac:dyDescent="0.2">
      <c r="A17" s="25"/>
      <c r="B17" s="8" t="str">
        <f>VLOOKUP($B$16,DISTRICT_RO[],2,0)</f>
        <v>Baltimore VSC</v>
      </c>
      <c r="C17" s="155">
        <f>IF($B17=" ","",IFERROR(INDEX(MMWR_RATING_RO_ROLLUP[],MATCH($B17,MMWR_RATING_RO_ROLLUP[MMWR_RATING_RO_ROLLUP],0),MATCH(C$9,MMWR_RATING_RO_ROLLUP[#Headers],0)),"ERROR"))</f>
        <v>2251</v>
      </c>
      <c r="D17" s="156">
        <f>IF($B17=" ","",IFERROR(INDEX(MMWR_RATING_RO_ROLLUP[],MATCH($B17,MMWR_RATING_RO_ROLLUP[MMWR_RATING_RO_ROLLUP],0),MATCH(D$9,MMWR_RATING_RO_ROLLUP[#Headers],0)),"ERROR"))</f>
        <v>95.083962683300001</v>
      </c>
      <c r="E17" s="157">
        <f>IF($B17=" ","",IFERROR(INDEX(MMWR_RATING_RO_ROLLUP[],MATCH($B17,MMWR_RATING_RO_ROLLUP[MMWR_RATING_RO_ROLLUP],0),MATCH(E$9,MMWR_RATING_RO_ROLLUP[#Headers],0))/$C17,"ERROR"))</f>
        <v>0.19991115059973344</v>
      </c>
      <c r="F17" s="155">
        <f>IF($B17=" ","",IFERROR(INDEX(MMWR_RATING_RO_ROLLUP[],MATCH($B17,MMWR_RATING_RO_ROLLUP[MMWR_RATING_RO_ROLLUP],0),MATCH(F$9,MMWR_RATING_RO_ROLLUP[#Headers],0)),"ERROR"))</f>
        <v>182</v>
      </c>
      <c r="G17" s="155">
        <f>IF($B17=" ","",IFERROR(INDEX(MMWR_RATING_RO_ROLLUP[],MATCH($B17,MMWR_RATING_RO_ROLLUP[MMWR_RATING_RO_ROLLUP],0),MATCH(G$9,MMWR_RATING_RO_ROLLUP[#Headers],0)),"ERROR"))</f>
        <v>4542</v>
      </c>
      <c r="H17" s="156">
        <f>IF($B17=" ","",IFERROR(INDEX(MMWR_RATING_RO_ROLLUP[],MATCH($B17,MMWR_RATING_RO_ROLLUP[MMWR_RATING_RO_ROLLUP],0),MATCH(H$9,MMWR_RATING_RO_ROLLUP[#Headers],0)),"ERROR"))</f>
        <v>150.8626373626</v>
      </c>
      <c r="I17" s="156">
        <f>IF($B17=" ","",IFERROR(INDEX(MMWR_RATING_RO_ROLLUP[],MATCH($B17,MMWR_RATING_RO_ROLLUP[MMWR_RATING_RO_ROLLUP],0),MATCH(I$9,MMWR_RATING_RO_ROLLUP[#Headers],0)),"ERROR"))</f>
        <v>260.4711580801</v>
      </c>
      <c r="J17" s="160">
        <f>IF($B17=" ","",IFERROR(VLOOKUP($B17,MMWR_ACCURACY_RO[],MATCH(J$9,MMWR_ACCURACY_RO[#Headers],0),0),"ERROR"))</f>
        <v>0.93134075670949423</v>
      </c>
      <c r="K17" s="160">
        <f>IF($B17=" ","",IFERROR(VLOOKUP($B17,MMWR_ACCURACY_RO[],MATCH(K$9,MMWR_ACCURACY_RO[#Headers],0),0),"ERROR"))</f>
        <v>0.87277920163492295</v>
      </c>
      <c r="L17" s="160">
        <f>IF($B17=" ","",IFERROR(VLOOKUP($B17,MMWR_ACCURACY_RO[],MATCH(L$9,MMWR_ACCURACY_RO[#Headers],0),0),"ERROR"))</f>
        <v>0.83221513545106207</v>
      </c>
      <c r="M17" s="160">
        <f>IF($B17=" ","",IFERROR(VLOOKUP($B17,MMWR_ACCURACY_RO[],MATCH(M$9,MMWR_ACCURACY_RO[#Headers],0),0),"ERROR"))</f>
        <v>4.7832508114165645E-2</v>
      </c>
      <c r="N17" s="160">
        <f>IF($B17=" ","",IFERROR(VLOOKUP($B17,MMWR_ACCURACY_RO[],MATCH(N$9,MMWR_ACCURACY_RO[#Headers],0),0),"ERROR"))</f>
        <v>0.83830711771888256</v>
      </c>
      <c r="O17" s="160">
        <f>IF($B17=" ","",IFERROR(VLOOKUP($B17,MMWR_ACCURACY_RO[],MATCH(O$9,MMWR_ACCURACY_RO[#Headers],0),0),"ERROR"))</f>
        <v>4.9479304242210628E-2</v>
      </c>
      <c r="P17" s="28"/>
    </row>
    <row r="18" spans="1:16" x14ac:dyDescent="0.2">
      <c r="A18" s="25"/>
      <c r="B18" s="8" t="str">
        <f>VLOOKUP($B$16,DISTRICT_RO[],3,0)</f>
        <v>Boston VSC</v>
      </c>
      <c r="C18" s="155">
        <f>IF($B18=" ","",IFERROR(INDEX(MMWR_RATING_RO_ROLLUP[],MATCH($B18,MMWR_RATING_RO_ROLLUP[MMWR_RATING_RO_ROLLUP],0),MATCH(C$9,MMWR_RATING_RO_ROLLUP[#Headers],0)),"ERROR"))</f>
        <v>3360</v>
      </c>
      <c r="D18" s="156">
        <f>IF($B18=" ","",IFERROR(INDEX(MMWR_RATING_RO_ROLLUP[],MATCH($B18,MMWR_RATING_RO_ROLLUP[MMWR_RATING_RO_ROLLUP],0),MATCH(D$9,MMWR_RATING_RO_ROLLUP[#Headers],0)),"ERROR"))</f>
        <v>102.7104166667</v>
      </c>
      <c r="E18" s="157">
        <f>IF($B18=" ","",IFERROR(INDEX(MMWR_RATING_RO_ROLLUP[],MATCH($B18,MMWR_RATING_RO_ROLLUP[MMWR_RATING_RO_ROLLUP],0),MATCH(E$9,MMWR_RATING_RO_ROLLUP[#Headers],0))/$C18,"ERROR"))</f>
        <v>0.26607142857142857</v>
      </c>
      <c r="F18" s="155">
        <f>IF($B18=" ","",IFERROR(INDEX(MMWR_RATING_RO_ROLLUP[],MATCH($B18,MMWR_RATING_RO_ROLLUP[MMWR_RATING_RO_ROLLUP],0),MATCH(F$9,MMWR_RATING_RO_ROLLUP[#Headers],0)),"ERROR"))</f>
        <v>250</v>
      </c>
      <c r="G18" s="155">
        <f>IF($B18=" ","",IFERROR(INDEX(MMWR_RATING_RO_ROLLUP[],MATCH($B18,MMWR_RATING_RO_ROLLUP[MMWR_RATING_RO_ROLLUP],0),MATCH(G$9,MMWR_RATING_RO_ROLLUP[#Headers],0)),"ERROR"))</f>
        <v>7912</v>
      </c>
      <c r="H18" s="156">
        <f>IF($B18=" ","",IFERROR(INDEX(MMWR_RATING_RO_ROLLUP[],MATCH($B18,MMWR_RATING_RO_ROLLUP[MMWR_RATING_RO_ROLLUP],0),MATCH(H$9,MMWR_RATING_RO_ROLLUP[#Headers],0)),"ERROR"))</f>
        <v>171.83199999999999</v>
      </c>
      <c r="I18" s="156">
        <f>IF($B18=" ","",IFERROR(INDEX(MMWR_RATING_RO_ROLLUP[],MATCH($B18,MMWR_RATING_RO_ROLLUP[MMWR_RATING_RO_ROLLUP],0),MATCH(I$9,MMWR_RATING_RO_ROLLUP[#Headers],0)),"ERROR"))</f>
        <v>209.410768453</v>
      </c>
      <c r="J18" s="160">
        <f>IF($B18=" ","",IFERROR(VLOOKUP($B18,MMWR_ACCURACY_RO[],MATCH(J$9,MMWR_ACCURACY_RO[#Headers],0),0),"ERROR"))</f>
        <v>0.89547703739678575</v>
      </c>
      <c r="K18" s="160">
        <f>IF($B18=" ","",IFERROR(VLOOKUP($B18,MMWR_ACCURACY_RO[],MATCH(K$9,MMWR_ACCURACY_RO[#Headers],0),0),"ERROR"))</f>
        <v>0.85724912090884497</v>
      </c>
      <c r="L18" s="160">
        <f>IF($B18=" ","",IFERROR(VLOOKUP($B18,MMWR_ACCURACY_RO[],MATCH(L$9,MMWR_ACCURACY_RO[#Headers],0),0),"ERROR"))</f>
        <v>0.88080231846990087</v>
      </c>
      <c r="M18" s="160">
        <f>IF($B18=" ","",IFERROR(VLOOKUP($B18,MMWR_ACCURACY_RO[],MATCH(M$9,MMWR_ACCURACY_RO[#Headers],0),0),"ERROR"))</f>
        <v>4.8730308413492907E-2</v>
      </c>
      <c r="N18" s="160">
        <f>IF($B18=" ","",IFERROR(VLOOKUP($B18,MMWR_ACCURACY_RO[],MATCH(N$9,MMWR_ACCURACY_RO[#Headers],0),0),"ERROR"))</f>
        <v>0.87561903097797933</v>
      </c>
      <c r="O18" s="160">
        <f>IF($B18=" ","",IFERROR(VLOOKUP($B18,MMWR_ACCURACY_RO[],MATCH(O$9,MMWR_ACCURACY_RO[#Headers],0),0),"ERROR"))</f>
        <v>5.9075420563334619E-2</v>
      </c>
      <c r="P18" s="28"/>
    </row>
    <row r="19" spans="1:16" x14ac:dyDescent="0.2">
      <c r="A19" s="25"/>
      <c r="B19" s="8" t="str">
        <f>VLOOKUP($B$16,DISTRICT_RO[],4,0)</f>
        <v>Buffalo VSC</v>
      </c>
      <c r="C19" s="155">
        <f>IF($B19=" ","",IFERROR(INDEX(MMWR_RATING_RO_ROLLUP[],MATCH($B19,MMWR_RATING_RO_ROLLUP[MMWR_RATING_RO_ROLLUP],0),MATCH(C$9,MMWR_RATING_RO_ROLLUP[#Headers],0)),"ERROR"))</f>
        <v>3948</v>
      </c>
      <c r="D19" s="156">
        <f>IF($B19=" ","",IFERROR(INDEX(MMWR_RATING_RO_ROLLUP[],MATCH($B19,MMWR_RATING_RO_ROLLUP[MMWR_RATING_RO_ROLLUP],0),MATCH(D$9,MMWR_RATING_RO_ROLLUP[#Headers],0)),"ERROR"))</f>
        <v>100.9445288754</v>
      </c>
      <c r="E19" s="157">
        <f>IF($B19=" ","",IFERROR(INDEX(MMWR_RATING_RO_ROLLUP[],MATCH($B19,MMWR_RATING_RO_ROLLUP[MMWR_RATING_RO_ROLLUP],0),MATCH(E$9,MMWR_RATING_RO_ROLLUP[#Headers],0))/$C19,"ERROR"))</f>
        <v>0.23353596757852077</v>
      </c>
      <c r="F19" s="155">
        <f>IF($B19=" ","",IFERROR(INDEX(MMWR_RATING_RO_ROLLUP[],MATCH($B19,MMWR_RATING_RO_ROLLUP[MMWR_RATING_RO_ROLLUP],0),MATCH(F$9,MMWR_RATING_RO_ROLLUP[#Headers],0)),"ERROR"))</f>
        <v>203</v>
      </c>
      <c r="G19" s="155">
        <f>IF($B19=" ","",IFERROR(INDEX(MMWR_RATING_RO_ROLLUP[],MATCH($B19,MMWR_RATING_RO_ROLLUP[MMWR_RATING_RO_ROLLUP],0),MATCH(G$9,MMWR_RATING_RO_ROLLUP[#Headers],0)),"ERROR"))</f>
        <v>9078</v>
      </c>
      <c r="H19" s="156">
        <f>IF($B19=" ","",IFERROR(INDEX(MMWR_RATING_RO_ROLLUP[],MATCH($B19,MMWR_RATING_RO_ROLLUP[MMWR_RATING_RO_ROLLUP],0),MATCH(H$9,MMWR_RATING_RO_ROLLUP[#Headers],0)),"ERROR"))</f>
        <v>215.881773399</v>
      </c>
      <c r="I19" s="156">
        <f>IF($B19=" ","",IFERROR(INDEX(MMWR_RATING_RO_ROLLUP[],MATCH($B19,MMWR_RATING_RO_ROLLUP[MMWR_RATING_RO_ROLLUP],0),MATCH(I$9,MMWR_RATING_RO_ROLLUP[#Headers],0)),"ERROR"))</f>
        <v>214.86913417049999</v>
      </c>
      <c r="J19" s="160">
        <f>IF($B19=" ","",IFERROR(VLOOKUP($B19,MMWR_ACCURACY_RO[],MATCH(J$9,MMWR_ACCURACY_RO[#Headers],0),0),"ERROR"))</f>
        <v>0.90460762202875344</v>
      </c>
      <c r="K19" s="160">
        <f>IF($B19=" ","",IFERROR(VLOOKUP($B19,MMWR_ACCURACY_RO[],MATCH(K$9,MMWR_ACCURACY_RO[#Headers],0),0),"ERROR"))</f>
        <v>0.84031885306905862</v>
      </c>
      <c r="L19" s="160">
        <f>IF($B19=" ","",IFERROR(VLOOKUP($B19,MMWR_ACCURACY_RO[],MATCH(L$9,MMWR_ACCURACY_RO[#Headers],0),0),"ERROR"))</f>
        <v>0.90570831544016039</v>
      </c>
      <c r="M19" s="160">
        <f>IF($B19=" ","",IFERROR(VLOOKUP($B19,MMWR_ACCURACY_RO[],MATCH(M$9,MMWR_ACCURACY_RO[#Headers],0),0),"ERROR"))</f>
        <v>4.1002036623732113E-2</v>
      </c>
      <c r="N19" s="160">
        <f>IF($B19=" ","",IFERROR(VLOOKUP($B19,MMWR_ACCURACY_RO[],MATCH(N$9,MMWR_ACCURACY_RO[#Headers],0),0),"ERROR"))</f>
        <v>0.87463737062674474</v>
      </c>
      <c r="O19" s="160">
        <f>IF($B19=" ","",IFERROR(VLOOKUP($B19,MMWR_ACCURACY_RO[],MATCH(O$9,MMWR_ACCURACY_RO[#Headers],0),0),"ERROR"))</f>
        <v>4.3542756692518267E-2</v>
      </c>
      <c r="P19" s="28"/>
    </row>
    <row r="20" spans="1:16" x14ac:dyDescent="0.2">
      <c r="A20" s="25"/>
      <c r="B20" s="8" t="str">
        <f>VLOOKUP($B$16,DISTRICT_RO[],5,0)</f>
        <v>Hartford VSC</v>
      </c>
      <c r="C20" s="155">
        <f>IF($B20=" ","",IFERROR(INDEX(MMWR_RATING_RO_ROLLUP[],MATCH($B20,MMWR_RATING_RO_ROLLUP[MMWR_RATING_RO_ROLLUP],0),MATCH(C$9,MMWR_RATING_RO_ROLLUP[#Headers],0)),"ERROR"))</f>
        <v>3086</v>
      </c>
      <c r="D20" s="156">
        <f>IF($B20=" ","",IFERROR(INDEX(MMWR_RATING_RO_ROLLUP[],MATCH($B20,MMWR_RATING_RO_ROLLUP[MMWR_RATING_RO_ROLLUP],0),MATCH(D$9,MMWR_RATING_RO_ROLLUP[#Headers],0)),"ERROR"))</f>
        <v>134.12346079069999</v>
      </c>
      <c r="E20" s="157">
        <f>IF($B20=" ","",IFERROR(INDEX(MMWR_RATING_RO_ROLLUP[],MATCH($B20,MMWR_RATING_RO_ROLLUP[MMWR_RATING_RO_ROLLUP],0),MATCH(E$9,MMWR_RATING_RO_ROLLUP[#Headers],0))/$C20,"ERROR"))</f>
        <v>0.41736876215165264</v>
      </c>
      <c r="F20" s="155">
        <f>IF($B20=" ","",IFERROR(INDEX(MMWR_RATING_RO_ROLLUP[],MATCH($B20,MMWR_RATING_RO_ROLLUP[MMWR_RATING_RO_ROLLUP],0),MATCH(F$9,MMWR_RATING_RO_ROLLUP[#Headers],0)),"ERROR"))</f>
        <v>238</v>
      </c>
      <c r="G20" s="155">
        <f>IF($B20=" ","",IFERROR(INDEX(MMWR_RATING_RO_ROLLUP[],MATCH($B20,MMWR_RATING_RO_ROLLUP[MMWR_RATING_RO_ROLLUP],0),MATCH(G$9,MMWR_RATING_RO_ROLLUP[#Headers],0)),"ERROR"))</f>
        <v>7671</v>
      </c>
      <c r="H20" s="156">
        <f>IF($B20=" ","",IFERROR(INDEX(MMWR_RATING_RO_ROLLUP[],MATCH($B20,MMWR_RATING_RO_ROLLUP[MMWR_RATING_RO_ROLLUP],0),MATCH(H$9,MMWR_RATING_RO_ROLLUP[#Headers],0)),"ERROR"))</f>
        <v>186.69747899160001</v>
      </c>
      <c r="I20" s="156">
        <f>IF($B20=" ","",IFERROR(INDEX(MMWR_RATING_RO_ROLLUP[],MATCH($B20,MMWR_RATING_RO_ROLLUP[MMWR_RATING_RO_ROLLUP],0),MATCH(I$9,MMWR_RATING_RO_ROLLUP[#Headers],0)),"ERROR"))</f>
        <v>174.7194629123</v>
      </c>
      <c r="J20" s="160">
        <f>IF($B20=" ","",IFERROR(VLOOKUP($B20,MMWR_ACCURACY_RO[],MATCH(J$9,MMWR_ACCURACY_RO[#Headers],0),0),"ERROR"))</f>
        <v>0.96061599959001698</v>
      </c>
      <c r="K20" s="160">
        <f>IF($B20=" ","",IFERROR(VLOOKUP($B20,MMWR_ACCURACY_RO[],MATCH(K$9,MMWR_ACCURACY_RO[#Headers],0),0),"ERROR"))</f>
        <v>0.92735426008968613</v>
      </c>
      <c r="L20" s="160">
        <f>IF($B20=" ","",IFERROR(VLOOKUP($B20,MMWR_ACCURACY_RO[],MATCH(L$9,MMWR_ACCURACY_RO[#Headers],0),0),"ERROR"))</f>
        <v>0.93565771383262453</v>
      </c>
      <c r="M20" s="160">
        <f>IF($B20=" ","",IFERROR(VLOOKUP($B20,MMWR_ACCURACY_RO[],MATCH(M$9,MMWR_ACCURACY_RO[#Headers],0),0),"ERROR"))</f>
        <v>3.2359269054381912E-2</v>
      </c>
      <c r="N20" s="160">
        <f>IF($B20=" ","",IFERROR(VLOOKUP($B20,MMWR_ACCURACY_RO[],MATCH(N$9,MMWR_ACCURACY_RO[#Headers],0),0),"ERROR"))</f>
        <v>0.97464881883895971</v>
      </c>
      <c r="O20" s="160">
        <f>IF($B20=" ","",IFERROR(VLOOKUP($B20,MMWR_ACCURACY_RO[],MATCH(O$9,MMWR_ACCURACY_RO[#Headers],0),0),"ERROR"))</f>
        <v>2.6565834709229037E-2</v>
      </c>
      <c r="P20" s="28"/>
    </row>
    <row r="21" spans="1:16" x14ac:dyDescent="0.2">
      <c r="A21" s="25"/>
      <c r="B21" s="8" t="str">
        <f>VLOOKUP($B$16,DISTRICT_RO[],6,0)</f>
        <v>Huntington VSC</v>
      </c>
      <c r="C21" s="155">
        <f>IF($B21=" ","",IFERROR(INDEX(MMWR_RATING_RO_ROLLUP[],MATCH($B21,MMWR_RATING_RO_ROLLUP[MMWR_RATING_RO_ROLLUP],0),MATCH(C$9,MMWR_RATING_RO_ROLLUP[#Headers],0)),"ERROR"))</f>
        <v>4978</v>
      </c>
      <c r="D21" s="156">
        <f>IF($B21=" ","",IFERROR(INDEX(MMWR_RATING_RO_ROLLUP[],MATCH($B21,MMWR_RATING_RO_ROLLUP[MMWR_RATING_RO_ROLLUP],0),MATCH(D$9,MMWR_RATING_RO_ROLLUP[#Headers],0)),"ERROR"))</f>
        <v>125.8523503415</v>
      </c>
      <c r="E21" s="157">
        <f>IF($B21=" ","",IFERROR(INDEX(MMWR_RATING_RO_ROLLUP[],MATCH($B21,MMWR_RATING_RO_ROLLUP[MMWR_RATING_RO_ROLLUP],0),MATCH(E$9,MMWR_RATING_RO_ROLLUP[#Headers],0))/$C21,"ERROR"))</f>
        <v>0.38629971876255526</v>
      </c>
      <c r="F21" s="155">
        <f>IF($B21=" ","",IFERROR(INDEX(MMWR_RATING_RO_ROLLUP[],MATCH($B21,MMWR_RATING_RO_ROLLUP[MMWR_RATING_RO_ROLLUP],0),MATCH(F$9,MMWR_RATING_RO_ROLLUP[#Headers],0)),"ERROR"))</f>
        <v>629</v>
      </c>
      <c r="G21" s="155">
        <f>IF($B21=" ","",IFERROR(INDEX(MMWR_RATING_RO_ROLLUP[],MATCH($B21,MMWR_RATING_RO_ROLLUP[MMWR_RATING_RO_ROLLUP],0),MATCH(G$9,MMWR_RATING_RO_ROLLUP[#Headers],0)),"ERROR"))</f>
        <v>14212</v>
      </c>
      <c r="H21" s="156">
        <f>IF($B21=" ","",IFERROR(INDEX(MMWR_RATING_RO_ROLLUP[],MATCH($B21,MMWR_RATING_RO_ROLLUP[MMWR_RATING_RO_ROLLUP],0),MATCH(H$9,MMWR_RATING_RO_ROLLUP[#Headers],0)),"ERROR"))</f>
        <v>171.453100159</v>
      </c>
      <c r="I21" s="156">
        <f>IF($B21=" ","",IFERROR(INDEX(MMWR_RATING_RO_ROLLUP[],MATCH($B21,MMWR_RATING_RO_ROLLUP[MMWR_RATING_RO_ROLLUP],0),MATCH(I$9,MMWR_RATING_RO_ROLLUP[#Headers],0)),"ERROR"))</f>
        <v>181.67865184350001</v>
      </c>
      <c r="J21" s="160">
        <f>IF($B21=" ","",IFERROR(VLOOKUP($B21,MMWR_ACCURACY_RO[],MATCH(J$9,MMWR_ACCURACY_RO[#Headers],0),0),"ERROR"))</f>
        <v>0.88047528089071614</v>
      </c>
      <c r="K21" s="160">
        <f>IF($B21=" ","",IFERROR(VLOOKUP($B21,MMWR_ACCURACY_RO[],MATCH(K$9,MMWR_ACCURACY_RO[#Headers],0),0),"ERROR"))</f>
        <v>0.85989691242609534</v>
      </c>
      <c r="L21" s="160">
        <f>IF($B21=" ","",IFERROR(VLOOKUP($B21,MMWR_ACCURACY_RO[],MATCH(L$9,MMWR_ACCURACY_RO[#Headers],0),0),"ERROR"))</f>
        <v>0.91264354378571755</v>
      </c>
      <c r="M21" s="160">
        <f>IF($B21=" ","",IFERROR(VLOOKUP($B21,MMWR_ACCURACY_RO[],MATCH(M$9,MMWR_ACCURACY_RO[#Headers],0),0),"ERROR"))</f>
        <v>3.9663167617869491E-2</v>
      </c>
      <c r="N21" s="160">
        <f>IF($B21=" ","",IFERROR(VLOOKUP($B21,MMWR_ACCURACY_RO[],MATCH(N$9,MMWR_ACCURACY_RO[#Headers],0),0),"ERROR"))</f>
        <v>0.93151672050268219</v>
      </c>
      <c r="O21" s="160">
        <f>IF($B21=" ","",IFERROR(VLOOKUP($B21,MMWR_ACCURACY_RO[],MATCH(O$9,MMWR_ACCURACY_RO[#Headers],0),0),"ERROR"))</f>
        <v>3.8916220579615697E-2</v>
      </c>
      <c r="P21" s="28"/>
    </row>
    <row r="22" spans="1:16" x14ac:dyDescent="0.2">
      <c r="A22" s="25"/>
      <c r="B22" s="8" t="str">
        <f>VLOOKUP($B$16,DISTRICT_RO[],7,0)</f>
        <v>Manchester VSC</v>
      </c>
      <c r="C22" s="155">
        <f>IF($B22=" ","",IFERROR(INDEX(MMWR_RATING_RO_ROLLUP[],MATCH($B22,MMWR_RATING_RO_ROLLUP[MMWR_RATING_RO_ROLLUP],0),MATCH(C$9,MMWR_RATING_RO_ROLLUP[#Headers],0)),"ERROR"))</f>
        <v>1596</v>
      </c>
      <c r="D22" s="156">
        <f>IF($B22=" ","",IFERROR(INDEX(MMWR_RATING_RO_ROLLUP[],MATCH($B22,MMWR_RATING_RO_ROLLUP[MMWR_RATING_RO_ROLLUP],0),MATCH(D$9,MMWR_RATING_RO_ROLLUP[#Headers],0)),"ERROR"))</f>
        <v>122.76629072679999</v>
      </c>
      <c r="E22" s="157">
        <f>IF($B22=" ","",IFERROR(INDEX(MMWR_RATING_RO_ROLLUP[],MATCH($B22,MMWR_RATING_RO_ROLLUP[MMWR_RATING_RO_ROLLUP],0),MATCH(E$9,MMWR_RATING_RO_ROLLUP[#Headers],0))/$C22,"ERROR"))</f>
        <v>0.30889724310776945</v>
      </c>
      <c r="F22" s="155">
        <f>IF($B22=" ","",IFERROR(INDEX(MMWR_RATING_RO_ROLLUP[],MATCH($B22,MMWR_RATING_RO_ROLLUP[MMWR_RATING_RO_ROLLUP],0),MATCH(F$9,MMWR_RATING_RO_ROLLUP[#Headers],0)),"ERROR"))</f>
        <v>135</v>
      </c>
      <c r="G22" s="155">
        <f>IF($B22=" ","",IFERROR(INDEX(MMWR_RATING_RO_ROLLUP[],MATCH($B22,MMWR_RATING_RO_ROLLUP[MMWR_RATING_RO_ROLLUP],0),MATCH(G$9,MMWR_RATING_RO_ROLLUP[#Headers],0)),"ERROR"))</f>
        <v>3737</v>
      </c>
      <c r="H22" s="156">
        <f>IF($B22=" ","",IFERROR(INDEX(MMWR_RATING_RO_ROLLUP[],MATCH($B22,MMWR_RATING_RO_ROLLUP[MMWR_RATING_RO_ROLLUP],0),MATCH(H$9,MMWR_RATING_RO_ROLLUP[#Headers],0)),"ERROR"))</f>
        <v>179.97777777779999</v>
      </c>
      <c r="I22" s="156">
        <f>IF($B22=" ","",IFERROR(INDEX(MMWR_RATING_RO_ROLLUP[],MATCH($B22,MMWR_RATING_RO_ROLLUP[MMWR_RATING_RO_ROLLUP],0),MATCH(I$9,MMWR_RATING_RO_ROLLUP[#Headers],0)),"ERROR"))</f>
        <v>195.07867273209999</v>
      </c>
      <c r="J22" s="160">
        <f>IF($B22=" ","",IFERROR(VLOOKUP($B22,MMWR_ACCURACY_RO[],MATCH(J$9,MMWR_ACCURACY_RO[#Headers],0),0),"ERROR"))</f>
        <v>0.94562122567128137</v>
      </c>
      <c r="K22" s="160">
        <f>IF($B22=" ","",IFERROR(VLOOKUP($B22,MMWR_ACCURACY_RO[],MATCH(K$9,MMWR_ACCURACY_RO[#Headers],0),0),"ERROR"))</f>
        <v>0.88989076184198135</v>
      </c>
      <c r="L22" s="160">
        <f>IF($B22=" ","",IFERROR(VLOOKUP($B22,MMWR_ACCURACY_RO[],MATCH(L$9,MMWR_ACCURACY_RO[#Headers],0),0),"ERROR"))</f>
        <v>0.90027656773516762</v>
      </c>
      <c r="M22" s="160">
        <f>IF($B22=" ","",IFERROR(VLOOKUP($B22,MMWR_ACCURACY_RO[],MATCH(M$9,MMWR_ACCURACY_RO[#Headers],0),0),"ERROR"))</f>
        <v>4.3131920360894679E-2</v>
      </c>
      <c r="N22" s="160">
        <f>IF($B22=" ","",IFERROR(VLOOKUP($B22,MMWR_ACCURACY_RO[],MATCH(N$9,MMWR_ACCURACY_RO[#Headers],0),0),"ERROR"))</f>
        <v>0.93063214403375671</v>
      </c>
      <c r="O22" s="160">
        <f>IF($B22=" ","",IFERROR(VLOOKUP($B22,MMWR_ACCURACY_RO[],MATCH(O$9,MMWR_ACCURACY_RO[#Headers],0),0),"ERROR"))</f>
        <v>2.9201016572666133E-2</v>
      </c>
      <c r="P22" s="28"/>
    </row>
    <row r="23" spans="1:16" x14ac:dyDescent="0.2">
      <c r="A23" s="25"/>
      <c r="B23" s="8" t="str">
        <f>VLOOKUP($B$16,DISTRICT_RO[],8,0)</f>
        <v>New York VSC</v>
      </c>
      <c r="C23" s="155">
        <f>IF($B23=" ","",IFERROR(INDEX(MMWR_RATING_RO_ROLLUP[],MATCH($B23,MMWR_RATING_RO_ROLLUP[MMWR_RATING_RO_ROLLUP],0),MATCH(C$9,MMWR_RATING_RO_ROLLUP[#Headers],0)),"ERROR"))</f>
        <v>4311</v>
      </c>
      <c r="D23" s="156">
        <f>IF($B23=" ","",IFERROR(INDEX(MMWR_RATING_RO_ROLLUP[],MATCH($B23,MMWR_RATING_RO_ROLLUP[MMWR_RATING_RO_ROLLUP],0),MATCH(D$9,MMWR_RATING_RO_ROLLUP[#Headers],0)),"ERROR"))</f>
        <v>106.34585942939999</v>
      </c>
      <c r="E23" s="157">
        <f>IF($B23=" ","",IFERROR(INDEX(MMWR_RATING_RO_ROLLUP[],MATCH($B23,MMWR_RATING_RO_ROLLUP[MMWR_RATING_RO_ROLLUP],0),MATCH(E$9,MMWR_RATING_RO_ROLLUP[#Headers],0))/$C23,"ERROR"))</f>
        <v>0.30503363488749707</v>
      </c>
      <c r="F23" s="155">
        <f>IF($B23=" ","",IFERROR(INDEX(MMWR_RATING_RO_ROLLUP[],MATCH($B23,MMWR_RATING_RO_ROLLUP[MMWR_RATING_RO_ROLLUP],0),MATCH(F$9,MMWR_RATING_RO_ROLLUP[#Headers],0)),"ERROR"))</f>
        <v>369</v>
      </c>
      <c r="G23" s="155">
        <f>IF($B23=" ","",IFERROR(INDEX(MMWR_RATING_RO_ROLLUP[],MATCH($B23,MMWR_RATING_RO_ROLLUP[MMWR_RATING_RO_ROLLUP],0),MATCH(G$9,MMWR_RATING_RO_ROLLUP[#Headers],0)),"ERROR"))</f>
        <v>11046</v>
      </c>
      <c r="H23" s="156">
        <f>IF($B23=" ","",IFERROR(INDEX(MMWR_RATING_RO_ROLLUP[],MATCH($B23,MMWR_RATING_RO_ROLLUP[MMWR_RATING_RO_ROLLUP],0),MATCH(H$9,MMWR_RATING_RO_ROLLUP[#Headers],0)),"ERROR"))</f>
        <v>157.42547425469999</v>
      </c>
      <c r="I23" s="156">
        <f>IF($B23=" ","",IFERROR(INDEX(MMWR_RATING_RO_ROLLUP[],MATCH($B23,MMWR_RATING_RO_ROLLUP[MMWR_RATING_RO_ROLLUP],0),MATCH(I$9,MMWR_RATING_RO_ROLLUP[#Headers],0)),"ERROR"))</f>
        <v>197.62773854790001</v>
      </c>
      <c r="J23" s="160">
        <f>IF($B23=" ","",IFERROR(VLOOKUP($B23,MMWR_ACCURACY_RO[],MATCH(J$9,MMWR_ACCURACY_RO[#Headers],0),0),"ERROR"))</f>
        <v>0.94380649199729905</v>
      </c>
      <c r="K23" s="160">
        <f>IF($B23=" ","",IFERROR(VLOOKUP($B23,MMWR_ACCURACY_RO[],MATCH(K$9,MMWR_ACCURACY_RO[#Headers],0),0),"ERROR"))</f>
        <v>0.89254704199909662</v>
      </c>
      <c r="L23" s="160">
        <f>IF($B23=" ","",IFERROR(VLOOKUP($B23,MMWR_ACCURACY_RO[],MATCH(L$9,MMWR_ACCURACY_RO[#Headers],0),0),"ERROR"))</f>
        <v>0.90507961152224692</v>
      </c>
      <c r="M23" s="160">
        <f>IF($B23=" ","",IFERROR(VLOOKUP($B23,MMWR_ACCURACY_RO[],MATCH(M$9,MMWR_ACCURACY_RO[#Headers],0),0),"ERROR"))</f>
        <v>4.2516139834241858E-2</v>
      </c>
      <c r="N23" s="160">
        <f>IF($B23=" ","",IFERROR(VLOOKUP($B23,MMWR_ACCURACY_RO[],MATCH(N$9,MMWR_ACCURACY_RO[#Headers],0),0),"ERROR"))</f>
        <v>0.89503876121664161</v>
      </c>
      <c r="O23" s="160">
        <f>IF($B23=" ","",IFERROR(VLOOKUP($B23,MMWR_ACCURACY_RO[],MATCH(O$9,MMWR_ACCURACY_RO[#Headers],0),0),"ERROR"))</f>
        <v>4.5780591180819244E-2</v>
      </c>
      <c r="P23" s="28"/>
    </row>
    <row r="24" spans="1:16" x14ac:dyDescent="0.2">
      <c r="A24" s="25"/>
      <c r="B24" s="8" t="str">
        <f>VLOOKUP($B$16,DISTRICT_RO[],9,0)</f>
        <v>Newark VSC</v>
      </c>
      <c r="C24" s="155">
        <f>IF($B24=" ","",IFERROR(INDEX(MMWR_RATING_RO_ROLLUP[],MATCH($B24,MMWR_RATING_RO_ROLLUP[MMWR_RATING_RO_ROLLUP],0),MATCH(C$9,MMWR_RATING_RO_ROLLUP[#Headers],0)),"ERROR"))</f>
        <v>2541</v>
      </c>
      <c r="D24" s="156">
        <f>IF($B24=" ","",IFERROR(INDEX(MMWR_RATING_RO_ROLLUP[],MATCH($B24,MMWR_RATING_RO_ROLLUP[MMWR_RATING_RO_ROLLUP],0),MATCH(D$9,MMWR_RATING_RO_ROLLUP[#Headers],0)),"ERROR"))</f>
        <v>104.9594647776</v>
      </c>
      <c r="E24" s="157">
        <f>IF($B24=" ","",IFERROR(INDEX(MMWR_RATING_RO_ROLLUP[],MATCH($B24,MMWR_RATING_RO_ROLLUP[MMWR_RATING_RO_ROLLUP],0),MATCH(E$9,MMWR_RATING_RO_ROLLUP[#Headers],0))/$C24,"ERROR"))</f>
        <v>0.3168044077134986</v>
      </c>
      <c r="F24" s="155">
        <f>IF($B24=" ","",IFERROR(INDEX(MMWR_RATING_RO_ROLLUP[],MATCH($B24,MMWR_RATING_RO_ROLLUP[MMWR_RATING_RO_ROLLUP],0),MATCH(F$9,MMWR_RATING_RO_ROLLUP[#Headers],0)),"ERROR"))</f>
        <v>211</v>
      </c>
      <c r="G24" s="155">
        <f>IF($B24=" ","",IFERROR(INDEX(MMWR_RATING_RO_ROLLUP[],MATCH($B24,MMWR_RATING_RO_ROLLUP[MMWR_RATING_RO_ROLLUP],0),MATCH(G$9,MMWR_RATING_RO_ROLLUP[#Headers],0)),"ERROR"))</f>
        <v>5926</v>
      </c>
      <c r="H24" s="156">
        <f>IF($B24=" ","",IFERROR(INDEX(MMWR_RATING_RO_ROLLUP[],MATCH($B24,MMWR_RATING_RO_ROLLUP[MMWR_RATING_RO_ROLLUP],0),MATCH(H$9,MMWR_RATING_RO_ROLLUP[#Headers],0)),"ERROR"))</f>
        <v>156.16113744079999</v>
      </c>
      <c r="I24" s="156">
        <f>IF($B24=" ","",IFERROR(INDEX(MMWR_RATING_RO_ROLLUP[],MATCH($B24,MMWR_RATING_RO_ROLLUP[MMWR_RATING_RO_ROLLUP],0),MATCH(I$9,MMWR_RATING_RO_ROLLUP[#Headers],0)),"ERROR"))</f>
        <v>168.4525818427</v>
      </c>
      <c r="J24" s="160">
        <f>IF($B24=" ","",IFERROR(VLOOKUP($B24,MMWR_ACCURACY_RO[],MATCH(J$9,MMWR_ACCURACY_RO[#Headers],0),0),"ERROR"))</f>
        <v>0.95362548688336601</v>
      </c>
      <c r="K24" s="160">
        <f>IF($B24=" ","",IFERROR(VLOOKUP($B24,MMWR_ACCURACY_RO[],MATCH(K$9,MMWR_ACCURACY_RO[#Headers],0),0),"ERROR"))</f>
        <v>0.88282261545101415</v>
      </c>
      <c r="L24" s="160">
        <f>IF($B24=" ","",IFERROR(VLOOKUP($B24,MMWR_ACCURACY_RO[],MATCH(L$9,MMWR_ACCURACY_RO[#Headers],0),0),"ERROR"))</f>
        <v>0.86581783171170357</v>
      </c>
      <c r="M24" s="160">
        <f>IF($B24=" ","",IFERROR(VLOOKUP($B24,MMWR_ACCURACY_RO[],MATCH(M$9,MMWR_ACCURACY_RO[#Headers],0),0),"ERROR"))</f>
        <v>4.4544866268599888E-2</v>
      </c>
      <c r="N24" s="160">
        <f>IF($B24=" ","",IFERROR(VLOOKUP($B24,MMWR_ACCURACY_RO[],MATCH(N$9,MMWR_ACCURACY_RO[#Headers],0),0),"ERROR"))</f>
        <v>0.84286298940536586</v>
      </c>
      <c r="O24" s="160">
        <f>IF($B24=" ","",IFERROR(VLOOKUP($B24,MMWR_ACCURACY_RO[],MATCH(O$9,MMWR_ACCURACY_RO[#Headers],0),0),"ERROR"))</f>
        <v>4.4991386866490402E-2</v>
      </c>
      <c r="P24" s="28"/>
    </row>
    <row r="25" spans="1:16" x14ac:dyDescent="0.2">
      <c r="A25" s="25"/>
      <c r="B25" s="8" t="str">
        <f>VLOOKUP($B$16,DISTRICT_RO[],10,0)</f>
        <v>Philadelphia VSC</v>
      </c>
      <c r="C25" s="155">
        <f>IF($B25=" ","",IFERROR(INDEX(MMWR_RATING_RO_ROLLUP[],MATCH($B25,MMWR_RATING_RO_ROLLUP[MMWR_RATING_RO_ROLLUP],0),MATCH(C$9,MMWR_RATING_RO_ROLLUP[#Headers],0)),"ERROR"))</f>
        <v>8210</v>
      </c>
      <c r="D25" s="156">
        <f>IF($B25=" ","",IFERROR(INDEX(MMWR_RATING_RO_ROLLUP[],MATCH($B25,MMWR_RATING_RO_ROLLUP[MMWR_RATING_RO_ROLLUP],0),MATCH(D$9,MMWR_RATING_RO_ROLLUP[#Headers],0)),"ERROR"))</f>
        <v>145.45176613890001</v>
      </c>
      <c r="E25" s="157">
        <f>IF($B25=" ","",IFERROR(INDEX(MMWR_RATING_RO_ROLLUP[],MATCH($B25,MMWR_RATING_RO_ROLLUP[MMWR_RATING_RO_ROLLUP],0),MATCH(E$9,MMWR_RATING_RO_ROLLUP[#Headers],0))/$C25,"ERROR"))</f>
        <v>0.4322777101096224</v>
      </c>
      <c r="F25" s="155">
        <f>IF($B25=" ","",IFERROR(INDEX(MMWR_RATING_RO_ROLLUP[],MATCH($B25,MMWR_RATING_RO_ROLLUP[MMWR_RATING_RO_ROLLUP],0),MATCH(F$9,MMWR_RATING_RO_ROLLUP[#Headers],0)),"ERROR"))</f>
        <v>736</v>
      </c>
      <c r="G25" s="155">
        <f>IF($B25=" ","",IFERROR(INDEX(MMWR_RATING_RO_ROLLUP[],MATCH($B25,MMWR_RATING_RO_ROLLUP[MMWR_RATING_RO_ROLLUP],0),MATCH(G$9,MMWR_RATING_RO_ROLLUP[#Headers],0)),"ERROR"))</f>
        <v>23807</v>
      </c>
      <c r="H25" s="156">
        <f>IF($B25=" ","",IFERROR(INDEX(MMWR_RATING_RO_ROLLUP[],MATCH($B25,MMWR_RATING_RO_ROLLUP[MMWR_RATING_RO_ROLLUP],0),MATCH(H$9,MMWR_RATING_RO_ROLLUP[#Headers],0)),"ERROR"))</f>
        <v>184.37364130430001</v>
      </c>
      <c r="I25" s="156">
        <f>IF($B25=" ","",IFERROR(INDEX(MMWR_RATING_RO_ROLLUP[],MATCH($B25,MMWR_RATING_RO_ROLLUP[MMWR_RATING_RO_ROLLUP],0),MATCH(I$9,MMWR_RATING_RO_ROLLUP[#Headers],0)),"ERROR"))</f>
        <v>233.0750619566</v>
      </c>
      <c r="J25" s="160">
        <f>IF($B25=" ","",IFERROR(VLOOKUP($B25,MMWR_ACCURACY_RO[],MATCH(J$9,MMWR_ACCURACY_RO[#Headers],0),0),"ERROR"))</f>
        <v>0.90865213041132786</v>
      </c>
      <c r="K25" s="160">
        <f>IF($B25=" ","",IFERROR(VLOOKUP($B25,MMWR_ACCURACY_RO[],MATCH(K$9,MMWR_ACCURACY_RO[#Headers],0),0),"ERROR"))</f>
        <v>0.78308141584780711</v>
      </c>
      <c r="L25" s="160">
        <f>IF($B25=" ","",IFERROR(VLOOKUP($B25,MMWR_ACCURACY_RO[],MATCH(L$9,MMWR_ACCURACY_RO[#Headers],0),0),"ERROR"))</f>
        <v>0.86450871504688398</v>
      </c>
      <c r="M25" s="160">
        <f>IF($B25=" ","",IFERROR(VLOOKUP($B25,MMWR_ACCURACY_RO[],MATCH(M$9,MMWR_ACCURACY_RO[#Headers],0),0),"ERROR"))</f>
        <v>4.898247766391968E-2</v>
      </c>
      <c r="N25" s="160">
        <f>IF($B25=" ","",IFERROR(VLOOKUP($B25,MMWR_ACCURACY_RO[],MATCH(N$9,MMWR_ACCURACY_RO[#Headers],0),0),"ERROR"))</f>
        <v>0.91848003911697462</v>
      </c>
      <c r="O25" s="160">
        <f>IF($B25=" ","",IFERROR(VLOOKUP($B25,MMWR_ACCURACY_RO[],MATCH(O$9,MMWR_ACCURACY_RO[#Headers],0),0),"ERROR"))</f>
        <v>4.3623460147812522E-2</v>
      </c>
      <c r="P25" s="28"/>
    </row>
    <row r="26" spans="1:16" x14ac:dyDescent="0.2">
      <c r="A26" s="25"/>
      <c r="B26" s="8" t="str">
        <f>VLOOKUP($B$16,DISTRICT_RO[],11,0)</f>
        <v>Pittsburgh VSC</v>
      </c>
      <c r="C26" s="155">
        <f>IF($B26=" ","",IFERROR(INDEX(MMWR_RATING_RO_ROLLUP[],MATCH($B26,MMWR_RATING_RO_ROLLUP[MMWR_RATING_RO_ROLLUP],0),MATCH(C$9,MMWR_RATING_RO_ROLLUP[#Headers],0)),"ERROR"))</f>
        <v>4910</v>
      </c>
      <c r="D26" s="156">
        <f>IF($B26=" ","",IFERROR(INDEX(MMWR_RATING_RO_ROLLUP[],MATCH($B26,MMWR_RATING_RO_ROLLUP[MMWR_RATING_RO_ROLLUP],0),MATCH(D$9,MMWR_RATING_RO_ROLLUP[#Headers],0)),"ERROR"))</f>
        <v>135.32158859469999</v>
      </c>
      <c r="E26" s="157">
        <f>IF($B26=" ","",IFERROR(INDEX(MMWR_RATING_RO_ROLLUP[],MATCH($B26,MMWR_RATING_RO_ROLLUP[MMWR_RATING_RO_ROLLUP],0),MATCH(E$9,MMWR_RATING_RO_ROLLUP[#Headers],0))/$C26,"ERROR"))</f>
        <v>0.3590631364562118</v>
      </c>
      <c r="F26" s="155">
        <f>IF($B26=" ","",IFERROR(INDEX(MMWR_RATING_RO_ROLLUP[],MATCH($B26,MMWR_RATING_RO_ROLLUP[MMWR_RATING_RO_ROLLUP],0),MATCH(F$9,MMWR_RATING_RO_ROLLUP[#Headers],0)),"ERROR"))</f>
        <v>262</v>
      </c>
      <c r="G26" s="155">
        <f>IF($B26=" ","",IFERROR(INDEX(MMWR_RATING_RO_ROLLUP[],MATCH($B26,MMWR_RATING_RO_ROLLUP[MMWR_RATING_RO_ROLLUP],0),MATCH(G$9,MMWR_RATING_RO_ROLLUP[#Headers],0)),"ERROR"))</f>
        <v>9193</v>
      </c>
      <c r="H26" s="156">
        <f>IF($B26=" ","",IFERROR(INDEX(MMWR_RATING_RO_ROLLUP[],MATCH($B26,MMWR_RATING_RO_ROLLUP[MMWR_RATING_RO_ROLLUP],0),MATCH(H$9,MMWR_RATING_RO_ROLLUP[#Headers],0)),"ERROR"))</f>
        <v>191.19847328239999</v>
      </c>
      <c r="I26" s="156">
        <f>IF($B26=" ","",IFERROR(INDEX(MMWR_RATING_RO_ROLLUP[],MATCH($B26,MMWR_RATING_RO_ROLLUP[MMWR_RATING_RO_ROLLUP],0),MATCH(I$9,MMWR_RATING_RO_ROLLUP[#Headers],0)),"ERROR"))</f>
        <v>208.1950397041</v>
      </c>
      <c r="J26" s="160">
        <f>IF($B26=" ","",IFERROR(VLOOKUP($B26,MMWR_ACCURACY_RO[],MATCH(J$9,MMWR_ACCURACY_RO[#Headers],0),0),"ERROR"))</f>
        <v>0.94871407496934057</v>
      </c>
      <c r="K26" s="160">
        <f>IF($B26=" ","",IFERROR(VLOOKUP($B26,MMWR_ACCURACY_RO[],MATCH(K$9,MMWR_ACCURACY_RO[#Headers],0),0),"ERROR"))</f>
        <v>0.84826126053578133</v>
      </c>
      <c r="L26" s="160">
        <f>IF($B26=" ","",IFERROR(VLOOKUP($B26,MMWR_ACCURACY_RO[],MATCH(L$9,MMWR_ACCURACY_RO[#Headers],0),0),"ERROR"))</f>
        <v>0.89220254852439496</v>
      </c>
      <c r="M26" s="160">
        <f>IF($B26=" ","",IFERROR(VLOOKUP($B26,MMWR_ACCURACY_RO[],MATCH(M$9,MMWR_ACCURACY_RO[#Headers],0),0),"ERROR"))</f>
        <v>4.4380652729539206E-2</v>
      </c>
      <c r="N26" s="160">
        <f>IF($B26=" ","",IFERROR(VLOOKUP($B26,MMWR_ACCURACY_RO[],MATCH(N$9,MMWR_ACCURACY_RO[#Headers],0),0),"ERROR"))</f>
        <v>0.90551892337998352</v>
      </c>
      <c r="O26" s="160">
        <f>IF($B26=" ","",IFERROR(VLOOKUP($B26,MMWR_ACCURACY_RO[],MATCH(O$9,MMWR_ACCURACY_RO[#Headers],0),0),"ERROR"))</f>
        <v>5.0594791823523055E-2</v>
      </c>
      <c r="P26" s="28"/>
    </row>
    <row r="27" spans="1:16" x14ac:dyDescent="0.2">
      <c r="A27" s="25"/>
      <c r="B27" s="8" t="str">
        <f>VLOOKUP($B$16,DISTRICT_RO[],12,0)</f>
        <v>Providence VSC</v>
      </c>
      <c r="C27" s="155">
        <f>IF($B27=" ","",IFERROR(INDEX(MMWR_RATING_RO_ROLLUP[],MATCH($B27,MMWR_RATING_RO_ROLLUP[MMWR_RATING_RO_ROLLUP],0),MATCH(C$9,MMWR_RATING_RO_ROLLUP[#Headers],0)),"ERROR"))</f>
        <v>4482</v>
      </c>
      <c r="D27" s="156">
        <f>IF($B27=" ","",IFERROR(INDEX(MMWR_RATING_RO_ROLLUP[],MATCH($B27,MMWR_RATING_RO_ROLLUP[MMWR_RATING_RO_ROLLUP],0),MATCH(D$9,MMWR_RATING_RO_ROLLUP[#Headers],0)),"ERROR"))</f>
        <v>144.95180722890001</v>
      </c>
      <c r="E27" s="157">
        <f>IF($B27=" ","",IFERROR(INDEX(MMWR_RATING_RO_ROLLUP[],MATCH($B27,MMWR_RATING_RO_ROLLUP[MMWR_RATING_RO_ROLLUP],0),MATCH(E$9,MMWR_RATING_RO_ROLLUP[#Headers],0))/$C27,"ERROR"))</f>
        <v>0.46006247211066487</v>
      </c>
      <c r="F27" s="155">
        <f>IF($B27=" ","",IFERROR(INDEX(MMWR_RATING_RO_ROLLUP[],MATCH($B27,MMWR_RATING_RO_ROLLUP[MMWR_RATING_RO_ROLLUP],0),MATCH(F$9,MMWR_RATING_RO_ROLLUP[#Headers],0)),"ERROR"))</f>
        <v>680</v>
      </c>
      <c r="G27" s="155">
        <f>IF($B27=" ","",IFERROR(INDEX(MMWR_RATING_RO_ROLLUP[],MATCH($B27,MMWR_RATING_RO_ROLLUP[MMWR_RATING_RO_ROLLUP],0),MATCH(G$9,MMWR_RATING_RO_ROLLUP[#Headers],0)),"ERROR"))</f>
        <v>23417</v>
      </c>
      <c r="H27" s="156">
        <f>IF($B27=" ","",IFERROR(INDEX(MMWR_RATING_RO_ROLLUP[],MATCH($B27,MMWR_RATING_RO_ROLLUP[MMWR_RATING_RO_ROLLUP],0),MATCH(H$9,MMWR_RATING_RO_ROLLUP[#Headers],0)),"ERROR"))</f>
        <v>109.5911764706</v>
      </c>
      <c r="I27" s="156">
        <f>IF($B27=" ","",IFERROR(INDEX(MMWR_RATING_RO_ROLLUP[],MATCH($B27,MMWR_RATING_RO_ROLLUP[MMWR_RATING_RO_ROLLUP],0),MATCH(I$9,MMWR_RATING_RO_ROLLUP[#Headers],0)),"ERROR"))</f>
        <v>85.464149976499996</v>
      </c>
      <c r="J27" s="160">
        <f>IF($B27=" ","",IFERROR(VLOOKUP($B27,MMWR_ACCURACY_RO[],MATCH(J$9,MMWR_ACCURACY_RO[#Headers],0),0),"ERROR"))</f>
        <v>0.95877532475481553</v>
      </c>
      <c r="K27" s="160">
        <f>IF($B27=" ","",IFERROR(VLOOKUP($B27,MMWR_ACCURACY_RO[],MATCH(K$9,MMWR_ACCURACY_RO[#Headers],0),0),"ERROR"))</f>
        <v>0.74662914896060639</v>
      </c>
      <c r="L27" s="160">
        <f>IF($B27=" ","",IFERROR(VLOOKUP($B27,MMWR_ACCURACY_RO[],MATCH(L$9,MMWR_ACCURACY_RO[#Headers],0),0),"ERROR"))</f>
        <v>0.87104958417637723</v>
      </c>
      <c r="M27" s="160">
        <f>IF($B27=" ","",IFERROR(VLOOKUP($B27,MMWR_ACCURACY_RO[],MATCH(M$9,MMWR_ACCURACY_RO[#Headers],0),0),"ERROR"))</f>
        <v>5.4077870587640506E-2</v>
      </c>
      <c r="N27" s="160">
        <f>IF($B27=" ","",IFERROR(VLOOKUP($B27,MMWR_ACCURACY_RO[],MATCH(N$9,MMWR_ACCURACY_RO[#Headers],0),0),"ERROR"))</f>
        <v>0.94176371022342575</v>
      </c>
      <c r="O27" s="160">
        <f>IF($B27=" ","",IFERROR(VLOOKUP($B27,MMWR_ACCURACY_RO[],MATCH(O$9,MMWR_ACCURACY_RO[#Headers],0),0),"ERROR"))</f>
        <v>3.2726725697578306E-2</v>
      </c>
      <c r="P27" s="28"/>
    </row>
    <row r="28" spans="1:16" x14ac:dyDescent="0.2">
      <c r="A28" s="25"/>
      <c r="B28" s="8" t="str">
        <f>VLOOKUP($B$16,DISTRICT_RO[],13,0)</f>
        <v>Roanoke VSC</v>
      </c>
      <c r="C28" s="155">
        <f>IF($B28=" ","",IFERROR(INDEX(MMWR_RATING_RO_ROLLUP[],MATCH($B28,MMWR_RATING_RO_ROLLUP[MMWR_RATING_RO_ROLLUP],0),MATCH(C$9,MMWR_RATING_RO_ROLLUP[#Headers],0)),"ERROR"))</f>
        <v>12213</v>
      </c>
      <c r="D28" s="156">
        <f>IF($B28=" ","",IFERROR(INDEX(MMWR_RATING_RO_ROLLUP[],MATCH($B28,MMWR_RATING_RO_ROLLUP[MMWR_RATING_RO_ROLLUP],0),MATCH(D$9,MMWR_RATING_RO_ROLLUP[#Headers],0)),"ERROR"))</f>
        <v>115.3856546303</v>
      </c>
      <c r="E28" s="157">
        <f>IF($B28=" ","",IFERROR(INDEX(MMWR_RATING_RO_ROLLUP[],MATCH($B28,MMWR_RATING_RO_ROLLUP[MMWR_RATING_RO_ROLLUP],0),MATCH(E$9,MMWR_RATING_RO_ROLLUP[#Headers],0))/$C28,"ERROR"))</f>
        <v>0.33832801113567512</v>
      </c>
      <c r="F28" s="155">
        <f>IF($B28=" ","",IFERROR(INDEX(MMWR_RATING_RO_ROLLUP[],MATCH($B28,MMWR_RATING_RO_ROLLUP[MMWR_RATING_RO_ROLLUP],0),MATCH(F$9,MMWR_RATING_RO_ROLLUP[#Headers],0)),"ERROR"))</f>
        <v>1044</v>
      </c>
      <c r="G28" s="155">
        <f>IF($B28=" ","",IFERROR(INDEX(MMWR_RATING_RO_ROLLUP[],MATCH($B28,MMWR_RATING_RO_ROLLUP[MMWR_RATING_RO_ROLLUP],0),MATCH(G$9,MMWR_RATING_RO_ROLLUP[#Headers],0)),"ERROR"))</f>
        <v>28836</v>
      </c>
      <c r="H28" s="156">
        <f>IF($B28=" ","",IFERROR(INDEX(MMWR_RATING_RO_ROLLUP[],MATCH($B28,MMWR_RATING_RO_ROLLUP[MMWR_RATING_RO_ROLLUP],0),MATCH(H$9,MMWR_RATING_RO_ROLLUP[#Headers],0)),"ERROR"))</f>
        <v>166.48180076630001</v>
      </c>
      <c r="I28" s="156">
        <f>IF($B28=" ","",IFERROR(INDEX(MMWR_RATING_RO_ROLLUP[],MATCH($B28,MMWR_RATING_RO_ROLLUP[MMWR_RATING_RO_ROLLUP],0),MATCH(I$9,MMWR_RATING_RO_ROLLUP[#Headers],0)),"ERROR"))</f>
        <v>203.51366347620001</v>
      </c>
      <c r="J28" s="160">
        <f>IF($B28=" ","",IFERROR(VLOOKUP($B28,MMWR_ACCURACY_RO[],MATCH(J$9,MMWR_ACCURACY_RO[#Headers],0),0),"ERROR"))</f>
        <v>0.96690726900268587</v>
      </c>
      <c r="K28" s="160">
        <f>IF($B28=" ","",IFERROR(VLOOKUP($B28,MMWR_ACCURACY_RO[],MATCH(K$9,MMWR_ACCURACY_RO[#Headers],0),0),"ERROR"))</f>
        <v>0.85710220464893372</v>
      </c>
      <c r="L28" s="160">
        <f>IF($B28=" ","",IFERROR(VLOOKUP($B28,MMWR_ACCURACY_RO[],MATCH(L$9,MMWR_ACCURACY_RO[#Headers],0),0),"ERROR"))</f>
        <v>0.91197422642180992</v>
      </c>
      <c r="M28" s="160">
        <f>IF($B28=" ","",IFERROR(VLOOKUP($B28,MMWR_ACCURACY_RO[],MATCH(M$9,MMWR_ACCURACY_RO[#Headers],0),0),"ERROR"))</f>
        <v>4.4676480650515132E-2</v>
      </c>
      <c r="N28" s="160">
        <f>IF($B28=" ","",IFERROR(VLOOKUP($B28,MMWR_ACCURACY_RO[],MATCH(N$9,MMWR_ACCURACY_RO[#Headers],0),0),"ERROR"))</f>
        <v>0.95360792222993207</v>
      </c>
      <c r="O28" s="160">
        <f>IF($B28=" ","",IFERROR(VLOOKUP($B28,MMWR_ACCURACY_RO[],MATCH(O$9,MMWR_ACCURACY_RO[#Headers],0),0),"ERROR"))</f>
        <v>2.6055898443749826E-2</v>
      </c>
      <c r="P28" s="28"/>
    </row>
    <row r="29" spans="1:16" x14ac:dyDescent="0.2">
      <c r="A29" s="25"/>
      <c r="B29" s="8" t="str">
        <f>VLOOKUP($B$16,DISTRICT_RO[],14,0)</f>
        <v>Togus VSC</v>
      </c>
      <c r="C29" s="155">
        <f>IF($B29=" ","",IFERROR(INDEX(MMWR_RATING_RO_ROLLUP[],MATCH($B29,MMWR_RATING_RO_ROLLUP[MMWR_RATING_RO_ROLLUP],0),MATCH(C$9,MMWR_RATING_RO_ROLLUP[#Headers],0)),"ERROR"))</f>
        <v>5882</v>
      </c>
      <c r="D29" s="156">
        <f>IF($B29=" ","",IFERROR(INDEX(MMWR_RATING_RO_ROLLUP[],MATCH($B29,MMWR_RATING_RO_ROLLUP[MMWR_RATING_RO_ROLLUP],0),MATCH(D$9,MMWR_RATING_RO_ROLLUP[#Headers],0)),"ERROR"))</f>
        <v>135.38286297179999</v>
      </c>
      <c r="E29" s="157">
        <f>IF($B29=" ","",IFERROR(INDEX(MMWR_RATING_RO_ROLLUP[],MATCH($B29,MMWR_RATING_RO_ROLLUP[MMWR_RATING_RO_ROLLUP],0),MATCH(E$9,MMWR_RATING_RO_ROLLUP[#Headers],0))/$C29,"ERROR"))</f>
        <v>0.3619517171030262</v>
      </c>
      <c r="F29" s="155">
        <f>IF($B29=" ","",IFERROR(INDEX(MMWR_RATING_RO_ROLLUP[],MATCH($B29,MMWR_RATING_RO_ROLLUP[MMWR_RATING_RO_ROLLUP],0),MATCH(F$9,MMWR_RATING_RO_ROLLUP[#Headers],0)),"ERROR"))</f>
        <v>526</v>
      </c>
      <c r="G29" s="155">
        <f>IF($B29=" ","",IFERROR(INDEX(MMWR_RATING_RO_ROLLUP[],MATCH($B29,MMWR_RATING_RO_ROLLUP[MMWR_RATING_RO_ROLLUP],0),MATCH(G$9,MMWR_RATING_RO_ROLLUP[#Headers],0)),"ERROR"))</f>
        <v>15321</v>
      </c>
      <c r="H29" s="156">
        <f>IF($B29=" ","",IFERROR(INDEX(MMWR_RATING_RO_ROLLUP[],MATCH($B29,MMWR_RATING_RO_ROLLUP[MMWR_RATING_RO_ROLLUP],0),MATCH(H$9,MMWR_RATING_RO_ROLLUP[#Headers],0)),"ERROR"))</f>
        <v>198.3269961977</v>
      </c>
      <c r="I29" s="156">
        <f>IF($B29=" ","",IFERROR(INDEX(MMWR_RATING_RO_ROLLUP[],MATCH($B29,MMWR_RATING_RO_ROLLUP[MMWR_RATING_RO_ROLLUP],0),MATCH(I$9,MMWR_RATING_RO_ROLLUP[#Headers],0)),"ERROR"))</f>
        <v>213.8708308857</v>
      </c>
      <c r="J29" s="160">
        <f>IF($B29=" ","",IFERROR(VLOOKUP($B29,MMWR_ACCURACY_RO[],MATCH(J$9,MMWR_ACCURACY_RO[#Headers],0),0),"ERROR"))</f>
        <v>0.97136833894912233</v>
      </c>
      <c r="K29" s="160">
        <f>IF($B29=" ","",IFERROR(VLOOKUP($B29,MMWR_ACCURACY_RO[],MATCH(K$9,MMWR_ACCURACY_RO[#Headers],0),0),"ERROR"))</f>
        <v>0.90754927919976458</v>
      </c>
      <c r="L29" s="160">
        <f>IF($B29=" ","",IFERROR(VLOOKUP($B29,MMWR_ACCURACY_RO[],MATCH(L$9,MMWR_ACCURACY_RO[#Headers],0),0),"ERROR"))</f>
        <v>0.89543861051315943</v>
      </c>
      <c r="M29" s="160">
        <f>IF($B29=" ","",IFERROR(VLOOKUP($B29,MMWR_ACCURACY_RO[],MATCH(M$9,MMWR_ACCURACY_RO[#Headers],0),0),"ERROR"))</f>
        <v>5.0565755933903486E-2</v>
      </c>
      <c r="N29" s="160">
        <f>IF($B29=" ","",IFERROR(VLOOKUP($B29,MMWR_ACCURACY_RO[],MATCH(N$9,MMWR_ACCURACY_RO[#Headers],0),0),"ERROR"))</f>
        <v>0.96208750600990522</v>
      </c>
      <c r="O29" s="160">
        <f>IF($B29=" ","",IFERROR(VLOOKUP($B29,MMWR_ACCURACY_RO[],MATCH(O$9,MMWR_ACCURACY_RO[#Headers],0),0),"ERROR"))</f>
        <v>3.2102920575488907E-2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648</v>
      </c>
      <c r="D30" s="156">
        <f>IF($B30=" ","",IFERROR(INDEX(MMWR_RATING_RO_ROLLUP[],MATCH($B30,MMWR_RATING_RO_ROLLUP[MMWR_RATING_RO_ROLLUP],0),MATCH(D$9,MMWR_RATING_RO_ROLLUP[#Headers],0)),"ERROR"))</f>
        <v>142.2962962963</v>
      </c>
      <c r="E30" s="157">
        <f>IF($B30=" ","",IFERROR(INDEX(MMWR_RATING_RO_ROLLUP[],MATCH($B30,MMWR_RATING_RO_ROLLUP[MMWR_RATING_RO_ROLLUP],0),MATCH(E$9,MMWR_RATING_RO_ROLLUP[#Headers],0))/$C30,"ERROR"))</f>
        <v>0.50771604938271608</v>
      </c>
      <c r="F30" s="155">
        <f>IF($B30=" ","",IFERROR(INDEX(MMWR_RATING_RO_ROLLUP[],MATCH($B30,MMWR_RATING_RO_ROLLUP[MMWR_RATING_RO_ROLLUP],0),MATCH(F$9,MMWR_RATING_RO_ROLLUP[#Headers],0)),"ERROR"))</f>
        <v>48</v>
      </c>
      <c r="G30" s="155">
        <f>IF($B30=" ","",IFERROR(INDEX(MMWR_RATING_RO_ROLLUP[],MATCH($B30,MMWR_RATING_RO_ROLLUP[MMWR_RATING_RO_ROLLUP],0),MATCH(G$9,MMWR_RATING_RO_ROLLUP[#Headers],0)),"ERROR"))</f>
        <v>1829</v>
      </c>
      <c r="H30" s="156">
        <f>IF($B30=" ","",IFERROR(INDEX(MMWR_RATING_RO_ROLLUP[],MATCH($B30,MMWR_RATING_RO_ROLLUP[MMWR_RATING_RO_ROLLUP],0),MATCH(H$9,MMWR_RATING_RO_ROLLUP[#Headers],0)),"ERROR"))</f>
        <v>170.6666666667</v>
      </c>
      <c r="I30" s="156">
        <f>IF($B30=" ","",IFERROR(INDEX(MMWR_RATING_RO_ROLLUP[],MATCH($B30,MMWR_RATING_RO_ROLLUP[MMWR_RATING_RO_ROLLUP],0),MATCH(I$9,MMWR_RATING_RO_ROLLUP[#Headers],0)),"ERROR"))</f>
        <v>193.67851284860001</v>
      </c>
      <c r="J30" s="160">
        <f>IF($B30=" ","",IFERROR(VLOOKUP($B30,MMWR_ACCURACY_RO[],MATCH(J$9,MMWR_ACCURACY_RO[#Headers],0),0),"ERROR"))</f>
        <v>0.90407738295156836</v>
      </c>
      <c r="K30" s="160">
        <f>IF($B30=" ","",IFERROR(VLOOKUP($B30,MMWR_ACCURACY_RO[],MATCH(K$9,MMWR_ACCURACY_RO[#Headers],0),0),"ERROR"))</f>
        <v>0.78799392097264431</v>
      </c>
      <c r="L30" s="160">
        <f>IF($B30=" ","",IFERROR(VLOOKUP($B30,MMWR_ACCURACY_RO[],MATCH(L$9,MMWR_ACCURACY_RO[#Headers],0),0),"ERROR"))</f>
        <v>0.83558366623763303</v>
      </c>
      <c r="M30" s="160">
        <f>IF($B30=" ","",IFERROR(VLOOKUP($B30,MMWR_ACCURACY_RO[],MATCH(M$9,MMWR_ACCURACY_RO[#Headers],0),0),"ERROR"))</f>
        <v>5.0315883255151878E-2</v>
      </c>
      <c r="N30" s="160">
        <f>IF($B30=" ","",IFERROR(VLOOKUP($B30,MMWR_ACCURACY_RO[],MATCH(N$9,MMWR_ACCURACY_RO[#Headers],0),0),"ERROR"))</f>
        <v>0.86957951296460589</v>
      </c>
      <c r="O30" s="160">
        <f>IF($B30=" ","",IFERROR(VLOOKUP($B30,MMWR_ACCURACY_RO[],MATCH(O$9,MMWR_ACCURACY_RO[#Headers],0),0),"ERROR"))</f>
        <v>3.6472295560088103E-2</v>
      </c>
      <c r="P30" s="28"/>
    </row>
    <row r="31" spans="1:16" x14ac:dyDescent="0.2">
      <c r="A31" s="25"/>
      <c r="B31" s="8" t="str">
        <f>VLOOKUP($B$16,DISTRICT_RO[],16,0)</f>
        <v>Wilmington VSC</v>
      </c>
      <c r="C31" s="155">
        <f>IF($B31=" ","",IFERROR(INDEX(MMWR_RATING_RO_ROLLUP[],MATCH($B31,MMWR_RATING_RO_ROLLUP[MMWR_RATING_RO_ROLLUP],0),MATCH(C$9,MMWR_RATING_RO_ROLLUP[#Headers],0)),"ERROR"))</f>
        <v>673</v>
      </c>
      <c r="D31" s="156">
        <f>IF($B31=" ","",IFERROR(INDEX(MMWR_RATING_RO_ROLLUP[],MATCH($B31,MMWR_RATING_RO_ROLLUP[MMWR_RATING_RO_ROLLUP],0),MATCH(D$9,MMWR_RATING_RO_ROLLUP[#Headers],0)),"ERROR"))</f>
        <v>130.73997028229999</v>
      </c>
      <c r="E31" s="157">
        <f>IF($B31=" ","",IFERROR(INDEX(MMWR_RATING_RO_ROLLUP[],MATCH($B31,MMWR_RATING_RO_ROLLUP[MMWR_RATING_RO_ROLLUP],0),MATCH(E$9,MMWR_RATING_RO_ROLLUP[#Headers],0))/$C31,"ERROR"))</f>
        <v>0.29717682020802377</v>
      </c>
      <c r="F31" s="155">
        <f>IF($B31=" ","",IFERROR(INDEX(MMWR_RATING_RO_ROLLUP[],MATCH($B31,MMWR_RATING_RO_ROLLUP[MMWR_RATING_RO_ROLLUP],0),MATCH(F$9,MMWR_RATING_RO_ROLLUP[#Headers],0)),"ERROR"))</f>
        <v>34</v>
      </c>
      <c r="G31" s="155">
        <f>IF($B31=" ","",IFERROR(INDEX(MMWR_RATING_RO_ROLLUP[],MATCH($B31,MMWR_RATING_RO_ROLLUP[MMWR_RATING_RO_ROLLUP],0),MATCH(G$9,MMWR_RATING_RO_ROLLUP[#Headers],0)),"ERROR"))</f>
        <v>1700</v>
      </c>
      <c r="H31" s="156">
        <f>IF($B31=" ","",IFERROR(INDEX(MMWR_RATING_RO_ROLLUP[],MATCH($B31,MMWR_RATING_RO_ROLLUP[MMWR_RATING_RO_ROLLUP],0),MATCH(H$9,MMWR_RATING_RO_ROLLUP[#Headers],0)),"ERROR"))</f>
        <v>272.3529411765</v>
      </c>
      <c r="I31" s="156">
        <f>IF($B31=" ","",IFERROR(INDEX(MMWR_RATING_RO_ROLLUP[],MATCH($B31,MMWR_RATING_RO_ROLLUP[MMWR_RATING_RO_ROLLUP],0),MATCH(I$9,MMWR_RATING_RO_ROLLUP[#Headers],0)),"ERROR"))</f>
        <v>230.15352941180001</v>
      </c>
      <c r="J31" s="160">
        <f>IF($B31=" ","",IFERROR(VLOOKUP($B31,MMWR_ACCURACY_RO[],MATCH(J$9,MMWR_ACCURACY_RO[#Headers],0),0),"ERROR"))</f>
        <v>0.94191628545479666</v>
      </c>
      <c r="K31" s="160">
        <f>IF($B31=" ","",IFERROR(VLOOKUP($B31,MMWR_ACCURACY_RO[],MATCH(K$9,MMWR_ACCURACY_RO[#Headers],0),0),"ERROR"))</f>
        <v>0.87576237391508338</v>
      </c>
      <c r="L31" s="160">
        <f>IF($B31=" ","",IFERROR(VLOOKUP($B31,MMWR_ACCURACY_RO[],MATCH(L$9,MMWR_ACCURACY_RO[#Headers],0),0),"ERROR"))</f>
        <v>0.87278812135354511</v>
      </c>
      <c r="M31" s="160">
        <f>IF($B31=" ","",IFERROR(VLOOKUP($B31,MMWR_ACCURACY_RO[],MATCH(M$9,MMWR_ACCURACY_RO[#Headers],0),0),"ERROR"))</f>
        <v>4.1148542696516376E-2</v>
      </c>
      <c r="N31" s="160">
        <f>IF($B31=" ","",IFERROR(VLOOKUP($B31,MMWR_ACCURACY_RO[],MATCH(N$9,MMWR_ACCURACY_RO[#Headers],0),0),"ERROR"))</f>
        <v>0.89020310815742787</v>
      </c>
      <c r="O31" s="160">
        <f>IF($B31=" ","",IFERROR(VLOOKUP($B31,MMWR_ACCURACY_RO[],MATCH(O$9,MMWR_ACCURACY_RO[#Headers],0),0),"ERROR"))</f>
        <v>4.6809227432633167E-2</v>
      </c>
      <c r="P31" s="28"/>
    </row>
    <row r="32" spans="1:16" x14ac:dyDescent="0.2">
      <c r="A32" s="25"/>
      <c r="B32" s="8" t="str">
        <f>VLOOKUP($B$16,DISTRICT_RO[],17,0)</f>
        <v>Winston-Salem VSC</v>
      </c>
      <c r="C32" s="155">
        <f>IF($B32=" ","",IFERROR(INDEX(MMWR_RATING_RO_ROLLUP[],MATCH($B32,MMWR_RATING_RO_ROLLUP[MMWR_RATING_RO_ROLLUP],0),MATCH(C$9,MMWR_RATING_RO_ROLLUP[#Headers],0)),"ERROR"))</f>
        <v>12162</v>
      </c>
      <c r="D32" s="156">
        <f>IF($B32=" ","",IFERROR(INDEX(MMWR_RATING_RO_ROLLUP[],MATCH($B32,MMWR_RATING_RO_ROLLUP[MMWR_RATING_RO_ROLLUP],0),MATCH(D$9,MMWR_RATING_RO_ROLLUP[#Headers],0)),"ERROR"))</f>
        <v>125.3272488078</v>
      </c>
      <c r="E32" s="157">
        <f>IF($B32=" ","",IFERROR(INDEX(MMWR_RATING_RO_ROLLUP[],MATCH($B32,MMWR_RATING_RO_ROLLUP[MMWR_RATING_RO_ROLLUP],0),MATCH(E$9,MMWR_RATING_RO_ROLLUP[#Headers],0))/$C32,"ERROR"))</f>
        <v>0.33769116921558956</v>
      </c>
      <c r="F32" s="155">
        <f>IF($B32=" ","",IFERROR(INDEX(MMWR_RATING_RO_ROLLUP[],MATCH($B32,MMWR_RATING_RO_ROLLUP[MMWR_RATING_RO_ROLLUP],0),MATCH(F$9,MMWR_RATING_RO_ROLLUP[#Headers],0)),"ERROR"))</f>
        <v>875</v>
      </c>
      <c r="G32" s="155">
        <f>IF($B32=" ","",IFERROR(INDEX(MMWR_RATING_RO_ROLLUP[],MATCH($B32,MMWR_RATING_RO_ROLLUP[MMWR_RATING_RO_ROLLUP],0),MATCH(G$9,MMWR_RATING_RO_ROLLUP[#Headers],0)),"ERROR"))</f>
        <v>31649</v>
      </c>
      <c r="H32" s="156">
        <f>IF($B32=" ","",IFERROR(INDEX(MMWR_RATING_RO_ROLLUP[],MATCH($B32,MMWR_RATING_RO_ROLLUP[MMWR_RATING_RO_ROLLUP],0),MATCH(H$9,MMWR_RATING_RO_ROLLUP[#Headers],0)),"ERROR"))</f>
        <v>173.6697142857</v>
      </c>
      <c r="I32" s="156">
        <f>IF($B32=" ","",IFERROR(INDEX(MMWR_RATING_RO_ROLLUP[],MATCH($B32,MMWR_RATING_RO_ROLLUP[MMWR_RATING_RO_ROLLUP],0),MATCH(I$9,MMWR_RATING_RO_ROLLUP[#Headers],0)),"ERROR"))</f>
        <v>217.49597143669999</v>
      </c>
      <c r="J32" s="160">
        <f>IF($B32=" ","",IFERROR(VLOOKUP($B32,MMWR_ACCURACY_RO[],MATCH(J$9,MMWR_ACCURACY_RO[#Headers],0),0),"ERROR"))</f>
        <v>0.95892118819625649</v>
      </c>
      <c r="K32" s="160">
        <f>IF($B32=" ","",IFERROR(VLOOKUP($B32,MMWR_ACCURACY_RO[],MATCH(K$9,MMWR_ACCURACY_RO[#Headers],0),0),"ERROR"))</f>
        <v>0.79939185656733402</v>
      </c>
      <c r="L32" s="160">
        <f>IF($B32=" ","",IFERROR(VLOOKUP($B32,MMWR_ACCURACY_RO[],MATCH(L$9,MMWR_ACCURACY_RO[#Headers],0),0),"ERROR"))</f>
        <v>0.83629756840852632</v>
      </c>
      <c r="M32" s="160">
        <f>IF($B32=" ","",IFERROR(VLOOKUP($B32,MMWR_ACCURACY_RO[],MATCH(M$9,MMWR_ACCURACY_RO[#Headers],0),0),"ERROR"))</f>
        <v>5.0583679595135961E-2</v>
      </c>
      <c r="N32" s="160">
        <f>IF($B32=" ","",IFERROR(VLOOKUP($B32,MMWR_ACCURACY_RO[],MATCH(N$9,MMWR_ACCURACY_RO[#Headers],0),0),"ERROR"))</f>
        <v>0.93371976313245308</v>
      </c>
      <c r="O32" s="160">
        <f>IF($B32=" ","",IFERROR(VLOOKUP($B32,MMWR_ACCURACY_RO[],MATCH(O$9,MMWR_ACCURACY_RO[#Headers],0),0),"ERROR"))</f>
        <v>3.0014731871330795E-2</v>
      </c>
      <c r="P32" s="28"/>
    </row>
    <row r="33" spans="1:16" x14ac:dyDescent="0.2">
      <c r="A33" s="25"/>
      <c r="B33" s="357" t="s">
        <v>750</v>
      </c>
      <c r="C33" s="358"/>
      <c r="D33" s="358"/>
      <c r="E33" s="358"/>
      <c r="F33" s="358"/>
      <c r="G33" s="358"/>
      <c r="H33" s="358"/>
      <c r="I33" s="358"/>
      <c r="J33" s="358"/>
      <c r="K33" s="358"/>
      <c r="L33" s="358"/>
      <c r="M33" s="358"/>
      <c r="N33" s="358"/>
      <c r="O33" s="358"/>
      <c r="P33" s="28"/>
    </row>
    <row r="34" spans="1:16" x14ac:dyDescent="0.2">
      <c r="A34" s="25"/>
      <c r="B34" s="11" t="s">
        <v>713</v>
      </c>
      <c r="C34" s="155">
        <f>IF($B34=" ","",IFERROR(INDEX(MMWR_RATING_RO_ROLLUP[],MATCH($B34,MMWR_RATING_RO_ROLLUP[MMWR_RATING_RO_ROLLUP],0),MATCH(C$9,MMWR_RATING_RO_ROLLUP[#Headers],0)),"ERROR"))</f>
        <v>18835</v>
      </c>
      <c r="D34" s="156">
        <f>IF($B34=" ","",IFERROR(INDEX(MMWR_RATING_RO_ROLLUP[],MATCH($B34,MMWR_RATING_RO_ROLLUP[MMWR_RATING_RO_ROLLUP],0),MATCH(D$9,MMWR_RATING_RO_ROLLUP[#Headers],0)),"ERROR"))</f>
        <v>61.755933103300002</v>
      </c>
      <c r="E34" s="157">
        <f>IF($B34=" ","",IFERROR(INDEX(MMWR_RATING_RO_ROLLUP[],MATCH($B34,MMWR_RATING_RO_ROLLUP[MMWR_RATING_RO_ROLLUP],0),MATCH(E$9,MMWR_RATING_RO_ROLLUP[#Headers],0))/$C34,"ERROR"))</f>
        <v>9.6522431643217416E-2</v>
      </c>
      <c r="F34" s="155">
        <f>IF($B34=" ","",IFERROR(INDEX(MMWR_RATING_RO_ROLLUP[],MATCH($B34,MMWR_RATING_RO_ROLLUP[MMWR_RATING_RO_ROLLUP],0),MATCH(F$9,MMWR_RATING_RO_ROLLUP[#Headers],0)),"ERROR"))</f>
        <v>3312</v>
      </c>
      <c r="G34" s="155">
        <f>IF($B34=" ","",IFERROR(INDEX(MMWR_RATING_RO_ROLLUP[],MATCH($B34,MMWR_RATING_RO_ROLLUP[MMWR_RATING_RO_ROLLUP],0),MATCH(G$9,MMWR_RATING_RO_ROLLUP[#Headers],0)),"ERROR"))</f>
        <v>119015</v>
      </c>
      <c r="H34" s="156">
        <f>IF($B34=" ","",IFERROR(INDEX(MMWR_RATING_RO_ROLLUP[],MATCH($B34,MMWR_RATING_RO_ROLLUP[MMWR_RATING_RO_ROLLUP],0),MATCH(H$9,MMWR_RATING_RO_ROLLUP[#Headers],0)),"ERROR"))</f>
        <v>69.228562801899997</v>
      </c>
      <c r="I34" s="156">
        <f>IF($B34=" ","",IFERROR(INDEX(MMWR_RATING_RO_ROLLUP[],MATCH($B34,MMWR_RATING_RO_ROLLUP[MMWR_RATING_RO_ROLLUP],0),MATCH(I$9,MMWR_RATING_RO_ROLLUP[#Headers],0)),"ERROR"))</f>
        <v>64.570297861599997</v>
      </c>
      <c r="J34" s="42"/>
      <c r="K34" s="43"/>
      <c r="L34" s="43"/>
      <c r="M34" s="43"/>
      <c r="N34" s="43"/>
      <c r="O34" s="43"/>
      <c r="P34" s="28"/>
    </row>
    <row r="35" spans="1:16" x14ac:dyDescent="0.2">
      <c r="A35" s="25"/>
      <c r="B35" s="12" t="s">
        <v>218</v>
      </c>
      <c r="C35" s="155">
        <f>IF($B35=" ","",IFERROR(INDEX(MMWR_RATING_RO_ROLLUP[],MATCH($B35,MMWR_RATING_RO_ROLLUP[MMWR_RATING_RO_ROLLUP],0),MATCH(C$9,MMWR_RATING_RO_ROLLUP[#Headers],0)),"ERROR"))</f>
        <v>5878</v>
      </c>
      <c r="D35" s="156">
        <f>IF($B35=" ","",IFERROR(INDEX(MMWR_RATING_RO_ROLLUP[],MATCH($B35,MMWR_RATING_RO_ROLLUP[MMWR_RATING_RO_ROLLUP],0),MATCH(D$9,MMWR_RATING_RO_ROLLUP[#Headers],0)),"ERROR"))</f>
        <v>66.549336509</v>
      </c>
      <c r="E35" s="157">
        <f>IF($B35=" ","",IFERROR(INDEX(MMWR_RATING_RO_ROLLUP[],MATCH($B35,MMWR_RATING_RO_ROLLUP[MMWR_RATING_RO_ROLLUP],0),MATCH(E$9,MMWR_RATING_RO_ROLLUP[#Headers],0))/$C35,"ERROR"))</f>
        <v>0.1218101395032324</v>
      </c>
      <c r="F35" s="155">
        <f>IF($B35=" ","",IFERROR(INDEX(MMWR_RATING_RO_ROLLUP[],MATCH($B35,MMWR_RATING_RO_ROLLUP[MMWR_RATING_RO_ROLLUP],0),MATCH(F$9,MMWR_RATING_RO_ROLLUP[#Headers],0)),"ERROR"))</f>
        <v>1125</v>
      </c>
      <c r="G35" s="155">
        <f>IF($B35=" ","",IFERROR(INDEX(MMWR_RATING_RO_ROLLUP[],MATCH($B35,MMWR_RATING_RO_ROLLUP[MMWR_RATING_RO_ROLLUP],0),MATCH(G$9,MMWR_RATING_RO_ROLLUP[#Headers],0)),"ERROR"))</f>
        <v>37919</v>
      </c>
      <c r="H35" s="156">
        <f>IF($B35=" ","",IFERROR(INDEX(MMWR_RATING_RO_ROLLUP[],MATCH($B35,MMWR_RATING_RO_ROLLUP[MMWR_RATING_RO_ROLLUP],0),MATCH(H$9,MMWR_RATING_RO_ROLLUP[#Headers],0)),"ERROR"))</f>
        <v>76.017777777800006</v>
      </c>
      <c r="I35" s="156">
        <f>IF($B35=" ","",IFERROR(INDEX(MMWR_RATING_RO_ROLLUP[],MATCH($B35,MMWR_RATING_RO_ROLLUP[MMWR_RATING_RO_ROLLUP],0),MATCH(I$9,MMWR_RATING_RO_ROLLUP[#Headers],0)),"ERROR"))</f>
        <v>72.804741686200003</v>
      </c>
      <c r="J35" s="42"/>
      <c r="K35" s="254">
        <f>IF($B35=" ","",IFERROR(VLOOKUP($B35,MMWR_ACCURACY_RO[],MATCH(K$49,MMWR_ACCURACY_RO[#Headers],0),0),"ERROR"))</f>
        <v>0.96956848030018761</v>
      </c>
      <c r="L35" s="254">
        <f>IF($B35=" ","",IFERROR(VLOOKUP($B35,MMWR_ACCURACY_RO[],MATCH(L$49,MMWR_ACCURACY_RO[#Headers],0),0),"ERROR"))</f>
        <v>0.97429808300267595</v>
      </c>
      <c r="M35" s="254">
        <f>IF($B35=" ","",IFERROR(VLOOKUP($B35,MMWR_ACCURACY_RO[],MATCH(M$49,MMWR_ACCURACY_RO[#Headers],0),0),"ERROR"))</f>
        <v>2.6383439443076213E-2</v>
      </c>
      <c r="N35" s="254">
        <f>IF($B35=" ","",IFERROR(VLOOKUP($B35,MMWR_ACCURACY_RO[],MATCH(N$49,MMWR_ACCURACY_RO[#Headers],0),0),"ERROR"))</f>
        <v>0.95524786762096037</v>
      </c>
      <c r="O35" s="254">
        <f>IF($B35=" ","",IFERROR(VLOOKUP($B35,MMWR_ACCURACY_RO[],MATCH(O$49,MMWR_ACCURACY_RO[#Headers],0),0),"ERROR"))</f>
        <v>3.8407991962022478E-2</v>
      </c>
      <c r="P35" s="28"/>
    </row>
    <row r="36" spans="1:16" x14ac:dyDescent="0.2">
      <c r="A36" s="44"/>
      <c r="B36" s="12" t="s">
        <v>217</v>
      </c>
      <c r="C36" s="155">
        <f>IF($B36=" ","",IFERROR(INDEX(MMWR_RATING_RO_ROLLUP[],MATCH($B36,MMWR_RATING_RO_ROLLUP[MMWR_RATING_RO_ROLLUP],0),MATCH(C$9,MMWR_RATING_RO_ROLLUP[#Headers],0)),"ERROR"))</f>
        <v>4489</v>
      </c>
      <c r="D36" s="156">
        <f>IF($B36=" ","",IFERROR(INDEX(MMWR_RATING_RO_ROLLUP[],MATCH($B36,MMWR_RATING_RO_ROLLUP[MMWR_RATING_RO_ROLLUP],0),MATCH(D$9,MMWR_RATING_RO_ROLLUP[#Headers],0)),"ERROR"))</f>
        <v>55.984629093300001</v>
      </c>
      <c r="E36" s="157">
        <f>IF($B36=" ","",IFERROR(INDEX(MMWR_RATING_RO_ROLLUP[],MATCH($B36,MMWR_RATING_RO_ROLLUP[MMWR_RATING_RO_ROLLUP],0),MATCH(E$9,MMWR_RATING_RO_ROLLUP[#Headers],0))/$C36,"ERROR"))</f>
        <v>8.7547337937179767E-2</v>
      </c>
      <c r="F36" s="155">
        <f>IF($B36=" ","",IFERROR(INDEX(MMWR_RATING_RO_ROLLUP[],MATCH($B36,MMWR_RATING_RO_ROLLUP[MMWR_RATING_RO_ROLLUP],0),MATCH(F$9,MMWR_RATING_RO_ROLLUP[#Headers],0)),"ERROR"))</f>
        <v>801</v>
      </c>
      <c r="G36" s="155">
        <f>IF($B36=" ","",IFERROR(INDEX(MMWR_RATING_RO_ROLLUP[],MATCH($B36,MMWR_RATING_RO_ROLLUP[MMWR_RATING_RO_ROLLUP],0),MATCH(G$9,MMWR_RATING_RO_ROLLUP[#Headers],0)),"ERROR"))</f>
        <v>33660</v>
      </c>
      <c r="H36" s="156">
        <f>IF($B36=" ","",IFERROR(INDEX(MMWR_RATING_RO_ROLLUP[],MATCH($B36,MMWR_RATING_RO_ROLLUP[MMWR_RATING_RO_ROLLUP],0),MATCH(H$9,MMWR_RATING_RO_ROLLUP[#Headers],0)),"ERROR"))</f>
        <v>57.3645443196</v>
      </c>
      <c r="I36" s="156">
        <f>IF($B36=" ","",IFERROR(INDEX(MMWR_RATING_RO_ROLLUP[],MATCH($B36,MMWR_RATING_RO_ROLLUP[MMWR_RATING_RO_ROLLUP],0),MATCH(I$9,MMWR_RATING_RO_ROLLUP[#Headers],0)),"ERROR"))</f>
        <v>55.386007130099998</v>
      </c>
      <c r="J36" s="42"/>
      <c r="K36" s="254">
        <f>IF($B36=" ","",IFERROR(VLOOKUP($B36,MMWR_ACCURACY_RO[],MATCH(K$49,MMWR_ACCURACY_RO[#Headers],0),0),"ERROR"))</f>
        <v>0.92004174357860691</v>
      </c>
      <c r="L36" s="254">
        <f>IF($B36=" ","",IFERROR(VLOOKUP($B36,MMWR_ACCURACY_RO[],MATCH(L$49,MMWR_ACCURACY_RO[#Headers],0),0),"ERROR"))</f>
        <v>0.96470723620678556</v>
      </c>
      <c r="M36" s="254">
        <f>IF($B36=" ","",IFERROR(VLOOKUP($B36,MMWR_ACCURACY_RO[],MATCH(M$49,MMWR_ACCURACY_RO[#Headers],0),0),"ERROR"))</f>
        <v>2.6375501105053302E-2</v>
      </c>
      <c r="N36" s="254">
        <f>IF($B36=" ","",IFERROR(VLOOKUP($B36,MMWR_ACCURACY_RO[],MATCH(N$49,MMWR_ACCURACY_RO[#Headers],0),0),"ERROR"))</f>
        <v>0.99654953665206458</v>
      </c>
      <c r="O36" s="254">
        <f>IF($B36=" ","",IFERROR(VLOOKUP($B36,MMWR_ACCURACY_RO[],MATCH(O$49,MMWR_ACCURACY_RO[#Headers],0),0),"ERROR"))</f>
        <v>5.1258035087415974E-3</v>
      </c>
      <c r="P36" s="28"/>
    </row>
    <row r="37" spans="1:16" x14ac:dyDescent="0.2">
      <c r="A37" s="25"/>
      <c r="B37" s="12" t="s">
        <v>220</v>
      </c>
      <c r="C37" s="155">
        <f>IF($B37=" ","",IFERROR(INDEX(MMWR_RATING_RO_ROLLUP[],MATCH($B37,MMWR_RATING_RO_ROLLUP[MMWR_RATING_RO_ROLLUP],0),MATCH(C$9,MMWR_RATING_RO_ROLLUP[#Headers],0)),"ERROR"))</f>
        <v>8019</v>
      </c>
      <c r="D37" s="156">
        <f>IF($B37=" ","",IFERROR(INDEX(MMWR_RATING_RO_ROLLUP[],MATCH($B37,MMWR_RATING_RO_ROLLUP[MMWR_RATING_RO_ROLLUP],0),MATCH(D$9,MMWR_RATING_RO_ROLLUP[#Headers],0)),"ERROR"))</f>
        <v>55.226711559999998</v>
      </c>
      <c r="E37" s="157">
        <f>IF($B37=" ","",IFERROR(INDEX(MMWR_RATING_RO_ROLLUP[],MATCH($B37,MMWR_RATING_RO_ROLLUP[MMWR_RATING_RO_ROLLUP],0),MATCH(E$9,MMWR_RATING_RO_ROLLUP[#Headers],0))/$C37,"ERROR"))</f>
        <v>6.1354283576505797E-2</v>
      </c>
      <c r="F37" s="155">
        <f>IF($B37=" ","",IFERROR(INDEX(MMWR_RATING_RO_ROLLUP[],MATCH($B37,MMWR_RATING_RO_ROLLUP[MMWR_RATING_RO_ROLLUP],0),MATCH(F$9,MMWR_RATING_RO_ROLLUP[#Headers],0)),"ERROR"))</f>
        <v>1270</v>
      </c>
      <c r="G37" s="155">
        <f>IF($B37=" ","",IFERROR(INDEX(MMWR_RATING_RO_ROLLUP[],MATCH($B37,MMWR_RATING_RO_ROLLUP[MMWR_RATING_RO_ROLLUP],0),MATCH(G$9,MMWR_RATING_RO_ROLLUP[#Headers],0)),"ERROR"))</f>
        <v>43233</v>
      </c>
      <c r="H37" s="156">
        <f>IF($B37=" ","",IFERROR(INDEX(MMWR_RATING_RO_ROLLUP[],MATCH($B37,MMWR_RATING_RO_ROLLUP[MMWR_RATING_RO_ROLLUP],0),MATCH(H$9,MMWR_RATING_RO_ROLLUP[#Headers],0)),"ERROR"))</f>
        <v>71.310236220500002</v>
      </c>
      <c r="I37" s="156">
        <f>IF($B37=" ","",IFERROR(INDEX(MMWR_RATING_RO_ROLLUP[],MATCH($B37,MMWR_RATING_RO_ROLLUP[MMWR_RATING_RO_ROLLUP],0),MATCH(I$9,MMWR_RATING_RO_ROLLUP[#Headers],0)),"ERROR"))</f>
        <v>64.945435200000006</v>
      </c>
      <c r="J37" s="42"/>
      <c r="K37" s="254">
        <f>IF($B37=" ","",IFERROR(VLOOKUP($B37,MMWR_ACCURACY_RO[],MATCH(K$49,MMWR_ACCURACY_RO[#Headers],0),0),"ERROR"))</f>
        <v>1</v>
      </c>
      <c r="L37" s="254">
        <f>IF($B37=" ","",IFERROR(VLOOKUP($B37,MMWR_ACCURACY_RO[],MATCH(L$49,MMWR_ACCURACY_RO[#Headers],0),0),"ERROR"))</f>
        <v>0.99185396206751464</v>
      </c>
      <c r="M37" s="254">
        <f>IF($B37=" ","",IFERROR(VLOOKUP($B37,MMWR_ACCURACY_RO[],MATCH(M$49,MMWR_ACCURACY_RO[#Headers],0),0),"ERROR"))</f>
        <v>9.7579621915807029E-3</v>
      </c>
      <c r="N37" s="254">
        <f>IF($B37=" ","",IFERROR(VLOOKUP($B37,MMWR_ACCURACY_RO[],MATCH(N$49,MMWR_ACCURACY_RO[#Headers],0),0),"ERROR"))</f>
        <v>0.98049425229308584</v>
      </c>
      <c r="O37" s="254">
        <f>IF($B37=" ","",IFERROR(VLOOKUP($B37,MMWR_ACCURACY_RO[],MATCH(O$49,MMWR_ACCURACY_RO[#Headers],0),0),"ERROR"))</f>
        <v>2.3698938642957044E-2</v>
      </c>
      <c r="P37" s="28"/>
    </row>
    <row r="38" spans="1:16" x14ac:dyDescent="0.2">
      <c r="A38" s="25"/>
      <c r="B38" s="13" t="s">
        <v>232</v>
      </c>
      <c r="C38" s="155">
        <f>IF($B38=" ","",IFERROR(INDEX(MMWR_RATING_RO_ROLLUP[],MATCH($B38,MMWR_RATING_RO_ROLLUP[MMWR_RATING_RO_ROLLUP],0),MATCH(C$9,MMWR_RATING_RO_ROLLUP[#Headers],0)),"ERROR"))</f>
        <v>449</v>
      </c>
      <c r="D38" s="156">
        <f>IF($B38=" ","",IFERROR(INDEX(MMWR_RATING_RO_ROLLUP[],MATCH($B38,MMWR_RATING_RO_ROLLUP[MMWR_RATING_RO_ROLLUP],0),MATCH(D$9,MMWR_RATING_RO_ROLLUP[#Headers],0)),"ERROR"))</f>
        <v>173.31403118040001</v>
      </c>
      <c r="E38" s="157">
        <f>IF($B38=" ","",IFERROR(INDEX(MMWR_RATING_RO_ROLLUP[],MATCH($B38,MMWR_RATING_RO_ROLLUP[MMWR_RATING_RO_ROLLUP],0),MATCH(E$9,MMWR_RATING_RO_ROLLUP[#Headers],0))/$C38,"ERROR"))</f>
        <v>0.48329621380846327</v>
      </c>
      <c r="F38" s="155">
        <f>IF($B38=" ","",IFERROR(INDEX(MMWR_RATING_RO_ROLLUP[],MATCH($B38,MMWR_RATING_RO_ROLLUP[MMWR_RATING_RO_ROLLUP],0),MATCH(F$9,MMWR_RATING_RO_ROLLUP[#Headers],0)),"ERROR"))</f>
        <v>116</v>
      </c>
      <c r="G38" s="155">
        <f>IF($B38=" ","",IFERROR(INDEX(MMWR_RATING_RO_ROLLUP[],MATCH($B38,MMWR_RATING_RO_ROLLUP[MMWR_RATING_RO_ROLLUP],0),MATCH(G$9,MMWR_RATING_RO_ROLLUP[#Headers],0)),"ERROR"))</f>
        <v>4203</v>
      </c>
      <c r="H38" s="156">
        <f>IF($B38=" ","",IFERROR(INDEX(MMWR_RATING_RO_ROLLUP[],MATCH($B38,MMWR_RATING_RO_ROLLUP[MMWR_RATING_RO_ROLLUP],0),MATCH(H$9,MMWR_RATING_RO_ROLLUP[#Headers],0)),"ERROR"))</f>
        <v>62.517241379300003</v>
      </c>
      <c r="I38" s="156">
        <f>IF($B38=" ","",IFERROR(INDEX(MMWR_RATING_RO_ROLLUP[],MATCH($B38,MMWR_RATING_RO_ROLLUP[MMWR_RATING_RO_ROLLUP],0),MATCH(I$9,MMWR_RATING_RO_ROLLUP[#Headers],0)),"ERROR"))</f>
        <v>59.974304068499997</v>
      </c>
      <c r="J38" s="42"/>
      <c r="K38" s="42"/>
      <c r="L38" s="42"/>
      <c r="M38" s="42"/>
      <c r="N38" s="42"/>
      <c r="O38" s="42"/>
      <c r="P38" s="28"/>
    </row>
    <row r="39" spans="1:16" x14ac:dyDescent="0.2">
      <c r="A39" s="25"/>
      <c r="B39" s="357" t="s">
        <v>933</v>
      </c>
      <c r="C39" s="358"/>
      <c r="D39" s="358"/>
      <c r="E39" s="358"/>
      <c r="F39" s="358"/>
      <c r="G39" s="358"/>
      <c r="H39" s="358"/>
      <c r="I39" s="358"/>
      <c r="J39" s="358"/>
      <c r="K39" s="358"/>
      <c r="L39" s="358"/>
      <c r="M39" s="358"/>
      <c r="N39" s="358"/>
      <c r="O39" s="358"/>
      <c r="P39" s="28"/>
    </row>
    <row r="40" spans="1:16" x14ac:dyDescent="0.2">
      <c r="A40" s="25"/>
      <c r="B40" s="45" t="s">
        <v>714</v>
      </c>
      <c r="C40" s="155">
        <f>IF($B40=" ","",IFERROR(INDEX(MMWR_RATING_RO_ROLLUP[],MATCH($B40,MMWR_RATING_RO_ROLLUP[MMWR_RATING_RO_ROLLUP],0),MATCH(C$9,MMWR_RATING_RO_ROLLUP[#Headers],0)),"ERROR"))</f>
        <v>8406</v>
      </c>
      <c r="D40" s="156">
        <f>IF($B40=" ","",IFERROR(INDEX(MMWR_RATING_RO_ROLLUP[],MATCH($B40,MMWR_RATING_RO_ROLLUP[MMWR_RATING_RO_ROLLUP],0),MATCH(D$9,MMWR_RATING_RO_ROLLUP[#Headers],0)),"ERROR"))</f>
        <v>72.938972162699997</v>
      </c>
      <c r="E40" s="157">
        <f>IF($B40=" ","",IFERROR(INDEX(MMWR_RATING_RO_ROLLUP[],MATCH($B40,MMWR_RATING_RO_ROLLUP[MMWR_RATING_RO_ROLLUP],0),MATCH(E$9,MMWR_RATING_RO_ROLLUP[#Headers],0))/$C40,"ERROR"))</f>
        <v>0.16797525576968833</v>
      </c>
      <c r="F40" s="155">
        <f>IF($B40=" ","",IFERROR(INDEX(MMWR_RATING_RO_ROLLUP[],MATCH($B40,MMWR_RATING_RO_ROLLUP[MMWR_RATING_RO_ROLLUP],0),MATCH(F$9,MMWR_RATING_RO_ROLLUP[#Headers],0)),"ERROR"))</f>
        <v>554</v>
      </c>
      <c r="G40" s="155">
        <f>IF($B40=" ","",IFERROR(INDEX(MMWR_RATING_RO_ROLLUP[],MATCH($B40,MMWR_RATING_RO_ROLLUP[MMWR_RATING_RO_ROLLUP],0),MATCH(G$9,MMWR_RATING_RO_ROLLUP[#Headers],0)),"ERROR"))</f>
        <v>19952</v>
      </c>
      <c r="H40" s="156">
        <f>IF($B40=" ","",IFERROR(INDEX(MMWR_RATING_RO_ROLLUP[],MATCH($B40,MMWR_RATING_RO_ROLLUP[MMWR_RATING_RO_ROLLUP],0),MATCH(H$9,MMWR_RATING_RO_ROLLUP[#Headers],0)),"ERROR"))</f>
        <v>134.6119133574</v>
      </c>
      <c r="I40" s="156">
        <f>IF($B40=" ","",IFERROR(INDEX(MMWR_RATING_RO_ROLLUP[],MATCH($B40,MMWR_RATING_RO_ROLLUP[MMWR_RATING_RO_ROLLUP],0),MATCH(I$9,MMWR_RATING_RO_ROLLUP[#Headers],0)),"ERROR"))</f>
        <v>135.22985164389999</v>
      </c>
      <c r="J40" s="42"/>
      <c r="K40" s="42"/>
      <c r="L40" s="42"/>
      <c r="M40" s="42"/>
      <c r="N40" s="42"/>
      <c r="O40" s="42"/>
      <c r="P40" s="28"/>
    </row>
    <row r="41" spans="1:16" x14ac:dyDescent="0.2">
      <c r="A41" s="25"/>
      <c r="B41" s="46" t="s">
        <v>978</v>
      </c>
      <c r="C41" s="155">
        <f>IF($B41=" ","",IFERROR(INDEX(MMWR_RATING_RO_ROLLUP[],MATCH($B41,MMWR_RATING_RO_ROLLUP[MMWR_RATING_RO_ROLLUP],0),MATCH(C$9,MMWR_RATING_RO_ROLLUP[#Headers],0)),"ERROR"))</f>
        <v>3684</v>
      </c>
      <c r="D41" s="156">
        <f>IF($B41=" ","",IFERROR(INDEX(MMWR_RATING_RO_ROLLUP[],MATCH($B41,MMWR_RATING_RO_ROLLUP[MMWR_RATING_RO_ROLLUP],0),MATCH(D$9,MMWR_RATING_RO_ROLLUP[#Headers],0)),"ERROR"))</f>
        <v>66.002442996699997</v>
      </c>
      <c r="E41" s="157">
        <f>IF($B41=" ","",IFERROR(INDEX(MMWR_RATING_RO_ROLLUP[],MATCH($B41,MMWR_RATING_RO_ROLLUP[MMWR_RATING_RO_ROLLUP],0),MATCH(E$9,MMWR_RATING_RO_ROLLUP[#Headers],0))/$C41,"ERROR"))</f>
        <v>0.13653637350705755</v>
      </c>
      <c r="F41" s="155">
        <f>IF($B41=" ","",IFERROR(INDEX(MMWR_RATING_RO_ROLLUP[],MATCH($B41,MMWR_RATING_RO_ROLLUP[MMWR_RATING_RO_ROLLUP],0),MATCH(F$9,MMWR_RATING_RO_ROLLUP[#Headers],0)),"ERROR"))</f>
        <v>296</v>
      </c>
      <c r="G41" s="155">
        <f>IF($B41=" ","",IFERROR(INDEX(MMWR_RATING_RO_ROLLUP[],MATCH($B41,MMWR_RATING_RO_ROLLUP[MMWR_RATING_RO_ROLLUP],0),MATCH(G$9,MMWR_RATING_RO_ROLLUP[#Headers],0)),"ERROR"))</f>
        <v>10328</v>
      </c>
      <c r="H41" s="156">
        <f>IF($B41=" ","",IFERROR(INDEX(MMWR_RATING_RO_ROLLUP[],MATCH($B41,MMWR_RATING_RO_ROLLUP[MMWR_RATING_RO_ROLLUP],0),MATCH(H$9,MMWR_RATING_RO_ROLLUP[#Headers],0)),"ERROR"))</f>
        <v>124.5337837838</v>
      </c>
      <c r="I41" s="156">
        <f>IF($B41=" ","",IFERROR(INDEX(MMWR_RATING_RO_ROLLUP[],MATCH($B41,MMWR_RATING_RO_ROLLUP[MMWR_RATING_RO_ROLLUP],0),MATCH(I$9,MMWR_RATING_RO_ROLLUP[#Headers],0)),"ERROR"))</f>
        <v>117.9394848954</v>
      </c>
      <c r="J41" s="42"/>
      <c r="K41" s="42"/>
      <c r="L41" s="42"/>
      <c r="M41" s="42"/>
      <c r="N41" s="42"/>
      <c r="O41" s="42"/>
      <c r="P41" s="28"/>
    </row>
    <row r="42" spans="1:16" x14ac:dyDescent="0.2">
      <c r="A42" s="25"/>
      <c r="B42" s="46" t="s">
        <v>979</v>
      </c>
      <c r="C42" s="155">
        <f>IF($B42=" ","",IFERROR(INDEX(MMWR_RATING_RO_ROLLUP[],MATCH($B42,MMWR_RATING_RO_ROLLUP[MMWR_RATING_RO_ROLLUP],0),MATCH(C$9,MMWR_RATING_RO_ROLLUP[#Headers],0)),"ERROR"))</f>
        <v>4108</v>
      </c>
      <c r="D42" s="156">
        <f>IF($B42=" ","",IFERROR(INDEX(MMWR_RATING_RO_ROLLUP[],MATCH($B42,MMWR_RATING_RO_ROLLUP[MMWR_RATING_RO_ROLLUP],0),MATCH(D$9,MMWR_RATING_RO_ROLLUP[#Headers],0)),"ERROR"))</f>
        <v>81.761684517999996</v>
      </c>
      <c r="E42" s="157">
        <f>IF($B42=" ","",IFERROR(INDEX(MMWR_RATING_RO_ROLLUP[],MATCH($B42,MMWR_RATING_RO_ROLLUP[MMWR_RATING_RO_ROLLUP],0),MATCH(E$9,MMWR_RATING_RO_ROLLUP[#Headers],0))/$C42,"ERROR"))</f>
        <v>0.2052093476144109</v>
      </c>
      <c r="F42" s="155">
        <f>IF($B42=" ","",IFERROR(INDEX(MMWR_RATING_RO_ROLLUP[],MATCH($B42,MMWR_RATING_RO_ROLLUP[MMWR_RATING_RO_ROLLUP],0),MATCH(F$9,MMWR_RATING_RO_ROLLUP[#Headers],0)),"ERROR"))</f>
        <v>246</v>
      </c>
      <c r="G42" s="155">
        <f>IF($B42=" ","",IFERROR(INDEX(MMWR_RATING_RO_ROLLUP[],MATCH($B42,MMWR_RATING_RO_ROLLUP[MMWR_RATING_RO_ROLLUP],0),MATCH(G$9,MMWR_RATING_RO_ROLLUP[#Headers],0)),"ERROR"))</f>
        <v>9082</v>
      </c>
      <c r="H42" s="156">
        <f>IF($B42=" ","",IFERROR(INDEX(MMWR_RATING_RO_ROLLUP[],MATCH($B42,MMWR_RATING_RO_ROLLUP[MMWR_RATING_RO_ROLLUP],0),MATCH(H$9,MMWR_RATING_RO_ROLLUP[#Headers],0)),"ERROR"))</f>
        <v>147.7601626016</v>
      </c>
      <c r="I42" s="156">
        <f>IF($B42=" ","",IFERROR(INDEX(MMWR_RATING_RO_ROLLUP[],MATCH($B42,MMWR_RATING_RO_ROLLUP[MMWR_RATING_RO_ROLLUP],0),MATCH(I$9,MMWR_RATING_RO_ROLLUP[#Headers],0)),"ERROR"))</f>
        <v>151.23684210530001</v>
      </c>
      <c r="J42" s="42"/>
      <c r="K42" s="42"/>
      <c r="L42" s="42"/>
      <c r="M42" s="42"/>
      <c r="N42" s="42"/>
      <c r="O42" s="42"/>
      <c r="P42" s="28"/>
    </row>
    <row r="43" spans="1:16" x14ac:dyDescent="0.2">
      <c r="A43" s="25"/>
      <c r="B43" s="47" t="s">
        <v>316</v>
      </c>
      <c r="C43" s="155">
        <f>IF($B43=" ","",IFERROR(INDEX(MMWR_RATING_RO_ROLLUP[],MATCH($B43,MMWR_RATING_RO_ROLLUP[MMWR_RATING_RO_ROLLUP],0),MATCH(C$9,MMWR_RATING_RO_ROLLUP[#Headers],0)),"ERROR"))</f>
        <v>614</v>
      </c>
      <c r="D43" s="156">
        <f>IF($B43=" ","",IFERROR(INDEX(MMWR_RATING_RO_ROLLUP[],MATCH($B43,MMWR_RATING_RO_ROLLUP[MMWR_RATING_RO_ROLLUP],0),MATCH(D$9,MMWR_RATING_RO_ROLLUP[#Headers],0)),"ERROR"))</f>
        <v>55.5293159609</v>
      </c>
      <c r="E43" s="157">
        <f>IF($B43=" ","",IFERROR(INDEX(MMWR_RATING_RO_ROLLUP[],MATCH($B43,MMWR_RATING_RO_ROLLUP[MMWR_RATING_RO_ROLLUP],0),MATCH(E$9,MMWR_RATING_RO_ROLLUP[#Headers],0))/$C43,"ERROR"))</f>
        <v>0.10749185667752444</v>
      </c>
      <c r="F43" s="155">
        <f>IF($B43=" ","",IFERROR(INDEX(MMWR_RATING_RO_ROLLUP[],MATCH($B43,MMWR_RATING_RO_ROLLUP[MMWR_RATING_RO_ROLLUP],0),MATCH(F$9,MMWR_RATING_RO_ROLLUP[#Headers],0)),"ERROR"))</f>
        <v>12</v>
      </c>
      <c r="G43" s="155">
        <f>IF($B43=" ","",IFERROR(INDEX(MMWR_RATING_RO_ROLLUP[],MATCH($B43,MMWR_RATING_RO_ROLLUP[MMWR_RATING_RO_ROLLUP],0),MATCH(G$9,MMWR_RATING_RO_ROLLUP[#Headers],0)),"ERROR"))</f>
        <v>542</v>
      </c>
      <c r="H43" s="156">
        <f>IF($B43=" ","",IFERROR(INDEX(MMWR_RATING_RO_ROLLUP[],MATCH($B43,MMWR_RATING_RO_ROLLUP[MMWR_RATING_RO_ROLLUP],0),MATCH(H$9,MMWR_RATING_RO_ROLLUP[#Headers],0)),"ERROR"))</f>
        <v>113.6666666667</v>
      </c>
      <c r="I43" s="156">
        <f>IF($B43=" ","",IFERROR(INDEX(MMWR_RATING_RO_ROLLUP[],MATCH($B43,MMWR_RATING_RO_ROLLUP[MMWR_RATING_RO_ROLLUP],0),MATCH(I$9,MMWR_RATING_RO_ROLLUP[#Headers],0)),"ERROR"))</f>
        <v>196.48339483390001</v>
      </c>
      <c r="J43" s="42"/>
      <c r="K43" s="42"/>
      <c r="L43" s="42"/>
      <c r="M43" s="42"/>
      <c r="N43" s="42"/>
      <c r="O43" s="42"/>
      <c r="P43" s="28"/>
    </row>
    <row r="44" spans="1:16" x14ac:dyDescent="0.2">
      <c r="A44" s="25"/>
      <c r="B44" s="357" t="s">
        <v>751</v>
      </c>
      <c r="C44" s="358"/>
      <c r="D44" s="358"/>
      <c r="E44" s="358"/>
      <c r="F44" s="358"/>
      <c r="G44" s="358"/>
      <c r="H44" s="358"/>
      <c r="I44" s="358"/>
      <c r="J44" s="358"/>
      <c r="K44" s="358"/>
      <c r="L44" s="358"/>
      <c r="M44" s="358"/>
      <c r="N44" s="358"/>
      <c r="O44" s="358"/>
      <c r="P44" s="28"/>
    </row>
    <row r="45" spans="1:16" x14ac:dyDescent="0.2">
      <c r="A45" s="25"/>
      <c r="B45" s="45" t="s">
        <v>712</v>
      </c>
      <c r="C45" s="155">
        <f>IF($B45=" ","",IFERROR(INDEX(MMWR_RATING_RO_ROLLUP[],MATCH($B45,MMWR_RATING_RO_ROLLUP[MMWR_RATING_RO_ROLLUP],0),MATCH(C$9,MMWR_RATING_RO_ROLLUP[#Headers],0)),"ERROR"))</f>
        <v>8924</v>
      </c>
      <c r="D45" s="156">
        <f>IF($B45=" ","",IFERROR(INDEX(MMWR_RATING_RO_ROLLUP[],MATCH($B45,MMWR_RATING_RO_ROLLUP[MMWR_RATING_RO_ROLLUP],0),MATCH(D$9,MMWR_RATING_RO_ROLLUP[#Headers],0)),"ERROR"))</f>
        <v>71.815777678200007</v>
      </c>
      <c r="E45" s="157">
        <f>IF($B45=" ","",IFERROR(INDEX(MMWR_RATING_RO_ROLLUP[],MATCH($B45,MMWR_RATING_RO_ROLLUP[MMWR_RATING_RO_ROLLUP],0),MATCH(E$9,MMWR_RATING_RO_ROLLUP[#Headers],0))/$C45,"ERROR"))</f>
        <v>0.17256835499775885</v>
      </c>
      <c r="F45" s="155">
        <f>IF($B45=" ","",IFERROR(INDEX(MMWR_RATING_RO_ROLLUP[],MATCH($B45,MMWR_RATING_RO_ROLLUP[MMWR_RATING_RO_ROLLUP],0),MATCH(F$9,MMWR_RATING_RO_ROLLUP[#Headers],0)),"ERROR"))</f>
        <v>662</v>
      </c>
      <c r="G45" s="155">
        <f>IF($B45=" ","",IFERROR(INDEX(MMWR_RATING_RO_ROLLUP[],MATCH($B45,MMWR_RATING_RO_ROLLUP[MMWR_RATING_RO_ROLLUP],0),MATCH(G$9,MMWR_RATING_RO_ROLLUP[#Headers],0)),"ERROR"))</f>
        <v>20175</v>
      </c>
      <c r="H45" s="156">
        <f>IF($B45=" ","",IFERROR(INDEX(MMWR_RATING_RO_ROLLUP[],MATCH($B45,MMWR_RATING_RO_ROLLUP[MMWR_RATING_RO_ROLLUP],0),MATCH(H$9,MMWR_RATING_RO_ROLLUP[#Headers],0)),"ERROR"))</f>
        <v>139.4637462236</v>
      </c>
      <c r="I45" s="156">
        <f>IF($B45=" ","",IFERROR(INDEX(MMWR_RATING_RO_ROLLUP[],MATCH($B45,MMWR_RATING_RO_ROLLUP[MMWR_RATING_RO_ROLLUP],0),MATCH(I$9,MMWR_RATING_RO_ROLLUP[#Headers],0)),"ERROR"))</f>
        <v>153.7656009913</v>
      </c>
      <c r="J45" s="42"/>
      <c r="K45" s="42"/>
      <c r="L45" s="42"/>
      <c r="M45" s="42"/>
      <c r="N45" s="42"/>
      <c r="O45" s="42"/>
      <c r="P45" s="28"/>
    </row>
    <row r="46" spans="1:16" x14ac:dyDescent="0.2">
      <c r="A46" s="25"/>
      <c r="B46" s="46" t="s">
        <v>219</v>
      </c>
      <c r="C46" s="155">
        <f>IF($B46=" ","",IFERROR(INDEX(MMWR_RATING_RO_ROLLUP[],MATCH($B46,MMWR_RATING_RO_ROLLUP[MMWR_RATING_RO_ROLLUP],0),MATCH(C$9,MMWR_RATING_RO_ROLLUP[#Headers],0)),"ERROR"))</f>
        <v>3300</v>
      </c>
      <c r="D46" s="156">
        <f>IF($B46=" ","",IFERROR(INDEX(MMWR_RATING_RO_ROLLUP[],MATCH($B46,MMWR_RATING_RO_ROLLUP[MMWR_RATING_RO_ROLLUP],0),MATCH(D$9,MMWR_RATING_RO_ROLLUP[#Headers],0)),"ERROR"))</f>
        <v>73.498787878800002</v>
      </c>
      <c r="E46" s="157">
        <f>IF($B46=" ","",IFERROR(INDEX(MMWR_RATING_RO_ROLLUP[],MATCH($B46,MMWR_RATING_RO_ROLLUP[MMWR_RATING_RO_ROLLUP],0),MATCH(E$9,MMWR_RATING_RO_ROLLUP[#Headers],0))/$C46,"ERROR"))</f>
        <v>0.16818181818181818</v>
      </c>
      <c r="F46" s="155">
        <f>IF($B46=" ","",IFERROR(INDEX(MMWR_RATING_RO_ROLLUP[],MATCH($B46,MMWR_RATING_RO_ROLLUP[MMWR_RATING_RO_ROLLUP],0),MATCH(F$9,MMWR_RATING_RO_ROLLUP[#Headers],0)),"ERROR"))</f>
        <v>332</v>
      </c>
      <c r="G46" s="155">
        <f>IF($B46=" ","",IFERROR(INDEX(MMWR_RATING_RO_ROLLUP[],MATCH($B46,MMWR_RATING_RO_ROLLUP[MMWR_RATING_RO_ROLLUP],0),MATCH(G$9,MMWR_RATING_RO_ROLLUP[#Headers],0)),"ERROR"))</f>
        <v>10614</v>
      </c>
      <c r="H46" s="156">
        <f>IF($B46=" ","",IFERROR(INDEX(MMWR_RATING_RO_ROLLUP[],MATCH($B46,MMWR_RATING_RO_ROLLUP[MMWR_RATING_RO_ROLLUP],0),MATCH(H$9,MMWR_RATING_RO_ROLLUP[#Headers],0)),"ERROR"))</f>
        <v>136.79819277109999</v>
      </c>
      <c r="I46" s="156">
        <f>IF($B46=" ","",IFERROR(INDEX(MMWR_RATING_RO_ROLLUP[],MATCH($B46,MMWR_RATING_RO_ROLLUP[MMWR_RATING_RO_ROLLUP],0),MATCH(I$9,MMWR_RATING_RO_ROLLUP[#Headers],0)),"ERROR"))</f>
        <v>172.7495760317</v>
      </c>
      <c r="J46" s="42"/>
      <c r="K46" s="42"/>
      <c r="L46" s="42"/>
      <c r="M46" s="42"/>
      <c r="N46" s="42"/>
      <c r="O46" s="42"/>
      <c r="P46" s="28"/>
    </row>
    <row r="47" spans="1:16" x14ac:dyDescent="0.2">
      <c r="A47" s="25"/>
      <c r="B47" s="46" t="s">
        <v>221</v>
      </c>
      <c r="C47" s="155">
        <f>IF($B47=" ","",IFERROR(INDEX(MMWR_RATING_RO_ROLLUP[],MATCH($B47,MMWR_RATING_RO_ROLLUP[MMWR_RATING_RO_ROLLUP],0),MATCH(C$9,MMWR_RATING_RO_ROLLUP[#Headers],0)),"ERROR"))</f>
        <v>4818</v>
      </c>
      <c r="D47" s="156">
        <f>IF($B47=" ","",IFERROR(INDEX(MMWR_RATING_RO_ROLLUP[],MATCH($B47,MMWR_RATING_RO_ROLLUP[MMWR_RATING_RO_ROLLUP],0),MATCH(D$9,MMWR_RATING_RO_ROLLUP[#Headers],0)),"ERROR"))</f>
        <v>69.962432544600006</v>
      </c>
      <c r="E47" s="157">
        <f>IF($B47=" ","",IFERROR(INDEX(MMWR_RATING_RO_ROLLUP[],MATCH($B47,MMWR_RATING_RO_ROLLUP[MMWR_RATING_RO_ROLLUP],0),MATCH(E$9,MMWR_RATING_RO_ROLLUP[#Headers],0))/$C47,"ERROR"))</f>
        <v>0.17704441677044416</v>
      </c>
      <c r="F47" s="155">
        <f>IF($B47=" ","",IFERROR(INDEX(MMWR_RATING_RO_ROLLUP[],MATCH($B47,MMWR_RATING_RO_ROLLUP[MMWR_RATING_RO_ROLLUP],0),MATCH(F$9,MMWR_RATING_RO_ROLLUP[#Headers],0)),"ERROR"))</f>
        <v>287</v>
      </c>
      <c r="G47" s="155">
        <f>IF($B47=" ","",IFERROR(INDEX(MMWR_RATING_RO_ROLLUP[],MATCH($B47,MMWR_RATING_RO_ROLLUP[MMWR_RATING_RO_ROLLUP],0),MATCH(G$9,MMWR_RATING_RO_ROLLUP[#Headers],0)),"ERROR"))</f>
        <v>7943</v>
      </c>
      <c r="H47" s="156">
        <f>IF($B47=" ","",IFERROR(INDEX(MMWR_RATING_RO_ROLLUP[],MATCH($B47,MMWR_RATING_RO_ROLLUP[MMWR_RATING_RO_ROLLUP],0),MATCH(H$9,MMWR_RATING_RO_ROLLUP[#Headers],0)),"ERROR"))</f>
        <v>146.53310104529999</v>
      </c>
      <c r="I47" s="156">
        <f>IF($B47=" ","",IFERROR(INDEX(MMWR_RATING_RO_ROLLUP[],MATCH($B47,MMWR_RATING_RO_ROLLUP[MMWR_RATING_RO_ROLLUP],0),MATCH(I$9,MMWR_RATING_RO_ROLLUP[#Headers],0)),"ERROR"))</f>
        <v>129.18758655420001</v>
      </c>
      <c r="J47" s="42"/>
      <c r="K47" s="42"/>
      <c r="L47" s="42"/>
      <c r="M47" s="42"/>
      <c r="N47" s="42"/>
      <c r="O47" s="42"/>
      <c r="P47" s="28"/>
    </row>
    <row r="48" spans="1:16" x14ac:dyDescent="0.2">
      <c r="A48" s="25"/>
      <c r="B48" s="48" t="s">
        <v>317</v>
      </c>
      <c r="C48" s="155">
        <f>IF($B48=" ","",IFERROR(INDEX(MMWR_RATING_RO_ROLLUP[],MATCH($B48,MMWR_RATING_RO_ROLLUP[MMWR_RATING_RO_ROLLUP],0),MATCH(C$9,MMWR_RATING_RO_ROLLUP[#Headers],0)),"ERROR"))</f>
        <v>806</v>
      </c>
      <c r="D48" s="156">
        <f>IF($B48=" ","",IFERROR(INDEX(MMWR_RATING_RO_ROLLUP[],MATCH($B48,MMWR_RATING_RO_ROLLUP[MMWR_RATING_RO_ROLLUP],0),MATCH(D$9,MMWR_RATING_RO_ROLLUP[#Headers],0)),"ERROR"))</f>
        <v>76.003722084399996</v>
      </c>
      <c r="E48" s="157">
        <f>IF($B48=" ","",IFERROR(INDEX(MMWR_RATING_RO_ROLLUP[],MATCH($B48,MMWR_RATING_RO_ROLLUP[MMWR_RATING_RO_ROLLUP],0),MATCH(E$9,MMWR_RATING_RO_ROLLUP[#Headers],0))/$C48,"ERROR"))</f>
        <v>0.16377171215880892</v>
      </c>
      <c r="F48" s="155">
        <f>IF($B48=" ","",IFERROR(INDEX(MMWR_RATING_RO_ROLLUP[],MATCH($B48,MMWR_RATING_RO_ROLLUP[MMWR_RATING_RO_ROLLUP],0),MATCH(F$9,MMWR_RATING_RO_ROLLUP[#Headers],0)),"ERROR"))</f>
        <v>43</v>
      </c>
      <c r="G48" s="155">
        <f>IF($B48=" ","",IFERROR(INDEX(MMWR_RATING_RO_ROLLUP[],MATCH($B48,MMWR_RATING_RO_ROLLUP[MMWR_RATING_RO_ROLLUP],0),MATCH(G$9,MMWR_RATING_RO_ROLLUP[#Headers],0)),"ERROR"))</f>
        <v>1618</v>
      </c>
      <c r="H48" s="156">
        <f>IF($B48=" ","",IFERROR(INDEX(MMWR_RATING_RO_ROLLUP[],MATCH($B48,MMWR_RATING_RO_ROLLUP[MMWR_RATING_RO_ROLLUP],0),MATCH(H$9,MMWR_RATING_RO_ROLLUP[#Headers],0)),"ERROR"))</f>
        <v>112.86046511630001</v>
      </c>
      <c r="I48" s="156">
        <f>IF($B48=" ","",IFERROR(INDEX(MMWR_RATING_RO_ROLLUP[],MATCH($B48,MMWR_RATING_RO_ROLLUP[MMWR_RATING_RO_ROLLUP],0),MATCH(I$9,MMWR_RATING_RO_ROLLUP[#Headers],0)),"ERROR"))</f>
        <v>149.88875154510001</v>
      </c>
      <c r="J48" s="42"/>
      <c r="K48" s="42"/>
      <c r="L48" s="42"/>
      <c r="M48" s="42"/>
      <c r="N48" s="42"/>
      <c r="O48" s="42"/>
      <c r="P48" s="28"/>
    </row>
    <row r="49" spans="1:16" ht="12" customHeight="1" x14ac:dyDescent="0.2">
      <c r="A49" s="25"/>
      <c r="B49" s="26"/>
      <c r="C49" s="26"/>
      <c r="D49" s="26"/>
      <c r="E49" s="26"/>
      <c r="F49" s="26"/>
      <c r="G49" s="26"/>
      <c r="H49" s="26"/>
      <c r="I49" s="26"/>
      <c r="J49" s="26"/>
      <c r="K49" s="27" t="s">
        <v>939</v>
      </c>
      <c r="L49" s="27" t="s">
        <v>949</v>
      </c>
      <c r="M49" s="27" t="s">
        <v>950</v>
      </c>
      <c r="N49" s="27" t="s">
        <v>951</v>
      </c>
      <c r="O49" s="27" t="s">
        <v>952</v>
      </c>
      <c r="P49" s="28"/>
    </row>
    <row r="50" spans="1:16" hidden="1" x14ac:dyDescent="0.2"/>
    <row r="51" spans="1:16" hidden="1" x14ac:dyDescent="0.2"/>
    <row r="52" spans="1:16" hidden="1" x14ac:dyDescent="0.2"/>
  </sheetData>
  <sheetProtection password="A320" sheet="1" autoFilter="0"/>
  <protectedRanges>
    <protectedRange sqref="C34:K38 C45:K48 C40:K43 C15:K32 C13:K13" name="SOJ"/>
  </protectedRanges>
  <mergeCells count="33">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I11:I12"/>
    <mergeCell ref="L11:M11"/>
    <mergeCell ref="N11:O11"/>
    <mergeCell ref="J11:J12"/>
    <mergeCell ref="K11:K12"/>
    <mergeCell ref="M7:O7"/>
  </mergeCells>
  <conditionalFormatting sqref="A1:P3 A9:P49 P6:P8 L6:M8 A6:J8 A5:P5 A4 C4:P4">
    <cfRule type="expression" dxfId="435" priority="2">
      <formula>IF(OR(ISERROR(A1),A1="ERROR"),TRUE,FALSE)</formula>
    </cfRule>
  </conditionalFormatting>
  <conditionalFormatting sqref="B4">
    <cfRule type="expression" dxfId="434"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37" t="s">
        <v>303</v>
      </c>
      <c r="D2" s="338"/>
      <c r="E2" s="338"/>
      <c r="F2" s="338"/>
      <c r="G2" s="338"/>
      <c r="H2" s="338"/>
      <c r="I2" s="338"/>
      <c r="J2" s="337" t="s">
        <v>309</v>
      </c>
      <c r="K2" s="338"/>
      <c r="L2" s="338"/>
      <c r="M2" s="339"/>
      <c r="N2" s="28"/>
    </row>
    <row r="3" spans="1:16" ht="24" customHeight="1" thickBot="1" x14ac:dyDescent="0.4">
      <c r="A3" s="25"/>
      <c r="B3" s="29"/>
      <c r="C3" s="340"/>
      <c r="D3" s="341"/>
      <c r="E3" s="341"/>
      <c r="F3" s="341"/>
      <c r="G3" s="341"/>
      <c r="H3" s="341"/>
      <c r="I3" s="341"/>
      <c r="J3" s="340" t="str">
        <f>Transformation!B4</f>
        <v>As of: July 11, 2015</v>
      </c>
      <c r="K3" s="341"/>
      <c r="L3" s="341"/>
      <c r="M3" s="342"/>
      <c r="N3" s="28"/>
    </row>
    <row r="4" spans="1:16" ht="51" customHeight="1" thickBot="1" x14ac:dyDescent="0.35">
      <c r="A4" s="30"/>
      <c r="B4" s="249" t="s">
        <v>465</v>
      </c>
      <c r="C4" s="343" t="s">
        <v>993</v>
      </c>
      <c r="D4" s="344"/>
      <c r="E4" s="344"/>
      <c r="F4" s="344"/>
      <c r="G4" s="344"/>
      <c r="H4" s="344"/>
      <c r="I4" s="344"/>
      <c r="J4" s="344"/>
      <c r="K4" s="344"/>
      <c r="L4" s="344"/>
      <c r="M4" s="345"/>
      <c r="N4" s="28"/>
      <c r="O4" s="22"/>
      <c r="P4" s="23"/>
    </row>
    <row r="5" spans="1:16" ht="27" customHeight="1" thickBot="1" x14ac:dyDescent="0.25">
      <c r="A5" s="30"/>
      <c r="B5" s="49"/>
      <c r="C5" s="346" t="s">
        <v>1065</v>
      </c>
      <c r="D5" s="347"/>
      <c r="E5" s="347"/>
      <c r="F5" s="347"/>
      <c r="G5" s="347"/>
      <c r="H5" s="347"/>
      <c r="I5" s="347"/>
      <c r="J5" s="347"/>
      <c r="K5" s="347"/>
      <c r="L5" s="347"/>
      <c r="M5" s="347"/>
      <c r="N5" s="347"/>
      <c r="O5" s="348"/>
    </row>
    <row r="6" spans="1:16" ht="55.5" customHeight="1" x14ac:dyDescent="0.2">
      <c r="A6" s="30"/>
      <c r="B6" s="31"/>
      <c r="C6" s="32" t="s">
        <v>198</v>
      </c>
      <c r="D6" s="349" t="s">
        <v>16</v>
      </c>
      <c r="E6" s="350"/>
      <c r="F6" s="33" t="s">
        <v>201</v>
      </c>
      <c r="G6" s="349" t="s">
        <v>206</v>
      </c>
      <c r="H6" s="351"/>
      <c r="I6" s="33" t="s">
        <v>204</v>
      </c>
      <c r="J6" s="50" t="s">
        <v>14</v>
      </c>
      <c r="K6" s="33" t="s">
        <v>209</v>
      </c>
      <c r="L6" s="355" t="s">
        <v>88</v>
      </c>
      <c r="M6" s="378"/>
      <c r="N6" s="28"/>
    </row>
    <row r="7" spans="1:16" ht="51.75" customHeight="1" x14ac:dyDescent="0.2">
      <c r="A7" s="30"/>
      <c r="B7" s="34"/>
      <c r="C7" s="35" t="s">
        <v>199</v>
      </c>
      <c r="D7" s="359" t="s">
        <v>0</v>
      </c>
      <c r="E7" s="360"/>
      <c r="F7" s="36" t="s">
        <v>202</v>
      </c>
      <c r="G7" s="361" t="s">
        <v>207</v>
      </c>
      <c r="H7" s="361"/>
      <c r="I7" s="36" t="s">
        <v>205</v>
      </c>
      <c r="J7" s="51" t="s">
        <v>19</v>
      </c>
      <c r="K7" s="36" t="s">
        <v>210</v>
      </c>
      <c r="L7" s="374" t="s">
        <v>90</v>
      </c>
      <c r="M7" s="375"/>
      <c r="N7" s="28"/>
    </row>
    <row r="8" spans="1:16" ht="51.75" customHeight="1" thickBot="1" x14ac:dyDescent="0.25">
      <c r="A8" s="25"/>
      <c r="B8" s="28"/>
      <c r="C8" s="37" t="s">
        <v>200</v>
      </c>
      <c r="D8" s="362" t="s">
        <v>18</v>
      </c>
      <c r="E8" s="363"/>
      <c r="F8" s="38" t="s">
        <v>203</v>
      </c>
      <c r="G8" s="364" t="s">
        <v>17</v>
      </c>
      <c r="H8" s="364"/>
      <c r="I8" s="38" t="s">
        <v>208</v>
      </c>
      <c r="J8" s="52" t="s">
        <v>87</v>
      </c>
      <c r="K8" s="38" t="s">
        <v>211</v>
      </c>
      <c r="L8" s="376" t="s">
        <v>89</v>
      </c>
      <c r="M8" s="377"/>
      <c r="N8" s="28"/>
    </row>
    <row r="9" spans="1:16" x14ac:dyDescent="0.2">
      <c r="A9" s="28"/>
      <c r="B9" s="28"/>
      <c r="C9" s="39" t="s">
        <v>716</v>
      </c>
      <c r="D9" s="39" t="s">
        <v>718</v>
      </c>
      <c r="E9" s="39" t="s">
        <v>717</v>
      </c>
      <c r="F9" s="39" t="s">
        <v>720</v>
      </c>
      <c r="G9" s="39" t="s">
        <v>719</v>
      </c>
      <c r="H9" s="39" t="s">
        <v>730</v>
      </c>
      <c r="I9" s="39" t="s">
        <v>729</v>
      </c>
      <c r="J9" s="39"/>
      <c r="K9" s="39"/>
      <c r="L9" s="39"/>
      <c r="M9" s="39"/>
      <c r="N9" s="28"/>
    </row>
    <row r="10" spans="1:16" ht="15.75" customHeight="1" x14ac:dyDescent="0.2">
      <c r="A10" s="25"/>
      <c r="B10" s="26"/>
      <c r="C10" s="365" t="s">
        <v>302</v>
      </c>
      <c r="D10" s="365"/>
      <c r="E10" s="365"/>
      <c r="F10" s="365"/>
      <c r="G10" s="365"/>
      <c r="H10" s="365"/>
      <c r="I10" s="365"/>
      <c r="J10" s="365"/>
      <c r="K10" s="365"/>
      <c r="L10" s="365"/>
      <c r="M10" s="369"/>
      <c r="N10" s="28"/>
    </row>
    <row r="11" spans="1:16" ht="64.5" customHeight="1" x14ac:dyDescent="0.2">
      <c r="A11" s="25"/>
      <c r="B11" s="26"/>
      <c r="C11" s="53" t="s">
        <v>234</v>
      </c>
      <c r="D11" s="53" t="s">
        <v>140</v>
      </c>
      <c r="E11" s="53" t="s">
        <v>235</v>
      </c>
      <c r="F11" s="53" t="s">
        <v>195</v>
      </c>
      <c r="G11" s="53" t="s">
        <v>212</v>
      </c>
      <c r="H11" s="53" t="s">
        <v>214</v>
      </c>
      <c r="I11" s="53" t="s">
        <v>215</v>
      </c>
      <c r="J11" s="371" t="s">
        <v>994</v>
      </c>
      <c r="K11" s="372"/>
      <c r="L11" s="372"/>
      <c r="M11" s="373"/>
      <c r="N11" s="28"/>
    </row>
    <row r="12" spans="1:16" x14ac:dyDescent="0.2">
      <c r="A12" s="25"/>
      <c r="B12" s="41" t="s">
        <v>746</v>
      </c>
      <c r="C12" s="155">
        <f>IF($B12=" ","",IFERROR(INDEX(MMWR_RATING_RO_ROLLUP[],MATCH($B12,MMWR_RATING_RO_ROLLUP[MMWR_RATING_RO_ROLLUP],0),MATCH(C$9,MMWR_RATING_RO_ROLLUP[#Headers],0)),"ERROR"))</f>
        <v>384092</v>
      </c>
      <c r="D12" s="156">
        <f>IF($B12=" ","",IFERROR(INDEX(MMWR_RATING_RO_ROLLUP[],MATCH($B12,MMWR_RATING_RO_ROLLUP[MMWR_RATING_RO_ROLLUP],0),MATCH(D$9,MMWR_RATING_RO_ROLLUP[#Headers],0)),"ERROR"))</f>
        <v>117.7405595534</v>
      </c>
      <c r="E12" s="157">
        <f>IF($B12=" ","",IFERROR(INDEX(MMWR_RATING_RO_ROLLUP[],MATCH($B12,MMWR_RATING_RO_ROLLUP[MMWR_RATING_RO_ROLLUP],0),MATCH(E$9,MMWR_RATING_RO_ROLLUP[#Headers],0))/$C12,"ERROR"))</f>
        <v>0.32257115482748927</v>
      </c>
      <c r="F12" s="155">
        <f>IF($B12=" ","",IFERROR(INDEX(MMWR_RATING_RO_ROLLUP[],MATCH($B12,MMWR_RATING_RO_ROLLUP[MMWR_RATING_RO_ROLLUP],0),MATCH(F$9,MMWR_RATING_RO_ROLLUP[#Headers],0)),"ERROR"))</f>
        <v>34029</v>
      </c>
      <c r="G12" s="155">
        <f>IF($B12=" ","",IFERROR(INDEX(MMWR_RATING_RO_ROLLUP[],MATCH($B12,MMWR_RATING_RO_ROLLUP[MMWR_RATING_RO_ROLLUP],0),MATCH(G$9,MMWR_RATING_RO_ROLLUP[#Headers],0)),"ERROR"))</f>
        <v>1074587</v>
      </c>
      <c r="H12" s="156">
        <f>IF($B12=" ","",IFERROR(INDEX(MMWR_RATING_RO_ROLLUP[],MATCH($B12,MMWR_RATING_RO_ROLLUP[MMWR_RATING_RO_ROLLUP],0),MATCH(H$9,MMWR_RATING_RO_ROLLUP[#Headers],0)),"ERROR"))</f>
        <v>152.41805518819999</v>
      </c>
      <c r="I12" s="156">
        <f>IF($B12=" ","",IFERROR(INDEX(MMWR_RATING_RO_ROLLUP[],MATCH($B12,MMWR_RATING_RO_ROLLUP[MMWR_RATING_RO_ROLLUP],0),MATCH(I$9,MMWR_RATING_RO_ROLLUP[#Headers],0)),"ERROR"))</f>
        <v>175.49751578979999</v>
      </c>
      <c r="J12" s="42"/>
      <c r="K12" s="42"/>
      <c r="L12" s="42"/>
      <c r="M12" s="42"/>
      <c r="N12" s="28"/>
    </row>
    <row r="13" spans="1:16" x14ac:dyDescent="0.2">
      <c r="A13" s="25"/>
      <c r="B13" s="357" t="s">
        <v>749</v>
      </c>
      <c r="C13" s="358"/>
      <c r="D13" s="358"/>
      <c r="E13" s="358"/>
      <c r="F13" s="358"/>
      <c r="G13" s="358"/>
      <c r="H13" s="358"/>
      <c r="I13" s="358"/>
      <c r="J13" s="358"/>
      <c r="K13" s="358"/>
      <c r="L13" s="358"/>
      <c r="M13" s="370"/>
      <c r="N13" s="28"/>
    </row>
    <row r="14" spans="1:16" x14ac:dyDescent="0.2">
      <c r="A14" s="25"/>
      <c r="B14" s="41" t="s">
        <v>745</v>
      </c>
      <c r="C14" s="155">
        <f>IF($B14=" ","",IFERROR(INDEX(MMWR_RATING_RO_ROLLUP[],MATCH($B14,MMWR_RATING_RO_ROLLUP[MMWR_RATING_RO_ROLLUP],0),MATCH(C$9,MMWR_RATING_RO_ROLLUP[#Headers],0)),"ERROR"))</f>
        <v>347927</v>
      </c>
      <c r="D14" s="156">
        <f>IF($B14=" ","",IFERROR(INDEX(MMWR_RATING_RO_ROLLUP[],MATCH($B14,MMWR_RATING_RO_ROLLUP[MMWR_RATING_RO_ROLLUP],0),MATCH(D$9,MMWR_RATING_RO_ROLLUP[#Headers],0)),"ERROR"))</f>
        <v>123.0316273241</v>
      </c>
      <c r="E14" s="157">
        <f>IF($B14=" ","",IFERROR(INDEX(MMWR_RATING_RO_ROLLUP[],MATCH($B14,MMWR_RATING_RO_ROLLUP[MMWR_RATING_RO_ROLLUP],0),MATCH(E$9,MMWR_RATING_RO_ROLLUP[#Headers],0))/$C14,"ERROR"))</f>
        <v>0.34239078887237839</v>
      </c>
      <c r="F14" s="155">
        <f>IF($B14=" ","",IFERROR(INDEX(MMWR_RATING_RO_ROLLUP[],MATCH($B14,MMWR_RATING_RO_ROLLUP[MMWR_RATING_RO_ROLLUP],0),MATCH(F$9,MMWR_RATING_RO_ROLLUP[#Headers],0)),"ERROR"))</f>
        <v>29501</v>
      </c>
      <c r="G14" s="155">
        <f>IF($B14=" ","",IFERROR(INDEX(MMWR_RATING_RO_ROLLUP[],MATCH($B14,MMWR_RATING_RO_ROLLUP[MMWR_RATING_RO_ROLLUP],0),MATCH(G$9,MMWR_RATING_RO_ROLLUP[#Headers],0)),"ERROR"))</f>
        <v>915446</v>
      </c>
      <c r="H14" s="156">
        <f>IF($B14=" ","",IFERROR(INDEX(MMWR_RATING_RO_ROLLUP[],MATCH($B14,MMWR_RATING_RO_ROLLUP[MMWR_RATING_RO_ROLLUP],0),MATCH(H$9,MMWR_RATING_RO_ROLLUP[#Headers],0)),"ERROR"))</f>
        <v>162.38259720010001</v>
      </c>
      <c r="I14" s="156">
        <f>IF($B14=" ","",IFERROR(INDEX(MMWR_RATING_RO_ROLLUP[],MATCH($B14,MMWR_RATING_RO_ROLLUP[MMWR_RATING_RO_ROLLUP],0),MATCH(I$9,MMWR_RATING_RO_ROLLUP[#Headers],0)),"ERROR"))</f>
        <v>191.27574865150001</v>
      </c>
      <c r="J14" s="42"/>
      <c r="K14" s="42"/>
      <c r="L14" s="42"/>
      <c r="M14" s="42"/>
      <c r="N14" s="28"/>
    </row>
    <row r="15" spans="1:16" x14ac:dyDescent="0.2">
      <c r="A15" s="25"/>
      <c r="B15" s="250" t="s">
        <v>379</v>
      </c>
      <c r="C15" s="155">
        <f>IF($B15=" ","",IFERROR(INDEX(MMWR_RATING_RO_ROLLUP[],MATCH($B15,MMWR_RATING_RO_ROLLUP[MMWR_RATING_RO_ROLLUP],0),MATCH(C$9,MMWR_RATING_RO_ROLLUP[#Headers],0)),"ERROR"))</f>
        <v>75647</v>
      </c>
      <c r="D15" s="156">
        <f>IF($B15=" ","",IFERROR(INDEX(MMWR_RATING_RO_ROLLUP[],MATCH($B15,MMWR_RATING_RO_ROLLUP[MMWR_RATING_RO_ROLLUP],0),MATCH(D$9,MMWR_RATING_RO_ROLLUP[#Headers],0)),"ERROR"))</f>
        <v>124.81298663530001</v>
      </c>
      <c r="E15" s="157">
        <f>IF($B15=" ","",IFERROR(INDEX(MMWR_RATING_RO_ROLLUP[],MATCH($B15,MMWR_RATING_RO_ROLLUP[MMWR_RATING_RO_ROLLUP],0),MATCH(E$9,MMWR_RATING_RO_ROLLUP[#Headers],0))/$C15,"ERROR"))</f>
        <v>0.34738985022538899</v>
      </c>
      <c r="F15" s="155">
        <f>IF($B15=" ","",IFERROR(INDEX(MMWR_RATING_RO_ROLLUP[],MATCH($B15,MMWR_RATING_RO_ROLLUP[MMWR_RATING_RO_ROLLUP],0),MATCH(F$9,MMWR_RATING_RO_ROLLUP[#Headers],0)),"ERROR"))</f>
        <v>6356</v>
      </c>
      <c r="G15" s="155">
        <f>IF($B15=" ","",IFERROR(INDEX(MMWR_RATING_RO_ROLLUP[],MATCH($B15,MMWR_RATING_RO_ROLLUP[MMWR_RATING_RO_ROLLUP],0),MATCH(G$9,MMWR_RATING_RO_ROLLUP[#Headers],0)),"ERROR"))</f>
        <v>202274</v>
      </c>
      <c r="H15" s="156">
        <f>IF($B15=" ","",IFERROR(INDEX(MMWR_RATING_RO_ROLLUP[],MATCH($B15,MMWR_RATING_RO_ROLLUP[MMWR_RATING_RO_ROLLUP],0),MATCH(H$9,MMWR_RATING_RO_ROLLUP[#Headers],0)),"ERROR"))</f>
        <v>169.16865953429999</v>
      </c>
      <c r="I15" s="156">
        <f>IF($B15=" ","",IFERROR(INDEX(MMWR_RATING_RO_ROLLUP[],MATCH($B15,MMWR_RATING_RO_ROLLUP[MMWR_RATING_RO_ROLLUP],0),MATCH(I$9,MMWR_RATING_RO_ROLLUP[#Headers],0)),"ERROR"))</f>
        <v>197.25755163790001</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5712</v>
      </c>
      <c r="D16" s="156">
        <f>IF($B16=" ","",IFERROR(INDEX(MMWR_RATING_RO_ROLLUP[],MATCH($B16,MMWR_RATING_RO_ROLLUP[MMWR_RATING_RO_ROLLUP],0),MATCH(D$9,MMWR_RATING_RO_ROLLUP[#Headers],0)),"ERROR"))</f>
        <v>147.42507002799999</v>
      </c>
      <c r="E16" s="157">
        <f>IF($B16=" ","",IFERROR(INDEX(MMWR_RATING_RO_ROLLUP[],MATCH($B16,MMWR_RATING_RO_ROLLUP[MMWR_RATING_RO_ROLLUP],0),MATCH(E$9,MMWR_RATING_RO_ROLLUP[#Headers],0))/$C16,"ERROR"))</f>
        <v>0.39950980392156865</v>
      </c>
      <c r="F16" s="155">
        <f>IF($B16=" ","",IFERROR(INDEX(MMWR_RATING_RO_ROLLUP[],MATCH($B16,MMWR_RATING_RO_ROLLUP[MMWR_RATING_RO_ROLLUP],0),MATCH(F$9,MMWR_RATING_RO_ROLLUP[#Headers],0)),"ERROR"))</f>
        <v>521</v>
      </c>
      <c r="G16" s="155">
        <f>IF($B16=" ","",IFERROR(INDEX(MMWR_RATING_RO_ROLLUP[],MATCH($B16,MMWR_RATING_RO_ROLLUP[MMWR_RATING_RO_ROLLUP],0),MATCH(G$9,MMWR_RATING_RO_ROLLUP[#Headers],0)),"ERROR"))</f>
        <v>15170</v>
      </c>
      <c r="H16" s="156">
        <f>IF($B16=" ","",IFERROR(INDEX(MMWR_RATING_RO_ROLLUP[],MATCH($B16,MMWR_RATING_RO_ROLLUP[MMWR_RATING_RO_ROLLUP],0),MATCH(H$9,MMWR_RATING_RO_ROLLUP[#Headers],0)),"ERROR"))</f>
        <v>200.90211132440001</v>
      </c>
      <c r="I16" s="156">
        <f>IF($B16=" ","",IFERROR(INDEX(MMWR_RATING_RO_ROLLUP[],MATCH($B16,MMWR_RATING_RO_ROLLUP[MMWR_RATING_RO_ROLLUP],0),MATCH(I$9,MMWR_RATING_RO_ROLLUP[#Headers],0)),"ERROR"))</f>
        <v>259.80823994730002</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3743</v>
      </c>
      <c r="D17" s="156">
        <f>IF($B17=" ","",IFERROR(INDEX(MMWR_RATING_RO_ROLLUP[],MATCH($B17,MMWR_RATING_RO_ROLLUP[MMWR_RATING_RO_ROLLUP],0),MATCH(D$9,MMWR_RATING_RO_ROLLUP[#Headers],0)),"ERROR"))</f>
        <v>121.35158963400001</v>
      </c>
      <c r="E17" s="157">
        <f>IF($B17=" ","",IFERROR(INDEX(MMWR_RATING_RO_ROLLUP[],MATCH($B17,MMWR_RATING_RO_ROLLUP[MMWR_RATING_RO_ROLLUP],0),MATCH(E$9,MMWR_RATING_RO_ROLLUP[#Headers],0))/$C17,"ERROR"))</f>
        <v>0.30670585092172054</v>
      </c>
      <c r="F17" s="155">
        <f>IF($B17=" ","",IFERROR(INDEX(MMWR_RATING_RO_ROLLUP[],MATCH($B17,MMWR_RATING_RO_ROLLUP[MMWR_RATING_RO_ROLLUP],0),MATCH(F$9,MMWR_RATING_RO_ROLLUP[#Headers],0)),"ERROR"))</f>
        <v>289</v>
      </c>
      <c r="G17" s="155">
        <f>IF($B17=" ","",IFERROR(INDEX(MMWR_RATING_RO_ROLLUP[],MATCH($B17,MMWR_RATING_RO_ROLLUP[MMWR_RATING_RO_ROLLUP],0),MATCH(G$9,MMWR_RATING_RO_ROLLUP[#Headers],0)),"ERROR"))</f>
        <v>9492</v>
      </c>
      <c r="H17" s="156">
        <f>IF($B17=" ","",IFERROR(INDEX(MMWR_RATING_RO_ROLLUP[],MATCH($B17,MMWR_RATING_RO_ROLLUP[MMWR_RATING_RO_ROLLUP],0),MATCH(H$9,MMWR_RATING_RO_ROLLUP[#Headers],0)),"ERROR"))</f>
        <v>203.02422145329999</v>
      </c>
      <c r="I17" s="156">
        <f>IF($B17=" ","",IFERROR(INDEX(MMWR_RATING_RO_ROLLUP[],MATCH($B17,MMWR_RATING_RO_ROLLUP[MMWR_RATING_RO_ROLLUP],0),MATCH(I$9,MMWR_RATING_RO_ROLLUP[#Headers],0)),"ERROR"))</f>
        <v>222.40992414659999</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4751</v>
      </c>
      <c r="D18" s="156">
        <f>IF($B18=" ","",IFERROR(INDEX(MMWR_RATING_RO_ROLLUP[],MATCH($B18,MMWR_RATING_RO_ROLLUP[MMWR_RATING_RO_ROLLUP],0),MATCH(D$9,MMWR_RATING_RO_ROLLUP[#Headers],0)),"ERROR"))</f>
        <v>119.06672279519999</v>
      </c>
      <c r="E18" s="157">
        <f>IF($B18=" ","",IFERROR(INDEX(MMWR_RATING_RO_ROLLUP[],MATCH($B18,MMWR_RATING_RO_ROLLUP[MMWR_RATING_RO_ROLLUP],0),MATCH(E$9,MMWR_RATING_RO_ROLLUP[#Headers],0))/$C18,"ERROR"))</f>
        <v>0.32708903388760263</v>
      </c>
      <c r="F18" s="155">
        <f>IF($B18=" ","",IFERROR(INDEX(MMWR_RATING_RO_ROLLUP[],MATCH($B18,MMWR_RATING_RO_ROLLUP[MMWR_RATING_RO_ROLLUP],0),MATCH(F$9,MMWR_RATING_RO_ROLLUP[#Headers],0)),"ERROR"))</f>
        <v>310</v>
      </c>
      <c r="G18" s="155">
        <f>IF($B18=" ","",IFERROR(INDEX(MMWR_RATING_RO_ROLLUP[],MATCH($B18,MMWR_RATING_RO_ROLLUP[MMWR_RATING_RO_ROLLUP],0),MATCH(G$9,MMWR_RATING_RO_ROLLUP[#Headers],0)),"ERROR"))</f>
        <v>10388</v>
      </c>
      <c r="H18" s="156">
        <f>IF($B18=" ","",IFERROR(INDEX(MMWR_RATING_RO_ROLLUP[],MATCH($B18,MMWR_RATING_RO_ROLLUP[MMWR_RATING_RO_ROLLUP],0),MATCH(H$9,MMWR_RATING_RO_ROLLUP[#Headers],0)),"ERROR"))</f>
        <v>217.4548387097</v>
      </c>
      <c r="I18" s="156">
        <f>IF($B18=" ","",IFERROR(INDEX(MMWR_RATING_RO_ROLLUP[],MATCH($B18,MMWR_RATING_RO_ROLLUP[MMWR_RATING_RO_ROLLUP],0),MATCH(I$9,MMWR_RATING_RO_ROLLUP[#Headers],0)),"ERROR"))</f>
        <v>215.10069310739999</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1967</v>
      </c>
      <c r="D19" s="156">
        <f>IF($B19=" ","",IFERROR(INDEX(MMWR_RATING_RO_ROLLUP[],MATCH($B19,MMWR_RATING_RO_ROLLUP[MMWR_RATING_RO_ROLLUP],0),MATCH(D$9,MMWR_RATING_RO_ROLLUP[#Headers],0)),"ERROR"))</f>
        <v>99.535841382800001</v>
      </c>
      <c r="E19" s="157">
        <f>IF($B19=" ","",IFERROR(INDEX(MMWR_RATING_RO_ROLLUP[],MATCH($B19,MMWR_RATING_RO_ROLLUP[MMWR_RATING_RO_ROLLUP],0),MATCH(E$9,MMWR_RATING_RO_ROLLUP[#Headers],0))/$C19,"ERROR"))</f>
        <v>0.27503812913065584</v>
      </c>
      <c r="F19" s="155">
        <f>IF($B19=" ","",IFERROR(INDEX(MMWR_RATING_RO_ROLLUP[],MATCH($B19,MMWR_RATING_RO_ROLLUP[MMWR_RATING_RO_ROLLUP],0),MATCH(F$9,MMWR_RATING_RO_ROLLUP[#Headers],0)),"ERROR"))</f>
        <v>116</v>
      </c>
      <c r="G19" s="155">
        <f>IF($B19=" ","",IFERROR(INDEX(MMWR_RATING_RO_ROLLUP[],MATCH($B19,MMWR_RATING_RO_ROLLUP[MMWR_RATING_RO_ROLLUP],0),MATCH(G$9,MMWR_RATING_RO_ROLLUP[#Headers],0)),"ERROR"))</f>
        <v>4997</v>
      </c>
      <c r="H19" s="156">
        <f>IF($B19=" ","",IFERROR(INDEX(MMWR_RATING_RO_ROLLUP[],MATCH($B19,MMWR_RATING_RO_ROLLUP[MMWR_RATING_RO_ROLLUP],0),MATCH(H$9,MMWR_RATING_RO_ROLLUP[#Headers],0)),"ERROR"))</f>
        <v>148.84482758620001</v>
      </c>
      <c r="I19" s="156">
        <f>IF($B19=" ","",IFERROR(INDEX(MMWR_RATING_RO_ROLLUP[],MATCH($B19,MMWR_RATING_RO_ROLLUP[MMWR_RATING_RO_ROLLUP],0),MATCH(I$9,MMWR_RATING_RO_ROLLUP[#Headers],0)),"ERROR"))</f>
        <v>152.35141084649999</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2703</v>
      </c>
      <c r="D20" s="156">
        <f>IF($B20=" ","",IFERROR(INDEX(MMWR_RATING_RO_ROLLUP[],MATCH($B20,MMWR_RATING_RO_ROLLUP[MMWR_RATING_RO_ROLLUP],0),MATCH(D$9,MMWR_RATING_RO_ROLLUP[#Headers],0)),"ERROR"))</f>
        <v>96.193488716199994</v>
      </c>
      <c r="E20" s="157">
        <f>IF($B20=" ","",IFERROR(INDEX(MMWR_RATING_RO_ROLLUP[],MATCH($B20,MMWR_RATING_RO_ROLLUP[MMWR_RATING_RO_ROLLUP],0),MATCH(E$9,MMWR_RATING_RO_ROLLUP[#Headers],0))/$C20,"ERROR"))</f>
        <v>0.24010358860525341</v>
      </c>
      <c r="F20" s="155">
        <f>IF($B20=" ","",IFERROR(INDEX(MMWR_RATING_RO_ROLLUP[],MATCH($B20,MMWR_RATING_RO_ROLLUP[MMWR_RATING_RO_ROLLUP],0),MATCH(F$9,MMWR_RATING_RO_ROLLUP[#Headers],0)),"ERROR"))</f>
        <v>328</v>
      </c>
      <c r="G20" s="155">
        <f>IF($B20=" ","",IFERROR(INDEX(MMWR_RATING_RO_ROLLUP[],MATCH($B20,MMWR_RATING_RO_ROLLUP[MMWR_RATING_RO_ROLLUP],0),MATCH(G$9,MMWR_RATING_RO_ROLLUP[#Headers],0)),"ERROR"))</f>
        <v>7013</v>
      </c>
      <c r="H20" s="156">
        <f>IF($B20=" ","",IFERROR(INDEX(MMWR_RATING_RO_ROLLUP[],MATCH($B20,MMWR_RATING_RO_ROLLUP[MMWR_RATING_RO_ROLLUP],0),MATCH(H$9,MMWR_RATING_RO_ROLLUP[#Headers],0)),"ERROR"))</f>
        <v>131.71646341460001</v>
      </c>
      <c r="I20" s="156">
        <f>IF($B20=" ","",IFERROR(INDEX(MMWR_RATING_RO_ROLLUP[],MATCH($B20,MMWR_RATING_RO_ROLLUP[MMWR_RATING_RO_ROLLUP],0),MATCH(I$9,MMWR_RATING_RO_ROLLUP[#Headers],0)),"ERROR"))</f>
        <v>146.66847283620001</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1374</v>
      </c>
      <c r="D21" s="156">
        <f>IF($B21=" ","",IFERROR(INDEX(MMWR_RATING_RO_ROLLUP[],MATCH($B21,MMWR_RATING_RO_ROLLUP[MMWR_RATING_RO_ROLLUP],0),MATCH(D$9,MMWR_RATING_RO_ROLLUP[#Headers],0)),"ERROR"))</f>
        <v>101.2736535662</v>
      </c>
      <c r="E21" s="157">
        <f>IF($B21=" ","",IFERROR(INDEX(MMWR_RATING_RO_ROLLUP[],MATCH($B21,MMWR_RATING_RO_ROLLUP[MMWR_RATING_RO_ROLLUP],0),MATCH(E$9,MMWR_RATING_RO_ROLLUP[#Headers],0))/$C21,"ERROR"))</f>
        <v>0.23362445414847161</v>
      </c>
      <c r="F21" s="155">
        <f>IF($B21=" ","",IFERROR(INDEX(MMWR_RATING_RO_ROLLUP[],MATCH($B21,MMWR_RATING_RO_ROLLUP[MMWR_RATING_RO_ROLLUP],0),MATCH(F$9,MMWR_RATING_RO_ROLLUP[#Headers],0)),"ERROR"))</f>
        <v>109</v>
      </c>
      <c r="G21" s="155">
        <f>IF($B21=" ","",IFERROR(INDEX(MMWR_RATING_RO_ROLLUP[],MATCH($B21,MMWR_RATING_RO_ROLLUP[MMWR_RATING_RO_ROLLUP],0),MATCH(G$9,MMWR_RATING_RO_ROLLUP[#Headers],0)),"ERROR"))</f>
        <v>3087</v>
      </c>
      <c r="H21" s="156">
        <f>IF($B21=" ","",IFERROR(INDEX(MMWR_RATING_RO_ROLLUP[],MATCH($B21,MMWR_RATING_RO_ROLLUP[MMWR_RATING_RO_ROLLUP],0),MATCH(H$9,MMWR_RATING_RO_ROLLUP[#Headers],0)),"ERROR"))</f>
        <v>148.5504587156</v>
      </c>
      <c r="I21" s="156">
        <f>IF($B21=" ","",IFERROR(INDEX(MMWR_RATING_RO_ROLLUP[],MATCH($B21,MMWR_RATING_RO_ROLLUP[MMWR_RATING_RO_ROLLUP],0),MATCH(I$9,MMWR_RATING_RO_ROLLUP[#Headers],0)),"ERROR"))</f>
        <v>180.09297052150001</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4936</v>
      </c>
      <c r="D22" s="156">
        <f>IF($B22=" ","",IFERROR(INDEX(MMWR_RATING_RO_ROLLUP[],MATCH($B22,MMWR_RATING_RO_ROLLUP[MMWR_RATING_RO_ROLLUP],0),MATCH(D$9,MMWR_RATING_RO_ROLLUP[#Headers],0)),"ERROR"))</f>
        <v>131.1213533225</v>
      </c>
      <c r="E22" s="157">
        <f>IF($B22=" ","",IFERROR(INDEX(MMWR_RATING_RO_ROLLUP[],MATCH($B22,MMWR_RATING_RO_ROLLUP[MMWR_RATING_RO_ROLLUP],0),MATCH(E$9,MMWR_RATING_RO_ROLLUP[#Headers],0))/$C22,"ERROR"))</f>
        <v>0.38654781199351701</v>
      </c>
      <c r="F22" s="155">
        <f>IF($B22=" ","",IFERROR(INDEX(MMWR_RATING_RO_ROLLUP[],MATCH($B22,MMWR_RATING_RO_ROLLUP[MMWR_RATING_RO_ROLLUP],0),MATCH(F$9,MMWR_RATING_RO_ROLLUP[#Headers],0)),"ERROR"))</f>
        <v>432</v>
      </c>
      <c r="G22" s="155">
        <f>IF($B22=" ","",IFERROR(INDEX(MMWR_RATING_RO_ROLLUP[],MATCH($B22,MMWR_RATING_RO_ROLLUP[MMWR_RATING_RO_ROLLUP],0),MATCH(G$9,MMWR_RATING_RO_ROLLUP[#Headers],0)),"ERROR"))</f>
        <v>13081</v>
      </c>
      <c r="H22" s="156">
        <f>IF($B22=" ","",IFERROR(INDEX(MMWR_RATING_RO_ROLLUP[],MATCH($B22,MMWR_RATING_RO_ROLLUP[MMWR_RATING_RO_ROLLUP],0),MATCH(H$9,MMWR_RATING_RO_ROLLUP[#Headers],0)),"ERROR"))</f>
        <v>176</v>
      </c>
      <c r="I22" s="156">
        <f>IF($B22=" ","",IFERROR(INDEX(MMWR_RATING_RO_ROLLUP[],MATCH($B22,MMWR_RATING_RO_ROLLUP[MMWR_RATING_RO_ROLLUP],0),MATCH(I$9,MMWR_RATING_RO_ROLLUP[#Headers],0)),"ERROR"))</f>
        <v>208.69214891830001</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2873</v>
      </c>
      <c r="D23" s="156">
        <f>IF($B23=" ","",IFERROR(INDEX(MMWR_RATING_RO_ROLLUP[],MATCH($B23,MMWR_RATING_RO_ROLLUP[MMWR_RATING_RO_ROLLUP],0),MATCH(D$9,MMWR_RATING_RO_ROLLUP[#Headers],0)),"ERROR"))</f>
        <v>108.0180995475</v>
      </c>
      <c r="E23" s="157">
        <f>IF($B23=" ","",IFERROR(INDEX(MMWR_RATING_RO_ROLLUP[],MATCH($B23,MMWR_RATING_RO_ROLLUP[MMWR_RATING_RO_ROLLUP],0),MATCH(E$9,MMWR_RATING_RO_ROLLUP[#Headers],0))/$C23,"ERROR"))</f>
        <v>0.31534980856247824</v>
      </c>
      <c r="F23" s="155">
        <f>IF($B23=" ","",IFERROR(INDEX(MMWR_RATING_RO_ROLLUP[],MATCH($B23,MMWR_RATING_RO_ROLLUP[MMWR_RATING_RO_ROLLUP],0),MATCH(F$9,MMWR_RATING_RO_ROLLUP[#Headers],0)),"ERROR"))</f>
        <v>218</v>
      </c>
      <c r="G23" s="155">
        <f>IF($B23=" ","",IFERROR(INDEX(MMWR_RATING_RO_ROLLUP[],MATCH($B23,MMWR_RATING_RO_ROLLUP[MMWR_RATING_RO_ROLLUP],0),MATCH(G$9,MMWR_RATING_RO_ROLLUP[#Headers],0)),"ERROR"))</f>
        <v>5686</v>
      </c>
      <c r="H23" s="156">
        <f>IF($B23=" ","",IFERROR(INDEX(MMWR_RATING_RO_ROLLUP[],MATCH($B23,MMWR_RATING_RO_ROLLUP[MMWR_RATING_RO_ROLLUP],0),MATCH(H$9,MMWR_RATING_RO_ROLLUP[#Headers],0)),"ERROR"))</f>
        <v>150.36697247710001</v>
      </c>
      <c r="I23" s="156">
        <f>IF($B23=" ","",IFERROR(INDEX(MMWR_RATING_RO_ROLLUP[],MATCH($B23,MMWR_RATING_RO_ROLLUP[MMWR_RATING_RO_ROLLUP],0),MATCH(I$9,MMWR_RATING_RO_ROLLUP[#Headers],0)),"ERROR"))</f>
        <v>167.1603939501</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7815</v>
      </c>
      <c r="D24" s="156">
        <f>IF($B24=" ","",IFERROR(INDEX(MMWR_RATING_RO_ROLLUP[],MATCH($B24,MMWR_RATING_RO_ROLLUP[MMWR_RATING_RO_ROLLUP],0),MATCH(D$9,MMWR_RATING_RO_ROLLUP[#Headers],0)),"ERROR"))</f>
        <v>144.0236724248</v>
      </c>
      <c r="E24" s="157">
        <f>IF($B24=" ","",IFERROR(INDEX(MMWR_RATING_RO_ROLLUP[],MATCH($B24,MMWR_RATING_RO_ROLLUP[MMWR_RATING_RO_ROLLUP],0),MATCH(E$9,MMWR_RATING_RO_ROLLUP[#Headers],0))/$C24,"ERROR"))</f>
        <v>0.41740243122200893</v>
      </c>
      <c r="F24" s="155">
        <f>IF($B24=" ","",IFERROR(INDEX(MMWR_RATING_RO_ROLLUP[],MATCH($B24,MMWR_RATING_RO_ROLLUP[MMWR_RATING_RO_ROLLUP],0),MATCH(F$9,MMWR_RATING_RO_ROLLUP[#Headers],0)),"ERROR"))</f>
        <v>686</v>
      </c>
      <c r="G24" s="155">
        <f>IF($B24=" ","",IFERROR(INDEX(MMWR_RATING_RO_ROLLUP[],MATCH($B24,MMWR_RATING_RO_ROLLUP[MMWR_RATING_RO_ROLLUP],0),MATCH(G$9,MMWR_RATING_RO_ROLLUP[#Headers],0)),"ERROR"))</f>
        <v>23310</v>
      </c>
      <c r="H24" s="156">
        <f>IF($B24=" ","",IFERROR(INDEX(MMWR_RATING_RO_ROLLUP[],MATCH($B24,MMWR_RATING_RO_ROLLUP[MMWR_RATING_RO_ROLLUP],0),MATCH(H$9,MMWR_RATING_RO_ROLLUP[#Headers],0)),"ERROR"))</f>
        <v>185.33965014579999</v>
      </c>
      <c r="I24" s="156">
        <f>IF($B24=" ","",IFERROR(INDEX(MMWR_RATING_RO_ROLLUP[],MATCH($B24,MMWR_RATING_RO_ROLLUP[MMWR_RATING_RO_ROLLUP],0),MATCH(I$9,MMWR_RATING_RO_ROLLUP[#Headers],0)),"ERROR"))</f>
        <v>234.75688545689999</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4732</v>
      </c>
      <c r="D25" s="156">
        <f>IF($B25=" ","",IFERROR(INDEX(MMWR_RATING_RO_ROLLUP[],MATCH($B25,MMWR_RATING_RO_ROLLUP[MMWR_RATING_RO_ROLLUP],0),MATCH(D$9,MMWR_RATING_RO_ROLLUP[#Headers],0)),"ERROR"))</f>
        <v>142.34044801350001</v>
      </c>
      <c r="E25" s="157">
        <f>IF($B25=" ","",IFERROR(INDEX(MMWR_RATING_RO_ROLLUP[],MATCH($B25,MMWR_RATING_RO_ROLLUP[MMWR_RATING_RO_ROLLUP],0),MATCH(E$9,MMWR_RATING_RO_ROLLUP[#Headers],0))/$C25,"ERROR"))</f>
        <v>0.38207945900253593</v>
      </c>
      <c r="F25" s="155">
        <f>IF($B25=" ","",IFERROR(INDEX(MMWR_RATING_RO_ROLLUP[],MATCH($B25,MMWR_RATING_RO_ROLLUP[MMWR_RATING_RO_ROLLUP],0),MATCH(F$9,MMWR_RATING_RO_ROLLUP[#Headers],0)),"ERROR"))</f>
        <v>277</v>
      </c>
      <c r="G25" s="155">
        <f>IF($B25=" ","",IFERROR(INDEX(MMWR_RATING_RO_ROLLUP[],MATCH($B25,MMWR_RATING_RO_ROLLUP[MMWR_RATING_RO_ROLLUP],0),MATCH(G$9,MMWR_RATING_RO_ROLLUP[#Headers],0)),"ERROR"))</f>
        <v>10589</v>
      </c>
      <c r="H25" s="156">
        <f>IF($B25=" ","",IFERROR(INDEX(MMWR_RATING_RO_ROLLUP[],MATCH($B25,MMWR_RATING_RO_ROLLUP[MMWR_RATING_RO_ROLLUP],0),MATCH(H$9,MMWR_RATING_RO_ROLLUP[#Headers],0)),"ERROR"))</f>
        <v>195.9566787004</v>
      </c>
      <c r="I25" s="156">
        <f>IF($B25=" ","",IFERROR(INDEX(MMWR_RATING_RO_ROLLUP[],MATCH($B25,MMWR_RATING_RO_ROLLUP[MMWR_RATING_RO_ROLLUP],0),MATCH(I$9,MMWR_RATING_RO_ROLLUP[#Headers],0)),"ERROR"))</f>
        <v>211.9958447445</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2333</v>
      </c>
      <c r="D26" s="156">
        <f>IF($B26=" ","",IFERROR(INDEX(MMWR_RATING_RO_ROLLUP[],MATCH($B26,MMWR_RATING_RO_ROLLUP[MMWR_RATING_RO_ROLLUP],0),MATCH(D$9,MMWR_RATING_RO_ROLLUP[#Headers],0)),"ERROR"))</f>
        <v>80.914702100300005</v>
      </c>
      <c r="E26" s="157">
        <f>IF($B26=" ","",IFERROR(INDEX(MMWR_RATING_RO_ROLLUP[],MATCH($B26,MMWR_RATING_RO_ROLLUP[MMWR_RATING_RO_ROLLUP],0),MATCH(E$9,MMWR_RATING_RO_ROLLUP[#Headers],0))/$C26,"ERROR"))</f>
        <v>0.19931418774110587</v>
      </c>
      <c r="F26" s="155">
        <f>IF($B26=" ","",IFERROR(INDEX(MMWR_RATING_RO_ROLLUP[],MATCH($B26,MMWR_RATING_RO_ROLLUP[MMWR_RATING_RO_ROLLUP],0),MATCH(F$9,MMWR_RATING_RO_ROLLUP[#Headers],0)),"ERROR"))</f>
        <v>506</v>
      </c>
      <c r="G26" s="155">
        <f>IF($B26=" ","",IFERROR(INDEX(MMWR_RATING_RO_ROLLUP[],MATCH($B26,MMWR_RATING_RO_ROLLUP[MMWR_RATING_RO_ROLLUP],0),MATCH(G$9,MMWR_RATING_RO_ROLLUP[#Headers],0)),"ERROR"))</f>
        <v>18888</v>
      </c>
      <c r="H26" s="156">
        <f>IF($B26=" ","",IFERROR(INDEX(MMWR_RATING_RO_ROLLUP[],MATCH($B26,MMWR_RATING_RO_ROLLUP[MMWR_RATING_RO_ROLLUP],0),MATCH(H$9,MMWR_RATING_RO_ROLLUP[#Headers],0)),"ERROR"))</f>
        <v>54.569169960499998</v>
      </c>
      <c r="I26" s="156">
        <f>IF($B26=" ","",IFERROR(INDEX(MMWR_RATING_RO_ROLLUP[],MATCH($B26,MMWR_RATING_RO_ROLLUP[MMWR_RATING_RO_ROLLUP],0),MATCH(I$9,MMWR_RATING_RO_ROLLUP[#Headers],0)),"ERROR"))</f>
        <v>56.336562897100002</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11719</v>
      </c>
      <c r="D27" s="156">
        <f>IF($B27=" ","",IFERROR(INDEX(MMWR_RATING_RO_ROLLUP[],MATCH($B27,MMWR_RATING_RO_ROLLUP[MMWR_RATING_RO_ROLLUP],0),MATCH(D$9,MMWR_RATING_RO_ROLLUP[#Headers],0)),"ERROR"))</f>
        <v>118.91765509</v>
      </c>
      <c r="E27" s="157">
        <f>IF($B27=" ","",IFERROR(INDEX(MMWR_RATING_RO_ROLLUP[],MATCH($B27,MMWR_RATING_RO_ROLLUP[MMWR_RATING_RO_ROLLUP],0),MATCH(E$9,MMWR_RATING_RO_ROLLUP[#Headers],0))/$C27,"ERROR"))</f>
        <v>0.34192337230139092</v>
      </c>
      <c r="F27" s="155">
        <f>IF($B27=" ","",IFERROR(INDEX(MMWR_RATING_RO_ROLLUP[],MATCH($B27,MMWR_RATING_RO_ROLLUP[MMWR_RATING_RO_ROLLUP],0),MATCH(F$9,MMWR_RATING_RO_ROLLUP[#Headers],0)),"ERROR"))</f>
        <v>1007</v>
      </c>
      <c r="G27" s="155">
        <f>IF($B27=" ","",IFERROR(INDEX(MMWR_RATING_RO_ROLLUP[],MATCH($B27,MMWR_RATING_RO_ROLLUP[MMWR_RATING_RO_ROLLUP],0),MATCH(G$9,MMWR_RATING_RO_ROLLUP[#Headers],0)),"ERROR"))</f>
        <v>30114</v>
      </c>
      <c r="H27" s="156">
        <f>IF($B27=" ","",IFERROR(INDEX(MMWR_RATING_RO_ROLLUP[],MATCH($B27,MMWR_RATING_RO_ROLLUP[MMWR_RATING_RO_ROLLUP],0),MATCH(H$9,MMWR_RATING_RO_ROLLUP[#Headers],0)),"ERROR"))</f>
        <v>174.1112214499</v>
      </c>
      <c r="I27" s="156">
        <f>IF($B27=" ","",IFERROR(INDEX(MMWR_RATING_RO_ROLLUP[],MATCH($B27,MMWR_RATING_RO_ROLLUP[MMWR_RATING_RO_ROLLUP],0),MATCH(I$9,MMWR_RATING_RO_ROLLUP[#Headers],0)),"ERROR"))</f>
        <v>214.92508467819999</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1232</v>
      </c>
      <c r="D28" s="156">
        <f>IF($B28=" ","",IFERROR(INDEX(MMWR_RATING_RO_ROLLUP[],MATCH($B28,MMWR_RATING_RO_ROLLUP[MMWR_RATING_RO_ROLLUP],0),MATCH(D$9,MMWR_RATING_RO_ROLLUP[#Headers],0)),"ERROR"))</f>
        <v>93.952922077899998</v>
      </c>
      <c r="E28" s="157">
        <f>IF($B28=" ","",IFERROR(INDEX(MMWR_RATING_RO_ROLLUP[],MATCH($B28,MMWR_RATING_RO_ROLLUP[MMWR_RATING_RO_ROLLUP],0),MATCH(E$9,MMWR_RATING_RO_ROLLUP[#Headers],0))/$C28,"ERROR"))</f>
        <v>0.19237012987012986</v>
      </c>
      <c r="F28" s="155">
        <f>IF($B28=" ","",IFERROR(INDEX(MMWR_RATING_RO_ROLLUP[],MATCH($B28,MMWR_RATING_RO_ROLLUP[MMWR_RATING_RO_ROLLUP],0),MATCH(F$9,MMWR_RATING_RO_ROLLUP[#Headers],0)),"ERROR"))</f>
        <v>115</v>
      </c>
      <c r="G28" s="155">
        <f>IF($B28=" ","",IFERROR(INDEX(MMWR_RATING_RO_ROLLUP[],MATCH($B28,MMWR_RATING_RO_ROLLUP[MMWR_RATING_RO_ROLLUP],0),MATCH(G$9,MMWR_RATING_RO_ROLLUP[#Headers],0)),"ERROR"))</f>
        <v>3453</v>
      </c>
      <c r="H28" s="156">
        <f>IF($B28=" ","",IFERROR(INDEX(MMWR_RATING_RO_ROLLUP[],MATCH($B28,MMWR_RATING_RO_ROLLUP[MMWR_RATING_RO_ROLLUP],0),MATCH(H$9,MMWR_RATING_RO_ROLLUP[#Headers],0)),"ERROR"))</f>
        <v>153.01739130429999</v>
      </c>
      <c r="I28" s="156">
        <f>IF($B28=" ","",IFERROR(INDEX(MMWR_RATING_RO_ROLLUP[],MATCH($B28,MMWR_RATING_RO_ROLLUP[MMWR_RATING_RO_ROLLUP],0),MATCH(I$9,MMWR_RATING_RO_ROLLUP[#Headers],0)),"ERROR"))</f>
        <v>129.06139588760001</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413</v>
      </c>
      <c r="D29" s="156">
        <f>IF($B29=" ","",IFERROR(INDEX(MMWR_RATING_RO_ROLLUP[],MATCH($B29,MMWR_RATING_RO_ROLLUP[MMWR_RATING_RO_ROLLUP],0),MATCH(D$9,MMWR_RATING_RO_ROLLUP[#Headers],0)),"ERROR"))</f>
        <v>113.014527845</v>
      </c>
      <c r="E29" s="157">
        <f>IF($B29=" ","",IFERROR(INDEX(MMWR_RATING_RO_ROLLUP[],MATCH($B29,MMWR_RATING_RO_ROLLUP[MMWR_RATING_RO_ROLLUP],0),MATCH(E$9,MMWR_RATING_RO_ROLLUP[#Headers],0))/$C29,"ERROR"))</f>
        <v>0.29782082324455206</v>
      </c>
      <c r="F29" s="155">
        <f>IF($B29=" ","",IFERROR(INDEX(MMWR_RATING_RO_ROLLUP[],MATCH($B29,MMWR_RATING_RO_ROLLUP[MMWR_RATING_RO_ROLLUP],0),MATCH(F$9,MMWR_RATING_RO_ROLLUP[#Headers],0)),"ERROR"))</f>
        <v>21</v>
      </c>
      <c r="G29" s="155">
        <f>IF($B29=" ","",IFERROR(INDEX(MMWR_RATING_RO_ROLLUP[],MATCH($B29,MMWR_RATING_RO_ROLLUP[MMWR_RATING_RO_ROLLUP],0),MATCH(G$9,MMWR_RATING_RO_ROLLUP[#Headers],0)),"ERROR"))</f>
        <v>1206</v>
      </c>
      <c r="H29" s="156">
        <f>IF($B29=" ","",IFERROR(INDEX(MMWR_RATING_RO_ROLLUP[],MATCH($B29,MMWR_RATING_RO_ROLLUP[MMWR_RATING_RO_ROLLUP],0),MATCH(H$9,MMWR_RATING_RO_ROLLUP[#Headers],0)),"ERROR"))</f>
        <v>172.09523809519999</v>
      </c>
      <c r="I29" s="156">
        <f>IF($B29=" ","",IFERROR(INDEX(MMWR_RATING_RO_ROLLUP[],MATCH($B29,MMWR_RATING_RO_ROLLUP[MMWR_RATING_RO_ROLLUP],0),MATCH(I$9,MMWR_RATING_RO_ROLLUP[#Headers],0)),"ERROR"))</f>
        <v>173.02321724710001</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851</v>
      </c>
      <c r="D30" s="156">
        <f>IF($B30=" ","",IFERROR(INDEX(MMWR_RATING_RO_ROLLUP[],MATCH($B30,MMWR_RATING_RO_ROLLUP[MMWR_RATING_RO_ROLLUP],0),MATCH(D$9,MMWR_RATING_RO_ROLLUP[#Headers],0)),"ERROR"))</f>
        <v>136.99882491189999</v>
      </c>
      <c r="E30" s="157">
        <f>IF($B30=" ","",IFERROR(INDEX(MMWR_RATING_RO_ROLLUP[],MATCH($B30,MMWR_RATING_RO_ROLLUP[MMWR_RATING_RO_ROLLUP],0),MATCH(E$9,MMWR_RATING_RO_ROLLUP[#Headers],0))/$C30,"ERROR"))</f>
        <v>0.3607520564042303</v>
      </c>
      <c r="F30" s="155">
        <f>IF($B30=" ","",IFERROR(INDEX(MMWR_RATING_RO_ROLLUP[],MATCH($B30,MMWR_RATING_RO_ROLLUP[MMWR_RATING_RO_ROLLUP],0),MATCH(F$9,MMWR_RATING_RO_ROLLUP[#Headers],0)),"ERROR"))</f>
        <v>55</v>
      </c>
      <c r="G30" s="155">
        <f>IF($B30=" ","",IFERROR(INDEX(MMWR_RATING_RO_ROLLUP[],MATCH($B30,MMWR_RATING_RO_ROLLUP[MMWR_RATING_RO_ROLLUP],0),MATCH(G$9,MMWR_RATING_RO_ROLLUP[#Headers],0)),"ERROR"))</f>
        <v>2145</v>
      </c>
      <c r="H30" s="156">
        <f>IF($B30=" ","",IFERROR(INDEX(MMWR_RATING_RO_ROLLUP[],MATCH($B30,MMWR_RATING_RO_ROLLUP[MMWR_RATING_RO_ROLLUP],0),MATCH(H$9,MMWR_RATING_RO_ROLLUP[#Headers],0)),"ERROR"))</f>
        <v>239.8545454545</v>
      </c>
      <c r="I30" s="156">
        <f>IF($B30=" ","",IFERROR(INDEX(MMWR_RATING_RO_ROLLUP[],MATCH($B30,MMWR_RATING_RO_ROLLUP[MMWR_RATING_RO_ROLLUP],0),MATCH(I$9,MMWR_RATING_RO_ROLLUP[#Headers],0)),"ERROR"))</f>
        <v>224.5827505828</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18493</v>
      </c>
      <c r="D31" s="156">
        <f>IF($B31=" ","",IFERROR(INDEX(MMWR_RATING_RO_ROLLUP[],MATCH($B31,MMWR_RATING_RO_ROLLUP[MMWR_RATING_RO_ROLLUP],0),MATCH(D$9,MMWR_RATING_RO_ROLLUP[#Headers],0)),"ERROR"))</f>
        <v>127.9809116963</v>
      </c>
      <c r="E31" s="157">
        <f>IF($B31=" ","",IFERROR(INDEX(MMWR_RATING_RO_ROLLUP[],MATCH($B31,MMWR_RATING_RO_ROLLUP[MMWR_RATING_RO_ROLLUP],0),MATCH(E$9,MMWR_RATING_RO_ROLLUP[#Headers],0))/$C31,"ERROR"))</f>
        <v>0.365597793759801</v>
      </c>
      <c r="F31" s="155">
        <f>IF($B31=" ","",IFERROR(INDEX(MMWR_RATING_RO_ROLLUP[],MATCH($B31,MMWR_RATING_RO_ROLLUP[MMWR_RATING_RO_ROLLUP],0),MATCH(F$9,MMWR_RATING_RO_ROLLUP[#Headers],0)),"ERROR"))</f>
        <v>1366</v>
      </c>
      <c r="G31" s="155">
        <f>IF($B31=" ","",IFERROR(INDEX(MMWR_RATING_RO_ROLLUP[],MATCH($B31,MMWR_RATING_RO_ROLLUP[MMWR_RATING_RO_ROLLUP],0),MATCH(G$9,MMWR_RATING_RO_ROLLUP[#Headers],0)),"ERROR"))</f>
        <v>43655</v>
      </c>
      <c r="H31" s="156">
        <f>IF($B31=" ","",IFERROR(INDEX(MMWR_RATING_RO_ROLLUP[],MATCH($B31,MMWR_RATING_RO_ROLLUP[MMWR_RATING_RO_ROLLUP],0),MATCH(H$9,MMWR_RATING_RO_ROLLUP[#Headers],0)),"ERROR"))</f>
        <v>175.8711566618</v>
      </c>
      <c r="I31" s="156">
        <f>IF($B31=" ","",IFERROR(INDEX(MMWR_RATING_RO_ROLLUP[],MATCH($B31,MMWR_RATING_RO_ROLLUP[MMWR_RATING_RO_ROLLUP],0),MATCH(I$9,MMWR_RATING_RO_ROLLUP[#Headers],0)),"ERROR"))</f>
        <v>210.68839766350001</v>
      </c>
      <c r="J31" s="42"/>
      <c r="K31" s="42"/>
      <c r="L31" s="42"/>
      <c r="M31" s="42"/>
      <c r="N31" s="28"/>
    </row>
    <row r="32" spans="1:14" x14ac:dyDescent="0.2">
      <c r="A32" s="25"/>
      <c r="B32" s="357" t="s">
        <v>750</v>
      </c>
      <c r="C32" s="358"/>
      <c r="D32" s="358"/>
      <c r="E32" s="358"/>
      <c r="F32" s="358"/>
      <c r="G32" s="358"/>
      <c r="H32" s="358"/>
      <c r="I32" s="358"/>
      <c r="J32" s="358"/>
      <c r="K32" s="358"/>
      <c r="L32" s="358"/>
      <c r="M32" s="370"/>
      <c r="N32" s="28"/>
    </row>
    <row r="33" spans="1:14" x14ac:dyDescent="0.2">
      <c r="A33" s="25"/>
      <c r="B33" s="11" t="s">
        <v>713</v>
      </c>
      <c r="C33" s="155">
        <f>IF($B33=" ","",IFERROR(INDEX(MMWR_RATING_RO_ROLLUP[],MATCH($B33,MMWR_RATING_RO_ROLLUP[MMWR_RATING_RO_ROLLUP],0),MATCH(C$9,MMWR_RATING_RO_ROLLUP[#Headers],0)),"ERROR"))</f>
        <v>18835</v>
      </c>
      <c r="D33" s="156">
        <f>IF($B33=" ","",IFERROR(INDEX(MMWR_RATING_RO_ROLLUP[],MATCH($B33,MMWR_RATING_RO_ROLLUP[MMWR_RATING_RO_ROLLUP],0),MATCH(D$9,MMWR_RATING_RO_ROLLUP[#Headers],0)),"ERROR"))</f>
        <v>61.755933103300002</v>
      </c>
      <c r="E33" s="157">
        <f>IF($B33=" ","",IFERROR(INDEX(MMWR_RATING_RO_ROLLUP[],MATCH($B33,MMWR_RATING_RO_ROLLUP[MMWR_RATING_RO_ROLLUP],0),MATCH(E$9,MMWR_RATING_RO_ROLLUP[#Headers],0))/$C33,"ERROR"))</f>
        <v>9.6522431643217416E-2</v>
      </c>
      <c r="F33" s="155">
        <f>IF($B33=" ","",IFERROR(INDEX(MMWR_RATING_RO_ROLLUP[],MATCH($B33,MMWR_RATING_RO_ROLLUP[MMWR_RATING_RO_ROLLUP],0),MATCH(F$9,MMWR_RATING_RO_ROLLUP[#Headers],0)),"ERROR"))</f>
        <v>3312</v>
      </c>
      <c r="G33" s="155">
        <f>IF($B33=" ","",IFERROR(INDEX(MMWR_RATING_RO_ROLLUP[],MATCH($B33,MMWR_RATING_RO_ROLLUP[MMWR_RATING_RO_ROLLUP],0),MATCH(G$9,MMWR_RATING_RO_ROLLUP[#Headers],0)),"ERROR"))</f>
        <v>119014</v>
      </c>
      <c r="H33" s="156">
        <f>IF($B33=" ","",IFERROR(INDEX(MMWR_RATING_RO_ROLLUP[],MATCH($B33,MMWR_RATING_RO_ROLLUP[MMWR_RATING_RO_ROLLUP],0),MATCH(H$9,MMWR_RATING_RO_ROLLUP[#Headers],0)),"ERROR"))</f>
        <v>69.228562801899997</v>
      </c>
      <c r="I33" s="156">
        <f>IF($B33=" ","",IFERROR(INDEX(MMWR_RATING_RO_ROLLUP[],MATCH($B33,MMWR_RATING_RO_ROLLUP[MMWR_RATING_RO_ROLLUP],0),MATCH(I$9,MMWR_RATING_RO_ROLLUP[#Headers],0)),"ERROR"))</f>
        <v>64.567218982599996</v>
      </c>
      <c r="J33" s="42"/>
      <c r="K33" s="42"/>
      <c r="L33" s="42"/>
      <c r="M33" s="42"/>
      <c r="N33" s="28"/>
    </row>
    <row r="34" spans="1:14" x14ac:dyDescent="0.2">
      <c r="A34" s="25"/>
      <c r="B34" s="12" t="s">
        <v>218</v>
      </c>
      <c r="C34" s="155">
        <f>IF($B34=" ","",IFERROR(INDEX(MMWR_RATING_RO_ROLLUP[],MATCH($B34,MMWR_RATING_RO_ROLLUP[MMWR_RATING_RO_ROLLUP],0),MATCH(C$9,MMWR_RATING_RO_ROLLUP[#Headers],0)),"ERROR"))</f>
        <v>5847</v>
      </c>
      <c r="D34" s="156">
        <f>IF($B34=" ","",IFERROR(INDEX(MMWR_RATING_RO_ROLLUP[],MATCH($B34,MMWR_RATING_RO_ROLLUP[MMWR_RATING_RO_ROLLUP],0),MATCH(D$9,MMWR_RATING_RO_ROLLUP[#Headers],0)),"ERROR"))</f>
        <v>66.257739011499993</v>
      </c>
      <c r="E34" s="157">
        <f>IF($B34=" ","",IFERROR(INDEX(MMWR_RATING_RO_ROLLUP[],MATCH($B34,MMWR_RATING_RO_ROLLUP[MMWR_RATING_RO_ROLLUP],0),MATCH(E$9,MMWR_RATING_RO_ROLLUP[#Headers],0))/$C34,"ERROR"))</f>
        <v>0.12006157003591586</v>
      </c>
      <c r="F34" s="155">
        <f>IF($B34=" ","",IFERROR(INDEX(MMWR_RATING_RO_ROLLUP[],MATCH($B34,MMWR_RATING_RO_ROLLUP[MMWR_RATING_RO_ROLLUP],0),MATCH(F$9,MMWR_RATING_RO_ROLLUP[#Headers],0)),"ERROR"))</f>
        <v>1117</v>
      </c>
      <c r="G34" s="155">
        <f>IF($B34=" ","",IFERROR(INDEX(MMWR_RATING_RO_ROLLUP[],MATCH($B34,MMWR_RATING_RO_ROLLUP[MMWR_RATING_RO_ROLLUP],0),MATCH(G$9,MMWR_RATING_RO_ROLLUP[#Headers],0)),"ERROR"))</f>
        <v>37842</v>
      </c>
      <c r="H34" s="156">
        <f>IF($B34=" ","",IFERROR(INDEX(MMWR_RATING_RO_ROLLUP[],MATCH($B34,MMWR_RATING_RO_ROLLUP[MMWR_RATING_RO_ROLLUP],0),MATCH(H$9,MMWR_RATING_RO_ROLLUP[#Headers],0)),"ERROR"))</f>
        <v>75.313339301699997</v>
      </c>
      <c r="I34" s="156">
        <f>IF($B34=" ","",IFERROR(INDEX(MMWR_RATING_RO_ROLLUP[],MATCH($B34,MMWR_RATING_RO_ROLLUP[MMWR_RATING_RO_ROLLUP],0),MATCH(I$9,MMWR_RATING_RO_ROLLUP[#Headers],0)),"ERROR"))</f>
        <v>72.519000052899997</v>
      </c>
      <c r="J34" s="42"/>
      <c r="K34" s="42"/>
      <c r="L34" s="42"/>
      <c r="M34" s="42"/>
      <c r="N34" s="28"/>
    </row>
    <row r="35" spans="1:14" x14ac:dyDescent="0.2">
      <c r="A35" s="44"/>
      <c r="B35" s="12" t="s">
        <v>217</v>
      </c>
      <c r="C35" s="155">
        <f>IF($B35=" ","",IFERROR(INDEX(MMWR_RATING_RO_ROLLUP[],MATCH($B35,MMWR_RATING_RO_ROLLUP[MMWR_RATING_RO_ROLLUP],0),MATCH(C$9,MMWR_RATING_RO_ROLLUP[#Headers],0)),"ERROR"))</f>
        <v>4478</v>
      </c>
      <c r="D35" s="156">
        <f>IF($B35=" ","",IFERROR(INDEX(MMWR_RATING_RO_ROLLUP[],MATCH($B35,MMWR_RATING_RO_ROLLUP[MMWR_RATING_RO_ROLLUP],0),MATCH(D$9,MMWR_RATING_RO_ROLLUP[#Headers],0)),"ERROR"))</f>
        <v>55.794551138899998</v>
      </c>
      <c r="E35" s="157">
        <f>IF($B35=" ","",IFERROR(INDEX(MMWR_RATING_RO_ROLLUP[],MATCH($B35,MMWR_RATING_RO_ROLLUP[MMWR_RATING_RO_ROLLUP],0),MATCH(E$9,MMWR_RATING_RO_ROLLUP[#Headers],0))/$C35,"ERROR"))</f>
        <v>8.6869138008039304E-2</v>
      </c>
      <c r="F35" s="155">
        <f>IF($B35=" ","",IFERROR(INDEX(MMWR_RATING_RO_ROLLUP[],MATCH($B35,MMWR_RATING_RO_ROLLUP[MMWR_RATING_RO_ROLLUP],0),MATCH(F$9,MMWR_RATING_RO_ROLLUP[#Headers],0)),"ERROR"))</f>
        <v>795</v>
      </c>
      <c r="G35" s="155">
        <f>IF($B35=" ","",IFERROR(INDEX(MMWR_RATING_RO_ROLLUP[],MATCH($B35,MMWR_RATING_RO_ROLLUP[MMWR_RATING_RO_ROLLUP],0),MATCH(G$9,MMWR_RATING_RO_ROLLUP[#Headers],0)),"ERROR"))</f>
        <v>33581</v>
      </c>
      <c r="H35" s="156">
        <f>IF($B35=" ","",IFERROR(INDEX(MMWR_RATING_RO_ROLLUP[],MATCH($B35,MMWR_RATING_RO_ROLLUP[MMWR_RATING_RO_ROLLUP],0),MATCH(H$9,MMWR_RATING_RO_ROLLUP[#Headers],0)),"ERROR"))</f>
        <v>56.474213836499999</v>
      </c>
      <c r="I35" s="156">
        <f>IF($B35=" ","",IFERROR(INDEX(MMWR_RATING_RO_ROLLUP[],MATCH($B35,MMWR_RATING_RO_ROLLUP[MMWR_RATING_RO_ROLLUP],0),MATCH(I$9,MMWR_RATING_RO_ROLLUP[#Headers],0)),"ERROR"))</f>
        <v>55.062446026000003</v>
      </c>
      <c r="J35" s="42"/>
      <c r="K35" s="42"/>
      <c r="L35" s="42"/>
      <c r="M35" s="42"/>
      <c r="N35" s="28"/>
    </row>
    <row r="36" spans="1:14" x14ac:dyDescent="0.2">
      <c r="A36" s="25"/>
      <c r="B36" s="12" t="s">
        <v>220</v>
      </c>
      <c r="C36" s="155">
        <f>IF($B36=" ","",IFERROR(INDEX(MMWR_RATING_RO_ROLLUP[],MATCH($B36,MMWR_RATING_RO_ROLLUP[MMWR_RATING_RO_ROLLUP],0),MATCH(C$9,MMWR_RATING_RO_ROLLUP[#Headers],0)),"ERROR"))</f>
        <v>7996</v>
      </c>
      <c r="D36" s="156">
        <f>IF($B36=" ","",IFERROR(INDEX(MMWR_RATING_RO_ROLLUP[],MATCH($B36,MMWR_RATING_RO_ROLLUP[MMWR_RATING_RO_ROLLUP],0),MATCH(D$9,MMWR_RATING_RO_ROLLUP[#Headers],0)),"ERROR"))</f>
        <v>55.108929464699997</v>
      </c>
      <c r="E36" s="157">
        <f>IF($B36=" ","",IFERROR(INDEX(MMWR_RATING_RO_ROLLUP[],MATCH($B36,MMWR_RATING_RO_ROLLUP[MMWR_RATING_RO_ROLLUP],0),MATCH(E$9,MMWR_RATING_RO_ROLLUP[#Headers],0))/$C36,"ERROR"))</f>
        <v>6.1030515257628815E-2</v>
      </c>
      <c r="F36" s="155">
        <f>IF($B36=" ","",IFERROR(INDEX(MMWR_RATING_RO_ROLLUP[],MATCH($B36,MMWR_RATING_RO_ROLLUP[MMWR_RATING_RO_ROLLUP],0),MATCH(F$9,MMWR_RATING_RO_ROLLUP[#Headers],0)),"ERROR"))</f>
        <v>1263</v>
      </c>
      <c r="G36" s="155">
        <f>IF($B36=" ","",IFERROR(INDEX(MMWR_RATING_RO_ROLLUP[],MATCH($B36,MMWR_RATING_RO_ROLLUP[MMWR_RATING_RO_ROLLUP],0),MATCH(G$9,MMWR_RATING_RO_ROLLUP[#Headers],0)),"ERROR"))</f>
        <v>43125</v>
      </c>
      <c r="H36" s="156">
        <f>IF($B36=" ","",IFERROR(INDEX(MMWR_RATING_RO_ROLLUP[],MATCH($B36,MMWR_RATING_RO_ROLLUP[MMWR_RATING_RO_ROLLUP],0),MATCH(H$9,MMWR_RATING_RO_ROLLUP[#Headers],0)),"ERROR"))</f>
        <v>71.031670625499999</v>
      </c>
      <c r="I36" s="156">
        <f>IF($B36=" ","",IFERROR(INDEX(MMWR_RATING_RO_ROLLUP[],MATCH($B36,MMWR_RATING_RO_ROLLUP[MMWR_RATING_RO_ROLLUP],0),MATCH(I$9,MMWR_RATING_RO_ROLLUP[#Headers],0)),"ERROR"))</f>
        <v>64.671211594200003</v>
      </c>
      <c r="J36" s="42"/>
      <c r="K36" s="42"/>
      <c r="L36" s="42"/>
      <c r="M36" s="42"/>
      <c r="N36" s="28"/>
    </row>
    <row r="37" spans="1:14" x14ac:dyDescent="0.2">
      <c r="A37" s="25"/>
      <c r="B37" s="13" t="s">
        <v>232</v>
      </c>
      <c r="C37" s="155">
        <f>IF($B37=" ","",IFERROR(INDEX(MMWR_RATING_RO_ROLLUP[],MATCH($B37,MMWR_RATING_RO_ROLLUP[MMWR_RATING_RO_ROLLUP],0),MATCH(C$9,MMWR_RATING_RO_ROLLUP[#Headers],0)),"ERROR"))</f>
        <v>514</v>
      </c>
      <c r="D37" s="156">
        <f>IF($B37=" ","",IFERROR(INDEX(MMWR_RATING_RO_ROLLUP[],MATCH($B37,MMWR_RATING_RO_ROLLUP[MMWR_RATING_RO_ROLLUP],0),MATCH(D$9,MMWR_RATING_RO_ROLLUP[#Headers],0)),"ERROR"))</f>
        <v>165.88521400779999</v>
      </c>
      <c r="E37" s="157">
        <f>IF($B37=" ","",IFERROR(INDEX(MMWR_RATING_RO_ROLLUP[],MATCH($B37,MMWR_RATING_RO_ROLLUP[MMWR_RATING_RO_ROLLUP],0),MATCH(E$9,MMWR_RATING_RO_ROLLUP[#Headers],0))/$C37,"ERROR"))</f>
        <v>0.46498054474708173</v>
      </c>
      <c r="F37" s="155">
        <f>IF($B37=" ","",IFERROR(INDEX(MMWR_RATING_RO_ROLLUP[],MATCH($B37,MMWR_RATING_RO_ROLLUP[MMWR_RATING_RO_ROLLUP],0),MATCH(F$9,MMWR_RATING_RO_ROLLUP[#Headers],0)),"ERROR"))</f>
        <v>137</v>
      </c>
      <c r="G37" s="155">
        <f>IF($B37=" ","",IFERROR(INDEX(MMWR_RATING_RO_ROLLUP[],MATCH($B37,MMWR_RATING_RO_ROLLUP[MMWR_RATING_RO_ROLLUP],0),MATCH(G$9,MMWR_RATING_RO_ROLLUP[#Headers],0)),"ERROR"))</f>
        <v>4466</v>
      </c>
      <c r="H37" s="156">
        <f>IF($B37=" ","",IFERROR(INDEX(MMWR_RATING_RO_ROLLUP[],MATCH($B37,MMWR_RATING_RO_ROLLUP[MMWR_RATING_RO_ROLLUP],0),MATCH(H$9,MMWR_RATING_RO_ROLLUP[#Headers],0)),"ERROR"))</f>
        <v>77.007299270100006</v>
      </c>
      <c r="I37" s="156">
        <f>IF($B37=" ","",IFERROR(INDEX(MMWR_RATING_RO_ROLLUP[],MATCH($B37,MMWR_RATING_RO_ROLLUP[MMWR_RATING_RO_ROLLUP],0),MATCH(I$9,MMWR_RATING_RO_ROLLUP[#Headers],0)),"ERROR"))</f>
        <v>67.653605015699995</v>
      </c>
      <c r="J37" s="42"/>
      <c r="K37" s="42"/>
      <c r="L37" s="42"/>
      <c r="M37" s="42"/>
      <c r="N37" s="28"/>
    </row>
    <row r="38" spans="1:14" x14ac:dyDescent="0.2">
      <c r="A38" s="25"/>
      <c r="B38" s="357" t="s">
        <v>933</v>
      </c>
      <c r="C38" s="358"/>
      <c r="D38" s="358"/>
      <c r="E38" s="358"/>
      <c r="F38" s="358"/>
      <c r="G38" s="358"/>
      <c r="H38" s="358"/>
      <c r="I38" s="358"/>
      <c r="J38" s="358"/>
      <c r="K38" s="358"/>
      <c r="L38" s="358"/>
      <c r="M38" s="370"/>
      <c r="N38" s="28"/>
    </row>
    <row r="39" spans="1:14" x14ac:dyDescent="0.2">
      <c r="A39" s="25"/>
      <c r="B39" s="45" t="s">
        <v>714</v>
      </c>
      <c r="C39" s="155">
        <f>IF($B39=" ","",IFERROR(INDEX(MMWR_RATING_RO_ROLLUP[],MATCH($B39,MMWR_RATING_RO_ROLLUP[MMWR_RATING_RO_ROLLUP],0),MATCH(C$9,MMWR_RATING_RO_ROLLUP[#Headers],0)),"ERROR"))</f>
        <v>8406</v>
      </c>
      <c r="D39" s="156">
        <f>IF($B39=" ","",IFERROR(INDEX(MMWR_RATING_RO_ROLLUP[],MATCH($B39,MMWR_RATING_RO_ROLLUP[MMWR_RATING_RO_ROLLUP],0),MATCH(D$9,MMWR_RATING_RO_ROLLUP[#Headers],0)),"ERROR"))</f>
        <v>72.938972162699997</v>
      </c>
      <c r="E39" s="157">
        <f>IF($B39=" ","",IFERROR(INDEX(MMWR_RATING_RO_ROLLUP[],MATCH($B39,MMWR_RATING_RO_ROLLUP[MMWR_RATING_RO_ROLLUP],0),MATCH(E$9,MMWR_RATING_RO_ROLLUP[#Headers],0))/$C39,"ERROR"))</f>
        <v>0.16797525576968833</v>
      </c>
      <c r="F39" s="155">
        <f>IF($B39=" ","",IFERROR(INDEX(MMWR_RATING_RO_ROLLUP[],MATCH($B39,MMWR_RATING_RO_ROLLUP[MMWR_RATING_RO_ROLLUP],0),MATCH(F$9,MMWR_RATING_RO_ROLLUP[#Headers],0)),"ERROR"))</f>
        <v>554</v>
      </c>
      <c r="G39" s="155">
        <f>IF($B39=" ","",IFERROR(INDEX(MMWR_RATING_RO_ROLLUP[],MATCH($B39,MMWR_RATING_RO_ROLLUP[MMWR_RATING_RO_ROLLUP],0),MATCH(G$9,MMWR_RATING_RO_ROLLUP[#Headers],0)),"ERROR"))</f>
        <v>19952</v>
      </c>
      <c r="H39" s="156">
        <f>IF($B39=" ","",IFERROR(INDEX(MMWR_RATING_RO_ROLLUP[],MATCH($B39,MMWR_RATING_RO_ROLLUP[MMWR_RATING_RO_ROLLUP],0),MATCH(H$9,MMWR_RATING_RO_ROLLUP[#Headers],0)),"ERROR"))</f>
        <v>134.6119133574</v>
      </c>
      <c r="I39" s="156">
        <f>IF($B39=" ","",IFERROR(INDEX(MMWR_RATING_RO_ROLLUP[],MATCH($B39,MMWR_RATING_RO_ROLLUP[MMWR_RATING_RO_ROLLUP],0),MATCH(I$9,MMWR_RATING_RO_ROLLUP[#Headers],0)),"ERROR"))</f>
        <v>135.22985164389999</v>
      </c>
      <c r="J39" s="42"/>
      <c r="K39" s="42"/>
      <c r="L39" s="42"/>
      <c r="M39" s="42"/>
      <c r="N39" s="28"/>
    </row>
    <row r="40" spans="1:14" x14ac:dyDescent="0.2">
      <c r="A40" s="25"/>
      <c r="B40" s="54" t="s">
        <v>978</v>
      </c>
      <c r="C40" s="155">
        <f>IF($B40=" ","",IFERROR(INDEX(MMWR_RATING_RO_ROLLUP[],MATCH($B40,MMWR_RATING_RO_ROLLUP[MMWR_RATING_RO_ROLLUP],0),MATCH(C$9,MMWR_RATING_RO_ROLLUP[#Headers],0)),"ERROR"))</f>
        <v>2719</v>
      </c>
      <c r="D40" s="156">
        <f>IF($B40=" ","",IFERROR(INDEX(MMWR_RATING_RO_ROLLUP[],MATCH($B40,MMWR_RATING_RO_ROLLUP[MMWR_RATING_RO_ROLLUP],0),MATCH(D$9,MMWR_RATING_RO_ROLLUP[#Headers],0)),"ERROR"))</f>
        <v>67.687752850300001</v>
      </c>
      <c r="E40" s="157">
        <f>IF($B40=" ","",IFERROR(INDEX(MMWR_RATING_RO_ROLLUP[],MATCH($B40,MMWR_RATING_RO_ROLLUP[MMWR_RATING_RO_ROLLUP],0),MATCH(E$9,MMWR_RATING_RO_ROLLUP[#Headers],0))/$C40,"ERROR"))</f>
        <v>0.1526296432511953</v>
      </c>
      <c r="F40" s="155">
        <f>IF($B40=" ","",IFERROR(INDEX(MMWR_RATING_RO_ROLLUP[],MATCH($B40,MMWR_RATING_RO_ROLLUP[MMWR_RATING_RO_ROLLUP],0),MATCH(F$9,MMWR_RATING_RO_ROLLUP[#Headers],0)),"ERROR"))</f>
        <v>239</v>
      </c>
      <c r="G40" s="155">
        <f>IF($B40=" ","",IFERROR(INDEX(MMWR_RATING_RO_ROLLUP[],MATCH($B40,MMWR_RATING_RO_ROLLUP[MMWR_RATING_RO_ROLLUP],0),MATCH(G$9,MMWR_RATING_RO_ROLLUP[#Headers],0)),"ERROR"))</f>
        <v>8407</v>
      </c>
      <c r="H40" s="156">
        <f>IF($B40=" ","",IFERROR(INDEX(MMWR_RATING_RO_ROLLUP[],MATCH($B40,MMWR_RATING_RO_ROLLUP[MMWR_RATING_RO_ROLLUP],0),MATCH(H$9,MMWR_RATING_RO_ROLLUP[#Headers],0)),"ERROR"))</f>
        <v>123.8075313808</v>
      </c>
      <c r="I40" s="156">
        <f>IF($B40=" ","",IFERROR(INDEX(MMWR_RATING_RO_ROLLUP[],MATCH($B40,MMWR_RATING_RO_ROLLUP[MMWR_RATING_RO_ROLLUP],0),MATCH(I$9,MMWR_RATING_RO_ROLLUP[#Headers],0)),"ERROR"))</f>
        <v>120.760556679</v>
      </c>
      <c r="J40" s="42"/>
      <c r="K40" s="42"/>
      <c r="L40" s="42"/>
      <c r="M40" s="42"/>
      <c r="N40" s="28"/>
    </row>
    <row r="41" spans="1:14" x14ac:dyDescent="0.2">
      <c r="A41" s="25"/>
      <c r="B41" s="54" t="s">
        <v>979</v>
      </c>
      <c r="C41" s="155">
        <f>IF($B41=" ","",IFERROR(INDEX(MMWR_RATING_RO_ROLLUP[],MATCH($B41,MMWR_RATING_RO_ROLLUP[MMWR_RATING_RO_ROLLUP],0),MATCH(C$9,MMWR_RATING_RO_ROLLUP[#Headers],0)),"ERROR"))</f>
        <v>2985</v>
      </c>
      <c r="D41" s="156">
        <f>IF($B41=" ","",IFERROR(INDEX(MMWR_RATING_RO_ROLLUP[],MATCH($B41,MMWR_RATING_RO_ROLLUP[MMWR_RATING_RO_ROLLUP],0),MATCH(D$9,MMWR_RATING_RO_ROLLUP[#Headers],0)),"ERROR"))</f>
        <v>86.661976549399995</v>
      </c>
      <c r="E41" s="157">
        <f>IF($B41=" ","",IFERROR(INDEX(MMWR_RATING_RO_ROLLUP[],MATCH($B41,MMWR_RATING_RO_ROLLUP[MMWR_RATING_RO_ROLLUP],0),MATCH(E$9,MMWR_RATING_RO_ROLLUP[#Headers],0))/$C41,"ERROR"))</f>
        <v>0.23685092127303184</v>
      </c>
      <c r="F41" s="155">
        <f>IF($B41=" ","",IFERROR(INDEX(MMWR_RATING_RO_ROLLUP[],MATCH($B41,MMWR_RATING_RO_ROLLUP[MMWR_RATING_RO_ROLLUP],0),MATCH(F$9,MMWR_RATING_RO_ROLLUP[#Headers],0)),"ERROR"))</f>
        <v>208</v>
      </c>
      <c r="G41" s="155">
        <f>IF($B41=" ","",IFERROR(INDEX(MMWR_RATING_RO_ROLLUP[],MATCH($B41,MMWR_RATING_RO_ROLLUP[MMWR_RATING_RO_ROLLUP],0),MATCH(G$9,MMWR_RATING_RO_ROLLUP[#Headers],0)),"ERROR"))</f>
        <v>8757</v>
      </c>
      <c r="H41" s="156">
        <f>IF($B41=" ","",IFERROR(INDEX(MMWR_RATING_RO_ROLLUP[],MATCH($B41,MMWR_RATING_RO_ROLLUP[MMWR_RATING_RO_ROLLUP],0),MATCH(H$9,MMWR_RATING_RO_ROLLUP[#Headers],0)),"ERROR"))</f>
        <v>147.89423076919999</v>
      </c>
      <c r="I41" s="156">
        <f>IF($B41=" ","",IFERROR(INDEX(MMWR_RATING_RO_ROLLUP[],MATCH($B41,MMWR_RATING_RO_ROLLUP[MMWR_RATING_RO_ROLLUP],0),MATCH(I$9,MMWR_RATING_RO_ROLLUP[#Headers],0)),"ERROR"))</f>
        <v>151.78383007880001</v>
      </c>
      <c r="J41" s="42"/>
      <c r="K41" s="42"/>
      <c r="L41" s="42"/>
      <c r="M41" s="42"/>
      <c r="N41" s="28"/>
    </row>
    <row r="42" spans="1:14" x14ac:dyDescent="0.2">
      <c r="A42" s="25"/>
      <c r="B42" s="47" t="s">
        <v>316</v>
      </c>
      <c r="C42" s="155">
        <f>IF($B42=" ","",IFERROR(INDEX(MMWR_RATING_RO_ROLLUP[],MATCH($B42,MMWR_RATING_RO_ROLLUP[MMWR_RATING_RO_ROLLUP],0),MATCH(C$9,MMWR_RATING_RO_ROLLUP[#Headers],0)),"ERROR"))</f>
        <v>2702</v>
      </c>
      <c r="D42" s="156">
        <f>IF($B42=" ","",IFERROR(INDEX(MMWR_RATING_RO_ROLLUP[],MATCH($B42,MMWR_RATING_RO_ROLLUP[MMWR_RATING_RO_ROLLUP],0),MATCH(D$9,MMWR_RATING_RO_ROLLUP[#Headers],0)),"ERROR"))</f>
        <v>63.062916358300001</v>
      </c>
      <c r="E42" s="157">
        <f>IF($B42=" ","",IFERROR(INDEX(MMWR_RATING_RO_ROLLUP[],MATCH($B42,MMWR_RATING_RO_ROLLUP[MMWR_RATING_RO_ROLLUP],0),MATCH(E$9,MMWR_RATING_RO_ROLLUP[#Headers],0))/$C42,"ERROR"))</f>
        <v>0.1073279052553664</v>
      </c>
      <c r="F42" s="155">
        <f>IF($B42=" ","",IFERROR(INDEX(MMWR_RATING_RO_ROLLUP[],MATCH($B42,MMWR_RATING_RO_ROLLUP[MMWR_RATING_RO_ROLLUP],0),MATCH(F$9,MMWR_RATING_RO_ROLLUP[#Headers],0)),"ERROR"))</f>
        <v>107</v>
      </c>
      <c r="G42" s="155">
        <f>IF($B42=" ","",IFERROR(INDEX(MMWR_RATING_RO_ROLLUP[],MATCH($B42,MMWR_RATING_RO_ROLLUP[MMWR_RATING_RO_ROLLUP],0),MATCH(G$9,MMWR_RATING_RO_ROLLUP[#Headers],0)),"ERROR"))</f>
        <v>2788</v>
      </c>
      <c r="H42" s="156">
        <f>IF($B42=" ","",IFERROR(INDEX(MMWR_RATING_RO_ROLLUP[],MATCH($B42,MMWR_RATING_RO_ROLLUP[MMWR_RATING_RO_ROLLUP],0),MATCH(H$9,MMWR_RATING_RO_ROLLUP[#Headers],0)),"ERROR"))</f>
        <v>132.9252336449</v>
      </c>
      <c r="I42" s="156">
        <f>IF($B42=" ","",IFERROR(INDEX(MMWR_RATING_RO_ROLLUP[],MATCH($B42,MMWR_RATING_RO_ROLLUP[MMWR_RATING_RO_ROLLUP],0),MATCH(I$9,MMWR_RATING_RO_ROLLUP[#Headers],0)),"ERROR"))</f>
        <v>126.8654949785</v>
      </c>
      <c r="J42" s="42"/>
      <c r="K42" s="42"/>
      <c r="L42" s="42"/>
      <c r="M42" s="42"/>
      <c r="N42" s="28"/>
    </row>
    <row r="43" spans="1:14" x14ac:dyDescent="0.2">
      <c r="A43" s="25"/>
      <c r="B43" s="357" t="s">
        <v>751</v>
      </c>
      <c r="C43" s="358"/>
      <c r="D43" s="358"/>
      <c r="E43" s="358"/>
      <c r="F43" s="358"/>
      <c r="G43" s="358"/>
      <c r="H43" s="358"/>
      <c r="I43" s="358"/>
      <c r="J43" s="358"/>
      <c r="K43" s="358"/>
      <c r="L43" s="358"/>
      <c r="M43" s="370"/>
      <c r="N43" s="28"/>
    </row>
    <row r="44" spans="1:14" x14ac:dyDescent="0.2">
      <c r="A44" s="25"/>
      <c r="B44" s="45" t="s">
        <v>712</v>
      </c>
      <c r="C44" s="155">
        <f>IF($B44=" ","",IFERROR(INDEX(MMWR_RATING_RO_ROLLUP[],MATCH($B44,MMWR_RATING_RO_ROLLUP[MMWR_RATING_RO_ROLLUP],0),MATCH(C$9,MMWR_RATING_RO_ROLLUP[#Headers],0)),"ERROR"))</f>
        <v>8924</v>
      </c>
      <c r="D44" s="156">
        <f>IF($B44=" ","",IFERROR(INDEX(MMWR_RATING_RO_ROLLUP[],MATCH($B44,MMWR_RATING_RO_ROLLUP[MMWR_RATING_RO_ROLLUP],0),MATCH(D$9,MMWR_RATING_RO_ROLLUP[#Headers],0)),"ERROR"))</f>
        <v>71.815777678200007</v>
      </c>
      <c r="E44" s="157">
        <f>IF($B44=" ","",IFERROR(INDEX(MMWR_RATING_RO_ROLLUP[],MATCH($B44,MMWR_RATING_RO_ROLLUP[MMWR_RATING_RO_ROLLUP],0),MATCH(E$9,MMWR_RATING_RO_ROLLUP[#Headers],0))/$C44,"ERROR"))</f>
        <v>0.17256835499775885</v>
      </c>
      <c r="F44" s="155">
        <f>IF($B44=" ","",IFERROR(INDEX(MMWR_RATING_RO_ROLLUP[],MATCH($B44,MMWR_RATING_RO_ROLLUP[MMWR_RATING_RO_ROLLUP],0),MATCH(F$9,MMWR_RATING_RO_ROLLUP[#Headers],0)),"ERROR"))</f>
        <v>662</v>
      </c>
      <c r="G44" s="155">
        <f>IF($B44=" ","",IFERROR(INDEX(MMWR_RATING_RO_ROLLUP[],MATCH($B44,MMWR_RATING_RO_ROLLUP[MMWR_RATING_RO_ROLLUP],0),MATCH(G$9,MMWR_RATING_RO_ROLLUP[#Headers],0)),"ERROR"))</f>
        <v>20175</v>
      </c>
      <c r="H44" s="156">
        <f>IF($B44=" ","",IFERROR(INDEX(MMWR_RATING_RO_ROLLUP[],MATCH($B44,MMWR_RATING_RO_ROLLUP[MMWR_RATING_RO_ROLLUP],0),MATCH(H$9,MMWR_RATING_RO_ROLLUP[#Headers],0)),"ERROR"))</f>
        <v>139.4637462236</v>
      </c>
      <c r="I44" s="156">
        <f>IF($B44=" ","",IFERROR(INDEX(MMWR_RATING_RO_ROLLUP[],MATCH($B44,MMWR_RATING_RO_ROLLUP[MMWR_RATING_RO_ROLLUP],0),MATCH(I$9,MMWR_RATING_RO_ROLLUP[#Headers],0)),"ERROR"))</f>
        <v>153.7656009913</v>
      </c>
      <c r="J44" s="42"/>
      <c r="K44" s="42"/>
      <c r="L44" s="42"/>
      <c r="M44" s="42"/>
      <c r="N44" s="28"/>
    </row>
    <row r="45" spans="1:14" x14ac:dyDescent="0.2">
      <c r="A45" s="25"/>
      <c r="B45" s="46" t="s">
        <v>219</v>
      </c>
      <c r="C45" s="155">
        <f>IF($B45=" ","",IFERROR(INDEX(MMWR_RATING_RO_ROLLUP[],MATCH($B45,MMWR_RATING_RO_ROLLUP[MMWR_RATING_RO_ROLLUP],0),MATCH(C$9,MMWR_RATING_RO_ROLLUP[#Headers],0)),"ERROR"))</f>
        <v>3317</v>
      </c>
      <c r="D45" s="156">
        <f>IF($B45=" ","",IFERROR(INDEX(MMWR_RATING_RO_ROLLUP[],MATCH($B45,MMWR_RATING_RO_ROLLUP[MMWR_RATING_RO_ROLLUP],0),MATCH(D$9,MMWR_RATING_RO_ROLLUP[#Headers],0)),"ERROR"))</f>
        <v>73.321374736199999</v>
      </c>
      <c r="E45" s="157">
        <f>IF($B45=" ","",IFERROR(INDEX(MMWR_RATING_RO_ROLLUP[],MATCH($B45,MMWR_RATING_RO_ROLLUP[MMWR_RATING_RO_ROLLUP],0),MATCH(E$9,MMWR_RATING_RO_ROLLUP[#Headers],0))/$C45,"ERROR"))</f>
        <v>0.16581248115767261</v>
      </c>
      <c r="F45" s="155">
        <f>IF($B45=" ","",IFERROR(INDEX(MMWR_RATING_RO_ROLLUP[],MATCH($B45,MMWR_RATING_RO_ROLLUP[MMWR_RATING_RO_ROLLUP],0),MATCH(F$9,MMWR_RATING_RO_ROLLUP[#Headers],0)),"ERROR"))</f>
        <v>331</v>
      </c>
      <c r="G45" s="155">
        <f>IF($B45=" ","",IFERROR(INDEX(MMWR_RATING_RO_ROLLUP[],MATCH($B45,MMWR_RATING_RO_ROLLUP[MMWR_RATING_RO_ROLLUP],0),MATCH(G$9,MMWR_RATING_RO_ROLLUP[#Headers],0)),"ERROR"))</f>
        <v>10601</v>
      </c>
      <c r="H45" s="156">
        <f>IF($B45=" ","",IFERROR(INDEX(MMWR_RATING_RO_ROLLUP[],MATCH($B45,MMWR_RATING_RO_ROLLUP[MMWR_RATING_RO_ROLLUP],0),MATCH(H$9,MMWR_RATING_RO_ROLLUP[#Headers],0)),"ERROR"))</f>
        <v>135.43504531720001</v>
      </c>
      <c r="I45" s="156">
        <f>IF($B45=" ","",IFERROR(INDEX(MMWR_RATING_RO_ROLLUP[],MATCH($B45,MMWR_RATING_RO_ROLLUP[MMWR_RATING_RO_ROLLUP],0),MATCH(I$9,MMWR_RATING_RO_ROLLUP[#Headers],0)),"ERROR"))</f>
        <v>172.71163097819999</v>
      </c>
      <c r="J45" s="42"/>
      <c r="K45" s="42"/>
      <c r="L45" s="42"/>
      <c r="M45" s="42"/>
      <c r="N45" s="28"/>
    </row>
    <row r="46" spans="1:14" x14ac:dyDescent="0.2">
      <c r="A46" s="25"/>
      <c r="B46" s="46" t="s">
        <v>221</v>
      </c>
      <c r="C46" s="155">
        <f>IF($B46=" ","",IFERROR(INDEX(MMWR_RATING_RO_ROLLUP[],MATCH($B46,MMWR_RATING_RO_ROLLUP[MMWR_RATING_RO_ROLLUP],0),MATCH(C$9,MMWR_RATING_RO_ROLLUP[#Headers],0)),"ERROR"))</f>
        <v>3793</v>
      </c>
      <c r="D46" s="156">
        <f>IF($B46=" ","",IFERROR(INDEX(MMWR_RATING_RO_ROLLUP[],MATCH($B46,MMWR_RATING_RO_ROLLUP[MMWR_RATING_RO_ROLLUP],0),MATCH(D$9,MMWR_RATING_RO_ROLLUP[#Headers],0)),"ERROR"))</f>
        <v>74.086211442099994</v>
      </c>
      <c r="E46" s="157">
        <f>IF($B46=" ","",IFERROR(INDEX(MMWR_RATING_RO_ROLLUP[],MATCH($B46,MMWR_RATING_RO_ROLLUP[MMWR_RATING_RO_ROLLUP],0),MATCH(E$9,MMWR_RATING_RO_ROLLUP[#Headers],0))/$C46,"ERROR"))</f>
        <v>0.19615080411283944</v>
      </c>
      <c r="F46" s="155">
        <f>IF($B46=" ","",IFERROR(INDEX(MMWR_RATING_RO_ROLLUP[],MATCH($B46,MMWR_RATING_RO_ROLLUP[MMWR_RATING_RO_ROLLUP],0),MATCH(F$9,MMWR_RATING_RO_ROLLUP[#Headers],0)),"ERROR"))</f>
        <v>251</v>
      </c>
      <c r="G46" s="155">
        <f>IF($B46=" ","",IFERROR(INDEX(MMWR_RATING_RO_ROLLUP[],MATCH($B46,MMWR_RATING_RO_ROLLUP[MMWR_RATING_RO_ROLLUP],0),MATCH(G$9,MMWR_RATING_RO_ROLLUP[#Headers],0)),"ERROR"))</f>
        <v>7705</v>
      </c>
      <c r="H46" s="156">
        <f>IF($B46=" ","",IFERROR(INDEX(MMWR_RATING_RO_ROLLUP[],MATCH($B46,MMWR_RATING_RO_ROLLUP[MMWR_RATING_RO_ROLLUP],0),MATCH(H$9,MMWR_RATING_RO_ROLLUP[#Headers],0)),"ERROR"))</f>
        <v>148.0996015936</v>
      </c>
      <c r="I46" s="156">
        <f>IF($B46=" ","",IFERROR(INDEX(MMWR_RATING_RO_ROLLUP[],MATCH($B46,MMWR_RATING_RO_ROLLUP[MMWR_RATING_RO_ROLLUP],0),MATCH(I$9,MMWR_RATING_RO_ROLLUP[#Headers],0)),"ERROR"))</f>
        <v>129.15405580789999</v>
      </c>
      <c r="J46" s="42"/>
      <c r="K46" s="42"/>
      <c r="L46" s="42"/>
      <c r="M46" s="42"/>
      <c r="N46" s="28"/>
    </row>
    <row r="47" spans="1:14" x14ac:dyDescent="0.2">
      <c r="A47" s="25"/>
      <c r="B47" s="48" t="s">
        <v>317</v>
      </c>
      <c r="C47" s="155">
        <f>IF($B47=" ","",IFERROR(INDEX(MMWR_RATING_RO_ROLLUP[],MATCH($B47,MMWR_RATING_RO_ROLLUP[MMWR_RATING_RO_ROLLUP],0),MATCH(C$9,MMWR_RATING_RO_ROLLUP[#Headers],0)),"ERROR"))</f>
        <v>1814</v>
      </c>
      <c r="D47" s="156">
        <f>IF($B47=" ","",IFERROR(INDEX(MMWR_RATING_RO_ROLLUP[],MATCH($B47,MMWR_RATING_RO_ROLLUP[MMWR_RATING_RO_ROLLUP],0),MATCH(D$9,MMWR_RATING_RO_ROLLUP[#Headers],0)),"ERROR"))</f>
        <v>64.315325248099995</v>
      </c>
      <c r="E47" s="157">
        <f>IF($B47=" ","",IFERROR(INDEX(MMWR_RATING_RO_ROLLUP[],MATCH($B47,MMWR_RATING_RO_ROLLUP[MMWR_RATING_RO_ROLLUP],0),MATCH(E$9,MMWR_RATING_RO_ROLLUP[#Headers],0))/$C47,"ERROR"))</f>
        <v>0.13561190738699008</v>
      </c>
      <c r="F47" s="155">
        <f>IF($B47=" ","",IFERROR(INDEX(MMWR_RATING_RO_ROLLUP[],MATCH($B47,MMWR_RATING_RO_ROLLUP[MMWR_RATING_RO_ROLLUP],0),MATCH(F$9,MMWR_RATING_RO_ROLLUP[#Headers],0)),"ERROR"))</f>
        <v>80</v>
      </c>
      <c r="G47" s="155">
        <f>IF($B47=" ","",IFERROR(INDEX(MMWR_RATING_RO_ROLLUP[],MATCH($B47,MMWR_RATING_RO_ROLLUP[MMWR_RATING_RO_ROLLUP],0),MATCH(G$9,MMWR_RATING_RO_ROLLUP[#Headers],0)),"ERROR"))</f>
        <v>1869</v>
      </c>
      <c r="H47" s="156">
        <f>IF($B47=" ","",IFERROR(INDEX(MMWR_RATING_RO_ROLLUP[],MATCH($B47,MMWR_RATING_RO_ROLLUP[MMWR_RATING_RO_ROLLUP],0),MATCH(H$9,MMWR_RATING_RO_ROLLUP[#Headers],0)),"ERROR"))</f>
        <v>129.03749999999999</v>
      </c>
      <c r="I47" s="156">
        <f>IF($B47=" ","",IFERROR(INDEX(MMWR_RATING_RO_ROLLUP[],MATCH($B47,MMWR_RATING_RO_ROLLUP[MMWR_RATING_RO_ROLLUP],0),MATCH(I$9,MMWR_RATING_RO_ROLLUP[#Headers],0)),"ERROR"))</f>
        <v>147.7651150348</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A3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3" priority="4">
      <formula>IF(OR(ISERROR(A1048576),A1="ERROR"),TRUE,FALSE)</formula>
    </cfRule>
  </conditionalFormatting>
  <conditionalFormatting sqref="B4">
    <cfRule type="expression" dxfId="432" priority="2">
      <formula>IF(OR(ISERROR(B4),B4="ERROR"),TRUE,FALSE)</formula>
    </cfRule>
  </conditionalFormatting>
  <conditionalFormatting sqref="C5:O5">
    <cfRule type="expression" dxfId="431"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37" t="s">
        <v>1001</v>
      </c>
      <c r="D2" s="338"/>
      <c r="E2" s="338"/>
      <c r="F2" s="338"/>
      <c r="G2" s="338"/>
      <c r="H2" s="338"/>
      <c r="I2" s="338"/>
      <c r="J2" s="337" t="s">
        <v>309</v>
      </c>
      <c r="K2" s="338"/>
      <c r="L2" s="338"/>
      <c r="M2" s="339"/>
      <c r="N2" s="28"/>
    </row>
    <row r="3" spans="1:15" ht="24" customHeight="1" thickBot="1" x14ac:dyDescent="0.4">
      <c r="A3" s="25"/>
      <c r="B3" s="29"/>
      <c r="C3" s="340"/>
      <c r="D3" s="341"/>
      <c r="E3" s="341"/>
      <c r="F3" s="341"/>
      <c r="G3" s="341"/>
      <c r="H3" s="341"/>
      <c r="I3" s="341"/>
      <c r="J3" s="340" t="str">
        <f>Transformation!B4</f>
        <v>As of: July 11, 2015</v>
      </c>
      <c r="K3" s="341"/>
      <c r="L3" s="341"/>
      <c r="M3" s="342"/>
      <c r="N3" s="28"/>
    </row>
    <row r="4" spans="1:15" ht="51.75" customHeight="1" thickBot="1" x14ac:dyDescent="0.35">
      <c r="A4" s="30"/>
      <c r="B4" s="249" t="s">
        <v>465</v>
      </c>
      <c r="C4" s="343" t="s">
        <v>441</v>
      </c>
      <c r="D4" s="344"/>
      <c r="E4" s="344"/>
      <c r="F4" s="344"/>
      <c r="G4" s="344"/>
      <c r="H4" s="344"/>
      <c r="I4" s="344"/>
      <c r="J4" s="344"/>
      <c r="K4" s="344"/>
      <c r="L4" s="344"/>
      <c r="M4" s="345"/>
      <c r="N4" s="28"/>
    </row>
    <row r="5" spans="1:15" ht="27" customHeight="1" thickBot="1" x14ac:dyDescent="0.25">
      <c r="A5" s="30"/>
      <c r="B5" s="248" t="s">
        <v>379</v>
      </c>
      <c r="C5" s="346" t="s">
        <v>1065</v>
      </c>
      <c r="D5" s="347"/>
      <c r="E5" s="347"/>
      <c r="F5" s="347"/>
      <c r="G5" s="347"/>
      <c r="H5" s="347"/>
      <c r="I5" s="347"/>
      <c r="J5" s="347"/>
      <c r="K5" s="347"/>
      <c r="L5" s="347"/>
      <c r="M5" s="347"/>
      <c r="N5" s="347"/>
      <c r="O5" s="348"/>
    </row>
    <row r="6" spans="1:15" ht="55.5" customHeight="1" x14ac:dyDescent="0.2">
      <c r="A6" s="30"/>
      <c r="B6" s="31"/>
      <c r="C6" s="32" t="s">
        <v>198</v>
      </c>
      <c r="D6" s="349" t="s">
        <v>16</v>
      </c>
      <c r="E6" s="350"/>
      <c r="F6" s="33" t="s">
        <v>201</v>
      </c>
      <c r="G6" s="349" t="s">
        <v>206</v>
      </c>
      <c r="H6" s="351"/>
      <c r="I6" s="33" t="s">
        <v>204</v>
      </c>
      <c r="J6" s="50" t="s">
        <v>14</v>
      </c>
      <c r="K6" s="33" t="s">
        <v>209</v>
      </c>
      <c r="L6" s="355" t="s">
        <v>88</v>
      </c>
      <c r="M6" s="378"/>
      <c r="N6" s="28"/>
    </row>
    <row r="7" spans="1:15" ht="51.75" customHeight="1" x14ac:dyDescent="0.2">
      <c r="A7" s="30"/>
      <c r="B7" s="34"/>
      <c r="C7" s="35" t="s">
        <v>199</v>
      </c>
      <c r="D7" s="359" t="s">
        <v>0</v>
      </c>
      <c r="E7" s="360"/>
      <c r="F7" s="36" t="s">
        <v>202</v>
      </c>
      <c r="G7" s="361" t="s">
        <v>207</v>
      </c>
      <c r="H7" s="361"/>
      <c r="I7" s="36" t="s">
        <v>205</v>
      </c>
      <c r="J7" s="51" t="s">
        <v>19</v>
      </c>
      <c r="K7" s="36" t="s">
        <v>210</v>
      </c>
      <c r="L7" s="374" t="s">
        <v>90</v>
      </c>
      <c r="M7" s="375"/>
      <c r="N7" s="28"/>
    </row>
    <row r="8" spans="1:15" ht="51.75" customHeight="1" thickBot="1" x14ac:dyDescent="0.25">
      <c r="A8" s="25"/>
      <c r="B8" s="28"/>
      <c r="C8" s="37" t="s">
        <v>200</v>
      </c>
      <c r="D8" s="362" t="s">
        <v>18</v>
      </c>
      <c r="E8" s="363"/>
      <c r="F8" s="38" t="s">
        <v>203</v>
      </c>
      <c r="G8" s="364" t="s">
        <v>17</v>
      </c>
      <c r="H8" s="364"/>
      <c r="I8" s="38" t="s">
        <v>208</v>
      </c>
      <c r="J8" s="52" t="s">
        <v>87</v>
      </c>
      <c r="K8" s="38" t="s">
        <v>211</v>
      </c>
      <c r="L8" s="376" t="s">
        <v>89</v>
      </c>
      <c r="M8" s="377"/>
      <c r="N8" s="28"/>
    </row>
    <row r="9" spans="1:15" x14ac:dyDescent="0.2">
      <c r="A9" s="28"/>
      <c r="B9" s="39"/>
      <c r="C9" s="39" t="s">
        <v>731</v>
      </c>
      <c r="D9" s="39" t="s">
        <v>733</v>
      </c>
      <c r="E9" s="39" t="s">
        <v>732</v>
      </c>
      <c r="F9" s="39" t="s">
        <v>735</v>
      </c>
      <c r="G9" s="39" t="s">
        <v>734</v>
      </c>
      <c r="H9" s="39" t="s">
        <v>737</v>
      </c>
      <c r="I9" s="39" t="s">
        <v>736</v>
      </c>
      <c r="J9" s="39"/>
      <c r="K9" s="39"/>
      <c r="L9" s="39"/>
      <c r="M9" s="39"/>
      <c r="N9" s="39"/>
    </row>
    <row r="10" spans="1:15" ht="15.75" customHeight="1" x14ac:dyDescent="0.2">
      <c r="A10" s="25"/>
      <c r="B10" s="26"/>
      <c r="C10" s="365" t="s">
        <v>302</v>
      </c>
      <c r="D10" s="365"/>
      <c r="E10" s="365"/>
      <c r="F10" s="365"/>
      <c r="G10" s="365"/>
      <c r="H10" s="365"/>
      <c r="I10" s="365"/>
      <c r="J10" s="365"/>
      <c r="K10" s="365"/>
      <c r="L10" s="365"/>
      <c r="M10" s="369"/>
      <c r="N10" s="28"/>
    </row>
    <row r="11" spans="1:15" ht="63.75" customHeight="1" x14ac:dyDescent="0.2">
      <c r="A11" s="25"/>
      <c r="B11" s="26"/>
      <c r="C11" s="53" t="s">
        <v>234</v>
      </c>
      <c r="D11" s="53" t="s">
        <v>140</v>
      </c>
      <c r="E11" s="53" t="s">
        <v>235</v>
      </c>
      <c r="F11" s="53" t="s">
        <v>195</v>
      </c>
      <c r="G11" s="53" t="s">
        <v>212</v>
      </c>
      <c r="H11" s="53" t="s">
        <v>214</v>
      </c>
      <c r="I11" s="53" t="s">
        <v>215</v>
      </c>
      <c r="J11" s="371" t="s">
        <v>995</v>
      </c>
      <c r="K11" s="372"/>
      <c r="L11" s="372"/>
      <c r="M11" s="373"/>
      <c r="N11" s="28"/>
    </row>
    <row r="12" spans="1:15" x14ac:dyDescent="0.2">
      <c r="A12" s="25"/>
      <c r="B12" s="41" t="s">
        <v>746</v>
      </c>
      <c r="C12" s="155">
        <f>IF($B12=" ","",IFERROR(INDEX(MMWR_RATING_STATE_ROLLUP_VSC[],MATCH($B12,MMWR_RATING_STATE_ROLLUP_VSC[MMWR_RATING_STATE_ROLLUP_VSC],0),MATCH(C$9,MMWR_RATING_STATE_ROLLUP_VSC[#Headers],0)),"ERROR"))</f>
        <v>384092</v>
      </c>
      <c r="D12" s="156">
        <f>IF($B12=" ","",IFERROR(INDEX(MMWR_RATING_STATE_ROLLUP_VSC[],MATCH($B12,MMWR_RATING_STATE_ROLLUP_VSC[MMWR_RATING_STATE_ROLLUP_VSC],0),MATCH(D$9,MMWR_RATING_STATE_ROLLUP_VSC[#Headers],0)),"ERROR"))</f>
        <v>117.7405595534</v>
      </c>
      <c r="E12" s="160">
        <f>IF($B12=" ","",IFERROR(INDEX(MMWR_RATING_STATE_ROLLUP_VSC[],MATCH($B12,MMWR_RATING_STATE_ROLLUP_VSC[MMWR_RATING_STATE_ROLLUP_VSC],0),MATCH(E$9,MMWR_RATING_STATE_ROLLUP_VSC[#Headers],0))/$C12,"ERROR"))</f>
        <v>0.32257115482748927</v>
      </c>
      <c r="F12" s="155">
        <f>IF($B12=" ","",IFERROR(INDEX(MMWR_RATING_STATE_ROLLUP_VSC[],MATCH($B12,MMWR_RATING_STATE_ROLLUP_VSC[MMWR_RATING_STATE_ROLLUP_VSC],0),MATCH(F$9,MMWR_RATING_STATE_ROLLUP_VSC[#Headers],0)),"ERROR"))</f>
        <v>34029</v>
      </c>
      <c r="G12" s="155">
        <f>IF($B12=" ","",IFERROR(INDEX(MMWR_RATING_STATE_ROLLUP_VSC[],MATCH($B12,MMWR_RATING_STATE_ROLLUP_VSC[MMWR_RATING_STATE_ROLLUP_VSC],0),MATCH(G$9,MMWR_RATING_STATE_ROLLUP_VSC[#Headers],0)),"ERROR"))</f>
        <v>1074587</v>
      </c>
      <c r="H12" s="156">
        <f>IF($B12=" ","",IFERROR(INDEX(MMWR_RATING_STATE_ROLLUP_VSC[],MATCH($B12,MMWR_RATING_STATE_ROLLUP_VSC[MMWR_RATING_STATE_ROLLUP_VSC],0),MATCH(H$9,MMWR_RATING_STATE_ROLLUP_VSC[#Headers],0)),"ERROR"))</f>
        <v>152.41805518819999</v>
      </c>
      <c r="I12" s="156">
        <f>IF($B12=" ","",IFERROR(INDEX(MMWR_RATING_STATE_ROLLUP_VSC[],MATCH($B12,MMWR_RATING_STATE_ROLLUP_VSC[MMWR_RATING_STATE_ROLLUP_VSC],0),MATCH(I$9,MMWR_RATING_STATE_ROLLUP_VSC[#Headers],0)),"ERROR"))</f>
        <v>175.49751578979999</v>
      </c>
      <c r="J12" s="42"/>
      <c r="K12" s="42"/>
      <c r="L12" s="42"/>
      <c r="M12" s="42"/>
      <c r="N12" s="28"/>
    </row>
    <row r="13" spans="1:15" x14ac:dyDescent="0.2">
      <c r="A13" s="25"/>
      <c r="B13" s="357" t="s">
        <v>981</v>
      </c>
      <c r="C13" s="358"/>
      <c r="D13" s="358"/>
      <c r="E13" s="358"/>
      <c r="F13" s="358"/>
      <c r="G13" s="358"/>
      <c r="H13" s="358"/>
      <c r="I13" s="358"/>
      <c r="J13" s="358"/>
      <c r="K13" s="358"/>
      <c r="L13" s="358"/>
      <c r="M13" s="370"/>
      <c r="N13" s="28"/>
    </row>
    <row r="14" spans="1:15" x14ac:dyDescent="0.2">
      <c r="A14" s="25"/>
      <c r="B14" s="41" t="s">
        <v>1059</v>
      </c>
      <c r="C14" s="155">
        <f>IF($B14=" ","",IFERROR(INDEX(MMWR_RATING_STATE_ROLLUP_VSC[],MATCH($B14,MMWR_RATING_STATE_ROLLUP_VSC[MMWR_RATING_STATE_ROLLUP_VSC],0),MATCH(C$9,MMWR_RATING_STATE_ROLLUP_VSC[#Headers],0)),"ERROR"))</f>
        <v>347927</v>
      </c>
      <c r="D14" s="156">
        <f>IF($B14=" ","",IFERROR(INDEX(MMWR_RATING_STATE_ROLLUP_VSC[],MATCH($B14,MMWR_RATING_STATE_ROLLUP_VSC[MMWR_RATING_STATE_ROLLUP_VSC],0),MATCH(D$9,MMWR_RATING_STATE_ROLLUP_VSC[#Headers],0)),"ERROR"))</f>
        <v>123.0316273241</v>
      </c>
      <c r="E14" s="157">
        <f>IF($B14=" ","",IFERROR(INDEX(MMWR_RATING_STATE_ROLLUP_VSC[],MATCH($B14,MMWR_RATING_STATE_ROLLUP_VSC[MMWR_RATING_STATE_ROLLUP_VSC],0),MATCH(E$9,MMWR_RATING_STATE_ROLLUP_VSC[#Headers],0))/$C14,"ERROR"))</f>
        <v>0.34239078887237839</v>
      </c>
      <c r="F14" s="155">
        <f>IF($B14=" ","",IFERROR(INDEX(MMWR_RATING_STATE_ROLLUP_VSC[],MATCH($B14,MMWR_RATING_STATE_ROLLUP_VSC[MMWR_RATING_STATE_ROLLUP_VSC],0),MATCH(F$9,MMWR_RATING_STATE_ROLLUP_VSC[#Headers],0)),"ERROR"))</f>
        <v>29501</v>
      </c>
      <c r="G14" s="155">
        <f>IF($B14=" ","",IFERROR(INDEX(MMWR_RATING_STATE_ROLLUP_VSC[],MATCH($B14,MMWR_RATING_STATE_ROLLUP_VSC[MMWR_RATING_STATE_ROLLUP_VSC],0),MATCH(G$9,MMWR_RATING_STATE_ROLLUP_VSC[#Headers],0)),"ERROR"))</f>
        <v>915445</v>
      </c>
      <c r="H14" s="156">
        <f>IF($B14=" ","",IFERROR(INDEX(MMWR_RATING_STATE_ROLLUP_VSC[],MATCH($B14,MMWR_RATING_STATE_ROLLUP_VSC[MMWR_RATING_STATE_ROLLUP_VSC],0),MATCH(H$9,MMWR_RATING_STATE_ROLLUP_VSC[#Headers],0)),"ERROR"))</f>
        <v>162.38259720010001</v>
      </c>
      <c r="I14" s="156">
        <f>IF($B14=" ","",IFERROR(INDEX(MMWR_RATING_STATE_ROLLUP_VSC[],MATCH($B14,MMWR_RATING_STATE_ROLLUP_VSC[MMWR_RATING_STATE_ROLLUP_VSC],0),MATCH(I$9,MMWR_RATING_STATE_ROLLUP_VSC[#Headers],0)),"ERROR"))</f>
        <v>191.27548678509999</v>
      </c>
      <c r="J14" s="42"/>
      <c r="K14" s="42"/>
      <c r="L14" s="42"/>
      <c r="M14" s="42"/>
      <c r="N14" s="28"/>
    </row>
    <row r="15" spans="1:15" x14ac:dyDescent="0.2">
      <c r="A15" s="25"/>
      <c r="B15" s="251" t="str">
        <f>INDEX(DISTRICT_STATES[],MATCH($B$5,DISTRICT_RO[District],0),1)</f>
        <v>North Atlantic</v>
      </c>
      <c r="C15" s="155">
        <f>IF($B15=" ","",IFERROR(INDEX(MMWR_RATING_STATE_ROLLUP_VSC[],MATCH($B15,MMWR_RATING_STATE_ROLLUP_VSC[MMWR_RATING_STATE_ROLLUP_VSC],0),MATCH(C$9,MMWR_RATING_STATE_ROLLUP_VSC[#Headers],0)),"ERROR"))</f>
        <v>75100</v>
      </c>
      <c r="D15" s="156">
        <f>IF($B15=" ","",IFERROR(INDEX(MMWR_RATING_STATE_ROLLUP_VSC[],MATCH($B15,MMWR_RATING_STATE_ROLLUP_VSC[MMWR_RATING_STATE_ROLLUP_VSC],0),MATCH(D$9,MMWR_RATING_STATE_ROLLUP_VSC[#Headers],0)),"ERROR"))</f>
        <v>124.74640479359999</v>
      </c>
      <c r="E15" s="157">
        <f>IF($B15=" ","",IFERROR(INDEX(MMWR_RATING_STATE_ROLLUP_VSC[],MATCH($B15,MMWR_RATING_STATE_ROLLUP_VSC[MMWR_RATING_STATE_ROLLUP_VSC],0),MATCH(E$9,MMWR_RATING_STATE_ROLLUP_VSC[#Headers],0))/$C15,"ERROR"))</f>
        <v>0.34644474034620504</v>
      </c>
      <c r="F15" s="155">
        <f>IF($B15=" ","",IFERROR(INDEX(MMWR_RATING_STATE_ROLLUP_VSC[],MATCH($B15,MMWR_RATING_STATE_ROLLUP_VSC[MMWR_RATING_STATE_ROLLUP_VSC],0),MATCH(F$9,MMWR_RATING_STATE_ROLLUP_VSC[#Headers],0)),"ERROR"))</f>
        <v>6249</v>
      </c>
      <c r="G15" s="155">
        <f>IF($B15=" ","",IFERROR(INDEX(MMWR_RATING_STATE_ROLLUP_VSC[],MATCH($B15,MMWR_RATING_STATE_ROLLUP_VSC[MMWR_RATING_STATE_ROLLUP_VSC],0),MATCH(G$9,MMWR_RATING_STATE_ROLLUP_VSC[#Headers],0)),"ERROR"))</f>
        <v>196430</v>
      </c>
      <c r="H15" s="156">
        <f>IF($B15=" ","",IFERROR(INDEX(MMWR_RATING_STATE_ROLLUP_VSC[],MATCH($B15,MMWR_RATING_STATE_ROLLUP_VSC[MMWR_RATING_STATE_ROLLUP_VSC],0),MATCH(H$9,MMWR_RATING_STATE_ROLLUP_VSC[#Headers],0)),"ERROR"))</f>
        <v>171.0593694991</v>
      </c>
      <c r="I15" s="156">
        <f>IF($B15=" ","",IFERROR(INDEX(MMWR_RATING_STATE_ROLLUP_VSC[],MATCH($B15,MMWR_RATING_STATE_ROLLUP_VSC[MMWR_RATING_STATE_ROLLUP_VSC],0),MATCH(I$9,MMWR_RATING_STATE_ROLLUP_VSC[#Headers],0)),"ERROR"))</f>
        <v>200.85285343379999</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2010</v>
      </c>
      <c r="D16" s="156">
        <f>IF($B16=" ","",IFERROR(INDEX(MMWR_RATING_STATE_ROLLUP_VSC[],MATCH($B16,MMWR_RATING_STATE_ROLLUP_VSC[MMWR_RATING_STATE_ROLLUP_VSC],0),MATCH(D$9,MMWR_RATING_STATE_ROLLUP_VSC[#Headers],0)),"ERROR"))</f>
        <v>101.2333333333</v>
      </c>
      <c r="E16" s="157">
        <f>IF($B16=" ","",IFERROR(INDEX(MMWR_RATING_STATE_ROLLUP_VSC[],MATCH($B16,MMWR_RATING_STATE_ROLLUP_VSC[MMWR_RATING_STATE_ROLLUP_VSC],0),MATCH(E$9,MMWR_RATING_STATE_ROLLUP_VSC[#Headers],0))/$C16,"ERROR"))</f>
        <v>0.28059701492537314</v>
      </c>
      <c r="F16" s="155">
        <f>IF($B16=" ","",IFERROR(INDEX(MMWR_RATING_STATE_ROLLUP_VSC[],MATCH($B16,MMWR_RATING_STATE_ROLLUP_VSC[MMWR_RATING_STATE_ROLLUP_VSC],0),MATCH(F$9,MMWR_RATING_STATE_ROLLUP_VSC[#Headers],0)),"ERROR"))</f>
        <v>126</v>
      </c>
      <c r="G16" s="155">
        <f>IF($B16=" ","",IFERROR(INDEX(MMWR_RATING_STATE_ROLLUP_VSC[],MATCH($B16,MMWR_RATING_STATE_ROLLUP_VSC[MMWR_RATING_STATE_ROLLUP_VSC],0),MATCH(G$9,MMWR_RATING_STATE_ROLLUP_VSC[#Headers],0)),"ERROR"))</f>
        <v>5294</v>
      </c>
      <c r="H16" s="156">
        <f>IF($B16=" ","",IFERROR(INDEX(MMWR_RATING_STATE_ROLLUP_VSC[],MATCH($B16,MMWR_RATING_STATE_ROLLUP_VSC[MMWR_RATING_STATE_ROLLUP_VSC],0),MATCH(H$9,MMWR_RATING_STATE_ROLLUP_VSC[#Headers],0)),"ERROR"))</f>
        <v>144.55555555559999</v>
      </c>
      <c r="I16" s="156">
        <f>IF($B16=" ","",IFERROR(INDEX(MMWR_RATING_STATE_ROLLUP_VSC[],MATCH($B16,MMWR_RATING_STATE_ROLLUP_VSC[MMWR_RATING_STATE_ROLLUP_VSC],0),MATCH(I$9,MMWR_RATING_STATE_ROLLUP_VSC[#Headers],0)),"ERROR"))</f>
        <v>153.60294673210001</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975</v>
      </c>
      <c r="D17" s="156">
        <f>IF($B17=" ","",IFERROR(INDEX(MMWR_RATING_STATE_ROLLUP_VSC[],MATCH($B17,MMWR_RATING_STATE_ROLLUP_VSC[MMWR_RATING_STATE_ROLLUP_VSC],0),MATCH(D$9,MMWR_RATING_STATE_ROLLUP_VSC[#Headers],0)),"ERROR"))</f>
        <v>141.9435897436</v>
      </c>
      <c r="E17" s="157">
        <f>IF($B17=" ","",IFERROR(INDEX(MMWR_RATING_STATE_ROLLUP_VSC[],MATCH($B17,MMWR_RATING_STATE_ROLLUP_VSC[MMWR_RATING_STATE_ROLLUP_VSC],0),MATCH(E$9,MMWR_RATING_STATE_ROLLUP_VSC[#Headers],0))/$C17,"ERROR"))</f>
        <v>0.38461538461538464</v>
      </c>
      <c r="F17" s="155">
        <f>IF($B17=" ","",IFERROR(INDEX(MMWR_RATING_STATE_ROLLUP_VSC[],MATCH($B17,MMWR_RATING_STATE_ROLLUP_VSC[MMWR_RATING_STATE_ROLLUP_VSC],0),MATCH(F$9,MMWR_RATING_STATE_ROLLUP_VSC[#Headers],0)),"ERROR"))</f>
        <v>67</v>
      </c>
      <c r="G17" s="155">
        <f>IF($B17=" ","",IFERROR(INDEX(MMWR_RATING_STATE_ROLLUP_VSC[],MATCH($B17,MMWR_RATING_STATE_ROLLUP_VSC[MMWR_RATING_STATE_ROLLUP_VSC],0),MATCH(G$9,MMWR_RATING_STATE_ROLLUP_VSC[#Headers],0)),"ERROR"))</f>
        <v>2570</v>
      </c>
      <c r="H17" s="156">
        <f>IF($B17=" ","",IFERROR(INDEX(MMWR_RATING_STATE_ROLLUP_VSC[],MATCH($B17,MMWR_RATING_STATE_ROLLUP_VSC[MMWR_RATING_STATE_ROLLUP_VSC],0),MATCH(H$9,MMWR_RATING_STATE_ROLLUP_VSC[#Headers],0)),"ERROR"))</f>
        <v>223.7014925373</v>
      </c>
      <c r="I17" s="156">
        <f>IF($B17=" ","",IFERROR(INDEX(MMWR_RATING_STATE_ROLLUP_VSC[],MATCH($B17,MMWR_RATING_STATE_ROLLUP_VSC[MMWR_RATING_STATE_ROLLUP_VSC],0),MATCH(I$9,MMWR_RATING_STATE_ROLLUP_VSC[#Headers],0)),"ERROR"))</f>
        <v>220.8147859922</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546</v>
      </c>
      <c r="D18" s="156">
        <f>IF($B18=" ","",IFERROR(INDEX(MMWR_RATING_STATE_ROLLUP_VSC[],MATCH($B18,MMWR_RATING_STATE_ROLLUP_VSC[MMWR_RATING_STATE_ROLLUP_VSC],0),MATCH(D$9,MMWR_RATING_STATE_ROLLUP_VSC[#Headers],0)),"ERROR"))</f>
        <v>134.858974359</v>
      </c>
      <c r="E18" s="157">
        <f>IF($B18=" ","",IFERROR(INDEX(MMWR_RATING_STATE_ROLLUP_VSC[],MATCH($B18,MMWR_RATING_STATE_ROLLUP_VSC[MMWR_RATING_STATE_ROLLUP_VSC],0),MATCH(E$9,MMWR_RATING_STATE_ROLLUP_VSC[#Headers],0))/$C18,"ERROR"))</f>
        <v>0.39010989010989011</v>
      </c>
      <c r="F18" s="155">
        <f>IF($B18=" ","",IFERROR(INDEX(MMWR_RATING_STATE_ROLLUP_VSC[],MATCH($B18,MMWR_RATING_STATE_ROLLUP_VSC[MMWR_RATING_STATE_ROLLUP_VSC],0),MATCH(F$9,MMWR_RATING_STATE_ROLLUP_VSC[#Headers],0)),"ERROR"))</f>
        <v>39</v>
      </c>
      <c r="G18" s="155">
        <f>IF($B18=" ","",IFERROR(INDEX(MMWR_RATING_STATE_ROLLUP_VSC[],MATCH($B18,MMWR_RATING_STATE_ROLLUP_VSC[MMWR_RATING_STATE_ROLLUP_VSC],0),MATCH(G$9,MMWR_RATING_STATE_ROLLUP_VSC[#Headers],0)),"ERROR"))</f>
        <v>1248</v>
      </c>
      <c r="H18" s="156">
        <f>IF($B18=" ","",IFERROR(INDEX(MMWR_RATING_STATE_ROLLUP_VSC[],MATCH($B18,MMWR_RATING_STATE_ROLLUP_VSC[MMWR_RATING_STATE_ROLLUP_VSC],0),MATCH(H$9,MMWR_RATING_STATE_ROLLUP_VSC[#Headers],0)),"ERROR"))</f>
        <v>220.94871794869999</v>
      </c>
      <c r="I18" s="156">
        <f>IF($B18=" ","",IFERROR(INDEX(MMWR_RATING_STATE_ROLLUP_VSC[],MATCH($B18,MMWR_RATING_STATE_ROLLUP_VSC[MMWR_RATING_STATE_ROLLUP_VSC],0),MATCH(I$9,MMWR_RATING_STATE_ROLLUP_VSC[#Headers],0)),"ERROR"))</f>
        <v>217.78605769230001</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1274</v>
      </c>
      <c r="D19" s="156">
        <f>IF($B19=" ","",IFERROR(INDEX(MMWR_RATING_STATE_ROLLUP_VSC[],MATCH($B19,MMWR_RATING_STATE_ROLLUP_VSC[MMWR_RATING_STATE_ROLLUP_VSC],0),MATCH(D$9,MMWR_RATING_STATE_ROLLUP_VSC[#Headers],0)),"ERROR"))</f>
        <v>92.058869701700004</v>
      </c>
      <c r="E19" s="157">
        <f>IF($B19=" ","",IFERROR(INDEX(MMWR_RATING_STATE_ROLLUP_VSC[],MATCH($B19,MMWR_RATING_STATE_ROLLUP_VSC[MMWR_RATING_STATE_ROLLUP_VSC],0),MATCH(E$9,MMWR_RATING_STATE_ROLLUP_VSC[#Headers],0))/$C19,"ERROR"))</f>
        <v>0.18916797488226059</v>
      </c>
      <c r="F19" s="155">
        <f>IF($B19=" ","",IFERROR(INDEX(MMWR_RATING_STATE_ROLLUP_VSC[],MATCH($B19,MMWR_RATING_STATE_ROLLUP_VSC[MMWR_RATING_STATE_ROLLUP_VSC],0),MATCH(F$9,MMWR_RATING_STATE_ROLLUP_VSC[#Headers],0)),"ERROR"))</f>
        <v>114</v>
      </c>
      <c r="G19" s="155">
        <f>IF($B19=" ","",IFERROR(INDEX(MMWR_RATING_STATE_ROLLUP_VSC[],MATCH($B19,MMWR_RATING_STATE_ROLLUP_VSC[MMWR_RATING_STATE_ROLLUP_VSC],0),MATCH(G$9,MMWR_RATING_STATE_ROLLUP_VSC[#Headers],0)),"ERROR"))</f>
        <v>3505</v>
      </c>
      <c r="H19" s="156">
        <f>IF($B19=" ","",IFERROR(INDEX(MMWR_RATING_STATE_ROLLUP_VSC[],MATCH($B19,MMWR_RATING_STATE_ROLLUP_VSC[MMWR_RATING_STATE_ROLLUP_VSC],0),MATCH(H$9,MMWR_RATING_STATE_ROLLUP_VSC[#Headers],0)),"ERROR"))</f>
        <v>142.5438596491</v>
      </c>
      <c r="I19" s="156">
        <f>IF($B19=" ","",IFERROR(INDEX(MMWR_RATING_STATE_ROLLUP_VSC[],MATCH($B19,MMWR_RATING_STATE_ROLLUP_VSC[MMWR_RATING_STATE_ROLLUP_VSC],0),MATCH(I$9,MMWR_RATING_STATE_ROLLUP_VSC[#Headers],0)),"ERROR"))</f>
        <v>126.60855920109999</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6045</v>
      </c>
      <c r="D20" s="156">
        <f>IF($B20=" ","",IFERROR(INDEX(MMWR_RATING_STATE_ROLLUP_VSC[],MATCH($B20,MMWR_RATING_STATE_ROLLUP_VSC[MMWR_RATING_STATE_ROLLUP_VSC],0),MATCH(D$9,MMWR_RATING_STATE_ROLLUP_VSC[#Headers],0)),"ERROR"))</f>
        <v>142.32291149709999</v>
      </c>
      <c r="E20" s="157">
        <f>IF($B20=" ","",IFERROR(INDEX(MMWR_RATING_STATE_ROLLUP_VSC[],MATCH($B20,MMWR_RATING_STATE_ROLLUP_VSC[MMWR_RATING_STATE_ROLLUP_VSC],0),MATCH(E$9,MMWR_RATING_STATE_ROLLUP_VSC[#Headers],0))/$C20,"ERROR"))</f>
        <v>0.38626964433416044</v>
      </c>
      <c r="F20" s="155">
        <f>IF($B20=" ","",IFERROR(INDEX(MMWR_RATING_STATE_ROLLUP_VSC[],MATCH($B20,MMWR_RATING_STATE_ROLLUP_VSC[MMWR_RATING_STATE_ROLLUP_VSC],0),MATCH(F$9,MMWR_RATING_STATE_ROLLUP_VSC[#Headers],0)),"ERROR"))</f>
        <v>561</v>
      </c>
      <c r="G20" s="155">
        <f>IF($B20=" ","",IFERROR(INDEX(MMWR_RATING_STATE_ROLLUP_VSC[],MATCH($B20,MMWR_RATING_STATE_ROLLUP_VSC[MMWR_RATING_STATE_ROLLUP_VSC],0),MATCH(G$9,MMWR_RATING_STATE_ROLLUP_VSC[#Headers],0)),"ERROR"))</f>
        <v>16543</v>
      </c>
      <c r="H20" s="156">
        <f>IF($B20=" ","",IFERROR(INDEX(MMWR_RATING_STATE_ROLLUP_VSC[],MATCH($B20,MMWR_RATING_STATE_ROLLUP_VSC[MMWR_RATING_STATE_ROLLUP_VSC],0),MATCH(H$9,MMWR_RATING_STATE_ROLLUP_VSC[#Headers],0)),"ERROR"))</f>
        <v>191.35828877009999</v>
      </c>
      <c r="I20" s="156">
        <f>IF($B20=" ","",IFERROR(INDEX(MMWR_RATING_STATE_ROLLUP_VSC[],MATCH($B20,MMWR_RATING_STATE_ROLLUP_VSC[MMWR_RATING_STATE_ROLLUP_VSC],0),MATCH(I$9,MMWR_RATING_STATE_ROLLUP_VSC[#Headers],0)),"ERROR"))</f>
        <v>241.18515384150001</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4595</v>
      </c>
      <c r="D21" s="156">
        <f>IF($B21=" ","",IFERROR(INDEX(MMWR_RATING_STATE_ROLLUP_VSC[],MATCH($B21,MMWR_RATING_STATE_ROLLUP_VSC[MMWR_RATING_STATE_ROLLUP_VSC],0),MATCH(D$9,MMWR_RATING_STATE_ROLLUP_VSC[#Headers],0)),"ERROR"))</f>
        <v>117.3534276387</v>
      </c>
      <c r="E21" s="157">
        <f>IF($B21=" ","",IFERROR(INDEX(MMWR_RATING_STATE_ROLLUP_VSC[],MATCH($B21,MMWR_RATING_STATE_ROLLUP_VSC[MMWR_RATING_STATE_ROLLUP_VSC],0),MATCH(E$9,MMWR_RATING_STATE_ROLLUP_VSC[#Headers],0))/$C21,"ERROR"))</f>
        <v>0.29945593035908596</v>
      </c>
      <c r="F21" s="155">
        <f>IF($B21=" ","",IFERROR(INDEX(MMWR_RATING_STATE_ROLLUP_VSC[],MATCH($B21,MMWR_RATING_STATE_ROLLUP_VSC[MMWR_RATING_STATE_ROLLUP_VSC],0),MATCH(F$9,MMWR_RATING_STATE_ROLLUP_VSC[#Headers],0)),"ERROR"))</f>
        <v>369</v>
      </c>
      <c r="G21" s="155">
        <f>IF($B21=" ","",IFERROR(INDEX(MMWR_RATING_STATE_ROLLUP_VSC[],MATCH($B21,MMWR_RATING_STATE_ROLLUP_VSC[MMWR_RATING_STATE_ROLLUP_VSC],0),MATCH(G$9,MMWR_RATING_STATE_ROLLUP_VSC[#Headers],0)),"ERROR"))</f>
        <v>11877</v>
      </c>
      <c r="H21" s="156">
        <f>IF($B21=" ","",IFERROR(INDEX(MMWR_RATING_STATE_ROLLUP_VSC[],MATCH($B21,MMWR_RATING_STATE_ROLLUP_VSC[MMWR_RATING_STATE_ROLLUP_VSC],0),MATCH(H$9,MMWR_RATING_STATE_ROLLUP_VSC[#Headers],0)),"ERROR"))</f>
        <v>187.65853658539999</v>
      </c>
      <c r="I21" s="156">
        <f>IF($B21=" ","",IFERROR(INDEX(MMWR_RATING_STATE_ROLLUP_VSC[],MATCH($B21,MMWR_RATING_STATE_ROLLUP_VSC[MMWR_RATING_STATE_ROLLUP_VSC],0),MATCH(I$9,MMWR_RATING_STATE_ROLLUP_VSC[#Headers],0)),"ERROR"))</f>
        <v>200.42637029549999</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1317</v>
      </c>
      <c r="D22" s="156">
        <f>IF($B22=" ","",IFERROR(INDEX(MMWR_RATING_STATE_ROLLUP_VSC[],MATCH($B22,MMWR_RATING_STATE_ROLLUP_VSC[MMWR_RATING_STATE_ROLLUP_VSC],0),MATCH(D$9,MMWR_RATING_STATE_ROLLUP_VSC[#Headers],0)),"ERROR"))</f>
        <v>106.69855732729999</v>
      </c>
      <c r="E22" s="157">
        <f>IF($B22=" ","",IFERROR(INDEX(MMWR_RATING_STATE_ROLLUP_VSC[],MATCH($B22,MMWR_RATING_STATE_ROLLUP_VSC[MMWR_RATING_STATE_ROLLUP_VSC],0),MATCH(E$9,MMWR_RATING_STATE_ROLLUP_VSC[#Headers],0))/$C22,"ERROR"))</f>
        <v>0.26347760060744113</v>
      </c>
      <c r="F22" s="155">
        <f>IF($B22=" ","",IFERROR(INDEX(MMWR_RATING_STATE_ROLLUP_VSC[],MATCH($B22,MMWR_RATING_STATE_ROLLUP_VSC[MMWR_RATING_STATE_ROLLUP_VSC],0),MATCH(F$9,MMWR_RATING_STATE_ROLLUP_VSC[#Headers],0)),"ERROR"))</f>
        <v>107</v>
      </c>
      <c r="G22" s="155">
        <f>IF($B22=" ","",IFERROR(INDEX(MMWR_RATING_STATE_ROLLUP_VSC[],MATCH($B22,MMWR_RATING_STATE_ROLLUP_VSC[MMWR_RATING_STATE_ROLLUP_VSC],0),MATCH(G$9,MMWR_RATING_STATE_ROLLUP_VSC[#Headers],0)),"ERROR"))</f>
        <v>3224</v>
      </c>
      <c r="H22" s="156">
        <f>IF($B22=" ","",IFERROR(INDEX(MMWR_RATING_STATE_ROLLUP_VSC[],MATCH($B22,MMWR_RATING_STATE_ROLLUP_VSC[MMWR_RATING_STATE_ROLLUP_VSC],0),MATCH(H$9,MMWR_RATING_STATE_ROLLUP_VSC[#Headers],0)),"ERROR"))</f>
        <v>142.98130841119999</v>
      </c>
      <c r="I22" s="156">
        <f>IF($B22=" ","",IFERROR(INDEX(MMWR_RATING_STATE_ROLLUP_VSC[],MATCH($B22,MMWR_RATING_STATE_ROLLUP_VSC[MMWR_RATING_STATE_ROLLUP_VSC],0),MATCH(I$9,MMWR_RATING_STATE_ROLLUP_VSC[#Headers],0)),"ERROR"))</f>
        <v>177.43796526049999</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4419</v>
      </c>
      <c r="D23" s="156">
        <f>IF($B23=" ","",IFERROR(INDEX(MMWR_RATING_STATE_ROLLUP_VSC[],MATCH($B23,MMWR_RATING_STATE_ROLLUP_VSC[MMWR_RATING_STATE_ROLLUP_VSC],0),MATCH(D$9,MMWR_RATING_STATE_ROLLUP_VSC[#Headers],0)),"ERROR"))</f>
        <v>124.6650825979</v>
      </c>
      <c r="E23" s="157">
        <f>IF($B23=" ","",IFERROR(INDEX(MMWR_RATING_STATE_ROLLUP_VSC[],MATCH($B23,MMWR_RATING_STATE_ROLLUP_VSC[MMWR_RATING_STATE_ROLLUP_VSC],0),MATCH(E$9,MMWR_RATING_STATE_ROLLUP_VSC[#Headers],0))/$C23,"ERROR"))</f>
        <v>0.36388323150033947</v>
      </c>
      <c r="F23" s="155">
        <f>IF($B23=" ","",IFERROR(INDEX(MMWR_RATING_STATE_ROLLUP_VSC[],MATCH($B23,MMWR_RATING_STATE_ROLLUP_VSC[MMWR_RATING_STATE_ROLLUP_VSC],0),MATCH(F$9,MMWR_RATING_STATE_ROLLUP_VSC[#Headers],0)),"ERROR"))</f>
        <v>362</v>
      </c>
      <c r="G23" s="155">
        <f>IF($B23=" ","",IFERROR(INDEX(MMWR_RATING_STATE_ROLLUP_VSC[],MATCH($B23,MMWR_RATING_STATE_ROLLUP_VSC[MMWR_RATING_STATE_ROLLUP_VSC],0),MATCH(G$9,MMWR_RATING_STATE_ROLLUP_VSC[#Headers],0)),"ERROR"))</f>
        <v>10704</v>
      </c>
      <c r="H23" s="156">
        <f>IF($B23=" ","",IFERROR(INDEX(MMWR_RATING_STATE_ROLLUP_VSC[],MATCH($B23,MMWR_RATING_STATE_ROLLUP_VSC[MMWR_RATING_STATE_ROLLUP_VSC],0),MATCH(H$9,MMWR_RATING_STATE_ROLLUP_VSC[#Headers],0)),"ERROR"))</f>
        <v>168.27624309390001</v>
      </c>
      <c r="I23" s="156">
        <f>IF($B23=" ","",IFERROR(INDEX(MMWR_RATING_STATE_ROLLUP_VSC[],MATCH($B23,MMWR_RATING_STATE_ROLLUP_VSC[MMWR_RATING_STATE_ROLLUP_VSC],0),MATCH(I$9,MMWR_RATING_STATE_ROLLUP_VSC[#Headers],0)),"ERROR"))</f>
        <v>194.88041853510001</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9769</v>
      </c>
      <c r="D24" s="156">
        <f>IF($B24=" ","",IFERROR(INDEX(MMWR_RATING_STATE_ROLLUP_VSC[],MATCH($B24,MMWR_RATING_STATE_ROLLUP_VSC[MMWR_RATING_STATE_ROLLUP_VSC],0),MATCH(D$9,MMWR_RATING_STATE_ROLLUP_VSC[#Headers],0)),"ERROR"))</f>
        <v>126.83846862519999</v>
      </c>
      <c r="E24" s="157">
        <f>IF($B24=" ","",IFERROR(INDEX(MMWR_RATING_STATE_ROLLUP_VSC[],MATCH($B24,MMWR_RATING_STATE_ROLLUP_VSC[MMWR_RATING_STATE_ROLLUP_VSC],0),MATCH(E$9,MMWR_RATING_STATE_ROLLUP_VSC[#Headers],0))/$C24,"ERROR"))</f>
        <v>0.36114238919029584</v>
      </c>
      <c r="F24" s="155">
        <f>IF($B24=" ","",IFERROR(INDEX(MMWR_RATING_STATE_ROLLUP_VSC[],MATCH($B24,MMWR_RATING_STATE_ROLLUP_VSC[MMWR_RATING_STATE_ROLLUP_VSC],0),MATCH(F$9,MMWR_RATING_STATE_ROLLUP_VSC[#Headers],0)),"ERROR"))</f>
        <v>795</v>
      </c>
      <c r="G24" s="155">
        <f>IF($B24=" ","",IFERROR(INDEX(MMWR_RATING_STATE_ROLLUP_VSC[],MATCH($B24,MMWR_RATING_STATE_ROLLUP_VSC[MMWR_RATING_STATE_ROLLUP_VSC],0),MATCH(G$9,MMWR_RATING_STATE_ROLLUP_VSC[#Headers],0)),"ERROR"))</f>
        <v>25235</v>
      </c>
      <c r="H24" s="156">
        <f>IF($B24=" ","",IFERROR(INDEX(MMWR_RATING_STATE_ROLLUP_VSC[],MATCH($B24,MMWR_RATING_STATE_ROLLUP_VSC[MMWR_RATING_STATE_ROLLUP_VSC],0),MATCH(H$9,MMWR_RATING_STATE_ROLLUP_VSC[#Headers],0)),"ERROR"))</f>
        <v>183.49433962259999</v>
      </c>
      <c r="I24" s="156">
        <f>IF($B24=" ","",IFERROR(INDEX(MMWR_RATING_STATE_ROLLUP_VSC[],MATCH($B24,MMWR_RATING_STATE_ROLLUP_VSC[MMWR_RATING_STATE_ROLLUP_VSC],0),MATCH(I$9,MMWR_RATING_STATE_ROLLUP_VSC[#Headers],0)),"ERROR"))</f>
        <v>202.50259560129999</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18275</v>
      </c>
      <c r="D25" s="156">
        <f>IF($B25=" ","",IFERROR(INDEX(MMWR_RATING_STATE_ROLLUP_VSC[],MATCH($B25,MMWR_RATING_STATE_ROLLUP_VSC[MMWR_RATING_STATE_ROLLUP_VSC],0),MATCH(D$9,MMWR_RATING_STATE_ROLLUP_VSC[#Headers],0)),"ERROR"))</f>
        <v>130.06385772909999</v>
      </c>
      <c r="E25" s="157">
        <f>IF($B25=" ","",IFERROR(INDEX(MMWR_RATING_STATE_ROLLUP_VSC[],MATCH($B25,MMWR_RATING_STATE_ROLLUP_VSC[MMWR_RATING_STATE_ROLLUP_VSC],0),MATCH(E$9,MMWR_RATING_STATE_ROLLUP_VSC[#Headers],0))/$C25,"ERROR"))</f>
        <v>0.37138166894664842</v>
      </c>
      <c r="F25" s="155">
        <f>IF($B25=" ","",IFERROR(INDEX(MMWR_RATING_STATE_ROLLUP_VSC[],MATCH($B25,MMWR_RATING_STATE_ROLLUP_VSC[MMWR_RATING_STATE_ROLLUP_VSC],0),MATCH(F$9,MMWR_RATING_STATE_ROLLUP_VSC[#Headers],0)),"ERROR"))</f>
        <v>1415</v>
      </c>
      <c r="G25" s="155">
        <f>IF($B25=" ","",IFERROR(INDEX(MMWR_RATING_STATE_ROLLUP_VSC[],MATCH($B25,MMWR_RATING_STATE_ROLLUP_VSC[MMWR_RATING_STATE_ROLLUP_VSC],0),MATCH(G$9,MMWR_RATING_STATE_ROLLUP_VSC[#Headers],0)),"ERROR"))</f>
        <v>46196</v>
      </c>
      <c r="H25" s="156">
        <f>IF($B25=" ","",IFERROR(INDEX(MMWR_RATING_STATE_ROLLUP_VSC[],MATCH($B25,MMWR_RATING_STATE_ROLLUP_VSC[MMWR_RATING_STATE_ROLLUP_VSC],0),MATCH(H$9,MMWR_RATING_STATE_ROLLUP_VSC[#Headers],0)),"ERROR"))</f>
        <v>171.60212014129999</v>
      </c>
      <c r="I25" s="156">
        <f>IF($B25=" ","",IFERROR(INDEX(MMWR_RATING_STATE_ROLLUP_VSC[],MATCH($B25,MMWR_RATING_STATE_ROLLUP_VSC[MMWR_RATING_STATE_ROLLUP_VSC],0),MATCH(I$9,MMWR_RATING_STATE_ROLLUP_VSC[#Headers],0)),"ERROR"))</f>
        <v>200.3535587497</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9529</v>
      </c>
      <c r="D26" s="156">
        <f>IF($B26=" ","",IFERROR(INDEX(MMWR_RATING_STATE_ROLLUP_VSC[],MATCH($B26,MMWR_RATING_STATE_ROLLUP_VSC[MMWR_RATING_STATE_ROLLUP_VSC],0),MATCH(D$9,MMWR_RATING_STATE_ROLLUP_VSC[#Headers],0)),"ERROR"))</f>
        <v>131.14786441390001</v>
      </c>
      <c r="E26" s="157">
        <f>IF($B26=" ","",IFERROR(INDEX(MMWR_RATING_STATE_ROLLUP_VSC[],MATCH($B26,MMWR_RATING_STATE_ROLLUP_VSC[MMWR_RATING_STATE_ROLLUP_VSC],0),MATCH(E$9,MMWR_RATING_STATE_ROLLUP_VSC[#Headers],0))/$C26,"ERROR"))</f>
        <v>0.3582747402665547</v>
      </c>
      <c r="F26" s="155">
        <f>IF($B26=" ","",IFERROR(INDEX(MMWR_RATING_STATE_ROLLUP_VSC[],MATCH($B26,MMWR_RATING_STATE_ROLLUP_VSC[MMWR_RATING_STATE_ROLLUP_VSC],0),MATCH(F$9,MMWR_RATING_STATE_ROLLUP_VSC[#Headers],0)),"ERROR"))</f>
        <v>773</v>
      </c>
      <c r="G26" s="155">
        <f>IF($B26=" ","",IFERROR(INDEX(MMWR_RATING_STATE_ROLLUP_VSC[],MATCH($B26,MMWR_RATING_STATE_ROLLUP_VSC[MMWR_RATING_STATE_ROLLUP_VSC],0),MATCH(G$9,MMWR_RATING_STATE_ROLLUP_VSC[#Headers],0)),"ERROR"))</f>
        <v>26695</v>
      </c>
      <c r="H26" s="156">
        <f>IF($B26=" ","",IFERROR(INDEX(MMWR_RATING_STATE_ROLLUP_VSC[],MATCH($B26,MMWR_RATING_STATE_ROLLUP_VSC[MMWR_RATING_STATE_ROLLUP_VSC],0),MATCH(H$9,MMWR_RATING_STATE_ROLLUP_VSC[#Headers],0)),"ERROR"))</f>
        <v>174.99611901680001</v>
      </c>
      <c r="I26" s="156">
        <f>IF($B26=" ","",IFERROR(INDEX(MMWR_RATING_STATE_ROLLUP_VSC[],MATCH($B26,MMWR_RATING_STATE_ROLLUP_VSC[MMWR_RATING_STATE_ROLLUP_VSC],0),MATCH(I$9,MMWR_RATING_STATE_ROLLUP_VSC[#Headers],0)),"ERROR"))</f>
        <v>216.1603296497</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895</v>
      </c>
      <c r="D27" s="156">
        <f>IF($B27=" ","",IFERROR(INDEX(MMWR_RATING_STATE_ROLLUP_VSC[],MATCH($B27,MMWR_RATING_STATE_ROLLUP_VSC[MMWR_RATING_STATE_ROLLUP_VSC],0),MATCH(D$9,MMWR_RATING_STATE_ROLLUP_VSC[#Headers],0)),"ERROR"))</f>
        <v>98.464804469300006</v>
      </c>
      <c r="E27" s="157">
        <f>IF($B27=" ","",IFERROR(INDEX(MMWR_RATING_STATE_ROLLUP_VSC[],MATCH($B27,MMWR_RATING_STATE_ROLLUP_VSC[MMWR_RATING_STATE_ROLLUP_VSC],0),MATCH(E$9,MMWR_RATING_STATE_ROLLUP_VSC[#Headers],0))/$C27,"ERROR"))</f>
        <v>0.25810055865921788</v>
      </c>
      <c r="F27" s="155">
        <f>IF($B27=" ","",IFERROR(INDEX(MMWR_RATING_STATE_ROLLUP_VSC[],MATCH($B27,MMWR_RATING_STATE_ROLLUP_VSC[MMWR_RATING_STATE_ROLLUP_VSC],0),MATCH(F$9,MMWR_RATING_STATE_ROLLUP_VSC[#Headers],0)),"ERROR"))</f>
        <v>73</v>
      </c>
      <c r="G27" s="155">
        <f>IF($B27=" ","",IFERROR(INDEX(MMWR_RATING_STATE_ROLLUP_VSC[],MATCH($B27,MMWR_RATING_STATE_ROLLUP_VSC[MMWR_RATING_STATE_ROLLUP_VSC],0),MATCH(G$9,MMWR_RATING_STATE_ROLLUP_VSC[#Headers],0)),"ERROR"))</f>
        <v>2441</v>
      </c>
      <c r="H27" s="156">
        <f>IF($B27=" ","",IFERROR(INDEX(MMWR_RATING_STATE_ROLLUP_VSC[],MATCH($B27,MMWR_RATING_STATE_ROLLUP_VSC[MMWR_RATING_STATE_ROLLUP_VSC],0),MATCH(H$9,MMWR_RATING_STATE_ROLLUP_VSC[#Headers],0)),"ERROR"))</f>
        <v>101.8630136986</v>
      </c>
      <c r="I27" s="156">
        <f>IF($B27=" ","",IFERROR(INDEX(MMWR_RATING_STATE_ROLLUP_VSC[],MATCH($B27,MMWR_RATING_STATE_ROLLUP_VSC[MMWR_RATING_STATE_ROLLUP_VSC],0),MATCH(I$9,MMWR_RATING_STATE_ROLLUP_VSC[#Headers],0)),"ERROR"))</f>
        <v>115.5358459648</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435</v>
      </c>
      <c r="D28" s="156">
        <f>IF($B28=" ","",IFERROR(INDEX(MMWR_RATING_STATE_ROLLUP_VSC[],MATCH($B28,MMWR_RATING_STATE_ROLLUP_VSC[MMWR_RATING_STATE_ROLLUP_VSC],0),MATCH(D$9,MMWR_RATING_STATE_ROLLUP_VSC[#Headers],0)),"ERROR"))</f>
        <v>101.9563218391</v>
      </c>
      <c r="E28" s="157">
        <f>IF($B28=" ","",IFERROR(INDEX(MMWR_RATING_STATE_ROLLUP_VSC[],MATCH($B28,MMWR_RATING_STATE_ROLLUP_VSC[MMWR_RATING_STATE_ROLLUP_VSC],0),MATCH(E$9,MMWR_RATING_STATE_ROLLUP_VSC[#Headers],0))/$C28,"ERROR"))</f>
        <v>0.25517241379310346</v>
      </c>
      <c r="F28" s="155">
        <f>IF($B28=" ","",IFERROR(INDEX(MMWR_RATING_STATE_ROLLUP_VSC[],MATCH($B28,MMWR_RATING_STATE_ROLLUP_VSC[MMWR_RATING_STATE_ROLLUP_VSC],0),MATCH(F$9,MMWR_RATING_STATE_ROLLUP_VSC[#Headers],0)),"ERROR"))</f>
        <v>24</v>
      </c>
      <c r="G28" s="155">
        <f>IF($B28=" ","",IFERROR(INDEX(MMWR_RATING_STATE_ROLLUP_VSC[],MATCH($B28,MMWR_RATING_STATE_ROLLUP_VSC[MMWR_RATING_STATE_ROLLUP_VSC],0),MATCH(G$9,MMWR_RATING_STATE_ROLLUP_VSC[#Headers],0)),"ERROR"))</f>
        <v>1208</v>
      </c>
      <c r="H28" s="156">
        <f>IF($B28=" ","",IFERROR(INDEX(MMWR_RATING_STATE_ROLLUP_VSC[],MATCH($B28,MMWR_RATING_STATE_ROLLUP_VSC[MMWR_RATING_STATE_ROLLUP_VSC],0),MATCH(H$9,MMWR_RATING_STATE_ROLLUP_VSC[#Headers],0)),"ERROR"))</f>
        <v>211.4166666667</v>
      </c>
      <c r="I28" s="156">
        <f>IF($B28=" ","",IFERROR(INDEX(MMWR_RATING_STATE_ROLLUP_VSC[],MATCH($B28,MMWR_RATING_STATE_ROLLUP_VSC[MMWR_RATING_STATE_ROLLUP_VSC],0),MATCH(I$9,MMWR_RATING_STATE_ROLLUP_VSC[#Headers],0)),"ERROR"))</f>
        <v>169.3700331126</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12253</v>
      </c>
      <c r="D29" s="156">
        <f>IF($B29=" ","",IFERROR(INDEX(MMWR_RATING_STATE_ROLLUP_VSC[],MATCH($B29,MMWR_RATING_STATE_ROLLUP_VSC[MMWR_RATING_STATE_ROLLUP_VSC],0),MATCH(D$9,MMWR_RATING_STATE_ROLLUP_VSC[#Headers],0)),"ERROR"))</f>
        <v>119.9189586224</v>
      </c>
      <c r="E29" s="157">
        <f>IF($B29=" ","",IFERROR(INDEX(MMWR_RATING_STATE_ROLLUP_VSC[],MATCH($B29,MMWR_RATING_STATE_ROLLUP_VSC[MMWR_RATING_STATE_ROLLUP_VSC],0),MATCH(E$9,MMWR_RATING_STATE_ROLLUP_VSC[#Headers],0))/$C29,"ERROR"))</f>
        <v>0.34114094507467557</v>
      </c>
      <c r="F29" s="155">
        <f>IF($B29=" ","",IFERROR(INDEX(MMWR_RATING_STATE_ROLLUP_VSC[],MATCH($B29,MMWR_RATING_STATE_ROLLUP_VSC[MMWR_RATING_STATE_ROLLUP_VSC],0),MATCH(F$9,MMWR_RATING_STATE_ROLLUP_VSC[#Headers],0)),"ERROR"))</f>
        <v>1081</v>
      </c>
      <c r="G29" s="155">
        <f>IF($B29=" ","",IFERROR(INDEX(MMWR_RATING_STATE_ROLLUP_VSC[],MATCH($B29,MMWR_RATING_STATE_ROLLUP_VSC[MMWR_RATING_STATE_ROLLUP_VSC],0),MATCH(G$9,MMWR_RATING_STATE_ROLLUP_VSC[#Headers],0)),"ERROR"))</f>
        <v>32343</v>
      </c>
      <c r="H29" s="156">
        <f>IF($B29=" ","",IFERROR(INDEX(MMWR_RATING_STATE_ROLLUP_VSC[],MATCH($B29,MMWR_RATING_STATE_ROLLUP_VSC[MMWR_RATING_STATE_ROLLUP_VSC],0),MATCH(H$9,MMWR_RATING_STATE_ROLLUP_VSC[#Headers],0)),"ERROR"))</f>
        <v>163.18316373729999</v>
      </c>
      <c r="I29" s="156">
        <f>IF($B29=" ","",IFERROR(INDEX(MMWR_RATING_STATE_ROLLUP_VSC[],MATCH($B29,MMWR_RATING_STATE_ROLLUP_VSC[MMWR_RATING_STATE_ROLLUP_VSC],0),MATCH(I$9,MMWR_RATING_STATE_ROLLUP_VSC[#Headers],0)),"ERROR"))</f>
        <v>204.06189901990001</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2763</v>
      </c>
      <c r="D30" s="156">
        <f>IF($B30=" ","",IFERROR(INDEX(MMWR_RATING_STATE_ROLLUP_VSC[],MATCH($B30,MMWR_RATING_STATE_ROLLUP_VSC[MMWR_RATING_STATE_ROLLUP_VSC],0),MATCH(D$9,MMWR_RATING_STATE_ROLLUP_VSC[#Headers],0)),"ERROR"))</f>
        <v>100.29424538550001</v>
      </c>
      <c r="E30" s="157">
        <f>IF($B30=" ","",IFERROR(INDEX(MMWR_RATING_STATE_ROLLUP_VSC[],MATCH($B30,MMWR_RATING_STATE_ROLLUP_VSC[MMWR_RATING_STATE_ROLLUP_VSC],0),MATCH(E$9,MMWR_RATING_STATE_ROLLUP_VSC[#Headers],0))/$C30,"ERROR"))</f>
        <v>0.25624321389793703</v>
      </c>
      <c r="F30" s="155">
        <f>IF($B30=" ","",IFERROR(INDEX(MMWR_RATING_STATE_ROLLUP_VSC[],MATCH($B30,MMWR_RATING_STATE_ROLLUP_VSC[MMWR_RATING_STATE_ROLLUP_VSC],0),MATCH(F$9,MMWR_RATING_STATE_ROLLUP_VSC[#Headers],0)),"ERROR"))</f>
        <v>343</v>
      </c>
      <c r="G30" s="155">
        <f>IF($B30=" ","",IFERROR(INDEX(MMWR_RATING_STATE_ROLLUP_VSC[],MATCH($B30,MMWR_RATING_STATE_ROLLUP_VSC[MMWR_RATING_STATE_ROLLUP_VSC],0),MATCH(G$9,MMWR_RATING_STATE_ROLLUP_VSC[#Headers],0)),"ERROR"))</f>
        <v>7347</v>
      </c>
      <c r="H30" s="156">
        <f>IF($B30=" ","",IFERROR(INDEX(MMWR_RATING_STATE_ROLLUP_VSC[],MATCH($B30,MMWR_RATING_STATE_ROLLUP_VSC[MMWR_RATING_STATE_ROLLUP_VSC],0),MATCH(H$9,MMWR_RATING_STATE_ROLLUP_VSC[#Headers],0)),"ERROR"))</f>
        <v>131.74927113699999</v>
      </c>
      <c r="I30" s="156">
        <f>IF($B30=" ","",IFERROR(INDEX(MMWR_RATING_STATE_ROLLUP_VSC[],MATCH($B30,MMWR_RATING_STATE_ROLLUP_VSC[MMWR_RATING_STATE_ROLLUP_VSC],0),MATCH(I$9,MMWR_RATING_STATE_ROLLUP_VSC[#Headers],0)),"ERROR"))</f>
        <v>150.56022866480001</v>
      </c>
      <c r="J30" s="42"/>
      <c r="K30" s="42"/>
      <c r="L30" s="42"/>
      <c r="M30" s="42"/>
      <c r="N30" s="28"/>
    </row>
    <row r="31" spans="1:14" x14ac:dyDescent="0.2">
      <c r="A31" s="25"/>
      <c r="B31" s="357" t="s">
        <v>982</v>
      </c>
      <c r="C31" s="358"/>
      <c r="D31" s="358"/>
      <c r="E31" s="358"/>
      <c r="F31" s="358"/>
      <c r="G31" s="358"/>
      <c r="H31" s="358"/>
      <c r="I31" s="358"/>
      <c r="J31" s="358"/>
      <c r="K31" s="358"/>
      <c r="L31" s="358"/>
      <c r="M31" s="370"/>
      <c r="N31" s="28"/>
    </row>
    <row r="32" spans="1:14" x14ac:dyDescent="0.2">
      <c r="A32" s="25"/>
      <c r="B32" s="41" t="s">
        <v>1061</v>
      </c>
      <c r="C32" s="155">
        <f>IF($B32=" ","",IFERROR(INDEX(MMWR_RATING_STATE_ROLLUP_PMC[],MATCH($B32,MMWR_RATING_STATE_ROLLUP_PMC[MMWR_RATING_STATE_ROLLUP_PMC],0),MATCH(C$9,MMWR_RATING_STATE_ROLLUP_PMC[#Headers],0)),"ERROR"))</f>
        <v>18835</v>
      </c>
      <c r="D32" s="156">
        <f>IF($B32=" ","",IFERROR(INDEX(MMWR_RATING_STATE_ROLLUP_PMC[],MATCH($B32,MMWR_RATING_STATE_ROLLUP_PMC[MMWR_RATING_STATE_ROLLUP_PMC],0),MATCH(D$9,MMWR_RATING_STATE_ROLLUP_PMC[#Headers],0)),"ERROR"))</f>
        <v>61.755933103300002</v>
      </c>
      <c r="E32" s="157">
        <f>IF($B32=" ","",IFERROR(INDEX(MMWR_RATING_STATE_ROLLUP_PMC[],MATCH($B32,MMWR_RATING_STATE_ROLLUP_PMC[MMWR_RATING_STATE_ROLLUP_PMC],0),MATCH(E$9,MMWR_RATING_STATE_ROLLUP_PMC[#Headers],0))/$C32,"ERROR"))</f>
        <v>9.6522431643217416E-2</v>
      </c>
      <c r="F32" s="155">
        <f>IF($B32=" ","",IFERROR(INDEX(MMWR_RATING_STATE_ROLLUP_PMC[],MATCH($B32,MMWR_RATING_STATE_ROLLUP_PMC[MMWR_RATING_STATE_ROLLUP_PMC],0),MATCH(F$9,MMWR_RATING_STATE_ROLLUP_PMC[#Headers],0)),"ERROR"))</f>
        <v>3312</v>
      </c>
      <c r="G32" s="155">
        <f>IF($B32=" ","",IFERROR(INDEX(MMWR_RATING_STATE_ROLLUP_PMC[],MATCH($B32,MMWR_RATING_STATE_ROLLUP_PMC[MMWR_RATING_STATE_ROLLUP_PMC],0),MATCH(G$9,MMWR_RATING_STATE_ROLLUP_PMC[#Headers],0)),"ERROR"))</f>
        <v>119015</v>
      </c>
      <c r="H32" s="156">
        <f>IF($B32=" ","",IFERROR(INDEX(MMWR_RATING_STATE_ROLLUP_PMC[],MATCH($B32,MMWR_RATING_STATE_ROLLUP_PMC[MMWR_RATING_STATE_ROLLUP_PMC],0),MATCH(H$9,MMWR_RATING_STATE_ROLLUP_PMC[#Headers],0)),"ERROR"))</f>
        <v>69.228562801899997</v>
      </c>
      <c r="I32" s="156">
        <f>IF($B32=" ","",IFERROR(INDEX(MMWR_RATING_STATE_ROLLUP_PMC[],MATCH($B32,MMWR_RATING_STATE_ROLLUP_PMC[MMWR_RATING_STATE_ROLLUP_PMC],0),MATCH(I$9,MMWR_RATING_STATE_ROLLUP_PMC[#Headers],0)),"ERROR"))</f>
        <v>64.570297861599997</v>
      </c>
      <c r="J32" s="42"/>
      <c r="K32" s="42"/>
      <c r="L32" s="42"/>
      <c r="M32" s="42"/>
      <c r="N32" s="28"/>
    </row>
    <row r="33" spans="1:14" x14ac:dyDescent="0.2">
      <c r="A33" s="25"/>
      <c r="B33" s="251" t="str">
        <f>INDEX(DISTRICT_STATES[],MATCH($B$5,DISTRICT_RO[District],0),1)</f>
        <v>North Atlantic</v>
      </c>
      <c r="C33" s="155">
        <f>IF($B33=" ","",IFERROR(INDEX(MMWR_RATING_STATE_ROLLUP_PMC[],MATCH($B33,MMWR_RATING_STATE_ROLLUP_PMC[MMWR_RATING_STATE_ROLLUP_PMC],0),MATCH(C$9,MMWR_RATING_STATE_ROLLUP_PMC[#Headers],0)),"ERROR"))</f>
        <v>3530</v>
      </c>
      <c r="D33" s="156">
        <f>IF($B33=" ","",IFERROR(INDEX(MMWR_RATING_STATE_ROLLUP_PMC[],MATCH($B33,MMWR_RATING_STATE_ROLLUP_PMC[MMWR_RATING_STATE_ROLLUP_PMC],0),MATCH(D$9,MMWR_RATING_STATE_ROLLUP_PMC[#Headers],0)),"ERROR"))</f>
        <v>70.376770538200006</v>
      </c>
      <c r="E33" s="157">
        <f>IF($B33=" ","",IFERROR(INDEX(MMWR_RATING_STATE_ROLLUP_PMC[],MATCH($B33,MMWR_RATING_STATE_ROLLUP_PMC[MMWR_RATING_STATE_ROLLUP_PMC],0),MATCH(E$9,MMWR_RATING_STATE_ROLLUP_PMC[#Headers],0))/$C33,"ERROR"))</f>
        <v>0.13399433427762039</v>
      </c>
      <c r="F33" s="155">
        <f>IF($B33=" ","",IFERROR(INDEX(MMWR_RATING_STATE_ROLLUP_PMC[],MATCH($B33,MMWR_RATING_STATE_ROLLUP_PMC[MMWR_RATING_STATE_ROLLUP_PMC],0),MATCH(F$9,MMWR_RATING_STATE_ROLLUP_PMC[#Headers],0)),"ERROR"))</f>
        <v>698</v>
      </c>
      <c r="G33" s="155">
        <f>IF($B33=" ","",IFERROR(INDEX(MMWR_RATING_STATE_ROLLUP_PMC[],MATCH($B33,MMWR_RATING_STATE_ROLLUP_PMC[MMWR_RATING_STATE_ROLLUP_PMC],0),MATCH(G$9,MMWR_RATING_STATE_ROLLUP_PMC[#Headers],0)),"ERROR"))</f>
        <v>23052</v>
      </c>
      <c r="H33" s="156">
        <f>IF($B33=" ","",IFERROR(INDEX(MMWR_RATING_STATE_ROLLUP_PMC[],MATCH($B33,MMWR_RATING_STATE_ROLLUP_PMC[MMWR_RATING_STATE_ROLLUP_PMC],0),MATCH(H$9,MMWR_RATING_STATE_ROLLUP_PMC[#Headers],0)),"ERROR"))</f>
        <v>82.138968481399999</v>
      </c>
      <c r="I33" s="156">
        <f>IF($B33=" ","",IFERROR(INDEX(MMWR_RATING_STATE_ROLLUP_PMC[],MATCH($B33,MMWR_RATING_STATE_ROLLUP_PMC[MMWR_RATING_STATE_ROLLUP_PMC],0),MATCH(I$9,MMWR_RATING_STATE_ROLLUP_PMC[#Headers],0)),"ERROR"))</f>
        <v>74.901353461699998</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107</v>
      </c>
      <c r="D34" s="156">
        <f>IF($B34=" ","",IFERROR(INDEX(MMWR_RATING_STATE_ROLLUP_PMC[],MATCH($B34,MMWR_RATING_STATE_ROLLUP_PMC[MMWR_RATING_STATE_ROLLUP_PMC],0),MATCH(D$9,MMWR_RATING_STATE_ROLLUP_PMC[#Headers],0)),"ERROR"))</f>
        <v>72.588785046699996</v>
      </c>
      <c r="E34" s="157">
        <f>IF($B34=" ","",IFERROR(INDEX(MMWR_RATING_STATE_ROLLUP_PMC[],MATCH($B34,MMWR_RATING_STATE_ROLLUP_PMC[MMWR_RATING_STATE_ROLLUP_PMC],0),MATCH(E$9,MMWR_RATING_STATE_ROLLUP_PMC[#Headers],0))/$C34,"ERROR"))</f>
        <v>0.14953271028037382</v>
      </c>
      <c r="F34" s="155">
        <f>IF($B34=" ","",IFERROR(INDEX(MMWR_RATING_STATE_ROLLUP_PMC[],MATCH($B34,MMWR_RATING_STATE_ROLLUP_PMC[MMWR_RATING_STATE_ROLLUP_PMC],0),MATCH(F$9,MMWR_RATING_STATE_ROLLUP_PMC[#Headers],0)),"ERROR"))</f>
        <v>26</v>
      </c>
      <c r="G34" s="155">
        <f>IF($B34=" ","",IFERROR(INDEX(MMWR_RATING_STATE_ROLLUP_PMC[],MATCH($B34,MMWR_RATING_STATE_ROLLUP_PMC[MMWR_RATING_STATE_ROLLUP_PMC],0),MATCH(G$9,MMWR_RATING_STATE_ROLLUP_PMC[#Headers],0)),"ERROR"))</f>
        <v>703</v>
      </c>
      <c r="H34" s="156">
        <f>IF($B34=" ","",IFERROR(INDEX(MMWR_RATING_STATE_ROLLUP_PMC[],MATCH($B34,MMWR_RATING_STATE_ROLLUP_PMC[MMWR_RATING_STATE_ROLLUP_PMC],0),MATCH(H$9,MMWR_RATING_STATE_ROLLUP_PMC[#Headers],0)),"ERROR"))</f>
        <v>100.30769230769999</v>
      </c>
      <c r="I34" s="156">
        <f>IF($B34=" ","",IFERROR(INDEX(MMWR_RATING_STATE_ROLLUP_PMC[],MATCH($B34,MMWR_RATING_STATE_ROLLUP_PMC[MMWR_RATING_STATE_ROLLUP_PMC],0),MATCH(I$9,MMWR_RATING_STATE_ROLLUP_PMC[#Headers],0)),"ERROR"))</f>
        <v>75.448079658599994</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36</v>
      </c>
      <c r="D35" s="156">
        <f>IF($B35=" ","",IFERROR(INDEX(MMWR_RATING_STATE_ROLLUP_PMC[],MATCH($B35,MMWR_RATING_STATE_ROLLUP_PMC[MMWR_RATING_STATE_ROLLUP_PMC],0),MATCH(D$9,MMWR_RATING_STATE_ROLLUP_PMC[#Headers],0)),"ERROR"))</f>
        <v>92.805555555599994</v>
      </c>
      <c r="E35" s="157">
        <f>IF($B35=" ","",IFERROR(INDEX(MMWR_RATING_STATE_ROLLUP_PMC[],MATCH($B35,MMWR_RATING_STATE_ROLLUP_PMC[MMWR_RATING_STATE_ROLLUP_PMC],0),MATCH(E$9,MMWR_RATING_STATE_ROLLUP_PMC[#Headers],0))/$C35,"ERROR"))</f>
        <v>0.16666666666666666</v>
      </c>
      <c r="F35" s="155">
        <f>IF($B35=" ","",IFERROR(INDEX(MMWR_RATING_STATE_ROLLUP_PMC[],MATCH($B35,MMWR_RATING_STATE_ROLLUP_PMC[MMWR_RATING_STATE_ROLLUP_PMC],0),MATCH(F$9,MMWR_RATING_STATE_ROLLUP_PMC[#Headers],0)),"ERROR"))</f>
        <v>7</v>
      </c>
      <c r="G35" s="155">
        <f>IF($B35=" ","",IFERROR(INDEX(MMWR_RATING_STATE_ROLLUP_PMC[],MATCH($B35,MMWR_RATING_STATE_ROLLUP_PMC[MMWR_RATING_STATE_ROLLUP_PMC],0),MATCH(G$9,MMWR_RATING_STATE_ROLLUP_PMC[#Headers],0)),"ERROR"))</f>
        <v>250</v>
      </c>
      <c r="H35" s="156">
        <f>IF($B35=" ","",IFERROR(INDEX(MMWR_RATING_STATE_ROLLUP_PMC[],MATCH($B35,MMWR_RATING_STATE_ROLLUP_PMC[MMWR_RATING_STATE_ROLLUP_PMC],0),MATCH(H$9,MMWR_RATING_STATE_ROLLUP_PMC[#Headers],0)),"ERROR"))</f>
        <v>44.285714285700003</v>
      </c>
      <c r="I35" s="156">
        <f>IF($B35=" ","",IFERROR(INDEX(MMWR_RATING_STATE_ROLLUP_PMC[],MATCH($B35,MMWR_RATING_STATE_ROLLUP_PMC[MMWR_RATING_STATE_ROLLUP_PMC],0),MATCH(I$9,MMWR_RATING_STATE_ROLLUP_PMC[#Headers],0)),"ERROR"))</f>
        <v>75.42</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29</v>
      </c>
      <c r="D36" s="156">
        <f>IF($B36=" ","",IFERROR(INDEX(MMWR_RATING_STATE_ROLLUP_PMC[],MATCH($B36,MMWR_RATING_STATE_ROLLUP_PMC[MMWR_RATING_STATE_ROLLUP_PMC],0),MATCH(D$9,MMWR_RATING_STATE_ROLLUP_PMC[#Headers],0)),"ERROR"))</f>
        <v>83.482758620699997</v>
      </c>
      <c r="E36" s="157">
        <f>IF($B36=" ","",IFERROR(INDEX(MMWR_RATING_STATE_ROLLUP_PMC[],MATCH($B36,MMWR_RATING_STATE_ROLLUP_PMC[MMWR_RATING_STATE_ROLLUP_PMC],0),MATCH(E$9,MMWR_RATING_STATE_ROLLUP_PMC[#Headers],0))/$C36,"ERROR"))</f>
        <v>0.13793103448275862</v>
      </c>
      <c r="F36" s="155">
        <f>IF($B36=" ","",IFERROR(INDEX(MMWR_RATING_STATE_ROLLUP_PMC[],MATCH($B36,MMWR_RATING_STATE_ROLLUP_PMC[MMWR_RATING_STATE_ROLLUP_PMC],0),MATCH(F$9,MMWR_RATING_STATE_ROLLUP_PMC[#Headers],0)),"ERROR"))</f>
        <v>7</v>
      </c>
      <c r="G36" s="155">
        <f>IF($B36=" ","",IFERROR(INDEX(MMWR_RATING_STATE_ROLLUP_PMC[],MATCH($B36,MMWR_RATING_STATE_ROLLUP_PMC[MMWR_RATING_STATE_ROLLUP_PMC],0),MATCH(G$9,MMWR_RATING_STATE_ROLLUP_PMC[#Headers],0)),"ERROR"))</f>
        <v>144</v>
      </c>
      <c r="H36" s="156">
        <f>IF($B36=" ","",IFERROR(INDEX(MMWR_RATING_STATE_ROLLUP_PMC[],MATCH($B36,MMWR_RATING_STATE_ROLLUP_PMC[MMWR_RATING_STATE_ROLLUP_PMC],0),MATCH(H$9,MMWR_RATING_STATE_ROLLUP_PMC[#Headers],0)),"ERROR"))</f>
        <v>89.714285714300004</v>
      </c>
      <c r="I36" s="156">
        <f>IF($B36=" ","",IFERROR(INDEX(MMWR_RATING_STATE_ROLLUP_PMC[],MATCH($B36,MMWR_RATING_STATE_ROLLUP_PMC[MMWR_RATING_STATE_ROLLUP_PMC],0),MATCH(I$9,MMWR_RATING_STATE_ROLLUP_PMC[#Headers],0)),"ERROR"))</f>
        <v>86.152777777799997</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48</v>
      </c>
      <c r="D37" s="156">
        <f>IF($B37=" ","",IFERROR(INDEX(MMWR_RATING_STATE_ROLLUP_PMC[],MATCH($B37,MMWR_RATING_STATE_ROLLUP_PMC[MMWR_RATING_STATE_ROLLUP_PMC],0),MATCH(D$9,MMWR_RATING_STATE_ROLLUP_PMC[#Headers],0)),"ERROR"))</f>
        <v>55.875</v>
      </c>
      <c r="E37" s="157">
        <f>IF($B37=" ","",IFERROR(INDEX(MMWR_RATING_STATE_ROLLUP_PMC[],MATCH($B37,MMWR_RATING_STATE_ROLLUP_PMC[MMWR_RATING_STATE_ROLLUP_PMC],0),MATCH(E$9,MMWR_RATING_STATE_ROLLUP_PMC[#Headers],0))/$C37,"ERROR"))</f>
        <v>4.1666666666666664E-2</v>
      </c>
      <c r="F37" s="155">
        <f>IF($B37=" ","",IFERROR(INDEX(MMWR_RATING_STATE_ROLLUP_PMC[],MATCH($B37,MMWR_RATING_STATE_ROLLUP_PMC[MMWR_RATING_STATE_ROLLUP_PMC],0),MATCH(F$9,MMWR_RATING_STATE_ROLLUP_PMC[#Headers],0)),"ERROR"))</f>
        <v>6</v>
      </c>
      <c r="G37" s="155">
        <f>IF($B37=" ","",IFERROR(INDEX(MMWR_RATING_STATE_ROLLUP_PMC[],MATCH($B37,MMWR_RATING_STATE_ROLLUP_PMC[MMWR_RATING_STATE_ROLLUP_PMC],0),MATCH(G$9,MMWR_RATING_STATE_ROLLUP_PMC[#Headers],0)),"ERROR"))</f>
        <v>437</v>
      </c>
      <c r="H37" s="156">
        <f>IF($B37=" ","",IFERROR(INDEX(MMWR_RATING_STATE_ROLLUP_PMC[],MATCH($B37,MMWR_RATING_STATE_ROLLUP_PMC[MMWR_RATING_STATE_ROLLUP_PMC],0),MATCH(H$9,MMWR_RATING_STATE_ROLLUP_PMC[#Headers],0)),"ERROR"))</f>
        <v>108.3333333333</v>
      </c>
      <c r="I37" s="156">
        <f>IF($B37=" ","",IFERROR(INDEX(MMWR_RATING_STATE_ROLLUP_PMC[],MATCH($B37,MMWR_RATING_STATE_ROLLUP_PMC[MMWR_RATING_STATE_ROLLUP_PMC],0),MATCH(I$9,MMWR_RATING_STATE_ROLLUP_PMC[#Headers],0)),"ERROR"))</f>
        <v>64.643020594999996</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233</v>
      </c>
      <c r="D38" s="156">
        <f>IF($B38=" ","",IFERROR(INDEX(MMWR_RATING_STATE_ROLLUP_PMC[],MATCH($B38,MMWR_RATING_STATE_ROLLUP_PMC[MMWR_RATING_STATE_ROLLUP_PMC],0),MATCH(D$9,MMWR_RATING_STATE_ROLLUP_PMC[#Headers],0)),"ERROR"))</f>
        <v>81.7725321888</v>
      </c>
      <c r="E38" s="157">
        <f>IF($B38=" ","",IFERROR(INDEX(MMWR_RATING_STATE_ROLLUP_PMC[],MATCH($B38,MMWR_RATING_STATE_ROLLUP_PMC[MMWR_RATING_STATE_ROLLUP_PMC],0),MATCH(E$9,MMWR_RATING_STATE_ROLLUP_PMC[#Headers],0))/$C38,"ERROR"))</f>
        <v>0.14163090128755365</v>
      </c>
      <c r="F38" s="155">
        <f>IF($B38=" ","",IFERROR(INDEX(MMWR_RATING_STATE_ROLLUP_PMC[],MATCH($B38,MMWR_RATING_STATE_ROLLUP_PMC[MMWR_RATING_STATE_ROLLUP_PMC],0),MATCH(F$9,MMWR_RATING_STATE_ROLLUP_PMC[#Headers],0)),"ERROR"))</f>
        <v>57</v>
      </c>
      <c r="G38" s="155">
        <f>IF($B38=" ","",IFERROR(INDEX(MMWR_RATING_STATE_ROLLUP_PMC[],MATCH($B38,MMWR_RATING_STATE_ROLLUP_PMC[MMWR_RATING_STATE_ROLLUP_PMC],0),MATCH(G$9,MMWR_RATING_STATE_ROLLUP_PMC[#Headers],0)),"ERROR"))</f>
        <v>1492</v>
      </c>
      <c r="H38" s="156">
        <f>IF($B38=" ","",IFERROR(INDEX(MMWR_RATING_STATE_ROLLUP_PMC[],MATCH($B38,MMWR_RATING_STATE_ROLLUP_PMC[MMWR_RATING_STATE_ROLLUP_PMC],0),MATCH(H$9,MMWR_RATING_STATE_ROLLUP_PMC[#Headers],0)),"ERROR"))</f>
        <v>96.403508771899993</v>
      </c>
      <c r="I38" s="156">
        <f>IF($B38=" ","",IFERROR(INDEX(MMWR_RATING_STATE_ROLLUP_PMC[],MATCH($B38,MMWR_RATING_STATE_ROLLUP_PMC[MMWR_RATING_STATE_ROLLUP_PMC],0),MATCH(I$9,MMWR_RATING_STATE_ROLLUP_PMC[#Headers],0)),"ERROR"))</f>
        <v>86.463136729200002</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187</v>
      </c>
      <c r="D39" s="156">
        <f>IF($B39=" ","",IFERROR(INDEX(MMWR_RATING_STATE_ROLLUP_PMC[],MATCH($B39,MMWR_RATING_STATE_ROLLUP_PMC[MMWR_RATING_STATE_ROLLUP_PMC],0),MATCH(D$9,MMWR_RATING_STATE_ROLLUP_PMC[#Headers],0)),"ERROR"))</f>
        <v>74.727272727300004</v>
      </c>
      <c r="E39" s="157">
        <f>IF($B39=" ","",IFERROR(INDEX(MMWR_RATING_STATE_ROLLUP_PMC[],MATCH($B39,MMWR_RATING_STATE_ROLLUP_PMC[MMWR_RATING_STATE_ROLLUP_PMC],0),MATCH(E$9,MMWR_RATING_STATE_ROLLUP_PMC[#Headers],0))/$C39,"ERROR"))</f>
        <v>0.12834224598930483</v>
      </c>
      <c r="F39" s="155">
        <f>IF($B39=" ","",IFERROR(INDEX(MMWR_RATING_STATE_ROLLUP_PMC[],MATCH($B39,MMWR_RATING_STATE_ROLLUP_PMC[MMWR_RATING_STATE_ROLLUP_PMC],0),MATCH(F$9,MMWR_RATING_STATE_ROLLUP_PMC[#Headers],0)),"ERROR"))</f>
        <v>35</v>
      </c>
      <c r="G39" s="155">
        <f>IF($B39=" ","",IFERROR(INDEX(MMWR_RATING_STATE_ROLLUP_PMC[],MATCH($B39,MMWR_RATING_STATE_ROLLUP_PMC[MMWR_RATING_STATE_ROLLUP_PMC],0),MATCH(G$9,MMWR_RATING_STATE_ROLLUP_PMC[#Headers],0)),"ERROR"))</f>
        <v>1319</v>
      </c>
      <c r="H39" s="156">
        <f>IF($B39=" ","",IFERROR(INDEX(MMWR_RATING_STATE_ROLLUP_PMC[],MATCH($B39,MMWR_RATING_STATE_ROLLUP_PMC[MMWR_RATING_STATE_ROLLUP_PMC],0),MATCH(H$9,MMWR_RATING_STATE_ROLLUP_PMC[#Headers],0)),"ERROR"))</f>
        <v>72.028571428600003</v>
      </c>
      <c r="I39" s="156">
        <f>IF($B39=" ","",IFERROR(INDEX(MMWR_RATING_STATE_ROLLUP_PMC[],MATCH($B39,MMWR_RATING_STATE_ROLLUP_PMC[MMWR_RATING_STATE_ROLLUP_PMC],0),MATCH(I$9,MMWR_RATING_STATE_ROLLUP_PMC[#Headers],0)),"ERROR"))</f>
        <v>69.875663381300001</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61</v>
      </c>
      <c r="D40" s="156">
        <f>IF($B40=" ","",IFERROR(INDEX(MMWR_RATING_STATE_ROLLUP_PMC[],MATCH($B40,MMWR_RATING_STATE_ROLLUP_PMC[MMWR_RATING_STATE_ROLLUP_PMC],0),MATCH(D$9,MMWR_RATING_STATE_ROLLUP_PMC[#Headers],0)),"ERROR"))</f>
        <v>59.393442622999999</v>
      </c>
      <c r="E40" s="157">
        <f>IF($B40=" ","",IFERROR(INDEX(MMWR_RATING_STATE_ROLLUP_PMC[],MATCH($B40,MMWR_RATING_STATE_ROLLUP_PMC[MMWR_RATING_STATE_ROLLUP_PMC],0),MATCH(E$9,MMWR_RATING_STATE_ROLLUP_PMC[#Headers],0))/$C40,"ERROR"))</f>
        <v>4.9180327868852458E-2</v>
      </c>
      <c r="F40" s="155">
        <f>IF($B40=" ","",IFERROR(INDEX(MMWR_RATING_STATE_ROLLUP_PMC[],MATCH($B40,MMWR_RATING_STATE_ROLLUP_PMC[MMWR_RATING_STATE_ROLLUP_PMC],0),MATCH(F$9,MMWR_RATING_STATE_ROLLUP_PMC[#Headers],0)),"ERROR"))</f>
        <v>14</v>
      </c>
      <c r="G40" s="155">
        <f>IF($B40=" ","",IFERROR(INDEX(MMWR_RATING_STATE_ROLLUP_PMC[],MATCH($B40,MMWR_RATING_STATE_ROLLUP_PMC[MMWR_RATING_STATE_ROLLUP_PMC],0),MATCH(G$9,MMWR_RATING_STATE_ROLLUP_PMC[#Headers],0)),"ERROR"))</f>
        <v>373</v>
      </c>
      <c r="H40" s="156">
        <f>IF($B40=" ","",IFERROR(INDEX(MMWR_RATING_STATE_ROLLUP_PMC[],MATCH($B40,MMWR_RATING_STATE_ROLLUP_PMC[MMWR_RATING_STATE_ROLLUP_PMC],0),MATCH(H$9,MMWR_RATING_STATE_ROLLUP_PMC[#Headers],0)),"ERROR"))</f>
        <v>63.142857142899999</v>
      </c>
      <c r="I40" s="156">
        <f>IF($B40=" ","",IFERROR(INDEX(MMWR_RATING_STATE_ROLLUP_PMC[],MATCH($B40,MMWR_RATING_STATE_ROLLUP_PMC[MMWR_RATING_STATE_ROLLUP_PMC],0),MATCH(I$9,MMWR_RATING_STATE_ROLLUP_PMC[#Headers],0)),"ERROR"))</f>
        <v>74.123324396800001</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249</v>
      </c>
      <c r="D41" s="156">
        <f>IF($B41=" ","",IFERROR(INDEX(MMWR_RATING_STATE_ROLLUP_PMC[],MATCH($B41,MMWR_RATING_STATE_ROLLUP_PMC[MMWR_RATING_STATE_ROLLUP_PMC],0),MATCH(D$9,MMWR_RATING_STATE_ROLLUP_PMC[#Headers],0)),"ERROR"))</f>
        <v>68.8152610442</v>
      </c>
      <c r="E41" s="157">
        <f>IF($B41=" ","",IFERROR(INDEX(MMWR_RATING_STATE_ROLLUP_PMC[],MATCH($B41,MMWR_RATING_STATE_ROLLUP_PMC[MMWR_RATING_STATE_ROLLUP_PMC],0),MATCH(E$9,MMWR_RATING_STATE_ROLLUP_PMC[#Headers],0))/$C41,"ERROR"))</f>
        <v>0.1646586345381526</v>
      </c>
      <c r="F41" s="155">
        <f>IF($B41=" ","",IFERROR(INDEX(MMWR_RATING_STATE_ROLLUP_PMC[],MATCH($B41,MMWR_RATING_STATE_ROLLUP_PMC[MMWR_RATING_STATE_ROLLUP_PMC],0),MATCH(F$9,MMWR_RATING_STATE_ROLLUP_PMC[#Headers],0)),"ERROR"))</f>
        <v>50</v>
      </c>
      <c r="G41" s="155">
        <f>IF($B41=" ","",IFERROR(INDEX(MMWR_RATING_STATE_ROLLUP_PMC[],MATCH($B41,MMWR_RATING_STATE_ROLLUP_PMC[MMWR_RATING_STATE_ROLLUP_PMC],0),MATCH(G$9,MMWR_RATING_STATE_ROLLUP_PMC[#Headers],0)),"ERROR"))</f>
        <v>1661</v>
      </c>
      <c r="H41" s="156">
        <f>IF($B41=" ","",IFERROR(INDEX(MMWR_RATING_STATE_ROLLUP_PMC[],MATCH($B41,MMWR_RATING_STATE_ROLLUP_PMC[MMWR_RATING_STATE_ROLLUP_PMC],0),MATCH(H$9,MMWR_RATING_STATE_ROLLUP_PMC[#Headers],0)),"ERROR"))</f>
        <v>74.86</v>
      </c>
      <c r="I41" s="156">
        <f>IF($B41=" ","",IFERROR(INDEX(MMWR_RATING_STATE_ROLLUP_PMC[],MATCH($B41,MMWR_RATING_STATE_ROLLUP_PMC[MMWR_RATING_STATE_ROLLUP_PMC],0),MATCH(I$9,MMWR_RATING_STATE_ROLLUP_PMC[#Headers],0)),"ERROR"))</f>
        <v>78.684527393099998</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632</v>
      </c>
      <c r="D42" s="156">
        <f>IF($B42=" ","",IFERROR(INDEX(MMWR_RATING_STATE_ROLLUP_PMC[],MATCH($B42,MMWR_RATING_STATE_ROLLUP_PMC[MMWR_RATING_STATE_ROLLUP_PMC],0),MATCH(D$9,MMWR_RATING_STATE_ROLLUP_PMC[#Headers],0)),"ERROR"))</f>
        <v>66.672468354399996</v>
      </c>
      <c r="E42" s="157">
        <f>IF($B42=" ","",IFERROR(INDEX(MMWR_RATING_STATE_ROLLUP_PMC[],MATCH($B42,MMWR_RATING_STATE_ROLLUP_PMC[MMWR_RATING_STATE_ROLLUP_PMC],0),MATCH(E$9,MMWR_RATING_STATE_ROLLUP_PMC[#Headers],0))/$C42,"ERROR"))</f>
        <v>0.11867088607594936</v>
      </c>
      <c r="F42" s="155">
        <f>IF($B42=" ","",IFERROR(INDEX(MMWR_RATING_STATE_ROLLUP_PMC[],MATCH($B42,MMWR_RATING_STATE_ROLLUP_PMC[MMWR_RATING_STATE_ROLLUP_PMC],0),MATCH(F$9,MMWR_RATING_STATE_ROLLUP_PMC[#Headers],0)),"ERROR"))</f>
        <v>119</v>
      </c>
      <c r="G42" s="155">
        <f>IF($B42=" ","",IFERROR(INDEX(MMWR_RATING_STATE_ROLLUP_PMC[],MATCH($B42,MMWR_RATING_STATE_ROLLUP_PMC[MMWR_RATING_STATE_ROLLUP_PMC],0),MATCH(G$9,MMWR_RATING_STATE_ROLLUP_PMC[#Headers],0)),"ERROR"))</f>
        <v>3923</v>
      </c>
      <c r="H42" s="156">
        <f>IF($B42=" ","",IFERROR(INDEX(MMWR_RATING_STATE_ROLLUP_PMC[],MATCH($B42,MMWR_RATING_STATE_ROLLUP_PMC[MMWR_RATING_STATE_ROLLUP_PMC],0),MATCH(H$9,MMWR_RATING_STATE_ROLLUP_PMC[#Headers],0)),"ERROR"))</f>
        <v>82.680672268899997</v>
      </c>
      <c r="I42" s="156">
        <f>IF($B42=" ","",IFERROR(INDEX(MMWR_RATING_STATE_ROLLUP_PMC[],MATCH($B42,MMWR_RATING_STATE_ROLLUP_PMC[MMWR_RATING_STATE_ROLLUP_PMC],0),MATCH(I$9,MMWR_RATING_STATE_ROLLUP_PMC[#Headers],0)),"ERROR"))</f>
        <v>70.161356104999996</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647</v>
      </c>
      <c r="D43" s="156">
        <f>IF($B43=" ","",IFERROR(INDEX(MMWR_RATING_STATE_ROLLUP_PMC[],MATCH($B43,MMWR_RATING_STATE_ROLLUP_PMC[MMWR_RATING_STATE_ROLLUP_PMC],0),MATCH(D$9,MMWR_RATING_STATE_ROLLUP_PMC[#Headers],0)),"ERROR"))</f>
        <v>73.510046367900003</v>
      </c>
      <c r="E43" s="157">
        <f>IF($B43=" ","",IFERROR(INDEX(MMWR_RATING_STATE_ROLLUP_PMC[],MATCH($B43,MMWR_RATING_STATE_ROLLUP_PMC[MMWR_RATING_STATE_ROLLUP_PMC],0),MATCH(E$9,MMWR_RATING_STATE_ROLLUP_PMC[#Headers],0))/$C43,"ERROR"))</f>
        <v>0.15919629057187018</v>
      </c>
      <c r="F43" s="155">
        <f>IF($B43=" ","",IFERROR(INDEX(MMWR_RATING_STATE_ROLLUP_PMC[],MATCH($B43,MMWR_RATING_STATE_ROLLUP_PMC[MMWR_RATING_STATE_ROLLUP_PMC],0),MATCH(F$9,MMWR_RATING_STATE_ROLLUP_PMC[#Headers],0)),"ERROR"))</f>
        <v>125</v>
      </c>
      <c r="G43" s="155">
        <f>IF($B43=" ","",IFERROR(INDEX(MMWR_RATING_STATE_ROLLUP_PMC[],MATCH($B43,MMWR_RATING_STATE_ROLLUP_PMC[MMWR_RATING_STATE_ROLLUP_PMC],0),MATCH(G$9,MMWR_RATING_STATE_ROLLUP_PMC[#Headers],0)),"ERROR"))</f>
        <v>4227</v>
      </c>
      <c r="H43" s="156">
        <f>IF($B43=" ","",IFERROR(INDEX(MMWR_RATING_STATE_ROLLUP_PMC[],MATCH($B43,MMWR_RATING_STATE_ROLLUP_PMC[MMWR_RATING_STATE_ROLLUP_PMC],0),MATCH(H$9,MMWR_RATING_STATE_ROLLUP_PMC[#Headers],0)),"ERROR"))</f>
        <v>76.992000000000004</v>
      </c>
      <c r="I43" s="156">
        <f>IF($B43=" ","",IFERROR(INDEX(MMWR_RATING_STATE_ROLLUP_PMC[],MATCH($B43,MMWR_RATING_STATE_ROLLUP_PMC[MMWR_RATING_STATE_ROLLUP_PMC],0),MATCH(I$9,MMWR_RATING_STATE_ROLLUP_PMC[#Headers],0)),"ERROR"))</f>
        <v>77.323633782800002</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696</v>
      </c>
      <c r="D44" s="156">
        <f>IF($B44=" ","",IFERROR(INDEX(MMWR_RATING_STATE_ROLLUP_PMC[],MATCH($B44,MMWR_RATING_STATE_ROLLUP_PMC[MMWR_RATING_STATE_ROLLUP_PMC],0),MATCH(D$9,MMWR_RATING_STATE_ROLLUP_PMC[#Headers],0)),"ERROR"))</f>
        <v>63.558908045999999</v>
      </c>
      <c r="E44" s="157">
        <f>IF($B44=" ","",IFERROR(INDEX(MMWR_RATING_STATE_ROLLUP_PMC[],MATCH($B44,MMWR_RATING_STATE_ROLLUP_PMC[MMWR_RATING_STATE_ROLLUP_PMC],0),MATCH(E$9,MMWR_RATING_STATE_ROLLUP_PMC[#Headers],0))/$C44,"ERROR"))</f>
        <v>0.11350574712643678</v>
      </c>
      <c r="F44" s="155">
        <f>IF($B44=" ","",IFERROR(INDEX(MMWR_RATING_STATE_ROLLUP_PMC[],MATCH($B44,MMWR_RATING_STATE_ROLLUP_PMC[MMWR_RATING_STATE_ROLLUP_PMC],0),MATCH(F$9,MMWR_RATING_STATE_ROLLUP_PMC[#Headers],0)),"ERROR"))</f>
        <v>119</v>
      </c>
      <c r="G44" s="155">
        <f>IF($B44=" ","",IFERROR(INDEX(MMWR_RATING_STATE_ROLLUP_PMC[],MATCH($B44,MMWR_RATING_STATE_ROLLUP_PMC[MMWR_RATING_STATE_ROLLUP_PMC],0),MATCH(G$9,MMWR_RATING_STATE_ROLLUP_PMC[#Headers],0)),"ERROR"))</f>
        <v>4770</v>
      </c>
      <c r="H44" s="156">
        <f>IF($B44=" ","",IFERROR(INDEX(MMWR_RATING_STATE_ROLLUP_PMC[],MATCH($B44,MMWR_RATING_STATE_ROLLUP_PMC[MMWR_RATING_STATE_ROLLUP_PMC],0),MATCH(H$9,MMWR_RATING_STATE_ROLLUP_PMC[#Headers],0)),"ERROR"))</f>
        <v>82.806722689099999</v>
      </c>
      <c r="I44" s="156">
        <f>IF($B44=" ","",IFERROR(INDEX(MMWR_RATING_STATE_ROLLUP_PMC[],MATCH($B44,MMWR_RATING_STATE_ROLLUP_PMC[MMWR_RATING_STATE_ROLLUP_PMC],0),MATCH(I$9,MMWR_RATING_STATE_ROLLUP_PMC[#Headers],0)),"ERROR"))</f>
        <v>68.857442348000006</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56</v>
      </c>
      <c r="D45" s="156">
        <f>IF($B45=" ","",IFERROR(INDEX(MMWR_RATING_STATE_ROLLUP_PMC[],MATCH($B45,MMWR_RATING_STATE_ROLLUP_PMC[MMWR_RATING_STATE_ROLLUP_PMC],0),MATCH(D$9,MMWR_RATING_STATE_ROLLUP_PMC[#Headers],0)),"ERROR"))</f>
        <v>52.660714285700003</v>
      </c>
      <c r="E45" s="157">
        <f>IF($B45=" ","",IFERROR(INDEX(MMWR_RATING_STATE_ROLLUP_PMC[],MATCH($B45,MMWR_RATING_STATE_ROLLUP_PMC[MMWR_RATING_STATE_ROLLUP_PMC],0),MATCH(E$9,MMWR_RATING_STATE_ROLLUP_PMC[#Headers],0))/$C45,"ERROR"))</f>
        <v>3.5714285714285712E-2</v>
      </c>
      <c r="F45" s="155">
        <f>IF($B45=" ","",IFERROR(INDEX(MMWR_RATING_STATE_ROLLUP_PMC[],MATCH($B45,MMWR_RATING_STATE_ROLLUP_PMC[MMWR_RATING_STATE_ROLLUP_PMC],0),MATCH(F$9,MMWR_RATING_STATE_ROLLUP_PMC[#Headers],0)),"ERROR"))</f>
        <v>14</v>
      </c>
      <c r="G45" s="155">
        <f>IF($B45=" ","",IFERROR(INDEX(MMWR_RATING_STATE_ROLLUP_PMC[],MATCH($B45,MMWR_RATING_STATE_ROLLUP_PMC[MMWR_RATING_STATE_ROLLUP_PMC],0),MATCH(G$9,MMWR_RATING_STATE_ROLLUP_PMC[#Headers],0)),"ERROR"))</f>
        <v>265</v>
      </c>
      <c r="H45" s="156">
        <f>IF($B45=" ","",IFERROR(INDEX(MMWR_RATING_STATE_ROLLUP_PMC[],MATCH($B45,MMWR_RATING_STATE_ROLLUP_PMC[MMWR_RATING_STATE_ROLLUP_PMC],0),MATCH(H$9,MMWR_RATING_STATE_ROLLUP_PMC[#Headers],0)),"ERROR"))</f>
        <v>73.142857142899999</v>
      </c>
      <c r="I45" s="156">
        <f>IF($B45=" ","",IFERROR(INDEX(MMWR_RATING_STATE_ROLLUP_PMC[],MATCH($B45,MMWR_RATING_STATE_ROLLUP_PMC[MMWR_RATING_STATE_ROLLUP_PMC],0),MATCH(I$9,MMWR_RATING_STATE_ROLLUP_PMC[#Headers],0)),"ERROR"))</f>
        <v>70.622641509399998</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17</v>
      </c>
      <c r="D46" s="156">
        <f>IF($B46=" ","",IFERROR(INDEX(MMWR_RATING_STATE_ROLLUP_PMC[],MATCH($B46,MMWR_RATING_STATE_ROLLUP_PMC[MMWR_RATING_STATE_ROLLUP_PMC],0),MATCH(D$9,MMWR_RATING_STATE_ROLLUP_PMC[#Headers],0)),"ERROR"))</f>
        <v>83.117647058800003</v>
      </c>
      <c r="E46" s="157">
        <f>IF($B46=" ","",IFERROR(INDEX(MMWR_RATING_STATE_ROLLUP_PMC[],MATCH($B46,MMWR_RATING_STATE_ROLLUP_PMC[MMWR_RATING_STATE_ROLLUP_PMC],0),MATCH(E$9,MMWR_RATING_STATE_ROLLUP_PMC[#Headers],0))/$C46,"ERROR"))</f>
        <v>0.17647058823529413</v>
      </c>
      <c r="F46" s="155">
        <f>IF($B46=" ","",IFERROR(INDEX(MMWR_RATING_STATE_ROLLUP_PMC[],MATCH($B46,MMWR_RATING_STATE_ROLLUP_PMC[MMWR_RATING_STATE_ROLLUP_PMC],0),MATCH(F$9,MMWR_RATING_STATE_ROLLUP_PMC[#Headers],0)),"ERROR"))</f>
        <v>4</v>
      </c>
      <c r="G46" s="155">
        <f>IF($B46=" ","",IFERROR(INDEX(MMWR_RATING_STATE_ROLLUP_PMC[],MATCH($B46,MMWR_RATING_STATE_ROLLUP_PMC[MMWR_RATING_STATE_ROLLUP_PMC],0),MATCH(G$9,MMWR_RATING_STATE_ROLLUP_PMC[#Headers],0)),"ERROR"))</f>
        <v>106</v>
      </c>
      <c r="H46" s="156">
        <f>IF($B46=" ","",IFERROR(INDEX(MMWR_RATING_STATE_ROLLUP_PMC[],MATCH($B46,MMWR_RATING_STATE_ROLLUP_PMC[MMWR_RATING_STATE_ROLLUP_PMC],0),MATCH(H$9,MMWR_RATING_STATE_ROLLUP_PMC[#Headers],0)),"ERROR"))</f>
        <v>100.75</v>
      </c>
      <c r="I46" s="156">
        <f>IF($B46=" ","",IFERROR(INDEX(MMWR_RATING_STATE_ROLLUP_PMC[],MATCH($B46,MMWR_RATING_STATE_ROLLUP_PMC[MMWR_RATING_STATE_ROLLUP_PMC],0),MATCH(I$9,MMWR_RATING_STATE_ROLLUP_PMC[#Headers],0)),"ERROR"))</f>
        <v>84.047169811299995</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412</v>
      </c>
      <c r="D47" s="156">
        <f>IF($B47=" ","",IFERROR(INDEX(MMWR_RATING_STATE_ROLLUP_PMC[],MATCH($B47,MMWR_RATING_STATE_ROLLUP_PMC[MMWR_RATING_STATE_ROLLUP_PMC],0),MATCH(D$9,MMWR_RATING_STATE_ROLLUP_PMC[#Headers],0)),"ERROR"))</f>
        <v>76.055825242699996</v>
      </c>
      <c r="E47" s="157">
        <f>IF($B47=" ","",IFERROR(INDEX(MMWR_RATING_STATE_ROLLUP_PMC[],MATCH($B47,MMWR_RATING_STATE_ROLLUP_PMC[MMWR_RATING_STATE_ROLLUP_PMC],0),MATCH(E$9,MMWR_RATING_STATE_ROLLUP_PMC[#Headers],0))/$C47,"ERROR"))</f>
        <v>0.15776699029126215</v>
      </c>
      <c r="F47" s="155">
        <f>IF($B47=" ","",IFERROR(INDEX(MMWR_RATING_STATE_ROLLUP_PMC[],MATCH($B47,MMWR_RATING_STATE_ROLLUP_PMC[MMWR_RATING_STATE_ROLLUP_PMC],0),MATCH(F$9,MMWR_RATING_STATE_ROLLUP_PMC[#Headers],0)),"ERROR"))</f>
        <v>87</v>
      </c>
      <c r="G47" s="155">
        <f>IF($B47=" ","",IFERROR(INDEX(MMWR_RATING_STATE_ROLLUP_PMC[],MATCH($B47,MMWR_RATING_STATE_ROLLUP_PMC[MMWR_RATING_STATE_ROLLUP_PMC],0),MATCH(G$9,MMWR_RATING_STATE_ROLLUP_PMC[#Headers],0)),"ERROR"))</f>
        <v>2634</v>
      </c>
      <c r="H47" s="156">
        <f>IF($B47=" ","",IFERROR(INDEX(MMWR_RATING_STATE_ROLLUP_PMC[],MATCH($B47,MMWR_RATING_STATE_ROLLUP_PMC[MMWR_RATING_STATE_ROLLUP_PMC],0),MATCH(H$9,MMWR_RATING_STATE_ROLLUP_PMC[#Headers],0)),"ERROR"))</f>
        <v>93.321839080499998</v>
      </c>
      <c r="I47" s="156">
        <f>IF($B47=" ","",IFERROR(INDEX(MMWR_RATING_STATE_ROLLUP_PMC[],MATCH($B47,MMWR_RATING_STATE_ROLLUP_PMC[MMWR_RATING_STATE_ROLLUP_PMC],0),MATCH(I$9,MMWR_RATING_STATE_ROLLUP_PMC[#Headers],0)),"ERROR"))</f>
        <v>82.494305239200003</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120</v>
      </c>
      <c r="D48" s="156">
        <f>IF($B48=" ","",IFERROR(INDEX(MMWR_RATING_STATE_ROLLUP_PMC[],MATCH($B48,MMWR_RATING_STATE_ROLLUP_PMC[MMWR_RATING_STATE_ROLLUP_PMC],0),MATCH(D$9,MMWR_RATING_STATE_ROLLUP_PMC[#Headers],0)),"ERROR"))</f>
        <v>73.349999999999994</v>
      </c>
      <c r="E48" s="157">
        <f>IF($B48=" ","",IFERROR(INDEX(MMWR_RATING_STATE_ROLLUP_PMC[],MATCH($B48,MMWR_RATING_STATE_ROLLUP_PMC[MMWR_RATING_STATE_ROLLUP_PMC],0),MATCH(E$9,MMWR_RATING_STATE_ROLLUP_PMC[#Headers],0))/$C48,"ERROR"))</f>
        <v>0.14166666666666666</v>
      </c>
      <c r="F48" s="155">
        <f>IF($B48=" ","",IFERROR(INDEX(MMWR_RATING_STATE_ROLLUP_PMC[],MATCH($B48,MMWR_RATING_STATE_ROLLUP_PMC[MMWR_RATING_STATE_ROLLUP_PMC],0),MATCH(F$9,MMWR_RATING_STATE_ROLLUP_PMC[#Headers],0)),"ERROR"))</f>
        <v>28</v>
      </c>
      <c r="G48" s="155">
        <f>IF($B48=" ","",IFERROR(INDEX(MMWR_RATING_STATE_ROLLUP_PMC[],MATCH($B48,MMWR_RATING_STATE_ROLLUP_PMC[MMWR_RATING_STATE_ROLLUP_PMC],0),MATCH(G$9,MMWR_RATING_STATE_ROLLUP_PMC[#Headers],0)),"ERROR"))</f>
        <v>748</v>
      </c>
      <c r="H48" s="156">
        <f>IF($B48=" ","",IFERROR(INDEX(MMWR_RATING_STATE_ROLLUP_PMC[],MATCH($B48,MMWR_RATING_STATE_ROLLUP_PMC[MMWR_RATING_STATE_ROLLUP_PMC],0),MATCH(H$9,MMWR_RATING_STATE_ROLLUP_PMC[#Headers],0)),"ERROR"))</f>
        <v>58.25</v>
      </c>
      <c r="I48" s="156">
        <f>IF($B48=" ","",IFERROR(INDEX(MMWR_RATING_STATE_ROLLUP_PMC[],MATCH($B48,MMWR_RATING_STATE_ROLLUP_PMC[MMWR_RATING_STATE_ROLLUP_PMC],0),MATCH(I$9,MMWR_RATING_STATE_ROLLUP_PMC[#Headers],0)),"ERROR"))</f>
        <v>79.024064171099994</v>
      </c>
      <c r="J48" s="42"/>
      <c r="K48" s="42"/>
      <c r="L48" s="42"/>
      <c r="M48" s="42"/>
      <c r="N48" s="28"/>
    </row>
    <row r="49" spans="1:14" x14ac:dyDescent="0.2">
      <c r="A49" s="25"/>
      <c r="B49" s="357" t="s">
        <v>1063</v>
      </c>
      <c r="C49" s="358"/>
      <c r="D49" s="358"/>
      <c r="E49" s="358"/>
      <c r="F49" s="358"/>
      <c r="G49" s="358"/>
      <c r="H49" s="358"/>
      <c r="I49" s="358"/>
      <c r="J49" s="358"/>
      <c r="K49" s="358"/>
      <c r="L49" s="358"/>
      <c r="M49" s="370"/>
      <c r="N49" s="28"/>
    </row>
    <row r="50" spans="1:14" x14ac:dyDescent="0.2">
      <c r="A50" s="25"/>
      <c r="B50" s="41" t="s">
        <v>1062</v>
      </c>
      <c r="C50" s="155">
        <f>IF($B50=" ","",IFERROR(INDEX(MMWR_RATING_STATE_ROLLUP_QST[],MATCH($B50,MMWR_RATING_STATE_ROLLUP_QST[MMWR_RATING_STATE_ROLLUP_QST],0),MATCH(C$9,MMWR_RATING_STATE_ROLLUP_QST[#Headers],0)),"ERROR"))</f>
        <v>8406</v>
      </c>
      <c r="D50" s="156">
        <f>IF($B50=" ","",IFERROR(INDEX(MMWR_RATING_STATE_ROLLUP_QST[],MATCH($B50,MMWR_RATING_STATE_ROLLUP_QST[MMWR_RATING_STATE_ROLLUP_QST],0),MATCH(D$9,MMWR_RATING_STATE_ROLLUP_QST[#Headers],0)),"ERROR"))</f>
        <v>72.938972162699997</v>
      </c>
      <c r="E50" s="157">
        <f>IF($B50=" ","",IFERROR(INDEX(MMWR_RATING_STATE_ROLLUP_QST[],MATCH($B50,MMWR_RATING_STATE_ROLLUP_QST[MMWR_RATING_STATE_ROLLUP_QST],0),MATCH(E$9,MMWR_RATING_STATE_ROLLUP_QST[#Headers],0))/$C50,"ERROR"))</f>
        <v>0.16797525576968833</v>
      </c>
      <c r="F50" s="155">
        <f>IF($B50=" ","",IFERROR(INDEX(MMWR_RATING_STATE_ROLLUP_QST[],MATCH($B50,MMWR_RATING_STATE_ROLLUP_QST[MMWR_RATING_STATE_ROLLUP_QST],0),MATCH(F$9,MMWR_RATING_STATE_ROLLUP_QST[#Headers],0)),"ERROR"))</f>
        <v>554</v>
      </c>
      <c r="G50" s="155">
        <f>IF($B50=" ","",IFERROR(INDEX(MMWR_RATING_STATE_ROLLUP_QST[],MATCH($B50,MMWR_RATING_STATE_ROLLUP_QST[MMWR_RATING_STATE_ROLLUP_QST],0),MATCH(G$9,MMWR_RATING_STATE_ROLLUP_QST[#Headers],0)),"ERROR"))</f>
        <v>19952</v>
      </c>
      <c r="H50" s="156">
        <f>IF($B50=" ","",IFERROR(INDEX(MMWR_RATING_STATE_ROLLUP_QST[],MATCH($B50,MMWR_RATING_STATE_ROLLUP_QST[MMWR_RATING_STATE_ROLLUP_QST],0),MATCH(H$9,MMWR_RATING_STATE_ROLLUP_QST[#Headers],0)),"ERROR"))</f>
        <v>134.6119133574</v>
      </c>
      <c r="I50" s="156">
        <f>IF($B50=" ","",IFERROR(INDEX(MMWR_RATING_STATE_ROLLUP_QST[],MATCH($B50,MMWR_RATING_STATE_ROLLUP_QST[MMWR_RATING_STATE_ROLLUP_QST],0),MATCH(I$9,MMWR_RATING_STATE_ROLLUP_QST[#Headers],0)),"ERROR"))</f>
        <v>135.22985164389999</v>
      </c>
      <c r="J50" s="42"/>
      <c r="K50" s="42"/>
      <c r="L50" s="42"/>
      <c r="M50" s="42"/>
      <c r="N50" s="28"/>
    </row>
    <row r="51" spans="1:14" x14ac:dyDescent="0.2">
      <c r="A51" s="25"/>
      <c r="B51" s="251" t="str">
        <f>INDEX(DISTRICT_STATES[],MATCH($B$5,DISTRICT_RO[District],0),1)</f>
        <v>North Atlantic</v>
      </c>
      <c r="C51" s="155">
        <f>IF($B51=" ","",IFERROR(INDEX(MMWR_RATING_STATE_ROLLUP_QST[],MATCH($B51,MMWR_RATING_STATE_ROLLUP_QST[MMWR_RATING_STATE_ROLLUP_QST],0),MATCH(C$9,MMWR_RATING_STATE_ROLLUP_QST[#Headers],0)),"ERROR"))</f>
        <v>1961</v>
      </c>
      <c r="D51" s="156">
        <f>IF($B51=" ","",IFERROR(INDEX(MMWR_RATING_STATE_ROLLUP_QST[],MATCH($B51,MMWR_RATING_STATE_ROLLUP_QST[MMWR_RATING_STATE_ROLLUP_QST],0),MATCH(D$9,MMWR_RATING_STATE_ROLLUP_QST[#Headers],0)),"ERROR"))</f>
        <v>74.104028556900005</v>
      </c>
      <c r="E51" s="157">
        <f>IF($B51=" ","",IFERROR(INDEX(MMWR_RATING_STATE_ROLLUP_QST[],MATCH($B51,MMWR_RATING_STATE_ROLLUP_QST[MMWR_RATING_STATE_ROLLUP_QST],0),MATCH(E$9,MMWR_RATING_STATE_ROLLUP_QST[#Headers],0))/$C51,"ERROR"))</f>
        <v>0.16420193778684344</v>
      </c>
      <c r="F51" s="155">
        <f>IF($B51=" ","",IFERROR(INDEX(MMWR_RATING_STATE_ROLLUP_QST[],MATCH($B51,MMWR_RATING_STATE_ROLLUP_QST[MMWR_RATING_STATE_ROLLUP_QST],0),MATCH(F$9,MMWR_RATING_STATE_ROLLUP_QST[#Headers],0)),"ERROR"))</f>
        <v>125</v>
      </c>
      <c r="G51" s="155">
        <f>IF($B51=" ","",IFERROR(INDEX(MMWR_RATING_STATE_ROLLUP_QST[],MATCH($B51,MMWR_RATING_STATE_ROLLUP_QST[MMWR_RATING_STATE_ROLLUP_QST],0),MATCH(G$9,MMWR_RATING_STATE_ROLLUP_QST[#Headers],0)),"ERROR"))</f>
        <v>4288</v>
      </c>
      <c r="H51" s="156">
        <f>IF($B51=" ","",IFERROR(INDEX(MMWR_RATING_STATE_ROLLUP_QST[],MATCH($B51,MMWR_RATING_STATE_ROLLUP_QST[MMWR_RATING_STATE_ROLLUP_QST],0),MATCH(H$9,MMWR_RATING_STATE_ROLLUP_QST[#Headers],0)),"ERROR"))</f>
        <v>144.792</v>
      </c>
      <c r="I51" s="156">
        <f>IF($B51=" ","",IFERROR(INDEX(MMWR_RATING_STATE_ROLLUP_QST[],MATCH($B51,MMWR_RATING_STATE_ROLLUP_QST[MMWR_RATING_STATE_ROLLUP_QST],0),MATCH(I$9,MMWR_RATING_STATE_ROLLUP_QST[#Headers],0)),"ERROR"))</f>
        <v>141.58908582090001</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49</v>
      </c>
      <c r="D52" s="156">
        <f>IF($B52=" ","",IFERROR(INDEX(MMWR_RATING_STATE_ROLLUP_QST[],MATCH($B52,MMWR_RATING_STATE_ROLLUP_QST[MMWR_RATING_STATE_ROLLUP_QST],0),MATCH(D$9,MMWR_RATING_STATE_ROLLUP_QST[#Headers],0)),"ERROR"))</f>
        <v>61.3469387755</v>
      </c>
      <c r="E52" s="157">
        <f>IF($B52=" ","",IFERROR(INDEX(MMWR_RATING_STATE_ROLLUP_QST[],MATCH($B52,MMWR_RATING_STATE_ROLLUP_QST[MMWR_RATING_STATE_ROLLUP_QST],0),MATCH(E$9,MMWR_RATING_STATE_ROLLUP_QST[#Headers],0))/$C52,"ERROR"))</f>
        <v>4.0816326530612242E-2</v>
      </c>
      <c r="F52" s="155">
        <f>IF($B52=" ","",IFERROR(INDEX(MMWR_RATING_STATE_ROLLUP_QST[],MATCH($B52,MMWR_RATING_STATE_ROLLUP_QST[MMWR_RATING_STATE_ROLLUP_QST],0),MATCH(F$9,MMWR_RATING_STATE_ROLLUP_QST[#Headers],0)),"ERROR"))</f>
        <v>3</v>
      </c>
      <c r="G52" s="155">
        <f>IF($B52=" ","",IFERROR(INDEX(MMWR_RATING_STATE_ROLLUP_QST[],MATCH($B52,MMWR_RATING_STATE_ROLLUP_QST[MMWR_RATING_STATE_ROLLUP_QST],0),MATCH(G$9,MMWR_RATING_STATE_ROLLUP_QST[#Headers],0)),"ERROR"))</f>
        <v>114</v>
      </c>
      <c r="H52" s="156">
        <f>IF($B52=" ","",IFERROR(INDEX(MMWR_RATING_STATE_ROLLUP_QST[],MATCH($B52,MMWR_RATING_STATE_ROLLUP_QST[MMWR_RATING_STATE_ROLLUP_QST],0),MATCH(H$9,MMWR_RATING_STATE_ROLLUP_QST[#Headers],0)),"ERROR"))</f>
        <v>140</v>
      </c>
      <c r="I52" s="156">
        <f>IF($B52=" ","",IFERROR(INDEX(MMWR_RATING_STATE_ROLLUP_QST[],MATCH($B52,MMWR_RATING_STATE_ROLLUP_QST[MMWR_RATING_STATE_ROLLUP_QST],0),MATCH(I$9,MMWR_RATING_STATE_ROLLUP_QST[#Headers],0)),"ERROR"))</f>
        <v>142.94736842110001</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17</v>
      </c>
      <c r="D53" s="156">
        <f>IF($B53=" ","",IFERROR(INDEX(MMWR_RATING_STATE_ROLLUP_QST[],MATCH($B53,MMWR_RATING_STATE_ROLLUP_QST[MMWR_RATING_STATE_ROLLUP_QST],0),MATCH(D$9,MMWR_RATING_STATE_ROLLUP_QST[#Headers],0)),"ERROR"))</f>
        <v>69.764705882399994</v>
      </c>
      <c r="E53" s="157">
        <f>IF($B53=" ","",IFERROR(INDEX(MMWR_RATING_STATE_ROLLUP_QST[],MATCH($B53,MMWR_RATING_STATE_ROLLUP_QST[MMWR_RATING_STATE_ROLLUP_QST],0),MATCH(E$9,MMWR_RATING_STATE_ROLLUP_QST[#Headers],0))/$C53,"ERROR"))</f>
        <v>0.11764705882352941</v>
      </c>
      <c r="F53" s="155">
        <f>IF($B53=" ","",IFERROR(INDEX(MMWR_RATING_STATE_ROLLUP_QST[],MATCH($B53,MMWR_RATING_STATE_ROLLUP_QST[MMWR_RATING_STATE_ROLLUP_QST],0),MATCH(F$9,MMWR_RATING_STATE_ROLLUP_QST[#Headers],0)),"ERROR"))</f>
        <v>0</v>
      </c>
      <c r="G53" s="155">
        <f>IF($B53=" ","",IFERROR(INDEX(MMWR_RATING_STATE_ROLLUP_QST[],MATCH($B53,MMWR_RATING_STATE_ROLLUP_QST[MMWR_RATING_STATE_ROLLUP_QST],0),MATCH(G$9,MMWR_RATING_STATE_ROLLUP_QST[#Headers],0)),"ERROR"))</f>
        <v>36</v>
      </c>
      <c r="H53" s="156">
        <f>IF($B53=" ","",IFERROR(INDEX(MMWR_RATING_STATE_ROLLUP_QST[],MATCH($B53,MMWR_RATING_STATE_ROLLUP_QST[MMWR_RATING_STATE_ROLLUP_QST],0),MATCH(H$9,MMWR_RATING_STATE_ROLLUP_QST[#Headers],0)),"ERROR"))</f>
        <v>0</v>
      </c>
      <c r="I53" s="156">
        <f>IF($B53=" ","",IFERROR(INDEX(MMWR_RATING_STATE_ROLLUP_QST[],MATCH($B53,MMWR_RATING_STATE_ROLLUP_QST[MMWR_RATING_STATE_ROLLUP_QST],0),MATCH(I$9,MMWR_RATING_STATE_ROLLUP_QST[#Headers],0)),"ERROR"))</f>
        <v>118.6388888889</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14</v>
      </c>
      <c r="D54" s="156">
        <f>IF($B54=" ","",IFERROR(INDEX(MMWR_RATING_STATE_ROLLUP_QST[],MATCH($B54,MMWR_RATING_STATE_ROLLUP_QST[MMWR_RATING_STATE_ROLLUP_QST],0),MATCH(D$9,MMWR_RATING_STATE_ROLLUP_QST[#Headers],0)),"ERROR"))</f>
        <v>42.857142857100001</v>
      </c>
      <c r="E54" s="157">
        <f>IF($B54=" ","",IFERROR(INDEX(MMWR_RATING_STATE_ROLLUP_QST[],MATCH($B54,MMWR_RATING_STATE_ROLLUP_QST[MMWR_RATING_STATE_ROLLUP_QST],0),MATCH(E$9,MMWR_RATING_STATE_ROLLUP_QST[#Headers],0))/$C54,"ERROR"))</f>
        <v>0</v>
      </c>
      <c r="F54" s="155">
        <f>IF($B54=" ","",IFERROR(INDEX(MMWR_RATING_STATE_ROLLUP_QST[],MATCH($B54,MMWR_RATING_STATE_ROLLUP_QST[MMWR_RATING_STATE_ROLLUP_QST],0),MATCH(F$9,MMWR_RATING_STATE_ROLLUP_QST[#Headers],0)),"ERROR"))</f>
        <v>1</v>
      </c>
      <c r="G54" s="155">
        <f>IF($B54=" ","",IFERROR(INDEX(MMWR_RATING_STATE_ROLLUP_QST[],MATCH($B54,MMWR_RATING_STATE_ROLLUP_QST[MMWR_RATING_STATE_ROLLUP_QST],0),MATCH(G$9,MMWR_RATING_STATE_ROLLUP_QST[#Headers],0)),"ERROR"))</f>
        <v>41</v>
      </c>
      <c r="H54" s="156">
        <f>IF($B54=" ","",IFERROR(INDEX(MMWR_RATING_STATE_ROLLUP_QST[],MATCH($B54,MMWR_RATING_STATE_ROLLUP_QST[MMWR_RATING_STATE_ROLLUP_QST],0),MATCH(H$9,MMWR_RATING_STATE_ROLLUP_QST[#Headers],0)),"ERROR"))</f>
        <v>153</v>
      </c>
      <c r="I54" s="156">
        <f>IF($B54=" ","",IFERROR(INDEX(MMWR_RATING_STATE_ROLLUP_QST[],MATCH($B54,MMWR_RATING_STATE_ROLLUP_QST[MMWR_RATING_STATE_ROLLUP_QST],0),MATCH(I$9,MMWR_RATING_STATE_ROLLUP_QST[#Headers],0)),"ERROR"))</f>
        <v>143.0731707317</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16</v>
      </c>
      <c r="D55" s="156">
        <f>IF($B55=" ","",IFERROR(INDEX(MMWR_RATING_STATE_ROLLUP_QST[],MATCH($B55,MMWR_RATING_STATE_ROLLUP_QST[MMWR_RATING_STATE_ROLLUP_QST],0),MATCH(D$9,MMWR_RATING_STATE_ROLLUP_QST[#Headers],0)),"ERROR"))</f>
        <v>61.25</v>
      </c>
      <c r="E55" s="157">
        <f>IF($B55=" ","",IFERROR(INDEX(MMWR_RATING_STATE_ROLLUP_QST[],MATCH($B55,MMWR_RATING_STATE_ROLLUP_QST[MMWR_RATING_STATE_ROLLUP_QST],0),MATCH(E$9,MMWR_RATING_STATE_ROLLUP_QST[#Headers],0))/$C55,"ERROR"))</f>
        <v>0.125</v>
      </c>
      <c r="F55" s="155">
        <f>IF($B55=" ","",IFERROR(INDEX(MMWR_RATING_STATE_ROLLUP_QST[],MATCH($B55,MMWR_RATING_STATE_ROLLUP_QST[MMWR_RATING_STATE_ROLLUP_QST],0),MATCH(F$9,MMWR_RATING_STATE_ROLLUP_QST[#Headers],0)),"ERROR"))</f>
        <v>2</v>
      </c>
      <c r="G55" s="155">
        <f>IF($B55=" ","",IFERROR(INDEX(MMWR_RATING_STATE_ROLLUP_QST[],MATCH($B55,MMWR_RATING_STATE_ROLLUP_QST[MMWR_RATING_STATE_ROLLUP_QST],0),MATCH(G$9,MMWR_RATING_STATE_ROLLUP_QST[#Headers],0)),"ERROR"))</f>
        <v>58</v>
      </c>
      <c r="H55" s="156">
        <f>IF($B55=" ","",IFERROR(INDEX(MMWR_RATING_STATE_ROLLUP_QST[],MATCH($B55,MMWR_RATING_STATE_ROLLUP_QST[MMWR_RATING_STATE_ROLLUP_QST],0),MATCH(H$9,MMWR_RATING_STATE_ROLLUP_QST[#Headers],0)),"ERROR"))</f>
        <v>137</v>
      </c>
      <c r="I55" s="156">
        <f>IF($B55=" ","",IFERROR(INDEX(MMWR_RATING_STATE_ROLLUP_QST[],MATCH($B55,MMWR_RATING_STATE_ROLLUP_QST[MMWR_RATING_STATE_ROLLUP_QST],0),MATCH(I$9,MMWR_RATING_STATE_ROLLUP_QST[#Headers],0)),"ERROR"))</f>
        <v>129.87931034479999</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202</v>
      </c>
      <c r="D56" s="156">
        <f>IF($B56=" ","",IFERROR(INDEX(MMWR_RATING_STATE_ROLLUP_QST[],MATCH($B56,MMWR_RATING_STATE_ROLLUP_QST[MMWR_RATING_STATE_ROLLUP_QST],0),MATCH(D$9,MMWR_RATING_STATE_ROLLUP_QST[#Headers],0)),"ERROR"))</f>
        <v>72.044554455400004</v>
      </c>
      <c r="E56" s="157">
        <f>IF($B56=" ","",IFERROR(INDEX(MMWR_RATING_STATE_ROLLUP_QST[],MATCH($B56,MMWR_RATING_STATE_ROLLUP_QST[MMWR_RATING_STATE_ROLLUP_QST],0),MATCH(E$9,MMWR_RATING_STATE_ROLLUP_QST[#Headers],0))/$C56,"ERROR"))</f>
        <v>0.16336633663366337</v>
      </c>
      <c r="F56" s="155">
        <f>IF($B56=" ","",IFERROR(INDEX(MMWR_RATING_STATE_ROLLUP_QST[],MATCH($B56,MMWR_RATING_STATE_ROLLUP_QST[MMWR_RATING_STATE_ROLLUP_QST],0),MATCH(F$9,MMWR_RATING_STATE_ROLLUP_QST[#Headers],0)),"ERROR"))</f>
        <v>11</v>
      </c>
      <c r="G56" s="155">
        <f>IF($B56=" ","",IFERROR(INDEX(MMWR_RATING_STATE_ROLLUP_QST[],MATCH($B56,MMWR_RATING_STATE_ROLLUP_QST[MMWR_RATING_STATE_ROLLUP_QST],0),MATCH(G$9,MMWR_RATING_STATE_ROLLUP_QST[#Headers],0)),"ERROR"))</f>
        <v>446</v>
      </c>
      <c r="H56" s="156">
        <f>IF($B56=" ","",IFERROR(INDEX(MMWR_RATING_STATE_ROLLUP_QST[],MATCH($B56,MMWR_RATING_STATE_ROLLUP_QST[MMWR_RATING_STATE_ROLLUP_QST],0),MATCH(H$9,MMWR_RATING_STATE_ROLLUP_QST[#Headers],0)),"ERROR"))</f>
        <v>140.2727272727</v>
      </c>
      <c r="I56" s="156">
        <f>IF($B56=" ","",IFERROR(INDEX(MMWR_RATING_STATE_ROLLUP_QST[],MATCH($B56,MMWR_RATING_STATE_ROLLUP_QST[MMWR_RATING_STATE_ROLLUP_QST],0),MATCH(I$9,MMWR_RATING_STATE_ROLLUP_QST[#Headers],0)),"ERROR"))</f>
        <v>144.08071748879999</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83</v>
      </c>
      <c r="D57" s="156">
        <f>IF($B57=" ","",IFERROR(INDEX(MMWR_RATING_STATE_ROLLUP_QST[],MATCH($B57,MMWR_RATING_STATE_ROLLUP_QST[MMWR_RATING_STATE_ROLLUP_QST],0),MATCH(D$9,MMWR_RATING_STATE_ROLLUP_QST[#Headers],0)),"ERROR"))</f>
        <v>65.469879518100001</v>
      </c>
      <c r="E57" s="157">
        <f>IF($B57=" ","",IFERROR(INDEX(MMWR_RATING_STATE_ROLLUP_QST[],MATCH($B57,MMWR_RATING_STATE_ROLLUP_QST[MMWR_RATING_STATE_ROLLUP_QST],0),MATCH(E$9,MMWR_RATING_STATE_ROLLUP_QST[#Headers],0))/$C57,"ERROR"))</f>
        <v>0.12048192771084337</v>
      </c>
      <c r="F57" s="155">
        <f>IF($B57=" ","",IFERROR(INDEX(MMWR_RATING_STATE_ROLLUP_QST[],MATCH($B57,MMWR_RATING_STATE_ROLLUP_QST[MMWR_RATING_STATE_ROLLUP_QST],0),MATCH(F$9,MMWR_RATING_STATE_ROLLUP_QST[#Headers],0)),"ERROR"))</f>
        <v>5</v>
      </c>
      <c r="G57" s="155">
        <f>IF($B57=" ","",IFERROR(INDEX(MMWR_RATING_STATE_ROLLUP_QST[],MATCH($B57,MMWR_RATING_STATE_ROLLUP_QST[MMWR_RATING_STATE_ROLLUP_QST],0),MATCH(G$9,MMWR_RATING_STATE_ROLLUP_QST[#Headers],0)),"ERROR"))</f>
        <v>178</v>
      </c>
      <c r="H57" s="156">
        <f>IF($B57=" ","",IFERROR(INDEX(MMWR_RATING_STATE_ROLLUP_QST[],MATCH($B57,MMWR_RATING_STATE_ROLLUP_QST[MMWR_RATING_STATE_ROLLUP_QST],0),MATCH(H$9,MMWR_RATING_STATE_ROLLUP_QST[#Headers],0)),"ERROR"))</f>
        <v>117.2</v>
      </c>
      <c r="I57" s="156">
        <f>IF($B57=" ","",IFERROR(INDEX(MMWR_RATING_STATE_ROLLUP_QST[],MATCH($B57,MMWR_RATING_STATE_ROLLUP_QST[MMWR_RATING_STATE_ROLLUP_QST],0),MATCH(I$9,MMWR_RATING_STATE_ROLLUP_QST[#Headers],0)),"ERROR"))</f>
        <v>130.8820224719</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17</v>
      </c>
      <c r="D58" s="156">
        <f>IF($B58=" ","",IFERROR(INDEX(MMWR_RATING_STATE_ROLLUP_QST[],MATCH($B58,MMWR_RATING_STATE_ROLLUP_QST[MMWR_RATING_STATE_ROLLUP_QST],0),MATCH(D$9,MMWR_RATING_STATE_ROLLUP_QST[#Headers],0)),"ERROR"))</f>
        <v>70</v>
      </c>
      <c r="E58" s="157">
        <f>IF($B58=" ","",IFERROR(INDEX(MMWR_RATING_STATE_ROLLUP_QST[],MATCH($B58,MMWR_RATING_STATE_ROLLUP_QST[MMWR_RATING_STATE_ROLLUP_QST],0),MATCH(E$9,MMWR_RATING_STATE_ROLLUP_QST[#Headers],0))/$C58,"ERROR"))</f>
        <v>5.8823529411764705E-2</v>
      </c>
      <c r="F58" s="155">
        <f>IF($B58=" ","",IFERROR(INDEX(MMWR_RATING_STATE_ROLLUP_QST[],MATCH($B58,MMWR_RATING_STATE_ROLLUP_QST[MMWR_RATING_STATE_ROLLUP_QST],0),MATCH(F$9,MMWR_RATING_STATE_ROLLUP_QST[#Headers],0)),"ERROR"))</f>
        <v>3</v>
      </c>
      <c r="G58" s="155">
        <f>IF($B58=" ","",IFERROR(INDEX(MMWR_RATING_STATE_ROLLUP_QST[],MATCH($B58,MMWR_RATING_STATE_ROLLUP_QST[MMWR_RATING_STATE_ROLLUP_QST],0),MATCH(G$9,MMWR_RATING_STATE_ROLLUP_QST[#Headers],0)),"ERROR"))</f>
        <v>53</v>
      </c>
      <c r="H58" s="156">
        <f>IF($B58=" ","",IFERROR(INDEX(MMWR_RATING_STATE_ROLLUP_QST[],MATCH($B58,MMWR_RATING_STATE_ROLLUP_QST[MMWR_RATING_STATE_ROLLUP_QST],0),MATCH(H$9,MMWR_RATING_STATE_ROLLUP_QST[#Headers],0)),"ERROR"))</f>
        <v>224.6666666667</v>
      </c>
      <c r="I58" s="156">
        <f>IF($B58=" ","",IFERROR(INDEX(MMWR_RATING_STATE_ROLLUP_QST[],MATCH($B58,MMWR_RATING_STATE_ROLLUP_QST[MMWR_RATING_STATE_ROLLUP_QST],0),MATCH(I$9,MMWR_RATING_STATE_ROLLUP_QST[#Headers],0)),"ERROR"))</f>
        <v>124.49056603770001</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87</v>
      </c>
      <c r="D59" s="156">
        <f>IF($B59=" ","",IFERROR(INDEX(MMWR_RATING_STATE_ROLLUP_QST[],MATCH($B59,MMWR_RATING_STATE_ROLLUP_QST[MMWR_RATING_STATE_ROLLUP_QST],0),MATCH(D$9,MMWR_RATING_STATE_ROLLUP_QST[#Headers],0)),"ERROR"))</f>
        <v>72.413793103399996</v>
      </c>
      <c r="E59" s="157">
        <f>IF($B59=" ","",IFERROR(INDEX(MMWR_RATING_STATE_ROLLUP_QST[],MATCH($B59,MMWR_RATING_STATE_ROLLUP_QST[MMWR_RATING_STATE_ROLLUP_QST],0),MATCH(E$9,MMWR_RATING_STATE_ROLLUP_QST[#Headers],0))/$C59,"ERROR"))</f>
        <v>0.12643678160919541</v>
      </c>
      <c r="F59" s="155">
        <f>IF($B59=" ","",IFERROR(INDEX(MMWR_RATING_STATE_ROLLUP_QST[],MATCH($B59,MMWR_RATING_STATE_ROLLUP_QST[MMWR_RATING_STATE_ROLLUP_QST],0),MATCH(F$9,MMWR_RATING_STATE_ROLLUP_QST[#Headers],0)),"ERROR"))</f>
        <v>4</v>
      </c>
      <c r="G59" s="155">
        <f>IF($B59=" ","",IFERROR(INDEX(MMWR_RATING_STATE_ROLLUP_QST[],MATCH($B59,MMWR_RATING_STATE_ROLLUP_QST[MMWR_RATING_STATE_ROLLUP_QST],0),MATCH(G$9,MMWR_RATING_STATE_ROLLUP_QST[#Headers],0)),"ERROR"))</f>
        <v>174</v>
      </c>
      <c r="H59" s="156">
        <f>IF($B59=" ","",IFERROR(INDEX(MMWR_RATING_STATE_ROLLUP_QST[],MATCH($B59,MMWR_RATING_STATE_ROLLUP_QST[MMWR_RATING_STATE_ROLLUP_QST],0),MATCH(H$9,MMWR_RATING_STATE_ROLLUP_QST[#Headers],0)),"ERROR"))</f>
        <v>118</v>
      </c>
      <c r="I59" s="156">
        <f>IF($B59=" ","",IFERROR(INDEX(MMWR_RATING_STATE_ROLLUP_QST[],MATCH($B59,MMWR_RATING_STATE_ROLLUP_QST[MMWR_RATING_STATE_ROLLUP_QST],0),MATCH(I$9,MMWR_RATING_STATE_ROLLUP_QST[#Headers],0)),"ERROR"))</f>
        <v>139.31034482760001</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206</v>
      </c>
      <c r="D60" s="156">
        <f>IF($B60=" ","",IFERROR(INDEX(MMWR_RATING_STATE_ROLLUP_QST[],MATCH($B60,MMWR_RATING_STATE_ROLLUP_QST[MMWR_RATING_STATE_ROLLUP_QST],0),MATCH(D$9,MMWR_RATING_STATE_ROLLUP_QST[#Headers],0)),"ERROR"))</f>
        <v>72.538834951499993</v>
      </c>
      <c r="E60" s="157">
        <f>IF($B60=" ","",IFERROR(INDEX(MMWR_RATING_STATE_ROLLUP_QST[],MATCH($B60,MMWR_RATING_STATE_ROLLUP_QST[MMWR_RATING_STATE_ROLLUP_QST],0),MATCH(E$9,MMWR_RATING_STATE_ROLLUP_QST[#Headers],0))/$C60,"ERROR"))</f>
        <v>0.1553398058252427</v>
      </c>
      <c r="F60" s="155">
        <f>IF($B60=" ","",IFERROR(INDEX(MMWR_RATING_STATE_ROLLUP_QST[],MATCH($B60,MMWR_RATING_STATE_ROLLUP_QST[MMWR_RATING_STATE_ROLLUP_QST],0),MATCH(F$9,MMWR_RATING_STATE_ROLLUP_QST[#Headers],0)),"ERROR"))</f>
        <v>14</v>
      </c>
      <c r="G60" s="155">
        <f>IF($B60=" ","",IFERROR(INDEX(MMWR_RATING_STATE_ROLLUP_QST[],MATCH($B60,MMWR_RATING_STATE_ROLLUP_QST[MMWR_RATING_STATE_ROLLUP_QST],0),MATCH(G$9,MMWR_RATING_STATE_ROLLUP_QST[#Headers],0)),"ERROR"))</f>
        <v>433</v>
      </c>
      <c r="H60" s="156">
        <f>IF($B60=" ","",IFERROR(INDEX(MMWR_RATING_STATE_ROLLUP_QST[],MATCH($B60,MMWR_RATING_STATE_ROLLUP_QST[MMWR_RATING_STATE_ROLLUP_QST],0),MATCH(H$9,MMWR_RATING_STATE_ROLLUP_QST[#Headers],0)),"ERROR"))</f>
        <v>117.6428571429</v>
      </c>
      <c r="I60" s="156">
        <f>IF($B60=" ","",IFERROR(INDEX(MMWR_RATING_STATE_ROLLUP_QST[],MATCH($B60,MMWR_RATING_STATE_ROLLUP_QST[MMWR_RATING_STATE_ROLLUP_QST],0),MATCH(I$9,MMWR_RATING_STATE_ROLLUP_QST[#Headers],0)),"ERROR"))</f>
        <v>137.11085450350001</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509</v>
      </c>
      <c r="D61" s="156">
        <f>IF($B61=" ","",IFERROR(INDEX(MMWR_RATING_STATE_ROLLUP_QST[],MATCH($B61,MMWR_RATING_STATE_ROLLUP_QST[MMWR_RATING_STATE_ROLLUP_QST],0),MATCH(D$9,MMWR_RATING_STATE_ROLLUP_QST[#Headers],0)),"ERROR"))</f>
        <v>73.673870334</v>
      </c>
      <c r="E61" s="157">
        <f>IF($B61=" ","",IFERROR(INDEX(MMWR_RATING_STATE_ROLLUP_QST[],MATCH($B61,MMWR_RATING_STATE_ROLLUP_QST[MMWR_RATING_STATE_ROLLUP_QST],0),MATCH(E$9,MMWR_RATING_STATE_ROLLUP_QST[#Headers],0))/$C61,"ERROR"))</f>
        <v>0.14931237721021612</v>
      </c>
      <c r="F61" s="155">
        <f>IF($B61=" ","",IFERROR(INDEX(MMWR_RATING_STATE_ROLLUP_QST[],MATCH($B61,MMWR_RATING_STATE_ROLLUP_QST[MMWR_RATING_STATE_ROLLUP_QST],0),MATCH(F$9,MMWR_RATING_STATE_ROLLUP_QST[#Headers],0)),"ERROR"))</f>
        <v>34</v>
      </c>
      <c r="G61" s="155">
        <f>IF($B61=" ","",IFERROR(INDEX(MMWR_RATING_STATE_ROLLUP_QST[],MATCH($B61,MMWR_RATING_STATE_ROLLUP_QST[MMWR_RATING_STATE_ROLLUP_QST],0),MATCH(G$9,MMWR_RATING_STATE_ROLLUP_QST[#Headers],0)),"ERROR"))</f>
        <v>1043</v>
      </c>
      <c r="H61" s="156">
        <f>IF($B61=" ","",IFERROR(INDEX(MMWR_RATING_STATE_ROLLUP_QST[],MATCH($B61,MMWR_RATING_STATE_ROLLUP_QST[MMWR_RATING_STATE_ROLLUP_QST],0),MATCH(H$9,MMWR_RATING_STATE_ROLLUP_QST[#Headers],0)),"ERROR"))</f>
        <v>138.76470588239999</v>
      </c>
      <c r="I61" s="156">
        <f>IF($B61=" ","",IFERROR(INDEX(MMWR_RATING_STATE_ROLLUP_QST[],MATCH($B61,MMWR_RATING_STATE_ROLLUP_QST[MMWR_RATING_STATE_ROLLUP_QST],0),MATCH(I$9,MMWR_RATING_STATE_ROLLUP_QST[#Headers],0)),"ERROR"))</f>
        <v>142.39693192710001</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168</v>
      </c>
      <c r="D62" s="156">
        <f>IF($B62=" ","",IFERROR(INDEX(MMWR_RATING_STATE_ROLLUP_QST[],MATCH($B62,MMWR_RATING_STATE_ROLLUP_QST[MMWR_RATING_STATE_ROLLUP_QST],0),MATCH(D$9,MMWR_RATING_STATE_ROLLUP_QST[#Headers],0)),"ERROR"))</f>
        <v>73.559523809500007</v>
      </c>
      <c r="E62" s="157">
        <f>IF($B62=" ","",IFERROR(INDEX(MMWR_RATING_STATE_ROLLUP_QST[],MATCH($B62,MMWR_RATING_STATE_ROLLUP_QST[MMWR_RATING_STATE_ROLLUP_QST],0),MATCH(E$9,MMWR_RATING_STATE_ROLLUP_QST[#Headers],0))/$C62,"ERROR"))</f>
        <v>0.17857142857142858</v>
      </c>
      <c r="F62" s="155">
        <f>IF($B62=" ","",IFERROR(INDEX(MMWR_RATING_STATE_ROLLUP_QST[],MATCH($B62,MMWR_RATING_STATE_ROLLUP_QST[MMWR_RATING_STATE_ROLLUP_QST],0),MATCH(F$9,MMWR_RATING_STATE_ROLLUP_QST[#Headers],0)),"ERROR"))</f>
        <v>6</v>
      </c>
      <c r="G62" s="155">
        <f>IF($B62=" ","",IFERROR(INDEX(MMWR_RATING_STATE_ROLLUP_QST[],MATCH($B62,MMWR_RATING_STATE_ROLLUP_QST[MMWR_RATING_STATE_ROLLUP_QST],0),MATCH(G$9,MMWR_RATING_STATE_ROLLUP_QST[#Headers],0)),"ERROR"))</f>
        <v>400</v>
      </c>
      <c r="H62" s="156">
        <f>IF($B62=" ","",IFERROR(INDEX(MMWR_RATING_STATE_ROLLUP_QST[],MATCH($B62,MMWR_RATING_STATE_ROLLUP_QST[MMWR_RATING_STATE_ROLLUP_QST],0),MATCH(H$9,MMWR_RATING_STATE_ROLLUP_QST[#Headers],0)),"ERROR"))</f>
        <v>189.1666666667</v>
      </c>
      <c r="I62" s="156">
        <f>IF($B62=" ","",IFERROR(INDEX(MMWR_RATING_STATE_ROLLUP_QST[],MATCH($B62,MMWR_RATING_STATE_ROLLUP_QST[MMWR_RATING_STATE_ROLLUP_QST],0),MATCH(I$9,MMWR_RATING_STATE_ROLLUP_QST[#Headers],0)),"ERROR"))</f>
        <v>132.7525</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5</v>
      </c>
      <c r="D63" s="156">
        <f>IF($B63=" ","",IFERROR(INDEX(MMWR_RATING_STATE_ROLLUP_QST[],MATCH($B63,MMWR_RATING_STATE_ROLLUP_QST[MMWR_RATING_STATE_ROLLUP_QST],0),MATCH(D$9,MMWR_RATING_STATE_ROLLUP_QST[#Headers],0)),"ERROR"))</f>
        <v>47.8</v>
      </c>
      <c r="E63" s="157">
        <f>IF($B63=" ","",IFERROR(INDEX(MMWR_RATING_STATE_ROLLUP_QST[],MATCH($B63,MMWR_RATING_STATE_ROLLUP_QST[MMWR_RATING_STATE_ROLLUP_QST],0),MATCH(E$9,MMWR_RATING_STATE_ROLLUP_QST[#Headers],0))/$C63,"ERROR"))</f>
        <v>0</v>
      </c>
      <c r="F63" s="155">
        <f>IF($B63=" ","",IFERROR(INDEX(MMWR_RATING_STATE_ROLLUP_QST[],MATCH($B63,MMWR_RATING_STATE_ROLLUP_QST[MMWR_RATING_STATE_ROLLUP_QST],0),MATCH(F$9,MMWR_RATING_STATE_ROLLUP_QST[#Headers],0)),"ERROR"))</f>
        <v>0</v>
      </c>
      <c r="G63" s="155">
        <f>IF($B63=" ","",IFERROR(INDEX(MMWR_RATING_STATE_ROLLUP_QST[],MATCH($B63,MMWR_RATING_STATE_ROLLUP_QST[MMWR_RATING_STATE_ROLLUP_QST],0),MATCH(G$9,MMWR_RATING_STATE_ROLLUP_QST[#Headers],0)),"ERROR"))</f>
        <v>28</v>
      </c>
      <c r="H63" s="156">
        <f>IF($B63=" ","",IFERROR(INDEX(MMWR_RATING_STATE_ROLLUP_QST[],MATCH($B63,MMWR_RATING_STATE_ROLLUP_QST[MMWR_RATING_STATE_ROLLUP_QST],0),MATCH(H$9,MMWR_RATING_STATE_ROLLUP_QST[#Headers],0)),"ERROR"))</f>
        <v>0</v>
      </c>
      <c r="I63" s="156">
        <f>IF($B63=" ","",IFERROR(INDEX(MMWR_RATING_STATE_ROLLUP_QST[],MATCH($B63,MMWR_RATING_STATE_ROLLUP_QST[MMWR_RATING_STATE_ROLLUP_QST],0),MATCH(I$9,MMWR_RATING_STATE_ROLLUP_QST[#Headers],0)),"ERROR"))</f>
        <v>100.3928571429</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3</v>
      </c>
      <c r="D64" s="156">
        <f>IF($B64=" ","",IFERROR(INDEX(MMWR_RATING_STATE_ROLLUP_QST[],MATCH($B64,MMWR_RATING_STATE_ROLLUP_QST[MMWR_RATING_STATE_ROLLUP_QST],0),MATCH(D$9,MMWR_RATING_STATE_ROLLUP_QST[#Headers],0)),"ERROR"))</f>
        <v>82.666666666699996</v>
      </c>
      <c r="E64" s="157">
        <f>IF($B64=" ","",IFERROR(INDEX(MMWR_RATING_STATE_ROLLUP_QST[],MATCH($B64,MMWR_RATING_STATE_ROLLUP_QST[MMWR_RATING_STATE_ROLLUP_QST],0),MATCH(E$9,MMWR_RATING_STATE_ROLLUP_QST[#Headers],0))/$C64,"ERROR"))</f>
        <v>0.33333333333333331</v>
      </c>
      <c r="F64" s="155">
        <f>IF($B64=" ","",IFERROR(INDEX(MMWR_RATING_STATE_ROLLUP_QST[],MATCH($B64,MMWR_RATING_STATE_ROLLUP_QST[MMWR_RATING_STATE_ROLLUP_QST],0),MATCH(F$9,MMWR_RATING_STATE_ROLLUP_QST[#Headers],0)),"ERROR"))</f>
        <v>1</v>
      </c>
      <c r="G64" s="155">
        <f>IF($B64=" ","",IFERROR(INDEX(MMWR_RATING_STATE_ROLLUP_QST[],MATCH($B64,MMWR_RATING_STATE_ROLLUP_QST[MMWR_RATING_STATE_ROLLUP_QST],0),MATCH(G$9,MMWR_RATING_STATE_ROLLUP_QST[#Headers],0)),"ERROR"))</f>
        <v>21</v>
      </c>
      <c r="H64" s="156">
        <f>IF($B64=" ","",IFERROR(INDEX(MMWR_RATING_STATE_ROLLUP_QST[],MATCH($B64,MMWR_RATING_STATE_ROLLUP_QST[MMWR_RATING_STATE_ROLLUP_QST],0),MATCH(H$9,MMWR_RATING_STATE_ROLLUP_QST[#Headers],0)),"ERROR"))</f>
        <v>131</v>
      </c>
      <c r="I64" s="156">
        <f>IF($B64=" ","",IFERROR(INDEX(MMWR_RATING_STATE_ROLLUP_QST[],MATCH($B64,MMWR_RATING_STATE_ROLLUP_QST[MMWR_RATING_STATE_ROLLUP_QST],0),MATCH(I$9,MMWR_RATING_STATE_ROLLUP_QST[#Headers],0)),"ERROR"))</f>
        <v>138.28571428570001</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572</v>
      </c>
      <c r="D65" s="156">
        <f>IF($B65=" ","",IFERROR(INDEX(MMWR_RATING_STATE_ROLLUP_QST[],MATCH($B65,MMWR_RATING_STATE_ROLLUP_QST[MMWR_RATING_STATE_ROLLUP_QST],0),MATCH(D$9,MMWR_RATING_STATE_ROLLUP_QST[#Headers],0)),"ERROR"))</f>
        <v>80.5</v>
      </c>
      <c r="E65" s="157">
        <f>IF($B65=" ","",IFERROR(INDEX(MMWR_RATING_STATE_ROLLUP_QST[],MATCH($B65,MMWR_RATING_STATE_ROLLUP_QST[MMWR_RATING_STATE_ROLLUP_QST],0),MATCH(E$9,MMWR_RATING_STATE_ROLLUP_QST[#Headers],0))/$C65,"ERROR"))</f>
        <v>0.21153846153846154</v>
      </c>
      <c r="F65" s="155">
        <f>IF($B65=" ","",IFERROR(INDEX(MMWR_RATING_STATE_ROLLUP_QST[],MATCH($B65,MMWR_RATING_STATE_ROLLUP_QST[MMWR_RATING_STATE_ROLLUP_QST],0),MATCH(F$9,MMWR_RATING_STATE_ROLLUP_QST[#Headers],0)),"ERROR"))</f>
        <v>38</v>
      </c>
      <c r="G65" s="155">
        <f>IF($B65=" ","",IFERROR(INDEX(MMWR_RATING_STATE_ROLLUP_QST[],MATCH($B65,MMWR_RATING_STATE_ROLLUP_QST[MMWR_RATING_STATE_ROLLUP_QST],0),MATCH(G$9,MMWR_RATING_STATE_ROLLUP_QST[#Headers],0)),"ERROR"))</f>
        <v>1205</v>
      </c>
      <c r="H65" s="156">
        <f>IF($B65=" ","",IFERROR(INDEX(MMWR_RATING_STATE_ROLLUP_QST[],MATCH($B65,MMWR_RATING_STATE_ROLLUP_QST[MMWR_RATING_STATE_ROLLUP_QST],0),MATCH(H$9,MMWR_RATING_STATE_ROLLUP_QST[#Headers],0)),"ERROR"))</f>
        <v>156.26315789469999</v>
      </c>
      <c r="I65" s="156">
        <f>IF($B65=" ","",IFERROR(INDEX(MMWR_RATING_STATE_ROLLUP_QST[],MATCH($B65,MMWR_RATING_STATE_ROLLUP_QST[MMWR_RATING_STATE_ROLLUP_QST],0),MATCH(I$9,MMWR_RATING_STATE_ROLLUP_QST[#Headers],0)),"ERROR"))</f>
        <v>149.89128630709999</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13</v>
      </c>
      <c r="D66" s="156">
        <f>IF($B66=" ","",IFERROR(INDEX(MMWR_RATING_STATE_ROLLUP_QST[],MATCH($B66,MMWR_RATING_STATE_ROLLUP_QST[MMWR_RATING_STATE_ROLLUP_QST],0),MATCH(D$9,MMWR_RATING_STATE_ROLLUP_QST[#Headers],0)),"ERROR"))</f>
        <v>56.538461538500002</v>
      </c>
      <c r="E66" s="157">
        <f>IF($B66=" ","",IFERROR(INDEX(MMWR_RATING_STATE_ROLLUP_QST[],MATCH($B66,MMWR_RATING_STATE_ROLLUP_QST[MMWR_RATING_STATE_ROLLUP_QST],0),MATCH(E$9,MMWR_RATING_STATE_ROLLUP_QST[#Headers],0))/$C66,"ERROR"))</f>
        <v>7.6923076923076927E-2</v>
      </c>
      <c r="F66" s="155">
        <f>IF($B66=" ","",IFERROR(INDEX(MMWR_RATING_STATE_ROLLUP_QST[],MATCH($B66,MMWR_RATING_STATE_ROLLUP_QST[MMWR_RATING_STATE_ROLLUP_QST],0),MATCH(F$9,MMWR_RATING_STATE_ROLLUP_QST[#Headers],0)),"ERROR"))</f>
        <v>3</v>
      </c>
      <c r="G66" s="155">
        <f>IF($B66=" ","",IFERROR(INDEX(MMWR_RATING_STATE_ROLLUP_QST[],MATCH($B66,MMWR_RATING_STATE_ROLLUP_QST[MMWR_RATING_STATE_ROLLUP_QST],0),MATCH(G$9,MMWR_RATING_STATE_ROLLUP_QST[#Headers],0)),"ERROR"))</f>
        <v>58</v>
      </c>
      <c r="H66" s="156">
        <f>IF($B66=" ","",IFERROR(INDEX(MMWR_RATING_STATE_ROLLUP_QST[],MATCH($B66,MMWR_RATING_STATE_ROLLUP_QST[MMWR_RATING_STATE_ROLLUP_QST],0),MATCH(H$9,MMWR_RATING_STATE_ROLLUP_QST[#Headers],0)),"ERROR"))</f>
        <v>136</v>
      </c>
      <c r="I66" s="156">
        <f>IF($B66=" ","",IFERROR(INDEX(MMWR_RATING_STATE_ROLLUP_QST[],MATCH($B66,MMWR_RATING_STATE_ROLLUP_QST[MMWR_RATING_STATE_ROLLUP_QST],0),MATCH(I$9,MMWR_RATING_STATE_ROLLUP_QST[#Headers],0)),"ERROR"))</f>
        <v>128.43103448279999</v>
      </c>
      <c r="J66" s="42"/>
      <c r="K66" s="42"/>
      <c r="L66" s="42"/>
      <c r="M66" s="42"/>
      <c r="N66" s="28"/>
    </row>
    <row r="67" spans="1:14" x14ac:dyDescent="0.2">
      <c r="A67" s="25"/>
      <c r="B67" s="357" t="s">
        <v>1064</v>
      </c>
      <c r="C67" s="358"/>
      <c r="D67" s="358"/>
      <c r="E67" s="358"/>
      <c r="F67" s="358"/>
      <c r="G67" s="358"/>
      <c r="H67" s="358"/>
      <c r="I67" s="358"/>
      <c r="J67" s="358"/>
      <c r="K67" s="358"/>
      <c r="L67" s="358"/>
      <c r="M67" s="370"/>
      <c r="N67" s="28"/>
    </row>
    <row r="68" spans="1:14" ht="25.5" x14ac:dyDescent="0.2">
      <c r="A68" s="25"/>
      <c r="B68" s="253" t="s">
        <v>1060</v>
      </c>
      <c r="C68" s="155">
        <f>IF($B68=" ","",IFERROR(INDEX(MMWR_RATING_STATE_ROLLUP_BDD[],MATCH($B68,MMWR_RATING_STATE_ROLLUP_BDD[MMWR_RATING_STATE_ROLLUP_BDD],0),MATCH(C$9,MMWR_RATING_STATE_ROLLUP_BDD[#Headers],0)),"ERROR"))</f>
        <v>8924</v>
      </c>
      <c r="D68" s="156">
        <f>IF($B68=" ","",IFERROR(INDEX(MMWR_RATING_STATE_ROLLUP_BDD[],MATCH($B68,MMWR_RATING_STATE_ROLLUP_BDD[MMWR_RATING_STATE_ROLLUP_BDD],0),MATCH(D$9,MMWR_RATING_STATE_ROLLUP_BDD[#Headers],0)),"ERROR"))</f>
        <v>71.815777678200007</v>
      </c>
      <c r="E68" s="157">
        <f>IF($B68=" ","",IFERROR(INDEX(MMWR_RATING_STATE_ROLLUP_BDD[],MATCH($B68,MMWR_RATING_STATE_ROLLUP_BDD[MMWR_RATING_STATE_ROLLUP_BDD],0),MATCH(E$9,MMWR_RATING_STATE_ROLLUP_BDD[#Headers],0))/$C68,"ERROR"))</f>
        <v>0.17256835499775885</v>
      </c>
      <c r="F68" s="155">
        <f>IF($B68=" ","",IFERROR(INDEX(MMWR_RATING_STATE_ROLLUP_BDD[],MATCH($B68,MMWR_RATING_STATE_ROLLUP_BDD[MMWR_RATING_STATE_ROLLUP_BDD],0),MATCH(F$9,MMWR_RATING_STATE_ROLLUP_BDD[#Headers],0)),"ERROR"))</f>
        <v>662</v>
      </c>
      <c r="G68" s="155">
        <f>IF($B68=" ","",IFERROR(INDEX(MMWR_RATING_STATE_ROLLUP_BDD[],MATCH($B68,MMWR_RATING_STATE_ROLLUP_BDD[MMWR_RATING_STATE_ROLLUP_BDD],0),MATCH(G$9,MMWR_RATING_STATE_ROLLUP_BDD[#Headers],0)),"ERROR"))</f>
        <v>20175</v>
      </c>
      <c r="H68" s="156">
        <f>IF($B68=" ","",IFERROR(INDEX(MMWR_RATING_STATE_ROLLUP_BDD[],MATCH($B68,MMWR_RATING_STATE_ROLLUP_BDD[MMWR_RATING_STATE_ROLLUP_BDD],0),MATCH(H$9,MMWR_RATING_STATE_ROLLUP_BDD[#Headers],0)),"ERROR"))</f>
        <v>139.4637462236</v>
      </c>
      <c r="I68" s="156">
        <f>IF($B68=" ","",IFERROR(INDEX(MMWR_RATING_STATE_ROLLUP_BDD[],MATCH($B68,MMWR_RATING_STATE_ROLLUP_BDD[MMWR_RATING_STATE_ROLLUP_BDD],0),MATCH(I$9,MMWR_RATING_STATE_ROLLUP_BDD[#Headers],0)),"ERROR"))</f>
        <v>153.7656009913</v>
      </c>
      <c r="J68" s="42"/>
      <c r="K68" s="42"/>
      <c r="L68" s="42"/>
      <c r="M68" s="42"/>
      <c r="N68" s="28"/>
    </row>
    <row r="69" spans="1:14" x14ac:dyDescent="0.2">
      <c r="A69" s="25"/>
      <c r="B69" s="251" t="str">
        <f>INDEX(DISTRICT_STATES[],MATCH($B$5,DISTRICT_RO[District],0),1)</f>
        <v>North Atlantic</v>
      </c>
      <c r="C69" s="155">
        <f>IF($B69=" ","",IFERROR(INDEX(MMWR_RATING_STATE_ROLLUP_BDD[],MATCH($B69,MMWR_RATING_STATE_ROLLUP_BDD[MMWR_RATING_STATE_ROLLUP_BDD],0),MATCH(C$9,MMWR_RATING_STATE_ROLLUP_BDD[#Headers],0)),"ERROR"))</f>
        <v>2586</v>
      </c>
      <c r="D69" s="156">
        <f>IF($B69=" ","",IFERROR(INDEX(MMWR_RATING_STATE_ROLLUP_BDD[],MATCH($B69,MMWR_RATING_STATE_ROLLUP_BDD[MMWR_RATING_STATE_ROLLUP_BDD],0),MATCH(D$9,MMWR_RATING_STATE_ROLLUP_BDD[#Headers],0)),"ERROR"))</f>
        <v>68.684454756400001</v>
      </c>
      <c r="E69" s="157">
        <f>IF($B69=" ","",IFERROR(INDEX(MMWR_RATING_STATE_ROLLUP_BDD[],MATCH($B69,MMWR_RATING_STATE_ROLLUP_BDD[MMWR_RATING_STATE_ROLLUP_BDD],0),MATCH(E$9,MMWR_RATING_STATE_ROLLUP_BDD[#Headers],0))/$C69,"ERROR"))</f>
        <v>0.16279969064191802</v>
      </c>
      <c r="F69" s="155">
        <f>IF($B69=" ","",IFERROR(INDEX(MMWR_RATING_STATE_ROLLUP_BDD[],MATCH($B69,MMWR_RATING_STATE_ROLLUP_BDD[MMWR_RATING_STATE_ROLLUP_BDD],0),MATCH(F$9,MMWR_RATING_STATE_ROLLUP_BDD[#Headers],0)),"ERROR"))</f>
        <v>150</v>
      </c>
      <c r="G69" s="155">
        <f>IF($B69=" ","",IFERROR(INDEX(MMWR_RATING_STATE_ROLLUP_BDD[],MATCH($B69,MMWR_RATING_STATE_ROLLUP_BDD[MMWR_RATING_STATE_ROLLUP_BDD],0),MATCH(G$9,MMWR_RATING_STATE_ROLLUP_BDD[#Headers],0)),"ERROR"))</f>
        <v>4461</v>
      </c>
      <c r="H69" s="156">
        <f>IF($B69=" ","",IFERROR(INDEX(MMWR_RATING_STATE_ROLLUP_BDD[],MATCH($B69,MMWR_RATING_STATE_ROLLUP_BDD[MMWR_RATING_STATE_ROLLUP_BDD],0),MATCH(H$9,MMWR_RATING_STATE_ROLLUP_BDD[#Headers],0)),"ERROR"))</f>
        <v>145.68</v>
      </c>
      <c r="I69" s="156">
        <f>IF($B69=" ","",IFERROR(INDEX(MMWR_RATING_STATE_ROLLUP_BDD[],MATCH($B69,MMWR_RATING_STATE_ROLLUP_BDD[MMWR_RATING_STATE_ROLLUP_BDD],0),MATCH(I$9,MMWR_RATING_STATE_ROLLUP_BDD[#Headers],0)),"ERROR"))</f>
        <v>139.66980497649999</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42</v>
      </c>
      <c r="D70" s="156">
        <f>IF($B70=" ","",IFERROR(INDEX(MMWR_RATING_STATE_ROLLUP_BDD[],MATCH($B70,MMWR_RATING_STATE_ROLLUP_BDD[MMWR_RATING_STATE_ROLLUP_BDD],0),MATCH(D$9,MMWR_RATING_STATE_ROLLUP_BDD[#Headers],0)),"ERROR"))</f>
        <v>46.214285714299997</v>
      </c>
      <c r="E70" s="157">
        <f>IF($B70=" ","",IFERROR(INDEX(MMWR_RATING_STATE_ROLLUP_BDD[],MATCH($B70,MMWR_RATING_STATE_ROLLUP_BDD[MMWR_RATING_STATE_ROLLUP_BDD],0),MATCH(E$9,MMWR_RATING_STATE_ROLLUP_BDD[#Headers],0))/$C70,"ERROR"))</f>
        <v>2.3809523809523808E-2</v>
      </c>
      <c r="F70" s="155">
        <f>IF($B70=" ","",IFERROR(INDEX(MMWR_RATING_STATE_ROLLUP_BDD[],MATCH($B70,MMWR_RATING_STATE_ROLLUP_BDD[MMWR_RATING_STATE_ROLLUP_BDD],0),MATCH(F$9,MMWR_RATING_STATE_ROLLUP_BDD[#Headers],0)),"ERROR"))</f>
        <v>2</v>
      </c>
      <c r="G70" s="155">
        <f>IF($B70=" ","",IFERROR(INDEX(MMWR_RATING_STATE_ROLLUP_BDD[],MATCH($B70,MMWR_RATING_STATE_ROLLUP_BDD[MMWR_RATING_STATE_ROLLUP_BDD],0),MATCH(G$9,MMWR_RATING_STATE_ROLLUP_BDD[#Headers],0)),"ERROR"))</f>
        <v>58</v>
      </c>
      <c r="H70" s="156">
        <f>IF($B70=" ","",IFERROR(INDEX(MMWR_RATING_STATE_ROLLUP_BDD[],MATCH($B70,MMWR_RATING_STATE_ROLLUP_BDD[MMWR_RATING_STATE_ROLLUP_BDD],0),MATCH(H$9,MMWR_RATING_STATE_ROLLUP_BDD[#Headers],0)),"ERROR"))</f>
        <v>124.5</v>
      </c>
      <c r="I70" s="156">
        <f>IF($B70=" ","",IFERROR(INDEX(MMWR_RATING_STATE_ROLLUP_BDD[],MATCH($B70,MMWR_RATING_STATE_ROLLUP_BDD[MMWR_RATING_STATE_ROLLUP_BDD],0),MATCH(I$9,MMWR_RATING_STATE_ROLLUP_BDD[#Headers],0)),"ERROR"))</f>
        <v>116.67241379310001</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18</v>
      </c>
      <c r="D71" s="156">
        <f>IF($B71=" ","",IFERROR(INDEX(MMWR_RATING_STATE_ROLLUP_BDD[],MATCH($B71,MMWR_RATING_STATE_ROLLUP_BDD[MMWR_RATING_STATE_ROLLUP_BDD],0),MATCH(D$9,MMWR_RATING_STATE_ROLLUP_BDD[#Headers],0)),"ERROR"))</f>
        <v>82.944444444400006</v>
      </c>
      <c r="E71" s="157">
        <f>IF($B71=" ","",IFERROR(INDEX(MMWR_RATING_STATE_ROLLUP_BDD[],MATCH($B71,MMWR_RATING_STATE_ROLLUP_BDD[MMWR_RATING_STATE_ROLLUP_BDD],0),MATCH(E$9,MMWR_RATING_STATE_ROLLUP_BDD[#Headers],0))/$C71,"ERROR"))</f>
        <v>0.16666666666666666</v>
      </c>
      <c r="F71" s="155">
        <f>IF($B71=" ","",IFERROR(INDEX(MMWR_RATING_STATE_ROLLUP_BDD[],MATCH($B71,MMWR_RATING_STATE_ROLLUP_BDD[MMWR_RATING_STATE_ROLLUP_BDD],0),MATCH(F$9,MMWR_RATING_STATE_ROLLUP_BDD[#Headers],0)),"ERROR"))</f>
        <v>1</v>
      </c>
      <c r="G71" s="155">
        <f>IF($B71=" ","",IFERROR(INDEX(MMWR_RATING_STATE_ROLLUP_BDD[],MATCH($B71,MMWR_RATING_STATE_ROLLUP_BDD[MMWR_RATING_STATE_ROLLUP_BDD],0),MATCH(G$9,MMWR_RATING_STATE_ROLLUP_BDD[#Headers],0)),"ERROR"))</f>
        <v>30</v>
      </c>
      <c r="H71" s="156">
        <f>IF($B71=" ","",IFERROR(INDEX(MMWR_RATING_STATE_ROLLUP_BDD[],MATCH($B71,MMWR_RATING_STATE_ROLLUP_BDD[MMWR_RATING_STATE_ROLLUP_BDD],0),MATCH(H$9,MMWR_RATING_STATE_ROLLUP_BDD[#Headers],0)),"ERROR"))</f>
        <v>132</v>
      </c>
      <c r="I71" s="156">
        <f>IF($B71=" ","",IFERROR(INDEX(MMWR_RATING_STATE_ROLLUP_BDD[],MATCH($B71,MMWR_RATING_STATE_ROLLUP_BDD[MMWR_RATING_STATE_ROLLUP_BDD],0),MATCH(I$9,MMWR_RATING_STATE_ROLLUP_BDD[#Headers],0)),"ERROR"))</f>
        <v>117.1333333333</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18</v>
      </c>
      <c r="D72" s="156">
        <f>IF($B72=" ","",IFERROR(INDEX(MMWR_RATING_STATE_ROLLUP_BDD[],MATCH($B72,MMWR_RATING_STATE_ROLLUP_BDD[MMWR_RATING_STATE_ROLLUP_BDD],0),MATCH(D$9,MMWR_RATING_STATE_ROLLUP_BDD[#Headers],0)),"ERROR"))</f>
        <v>54.833333333299997</v>
      </c>
      <c r="E72" s="157">
        <f>IF($B72=" ","",IFERROR(INDEX(MMWR_RATING_STATE_ROLLUP_BDD[],MATCH($B72,MMWR_RATING_STATE_ROLLUP_BDD[MMWR_RATING_STATE_ROLLUP_BDD],0),MATCH(E$9,MMWR_RATING_STATE_ROLLUP_BDD[#Headers],0))/$C72,"ERROR"))</f>
        <v>0.1111111111111111</v>
      </c>
      <c r="F72" s="155">
        <f>IF($B72=" ","",IFERROR(INDEX(MMWR_RATING_STATE_ROLLUP_BDD[],MATCH($B72,MMWR_RATING_STATE_ROLLUP_BDD[MMWR_RATING_STATE_ROLLUP_BDD],0),MATCH(F$9,MMWR_RATING_STATE_ROLLUP_BDD[#Headers],0)),"ERROR"))</f>
        <v>1</v>
      </c>
      <c r="G72" s="155">
        <f>IF($B72=" ","",IFERROR(INDEX(MMWR_RATING_STATE_ROLLUP_BDD[],MATCH($B72,MMWR_RATING_STATE_ROLLUP_BDD[MMWR_RATING_STATE_ROLLUP_BDD],0),MATCH(G$9,MMWR_RATING_STATE_ROLLUP_BDD[#Headers],0)),"ERROR"))</f>
        <v>26</v>
      </c>
      <c r="H72" s="156">
        <f>IF($B72=" ","",IFERROR(INDEX(MMWR_RATING_STATE_ROLLUP_BDD[],MATCH($B72,MMWR_RATING_STATE_ROLLUP_BDD[MMWR_RATING_STATE_ROLLUP_BDD],0),MATCH(H$9,MMWR_RATING_STATE_ROLLUP_BDD[#Headers],0)),"ERROR"))</f>
        <v>130</v>
      </c>
      <c r="I72" s="156">
        <f>IF($B72=" ","",IFERROR(INDEX(MMWR_RATING_STATE_ROLLUP_BDD[],MATCH($B72,MMWR_RATING_STATE_ROLLUP_BDD[MMWR_RATING_STATE_ROLLUP_BDD],0),MATCH(I$9,MMWR_RATING_STATE_ROLLUP_BDD[#Headers],0)),"ERROR"))</f>
        <v>125.26923076920001</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9</v>
      </c>
      <c r="D73" s="156">
        <f>IF($B73=" ","",IFERROR(INDEX(MMWR_RATING_STATE_ROLLUP_BDD[],MATCH($B73,MMWR_RATING_STATE_ROLLUP_BDD[MMWR_RATING_STATE_ROLLUP_BDD],0),MATCH(D$9,MMWR_RATING_STATE_ROLLUP_BDD[#Headers],0)),"ERROR"))</f>
        <v>59.111111111100001</v>
      </c>
      <c r="E73" s="157">
        <f>IF($B73=" ","",IFERROR(INDEX(MMWR_RATING_STATE_ROLLUP_BDD[],MATCH($B73,MMWR_RATING_STATE_ROLLUP_BDD[MMWR_RATING_STATE_ROLLUP_BDD],0),MATCH(E$9,MMWR_RATING_STATE_ROLLUP_BDD[#Headers],0))/$C73,"ERROR"))</f>
        <v>0.1111111111111111</v>
      </c>
      <c r="F73" s="155">
        <f>IF($B73=" ","",IFERROR(INDEX(MMWR_RATING_STATE_ROLLUP_BDD[],MATCH($B73,MMWR_RATING_STATE_ROLLUP_BDD[MMWR_RATING_STATE_ROLLUP_BDD],0),MATCH(F$9,MMWR_RATING_STATE_ROLLUP_BDD[#Headers],0)),"ERROR"))</f>
        <v>0</v>
      </c>
      <c r="G73" s="155">
        <f>IF($B73=" ","",IFERROR(INDEX(MMWR_RATING_STATE_ROLLUP_BDD[],MATCH($B73,MMWR_RATING_STATE_ROLLUP_BDD[MMWR_RATING_STATE_ROLLUP_BDD],0),MATCH(G$9,MMWR_RATING_STATE_ROLLUP_BDD[#Headers],0)),"ERROR"))</f>
        <v>29</v>
      </c>
      <c r="H73" s="156">
        <f>IF($B73=" ","",IFERROR(INDEX(MMWR_RATING_STATE_ROLLUP_BDD[],MATCH($B73,MMWR_RATING_STATE_ROLLUP_BDD[MMWR_RATING_STATE_ROLLUP_BDD],0),MATCH(H$9,MMWR_RATING_STATE_ROLLUP_BDD[#Headers],0)),"ERROR"))</f>
        <v>0</v>
      </c>
      <c r="I73" s="156">
        <f>IF($B73=" ","",IFERROR(INDEX(MMWR_RATING_STATE_ROLLUP_BDD[],MATCH($B73,MMWR_RATING_STATE_ROLLUP_BDD[MMWR_RATING_STATE_ROLLUP_BDD],0),MATCH(I$9,MMWR_RATING_STATE_ROLLUP_BDD[#Headers],0)),"ERROR"))</f>
        <v>122.82758620689999</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272</v>
      </c>
      <c r="D74" s="156">
        <f>IF($B74=" ","",IFERROR(INDEX(MMWR_RATING_STATE_ROLLUP_BDD[],MATCH($B74,MMWR_RATING_STATE_ROLLUP_BDD[MMWR_RATING_STATE_ROLLUP_BDD],0),MATCH(D$9,MMWR_RATING_STATE_ROLLUP_BDD[#Headers],0)),"ERROR"))</f>
        <v>74.367647058800003</v>
      </c>
      <c r="E74" s="157">
        <f>IF($B74=" ","",IFERROR(INDEX(MMWR_RATING_STATE_ROLLUP_BDD[],MATCH($B74,MMWR_RATING_STATE_ROLLUP_BDD[MMWR_RATING_STATE_ROLLUP_BDD],0),MATCH(E$9,MMWR_RATING_STATE_ROLLUP_BDD[#Headers],0))/$C74,"ERROR"))</f>
        <v>0.20220588235294118</v>
      </c>
      <c r="F74" s="155">
        <f>IF($B74=" ","",IFERROR(INDEX(MMWR_RATING_STATE_ROLLUP_BDD[],MATCH($B74,MMWR_RATING_STATE_ROLLUP_BDD[MMWR_RATING_STATE_ROLLUP_BDD],0),MATCH(F$9,MMWR_RATING_STATE_ROLLUP_BDD[#Headers],0)),"ERROR"))</f>
        <v>16</v>
      </c>
      <c r="G74" s="155">
        <f>IF($B74=" ","",IFERROR(INDEX(MMWR_RATING_STATE_ROLLUP_BDD[],MATCH($B74,MMWR_RATING_STATE_ROLLUP_BDD[MMWR_RATING_STATE_ROLLUP_BDD],0),MATCH(G$9,MMWR_RATING_STATE_ROLLUP_BDD[#Headers],0)),"ERROR"))</f>
        <v>512</v>
      </c>
      <c r="H74" s="156">
        <f>IF($B74=" ","",IFERROR(INDEX(MMWR_RATING_STATE_ROLLUP_BDD[],MATCH($B74,MMWR_RATING_STATE_ROLLUP_BDD[MMWR_RATING_STATE_ROLLUP_BDD],0),MATCH(H$9,MMWR_RATING_STATE_ROLLUP_BDD[#Headers],0)),"ERROR"))</f>
        <v>146.375</v>
      </c>
      <c r="I74" s="156">
        <f>IF($B74=" ","",IFERROR(INDEX(MMWR_RATING_STATE_ROLLUP_BDD[],MATCH($B74,MMWR_RATING_STATE_ROLLUP_BDD[MMWR_RATING_STATE_ROLLUP_BDD],0),MATCH(I$9,MMWR_RATING_STATE_ROLLUP_BDD[#Headers],0)),"ERROR"))</f>
        <v>149.30859375</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33</v>
      </c>
      <c r="D75" s="156">
        <f>IF($B75=" ","",IFERROR(INDEX(MMWR_RATING_STATE_ROLLUP_BDD[],MATCH($B75,MMWR_RATING_STATE_ROLLUP_BDD[MMWR_RATING_STATE_ROLLUP_BDD],0),MATCH(D$9,MMWR_RATING_STATE_ROLLUP_BDD[#Headers],0)),"ERROR"))</f>
        <v>71.818181818200003</v>
      </c>
      <c r="E75" s="157">
        <f>IF($B75=" ","",IFERROR(INDEX(MMWR_RATING_STATE_ROLLUP_BDD[],MATCH($B75,MMWR_RATING_STATE_ROLLUP_BDD[MMWR_RATING_STATE_ROLLUP_BDD],0),MATCH(E$9,MMWR_RATING_STATE_ROLLUP_BDD[#Headers],0))/$C75,"ERROR"))</f>
        <v>0.12121212121212122</v>
      </c>
      <c r="F75" s="155">
        <f>IF($B75=" ","",IFERROR(INDEX(MMWR_RATING_STATE_ROLLUP_BDD[],MATCH($B75,MMWR_RATING_STATE_ROLLUP_BDD[MMWR_RATING_STATE_ROLLUP_BDD],0),MATCH(F$9,MMWR_RATING_STATE_ROLLUP_BDD[#Headers],0)),"ERROR"))</f>
        <v>2</v>
      </c>
      <c r="G75" s="155">
        <f>IF($B75=" ","",IFERROR(INDEX(MMWR_RATING_STATE_ROLLUP_BDD[],MATCH($B75,MMWR_RATING_STATE_ROLLUP_BDD[MMWR_RATING_STATE_ROLLUP_BDD],0),MATCH(G$9,MMWR_RATING_STATE_ROLLUP_BDD[#Headers],0)),"ERROR"))</f>
        <v>107</v>
      </c>
      <c r="H75" s="156">
        <f>IF($B75=" ","",IFERROR(INDEX(MMWR_RATING_STATE_ROLLUP_BDD[],MATCH($B75,MMWR_RATING_STATE_ROLLUP_BDD[MMWR_RATING_STATE_ROLLUP_BDD],0),MATCH(H$9,MMWR_RATING_STATE_ROLLUP_BDD[#Headers],0)),"ERROR"))</f>
        <v>62</v>
      </c>
      <c r="I75" s="156">
        <f>IF($B75=" ","",IFERROR(INDEX(MMWR_RATING_STATE_ROLLUP_BDD[],MATCH($B75,MMWR_RATING_STATE_ROLLUP_BDD[MMWR_RATING_STATE_ROLLUP_BDD],0),MATCH(I$9,MMWR_RATING_STATE_ROLLUP_BDD[#Headers],0)),"ERROR"))</f>
        <v>160.98130841119999</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15</v>
      </c>
      <c r="D76" s="156">
        <f>IF($B76=" ","",IFERROR(INDEX(MMWR_RATING_STATE_ROLLUP_BDD[],MATCH($B76,MMWR_RATING_STATE_ROLLUP_BDD[MMWR_RATING_STATE_ROLLUP_BDD],0),MATCH(D$9,MMWR_RATING_STATE_ROLLUP_BDD[#Headers],0)),"ERROR"))</f>
        <v>72.8</v>
      </c>
      <c r="E76" s="157">
        <f>IF($B76=" ","",IFERROR(INDEX(MMWR_RATING_STATE_ROLLUP_BDD[],MATCH($B76,MMWR_RATING_STATE_ROLLUP_BDD[MMWR_RATING_STATE_ROLLUP_BDD],0),MATCH(E$9,MMWR_RATING_STATE_ROLLUP_BDD[#Headers],0))/$C76,"ERROR"))</f>
        <v>0.13333333333333333</v>
      </c>
      <c r="F76" s="155">
        <f>IF($B76=" ","",IFERROR(INDEX(MMWR_RATING_STATE_ROLLUP_BDD[],MATCH($B76,MMWR_RATING_STATE_ROLLUP_BDD[MMWR_RATING_STATE_ROLLUP_BDD],0),MATCH(F$9,MMWR_RATING_STATE_ROLLUP_BDD[#Headers],0)),"ERROR"))</f>
        <v>0</v>
      </c>
      <c r="G76" s="155">
        <f>IF($B76=" ","",IFERROR(INDEX(MMWR_RATING_STATE_ROLLUP_BDD[],MATCH($B76,MMWR_RATING_STATE_ROLLUP_BDD[MMWR_RATING_STATE_ROLLUP_BDD],0),MATCH(G$9,MMWR_RATING_STATE_ROLLUP_BDD[#Headers],0)),"ERROR"))</f>
        <v>23</v>
      </c>
      <c r="H76" s="156">
        <f>IF($B76=" ","",IFERROR(INDEX(MMWR_RATING_STATE_ROLLUP_BDD[],MATCH($B76,MMWR_RATING_STATE_ROLLUP_BDD[MMWR_RATING_STATE_ROLLUP_BDD],0),MATCH(H$9,MMWR_RATING_STATE_ROLLUP_BDD[#Headers],0)),"ERROR"))</f>
        <v>0</v>
      </c>
      <c r="I76" s="156">
        <f>IF($B76=" ","",IFERROR(INDEX(MMWR_RATING_STATE_ROLLUP_BDD[],MATCH($B76,MMWR_RATING_STATE_ROLLUP_BDD[MMWR_RATING_STATE_ROLLUP_BDD],0),MATCH(I$9,MMWR_RATING_STATE_ROLLUP_BDD[#Headers],0)),"ERROR"))</f>
        <v>159.0434782609</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60</v>
      </c>
      <c r="D77" s="156">
        <f>IF($B77=" ","",IFERROR(INDEX(MMWR_RATING_STATE_ROLLUP_BDD[],MATCH($B77,MMWR_RATING_STATE_ROLLUP_BDD[MMWR_RATING_STATE_ROLLUP_BDD],0),MATCH(D$9,MMWR_RATING_STATE_ROLLUP_BDD[#Headers],0)),"ERROR"))</f>
        <v>61.016666666699997</v>
      </c>
      <c r="E77" s="157">
        <f>IF($B77=" ","",IFERROR(INDEX(MMWR_RATING_STATE_ROLLUP_BDD[],MATCH($B77,MMWR_RATING_STATE_ROLLUP_BDD[MMWR_RATING_STATE_ROLLUP_BDD],0),MATCH(E$9,MMWR_RATING_STATE_ROLLUP_BDD[#Headers],0))/$C77,"ERROR"))</f>
        <v>8.3333333333333329E-2</v>
      </c>
      <c r="F77" s="155">
        <f>IF($B77=" ","",IFERROR(INDEX(MMWR_RATING_STATE_ROLLUP_BDD[],MATCH($B77,MMWR_RATING_STATE_ROLLUP_BDD[MMWR_RATING_STATE_ROLLUP_BDD],0),MATCH(F$9,MMWR_RATING_STATE_ROLLUP_BDD[#Headers],0)),"ERROR"))</f>
        <v>3</v>
      </c>
      <c r="G77" s="155">
        <f>IF($B77=" ","",IFERROR(INDEX(MMWR_RATING_STATE_ROLLUP_BDD[],MATCH($B77,MMWR_RATING_STATE_ROLLUP_BDD[MMWR_RATING_STATE_ROLLUP_BDD],0),MATCH(G$9,MMWR_RATING_STATE_ROLLUP_BDD[#Headers],0)),"ERROR"))</f>
        <v>151</v>
      </c>
      <c r="H77" s="156">
        <f>IF($B77=" ","",IFERROR(INDEX(MMWR_RATING_STATE_ROLLUP_BDD[],MATCH($B77,MMWR_RATING_STATE_ROLLUP_BDD[MMWR_RATING_STATE_ROLLUP_BDD],0),MATCH(H$9,MMWR_RATING_STATE_ROLLUP_BDD[#Headers],0)),"ERROR"))</f>
        <v>88</v>
      </c>
      <c r="I77" s="156">
        <f>IF($B77=" ","",IFERROR(INDEX(MMWR_RATING_STATE_ROLLUP_BDD[],MATCH($B77,MMWR_RATING_STATE_ROLLUP_BDD[MMWR_RATING_STATE_ROLLUP_BDD],0),MATCH(I$9,MMWR_RATING_STATE_ROLLUP_BDD[#Headers],0)),"ERROR"))</f>
        <v>144.55629139070001</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122</v>
      </c>
      <c r="D78" s="156">
        <f>IF($B78=" ","",IFERROR(INDEX(MMWR_RATING_STATE_ROLLUP_BDD[],MATCH($B78,MMWR_RATING_STATE_ROLLUP_BDD[MMWR_RATING_STATE_ROLLUP_BDD],0),MATCH(D$9,MMWR_RATING_STATE_ROLLUP_BDD[#Headers],0)),"ERROR"))</f>
        <v>84.401639344299994</v>
      </c>
      <c r="E78" s="157">
        <f>IF($B78=" ","",IFERROR(INDEX(MMWR_RATING_STATE_ROLLUP_BDD[],MATCH($B78,MMWR_RATING_STATE_ROLLUP_BDD[MMWR_RATING_STATE_ROLLUP_BDD],0),MATCH(E$9,MMWR_RATING_STATE_ROLLUP_BDD[#Headers],0))/$C78,"ERROR"))</f>
        <v>0.18852459016393441</v>
      </c>
      <c r="F78" s="155">
        <f>IF($B78=" ","",IFERROR(INDEX(MMWR_RATING_STATE_ROLLUP_BDD[],MATCH($B78,MMWR_RATING_STATE_ROLLUP_BDD[MMWR_RATING_STATE_ROLLUP_BDD],0),MATCH(F$9,MMWR_RATING_STATE_ROLLUP_BDD[#Headers],0)),"ERROR"))</f>
        <v>7</v>
      </c>
      <c r="G78" s="155">
        <f>IF($B78=" ","",IFERROR(INDEX(MMWR_RATING_STATE_ROLLUP_BDD[],MATCH($B78,MMWR_RATING_STATE_ROLLUP_BDD[MMWR_RATING_STATE_ROLLUP_BDD],0),MATCH(G$9,MMWR_RATING_STATE_ROLLUP_BDD[#Headers],0)),"ERROR"))</f>
        <v>359</v>
      </c>
      <c r="H78" s="156">
        <f>IF($B78=" ","",IFERROR(INDEX(MMWR_RATING_STATE_ROLLUP_BDD[],MATCH($B78,MMWR_RATING_STATE_ROLLUP_BDD[MMWR_RATING_STATE_ROLLUP_BDD],0),MATCH(H$9,MMWR_RATING_STATE_ROLLUP_BDD[#Headers],0)),"ERROR"))</f>
        <v>105</v>
      </c>
      <c r="I78" s="156">
        <f>IF($B78=" ","",IFERROR(INDEX(MMWR_RATING_STATE_ROLLUP_BDD[],MATCH($B78,MMWR_RATING_STATE_ROLLUP_BDD[MMWR_RATING_STATE_ROLLUP_BDD],0),MATCH(I$9,MMWR_RATING_STATE_ROLLUP_BDD[#Headers],0)),"ERROR"))</f>
        <v>150.8690807799</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1055</v>
      </c>
      <c r="D79" s="156">
        <f>IF($B79=" ","",IFERROR(INDEX(MMWR_RATING_STATE_ROLLUP_BDD[],MATCH($B79,MMWR_RATING_STATE_ROLLUP_BDD[MMWR_RATING_STATE_ROLLUP_BDD],0),MATCH(D$9,MMWR_RATING_STATE_ROLLUP_BDD[#Headers],0)),"ERROR"))</f>
        <v>63.833175355500003</v>
      </c>
      <c r="E79" s="157">
        <f>IF($B79=" ","",IFERROR(INDEX(MMWR_RATING_STATE_ROLLUP_BDD[],MATCH($B79,MMWR_RATING_STATE_ROLLUP_BDD[MMWR_RATING_STATE_ROLLUP_BDD],0),MATCH(E$9,MMWR_RATING_STATE_ROLLUP_BDD[#Headers],0))/$C79,"ERROR"))</f>
        <v>0.13554502369668248</v>
      </c>
      <c r="F79" s="155">
        <f>IF($B79=" ","",IFERROR(INDEX(MMWR_RATING_STATE_ROLLUP_BDD[],MATCH($B79,MMWR_RATING_STATE_ROLLUP_BDD[MMWR_RATING_STATE_ROLLUP_BDD],0),MATCH(F$9,MMWR_RATING_STATE_ROLLUP_BDD[#Headers],0)),"ERROR"))</f>
        <v>51</v>
      </c>
      <c r="G79" s="155">
        <f>IF($B79=" ","",IFERROR(INDEX(MMWR_RATING_STATE_ROLLUP_BDD[],MATCH($B79,MMWR_RATING_STATE_ROLLUP_BDD[MMWR_RATING_STATE_ROLLUP_BDD],0),MATCH(G$9,MMWR_RATING_STATE_ROLLUP_BDD[#Headers],0)),"ERROR"))</f>
        <v>1381</v>
      </c>
      <c r="H79" s="156">
        <f>IF($B79=" ","",IFERROR(INDEX(MMWR_RATING_STATE_ROLLUP_BDD[],MATCH($B79,MMWR_RATING_STATE_ROLLUP_BDD[MMWR_RATING_STATE_ROLLUP_BDD],0),MATCH(H$9,MMWR_RATING_STATE_ROLLUP_BDD[#Headers],0)),"ERROR"))</f>
        <v>143.3137254902</v>
      </c>
      <c r="I79" s="156">
        <f>IF($B79=" ","",IFERROR(INDEX(MMWR_RATING_STATE_ROLLUP_BDD[],MATCH($B79,MMWR_RATING_STATE_ROLLUP_BDD[MMWR_RATING_STATE_ROLLUP_BDD],0),MATCH(I$9,MMWR_RATING_STATE_ROLLUP_BDD[#Headers],0)),"ERROR"))</f>
        <v>128.28385228100001</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91</v>
      </c>
      <c r="D80" s="156">
        <f>IF($B80=" ","",IFERROR(INDEX(MMWR_RATING_STATE_ROLLUP_BDD[],MATCH($B80,MMWR_RATING_STATE_ROLLUP_BDD[MMWR_RATING_STATE_ROLLUP_BDD],0),MATCH(D$9,MMWR_RATING_STATE_ROLLUP_BDD[#Headers],0)),"ERROR"))</f>
        <v>74.230769230799993</v>
      </c>
      <c r="E80" s="157">
        <f>IF($B80=" ","",IFERROR(INDEX(MMWR_RATING_STATE_ROLLUP_BDD[],MATCH($B80,MMWR_RATING_STATE_ROLLUP_BDD[MMWR_RATING_STATE_ROLLUP_BDD],0),MATCH(E$9,MMWR_RATING_STATE_ROLLUP_BDD[#Headers],0))/$C80,"ERROR"))</f>
        <v>0.16483516483516483</v>
      </c>
      <c r="F80" s="155">
        <f>IF($B80=" ","",IFERROR(INDEX(MMWR_RATING_STATE_ROLLUP_BDD[],MATCH($B80,MMWR_RATING_STATE_ROLLUP_BDD[MMWR_RATING_STATE_ROLLUP_BDD],0),MATCH(F$9,MMWR_RATING_STATE_ROLLUP_BDD[#Headers],0)),"ERROR"))</f>
        <v>10</v>
      </c>
      <c r="G80" s="155">
        <f>IF($B80=" ","",IFERROR(INDEX(MMWR_RATING_STATE_ROLLUP_BDD[],MATCH($B80,MMWR_RATING_STATE_ROLLUP_BDD[MMWR_RATING_STATE_ROLLUP_BDD],0),MATCH(G$9,MMWR_RATING_STATE_ROLLUP_BDD[#Headers],0)),"ERROR"))</f>
        <v>272</v>
      </c>
      <c r="H80" s="156">
        <f>IF($B80=" ","",IFERROR(INDEX(MMWR_RATING_STATE_ROLLUP_BDD[],MATCH($B80,MMWR_RATING_STATE_ROLLUP_BDD[MMWR_RATING_STATE_ROLLUP_BDD],0),MATCH(H$9,MMWR_RATING_STATE_ROLLUP_BDD[#Headers],0)),"ERROR"))</f>
        <v>153.69999999999999</v>
      </c>
      <c r="I80" s="156">
        <f>IF($B80=" ","",IFERROR(INDEX(MMWR_RATING_STATE_ROLLUP_BDD[],MATCH($B80,MMWR_RATING_STATE_ROLLUP_BDD[MMWR_RATING_STATE_ROLLUP_BDD],0),MATCH(I$9,MMWR_RATING_STATE_ROLLUP_BDD[#Headers],0)),"ERROR"))</f>
        <v>152.5294117647</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3</v>
      </c>
      <c r="D81" s="156">
        <f>IF($B81=" ","",IFERROR(INDEX(MMWR_RATING_STATE_ROLLUP_BDD[],MATCH($B81,MMWR_RATING_STATE_ROLLUP_BDD[MMWR_RATING_STATE_ROLLUP_BDD],0),MATCH(D$9,MMWR_RATING_STATE_ROLLUP_BDD[#Headers],0)),"ERROR"))</f>
        <v>36.333333333299997</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0</v>
      </c>
      <c r="G81" s="155">
        <f>IF($B81=" ","",IFERROR(INDEX(MMWR_RATING_STATE_ROLLUP_BDD[],MATCH($B81,MMWR_RATING_STATE_ROLLUP_BDD[MMWR_RATING_STATE_ROLLUP_BDD],0),MATCH(G$9,MMWR_RATING_STATE_ROLLUP_BDD[#Headers],0)),"ERROR"))</f>
        <v>13</v>
      </c>
      <c r="H81" s="156">
        <f>IF($B81=" ","",IFERROR(INDEX(MMWR_RATING_STATE_ROLLUP_BDD[],MATCH($B81,MMWR_RATING_STATE_ROLLUP_BDD[MMWR_RATING_STATE_ROLLUP_BDD],0),MATCH(H$9,MMWR_RATING_STATE_ROLLUP_BDD[#Headers],0)),"ERROR"))</f>
        <v>0</v>
      </c>
      <c r="I81" s="156">
        <f>IF($B81=" ","",IFERROR(INDEX(MMWR_RATING_STATE_ROLLUP_BDD[],MATCH($B81,MMWR_RATING_STATE_ROLLUP_BDD[MMWR_RATING_STATE_ROLLUP_BDD],0),MATCH(I$9,MMWR_RATING_STATE_ROLLUP_BDD[#Headers],0)),"ERROR"))</f>
        <v>145.92307692310001</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4</v>
      </c>
      <c r="D82" s="156">
        <f>IF($B82=" ","",IFERROR(INDEX(MMWR_RATING_STATE_ROLLUP_BDD[],MATCH($B82,MMWR_RATING_STATE_ROLLUP_BDD[MMWR_RATING_STATE_ROLLUP_BDD],0),MATCH(D$9,MMWR_RATING_STATE_ROLLUP_BDD[#Headers],0)),"ERROR"))</f>
        <v>73.75</v>
      </c>
      <c r="E82" s="157">
        <f>IF($B82=" ","",IFERROR(INDEX(MMWR_RATING_STATE_ROLLUP_BDD[],MATCH($B82,MMWR_RATING_STATE_ROLLUP_BDD[MMWR_RATING_STATE_ROLLUP_BDD],0),MATCH(E$9,MMWR_RATING_STATE_ROLLUP_BDD[#Headers],0))/$C82,"ERROR"))</f>
        <v>0</v>
      </c>
      <c r="F82" s="155">
        <f>IF($B82=" ","",IFERROR(INDEX(MMWR_RATING_STATE_ROLLUP_BDD[],MATCH($B82,MMWR_RATING_STATE_ROLLUP_BDD[MMWR_RATING_STATE_ROLLUP_BDD],0),MATCH(F$9,MMWR_RATING_STATE_ROLLUP_BDD[#Headers],0)),"ERROR"))</f>
        <v>0</v>
      </c>
      <c r="G82" s="155">
        <f>IF($B82=" ","",IFERROR(INDEX(MMWR_RATING_STATE_ROLLUP_BDD[],MATCH($B82,MMWR_RATING_STATE_ROLLUP_BDD[MMWR_RATING_STATE_ROLLUP_BDD],0),MATCH(G$9,MMWR_RATING_STATE_ROLLUP_BDD[#Headers],0)),"ERROR"))</f>
        <v>14</v>
      </c>
      <c r="H82" s="156">
        <f>IF($B82=" ","",IFERROR(INDEX(MMWR_RATING_STATE_ROLLUP_BDD[],MATCH($B82,MMWR_RATING_STATE_ROLLUP_BDD[MMWR_RATING_STATE_ROLLUP_BDD],0),MATCH(H$9,MMWR_RATING_STATE_ROLLUP_BDD[#Headers],0)),"ERROR"))</f>
        <v>0</v>
      </c>
      <c r="I82" s="156">
        <f>IF($B82=" ","",IFERROR(INDEX(MMWR_RATING_STATE_ROLLUP_BDD[],MATCH($B82,MMWR_RATING_STATE_ROLLUP_BDD[MMWR_RATING_STATE_ROLLUP_BDD],0),MATCH(I$9,MMWR_RATING_STATE_ROLLUP_BDD[#Headers],0)),"ERROR"))</f>
        <v>160.57142857139999</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823</v>
      </c>
      <c r="D83" s="156">
        <f>IF($B83=" ","",IFERROR(INDEX(MMWR_RATING_STATE_ROLLUP_BDD[],MATCH($B83,MMWR_RATING_STATE_ROLLUP_BDD[MMWR_RATING_STATE_ROLLUP_BDD],0),MATCH(D$9,MMWR_RATING_STATE_ROLLUP_BDD[#Headers],0)),"ERROR"))</f>
        <v>72.021871202900002</v>
      </c>
      <c r="E83" s="157">
        <f>IF($B83=" ","",IFERROR(INDEX(MMWR_RATING_STATE_ROLLUP_BDD[],MATCH($B83,MMWR_RATING_STATE_ROLLUP_BDD[MMWR_RATING_STATE_ROLLUP_BDD],0),MATCH(E$9,MMWR_RATING_STATE_ROLLUP_BDD[#Headers],0))/$C83,"ERROR"))</f>
        <v>0.19927095990279464</v>
      </c>
      <c r="F83" s="155">
        <f>IF($B83=" ","",IFERROR(INDEX(MMWR_RATING_STATE_ROLLUP_BDD[],MATCH($B83,MMWR_RATING_STATE_ROLLUP_BDD[MMWR_RATING_STATE_ROLLUP_BDD],0),MATCH(F$9,MMWR_RATING_STATE_ROLLUP_BDD[#Headers],0)),"ERROR"))</f>
        <v>56</v>
      </c>
      <c r="G83" s="155">
        <f>IF($B83=" ","",IFERROR(INDEX(MMWR_RATING_STATE_ROLLUP_BDD[],MATCH($B83,MMWR_RATING_STATE_ROLLUP_BDD[MMWR_RATING_STATE_ROLLUP_BDD],0),MATCH(G$9,MMWR_RATING_STATE_ROLLUP_BDD[#Headers],0)),"ERROR"))</f>
        <v>1433</v>
      </c>
      <c r="H83" s="156">
        <f>IF($B83=" ","",IFERROR(INDEX(MMWR_RATING_STATE_ROLLUP_BDD[],MATCH($B83,MMWR_RATING_STATE_ROLLUP_BDD[MMWR_RATING_STATE_ROLLUP_BDD],0),MATCH(H$9,MMWR_RATING_STATE_ROLLUP_BDD[#Headers],0)),"ERROR"))</f>
        <v>158.3928571429</v>
      </c>
      <c r="I83" s="156">
        <f>IF($B83=" ","",IFERROR(INDEX(MMWR_RATING_STATE_ROLLUP_BDD[],MATCH($B83,MMWR_RATING_STATE_ROLLUP_BDD[MMWR_RATING_STATE_ROLLUP_BDD],0),MATCH(I$9,MMWR_RATING_STATE_ROLLUP_BDD[#Headers],0)),"ERROR"))</f>
        <v>140.52337752970001</v>
      </c>
      <c r="J83" s="42"/>
      <c r="K83" s="42"/>
      <c r="L83" s="42"/>
      <c r="M83" s="42"/>
      <c r="N83" s="28"/>
    </row>
    <row r="84" spans="1:14" x14ac:dyDescent="0.2">
      <c r="A84" s="25"/>
      <c r="B84" s="252" t="str">
        <f>VLOOKUP($B$15,DISTRICT_STATES[],16,0)</f>
        <v>West Virginia</v>
      </c>
      <c r="C84" s="155">
        <f>IF($B84=" ","",IFERROR(INDEX(MMWR_RATING_STATE_ROLLUP_BDD[],MATCH($B84,MMWR_RATING_STATE_ROLLUP_BDD[MMWR_RATING_STATE_ROLLUP_BDD],0),MATCH(C$9,MMWR_RATING_STATE_ROLLUP_BDD[#Headers],0)),"ERROR"))</f>
        <v>21</v>
      </c>
      <c r="D84" s="156">
        <f>IF($B84=" ","",IFERROR(INDEX(MMWR_RATING_STATE_ROLLUP_BDD[],MATCH($B84,MMWR_RATING_STATE_ROLLUP_BDD[MMWR_RATING_STATE_ROLLUP_BDD],0),MATCH(D$9,MMWR_RATING_STATE_ROLLUP_BDD[#Headers],0)),"ERROR"))</f>
        <v>59.047619047600001</v>
      </c>
      <c r="E84" s="157">
        <f>IF($B84=" ","",IFERROR(INDEX(MMWR_RATING_STATE_ROLLUP_BDD[],MATCH($B84,MMWR_RATING_STATE_ROLLUP_BDD[MMWR_RATING_STATE_ROLLUP_BDD],0),MATCH(E$9,MMWR_RATING_STATE_ROLLUP_BDD[#Headers],0))/$C84,"ERROR"))</f>
        <v>0.14285714285714285</v>
      </c>
      <c r="F84" s="155">
        <f>IF($B84=" ","",IFERROR(INDEX(MMWR_RATING_STATE_ROLLUP_BDD[],MATCH($B84,MMWR_RATING_STATE_ROLLUP_BDD[MMWR_RATING_STATE_ROLLUP_BDD],0),MATCH(F$9,MMWR_RATING_STATE_ROLLUP_BDD[#Headers],0)),"ERROR"))</f>
        <v>1</v>
      </c>
      <c r="G84" s="155">
        <f>IF($B84=" ","",IFERROR(INDEX(MMWR_RATING_STATE_ROLLUP_BDD[],MATCH($B84,MMWR_RATING_STATE_ROLLUP_BDD[MMWR_RATING_STATE_ROLLUP_BDD],0),MATCH(G$9,MMWR_RATING_STATE_ROLLUP_BDD[#Headers],0)),"ERROR"))</f>
        <v>53</v>
      </c>
      <c r="H84" s="156">
        <f>IF($B84=" ","",IFERROR(INDEX(MMWR_RATING_STATE_ROLLUP_BDD[],MATCH($B84,MMWR_RATING_STATE_ROLLUP_BDD[MMWR_RATING_STATE_ROLLUP_BDD],0),MATCH(H$9,MMWR_RATING_STATE_ROLLUP_BDD[#Headers],0)),"ERROR"))</f>
        <v>160</v>
      </c>
      <c r="I84" s="156">
        <f>IF($B84=" ","",IFERROR(INDEX(MMWR_RATING_STATE_ROLLUP_BDD[],MATCH($B84,MMWR_RATING_STATE_ROLLUP_BDD[MMWR_RATING_STATE_ROLLUP_BDD],0),MATCH(I$9,MMWR_RATING_STATE_ROLLUP_BDD[#Headers],0)),"ERROR"))</f>
        <v>160.09433962259999</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A3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0" priority="18">
      <formula>IF(OR(ISERROR(A1),A1="ERROR"),TRUE,FALSE)</formula>
    </cfRule>
  </conditionalFormatting>
  <conditionalFormatting sqref="A30 J30:N30">
    <cfRule type="expression" dxfId="429" priority="17">
      <formula>IF(OR(ISERROR(A30),A30="ERROR"),TRUE,FALSE)</formula>
    </cfRule>
  </conditionalFormatting>
  <conditionalFormatting sqref="B4">
    <cfRule type="expression" dxfId="428" priority="16">
      <formula>IF(OR(ISERROR(B4),B4="ERROR"),TRUE,FALSE)</formula>
    </cfRule>
  </conditionalFormatting>
  <conditionalFormatting sqref="B33:B48">
    <cfRule type="expression" dxfId="427" priority="14">
      <formula>IF(OR(ISERROR(B33),B33="ERROR"),TRUE,FALSE)</formula>
    </cfRule>
  </conditionalFormatting>
  <conditionalFormatting sqref="B51:B66">
    <cfRule type="expression" dxfId="426" priority="13">
      <formula>IF(OR(ISERROR(B51),B51="ERROR"),TRUE,FALSE)</formula>
    </cfRule>
  </conditionalFormatting>
  <conditionalFormatting sqref="B69:B84">
    <cfRule type="expression" dxfId="425" priority="12">
      <formula>IF(OR(ISERROR(B69),B69="ERROR"),TRUE,FALSE)</formula>
    </cfRule>
  </conditionalFormatting>
  <conditionalFormatting sqref="B14:I14">
    <cfRule type="expression" dxfId="424" priority="8">
      <formula>IF(OR(ISERROR(B13),B14="ERROR"),TRUE,FALSE)</formula>
    </cfRule>
  </conditionalFormatting>
  <conditionalFormatting sqref="C33:I48">
    <cfRule type="expression" dxfId="423" priority="7">
      <formula>IF(OR(ISERROR(C33),C33="ERROR"),TRUE,FALSE)</formula>
    </cfRule>
  </conditionalFormatting>
  <conditionalFormatting sqref="C32:I32">
    <cfRule type="expression" dxfId="422" priority="6">
      <formula>IF(OR(ISERROR(C31),C32="ERROR"),TRUE,FALSE)</formula>
    </cfRule>
  </conditionalFormatting>
  <conditionalFormatting sqref="C51:I66">
    <cfRule type="expression" dxfId="421" priority="5">
      <formula>IF(OR(ISERROR(C51),C51="ERROR"),TRUE,FALSE)</formula>
    </cfRule>
  </conditionalFormatting>
  <conditionalFormatting sqref="C50:I50">
    <cfRule type="expression" dxfId="420" priority="4">
      <formula>IF(OR(ISERROR(C49),C50="ERROR"),TRUE,FALSE)</formula>
    </cfRule>
  </conditionalFormatting>
  <conditionalFormatting sqref="C69:I84">
    <cfRule type="expression" dxfId="419" priority="3">
      <formula>IF(OR(ISERROR(C69),C69="ERROR"),TRUE,FALSE)</formula>
    </cfRule>
  </conditionalFormatting>
  <conditionalFormatting sqref="C68:I68">
    <cfRule type="expression" dxfId="418" priority="2">
      <formula>IF(OR(ISERROR(C67),C68="ERROR"),TRUE,FALSE)</formula>
    </cfRule>
  </conditionalFormatting>
  <conditionalFormatting sqref="C5:O5">
    <cfRule type="expression" dxfId="417"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5"/>
      <c r="D1" s="55"/>
      <c r="E1" s="55"/>
      <c r="F1" s="55"/>
      <c r="G1" s="55"/>
      <c r="H1" s="55"/>
      <c r="I1" s="55"/>
      <c r="J1" s="55"/>
      <c r="K1" s="55"/>
      <c r="L1" s="55"/>
      <c r="M1" s="55"/>
      <c r="N1" s="55"/>
      <c r="O1" s="55"/>
      <c r="P1" s="55"/>
      <c r="Q1" s="55"/>
      <c r="R1" s="55"/>
      <c r="S1" s="55"/>
      <c r="T1" s="55"/>
      <c r="U1" s="55"/>
      <c r="V1" s="25"/>
    </row>
    <row r="2" spans="1:22" s="1" customFormat="1" ht="27" thickBot="1" x14ac:dyDescent="0.45">
      <c r="A2" s="25"/>
      <c r="B2" s="398" t="s">
        <v>305</v>
      </c>
      <c r="C2" s="399"/>
      <c r="D2" s="399"/>
      <c r="E2" s="399"/>
      <c r="F2" s="399"/>
      <c r="G2" s="399"/>
      <c r="H2" s="399"/>
      <c r="I2" s="399"/>
      <c r="J2" s="399"/>
      <c r="K2" s="399"/>
      <c r="L2" s="399"/>
      <c r="M2" s="399"/>
      <c r="N2" s="399"/>
      <c r="O2" s="399"/>
      <c r="P2" s="399"/>
      <c r="Q2" s="399"/>
      <c r="R2" s="399"/>
      <c r="S2" s="399"/>
      <c r="T2" s="399"/>
      <c r="U2" s="400"/>
      <c r="V2" s="25"/>
    </row>
    <row r="3" spans="1:22" s="1" customFormat="1" ht="63" customHeight="1" thickBot="1" x14ac:dyDescent="0.25">
      <c r="A3" s="25"/>
      <c r="B3" s="407" t="s">
        <v>320</v>
      </c>
      <c r="C3" s="408"/>
      <c r="D3" s="408"/>
      <c r="E3" s="408"/>
      <c r="F3" s="408"/>
      <c r="G3" s="408"/>
      <c r="H3" s="408"/>
      <c r="I3" s="408"/>
      <c r="J3" s="408"/>
      <c r="K3" s="408"/>
      <c r="L3" s="408"/>
      <c r="M3" s="408"/>
      <c r="N3" s="408"/>
      <c r="O3" s="408"/>
      <c r="P3" s="408"/>
      <c r="Q3" s="408"/>
      <c r="R3" s="408"/>
      <c r="S3" s="408"/>
      <c r="T3" s="408"/>
      <c r="U3" s="409"/>
      <c r="V3" s="25"/>
    </row>
    <row r="4" spans="1:22" s="1" customFormat="1" ht="32.25" customHeight="1" thickBot="1" x14ac:dyDescent="0.25">
      <c r="A4" s="25"/>
      <c r="B4" s="404" t="str">
        <f>Transformation!B4</f>
        <v>As of: July 11, 2015</v>
      </c>
      <c r="C4" s="405"/>
      <c r="D4" s="405"/>
      <c r="E4" s="405"/>
      <c r="F4" s="405"/>
      <c r="G4" s="405"/>
      <c r="H4" s="405"/>
      <c r="I4" s="405"/>
      <c r="J4" s="405"/>
      <c r="K4" s="405"/>
      <c r="L4" s="405"/>
      <c r="M4" s="405"/>
      <c r="N4" s="405"/>
      <c r="O4" s="405"/>
      <c r="P4" s="405"/>
      <c r="Q4" s="405"/>
      <c r="R4" s="405"/>
      <c r="S4" s="405"/>
      <c r="T4" s="405"/>
      <c r="U4" s="406"/>
      <c r="V4" s="25"/>
    </row>
    <row r="5" spans="1:22" s="1" customFormat="1" ht="27" customHeight="1" thickBot="1" x14ac:dyDescent="0.45">
      <c r="A5" s="25"/>
      <c r="B5" s="411" t="s">
        <v>247</v>
      </c>
      <c r="C5" s="412"/>
      <c r="D5" s="412"/>
      <c r="E5" s="412"/>
      <c r="F5" s="412"/>
      <c r="G5" s="412"/>
      <c r="H5" s="413"/>
      <c r="I5" s="56"/>
      <c r="J5" s="411" t="s">
        <v>244</v>
      </c>
      <c r="K5" s="412"/>
      <c r="L5" s="412"/>
      <c r="M5" s="412"/>
      <c r="N5" s="413"/>
      <c r="O5" s="57"/>
      <c r="P5" s="414" t="s">
        <v>11</v>
      </c>
      <c r="Q5" s="415"/>
      <c r="R5" s="415"/>
      <c r="S5" s="415"/>
      <c r="T5" s="415"/>
      <c r="U5" s="416"/>
      <c r="V5" s="25"/>
    </row>
    <row r="6" spans="1:22" s="1" customFormat="1" ht="65.25" customHeight="1" thickBot="1" x14ac:dyDescent="0.25">
      <c r="A6" s="25"/>
      <c r="B6" s="401" t="s">
        <v>288</v>
      </c>
      <c r="C6" s="402"/>
      <c r="D6" s="402"/>
      <c r="E6" s="403"/>
      <c r="F6" s="58" t="s">
        <v>12</v>
      </c>
      <c r="G6" s="59" t="s">
        <v>3</v>
      </c>
      <c r="H6" s="60" t="s">
        <v>4</v>
      </c>
      <c r="I6" s="25"/>
      <c r="J6" s="390" t="s">
        <v>288</v>
      </c>
      <c r="K6" s="391"/>
      <c r="L6" s="61" t="s">
        <v>12</v>
      </c>
      <c r="M6" s="62" t="s">
        <v>3</v>
      </c>
      <c r="N6" s="63" t="s">
        <v>4</v>
      </c>
      <c r="O6" s="64"/>
      <c r="P6" s="417" t="s">
        <v>288</v>
      </c>
      <c r="Q6" s="418"/>
      <c r="R6" s="65" t="s">
        <v>498</v>
      </c>
      <c r="S6" s="419" t="s">
        <v>288</v>
      </c>
      <c r="T6" s="420"/>
      <c r="U6" s="66" t="s">
        <v>140</v>
      </c>
      <c r="V6" s="25"/>
    </row>
    <row r="7" spans="1:22" s="1" customFormat="1" ht="32.25" customHeight="1" thickBot="1" x14ac:dyDescent="0.25">
      <c r="A7" s="25"/>
      <c r="B7" s="384" t="s">
        <v>307</v>
      </c>
      <c r="C7" s="385"/>
      <c r="D7" s="385"/>
      <c r="E7" s="385"/>
      <c r="F7" s="169">
        <f>SUM(F8:F10)</f>
        <v>136338</v>
      </c>
      <c r="G7" s="170">
        <f>SUM(G8:G10)</f>
        <v>52341</v>
      </c>
      <c r="H7" s="171">
        <f t="shared" ref="H7:H44" si="0">IF(G7="--", 0, G7/F7)</f>
        <v>0.38390617436077984</v>
      </c>
      <c r="I7" s="25"/>
      <c r="J7" s="384" t="s">
        <v>273</v>
      </c>
      <c r="K7" s="385"/>
      <c r="L7" s="170">
        <f>SUM(L8:L10)</f>
        <v>23855</v>
      </c>
      <c r="M7" s="170">
        <f>SUM(M8:M10)</f>
        <v>2758</v>
      </c>
      <c r="N7" s="181">
        <f>IF(M7="--", 0, M7/L7)</f>
        <v>0.11561517501571998</v>
      </c>
      <c r="O7" s="67"/>
      <c r="P7" s="384" t="s">
        <v>989</v>
      </c>
      <c r="Q7" s="385"/>
      <c r="R7" s="182">
        <f>R8+R9+R10+R11+R12</f>
        <v>307955</v>
      </c>
      <c r="S7" s="384"/>
      <c r="T7" s="385"/>
      <c r="U7" s="68"/>
      <c r="V7" s="25"/>
    </row>
    <row r="8" spans="1:22" s="1" customFormat="1" ht="51" customHeight="1" x14ac:dyDescent="0.2">
      <c r="A8" s="25"/>
      <c r="B8" s="284" t="s">
        <v>257</v>
      </c>
      <c r="C8" s="285"/>
      <c r="D8" s="285"/>
      <c r="E8" s="410"/>
      <c r="F8" s="172">
        <f>IFERROR(VLOOKUP(MID(B8,4,3),MMWR_TRAD_AGG_NATIONAL[],2,0),"--")</f>
        <v>354</v>
      </c>
      <c r="G8" s="173">
        <f>IFERROR(VLOOKUP(MID(B8,4,3),MMWR_TRAD_AGG_NATIONAL[],3,0),"--")</f>
        <v>215</v>
      </c>
      <c r="H8" s="174">
        <f t="shared" si="0"/>
        <v>0.60734463276836159</v>
      </c>
      <c r="I8" s="25"/>
      <c r="J8" s="386" t="s">
        <v>275</v>
      </c>
      <c r="K8" s="387"/>
      <c r="L8" s="172">
        <f>IFERROR(VLOOKUP(MID(J8,4,3),MMWR_TRAD_AGG_NATIONAL[],2,0),"--")</f>
        <v>5151</v>
      </c>
      <c r="M8" s="173">
        <f>IFERROR(VLOOKUP(MID(J8,4,3),MMWR_TRAD_AGG_NATIONAL[],3,0),"--")</f>
        <v>288</v>
      </c>
      <c r="N8" s="174">
        <f>IF(M8="--", 0, M8/L8)</f>
        <v>5.5911473500291207E-2</v>
      </c>
      <c r="O8" s="69" t="s">
        <v>319</v>
      </c>
      <c r="P8" s="421" t="s">
        <v>248</v>
      </c>
      <c r="Q8" s="422"/>
      <c r="R8" s="183">
        <f>VLOOKUP(P8,MMWR_APP_NATIONAL[],2,0)</f>
        <v>213558</v>
      </c>
      <c r="S8" s="389" t="s">
        <v>237</v>
      </c>
      <c r="T8" s="388"/>
      <c r="U8" s="184">
        <f>VLOOKUP(P8,MMWR_APP_NATIONAL[],3,0)</f>
        <v>398.54174978229997</v>
      </c>
      <c r="V8" s="25"/>
    </row>
    <row r="9" spans="1:22" s="1" customFormat="1" ht="45" customHeight="1" x14ac:dyDescent="0.2">
      <c r="A9" s="25"/>
      <c r="B9" s="284" t="s">
        <v>255</v>
      </c>
      <c r="C9" s="285"/>
      <c r="D9" s="285"/>
      <c r="E9" s="410"/>
      <c r="F9" s="172">
        <f>IFERROR(VLOOKUP(MID(B9,4,3),MMWR_TRAD_AGG_NATIONAL[],2,0),"--")</f>
        <v>42393</v>
      </c>
      <c r="G9" s="173">
        <f>IFERROR(VLOOKUP(MID(B9,4,3),MMWR_TRAD_AGG_NATIONAL[],3,0),"--")</f>
        <v>17127</v>
      </c>
      <c r="H9" s="174">
        <f t="shared" si="0"/>
        <v>0.40400537824640859</v>
      </c>
      <c r="I9" s="69" t="s">
        <v>319</v>
      </c>
      <c r="J9" s="284" t="s">
        <v>274</v>
      </c>
      <c r="K9" s="285"/>
      <c r="L9" s="172">
        <f>IFERROR(VLOOKUP(MID(J9,4,3),MMWR_TRAD_AGG_NATIONAL[],2,0),"--")</f>
        <v>5712</v>
      </c>
      <c r="M9" s="173">
        <f>IFERROR(VLOOKUP(MID(J9,4,3),MMWR_TRAD_AGG_NATIONAL[],3,0),"--")</f>
        <v>272</v>
      </c>
      <c r="N9" s="174">
        <f>IF(M9="--", 0, M9/L9)</f>
        <v>4.7619047619047616E-2</v>
      </c>
      <c r="O9" s="69" t="s">
        <v>319</v>
      </c>
      <c r="P9" s="432" t="s">
        <v>249</v>
      </c>
      <c r="Q9" s="433"/>
      <c r="R9" s="185">
        <f>VLOOKUP(P9,MMWR_APP_NATIONAL[],2,0)</f>
        <v>57659</v>
      </c>
      <c r="S9" s="434" t="s">
        <v>238</v>
      </c>
      <c r="T9" s="379"/>
      <c r="U9" s="186">
        <f>VLOOKUP(P9,MMWR_APP_NATIONAL[],3,0)</f>
        <v>618.26306387550005</v>
      </c>
      <c r="V9" s="25"/>
    </row>
    <row r="10" spans="1:22" s="1" customFormat="1" ht="63" customHeight="1" thickBot="1" x14ac:dyDescent="0.25">
      <c r="A10" s="25"/>
      <c r="B10" s="284" t="s">
        <v>256</v>
      </c>
      <c r="C10" s="285"/>
      <c r="D10" s="285"/>
      <c r="E10" s="410"/>
      <c r="F10" s="172">
        <f>IFERROR(VLOOKUP(MID(B10,4,3),MMWR_TRAD_AGG_NATIONAL[],2,0),"--")</f>
        <v>93591</v>
      </c>
      <c r="G10" s="173">
        <f>IFERROR(VLOOKUP(MID(B10,4,3),MMWR_TRAD_AGG_NATIONAL[],3,0),"--")</f>
        <v>34999</v>
      </c>
      <c r="H10" s="174">
        <f t="shared" si="0"/>
        <v>0.37395689756493677</v>
      </c>
      <c r="I10" s="69" t="s">
        <v>319</v>
      </c>
      <c r="J10" s="286" t="s">
        <v>276</v>
      </c>
      <c r="K10" s="287"/>
      <c r="L10" s="172">
        <f>IFERROR(VLOOKUP(MID(J10,4,3),MMWR_TRAD_AGG_NATIONAL[],2,0),"--")</f>
        <v>12992</v>
      </c>
      <c r="M10" s="173">
        <f>IFERROR(VLOOKUP(MID(J10,4,3),MMWR_TRAD_AGG_NATIONAL[],3,0),"--")</f>
        <v>2198</v>
      </c>
      <c r="N10" s="174">
        <f>IF(M10="--", 0, M10/L10)</f>
        <v>0.16918103448275862</v>
      </c>
      <c r="O10" s="70"/>
      <c r="P10" s="432" t="s">
        <v>250</v>
      </c>
      <c r="Q10" s="433"/>
      <c r="R10" s="185">
        <f>VLOOKUP(P10,MMWR_APP_NATIONAL[],2,0)</f>
        <v>23250</v>
      </c>
      <c r="S10" s="434" t="s">
        <v>239</v>
      </c>
      <c r="T10" s="379"/>
      <c r="U10" s="186">
        <f>VLOOKUP(P10,MMWR_APP_NATIONAL[],3,0)</f>
        <v>527.8040430108</v>
      </c>
      <c r="V10" s="25"/>
    </row>
    <row r="11" spans="1:22" s="1" customFormat="1" ht="45" customHeight="1" thickBot="1" x14ac:dyDescent="0.25">
      <c r="A11" s="25"/>
      <c r="B11" s="384" t="s">
        <v>308</v>
      </c>
      <c r="C11" s="385"/>
      <c r="D11" s="385"/>
      <c r="E11" s="385"/>
      <c r="F11" s="169">
        <f>SUM(F12:F13)</f>
        <v>6896</v>
      </c>
      <c r="G11" s="170">
        <f>SUM(G12:G13)</f>
        <v>1418</v>
      </c>
      <c r="H11" s="171">
        <f t="shared" si="0"/>
        <v>0.20562645011600927</v>
      </c>
      <c r="I11" s="25"/>
      <c r="J11" s="384" t="s">
        <v>245</v>
      </c>
      <c r="K11" s="385"/>
      <c r="L11" s="169">
        <f>SUM(L12:L17)</f>
        <v>31371</v>
      </c>
      <c r="M11" s="169">
        <f>SUM(M12:M17)</f>
        <v>5995</v>
      </c>
      <c r="N11" s="162">
        <f>IF(M11="--", 0, M11/L11)</f>
        <v>0.19110006056549042</v>
      </c>
      <c r="O11" s="70"/>
      <c r="P11" s="432" t="s">
        <v>990</v>
      </c>
      <c r="Q11" s="433"/>
      <c r="R11" s="185">
        <f>VLOOKUP(P11,MMWR_APP_NATIONAL[],2,0)</f>
        <v>13099</v>
      </c>
      <c r="S11" s="434" t="s">
        <v>240</v>
      </c>
      <c r="T11" s="379"/>
      <c r="U11" s="186">
        <f>VLOOKUP(P11,MMWR_APP_NATIONAL[],3,0)</f>
        <v>179.37911290939999</v>
      </c>
      <c r="V11" s="25"/>
    </row>
    <row r="12" spans="1:22" s="1" customFormat="1" ht="46.5" customHeight="1" thickBot="1" x14ac:dyDescent="0.25">
      <c r="A12" s="25"/>
      <c r="B12" s="380" t="s">
        <v>278</v>
      </c>
      <c r="C12" s="381"/>
      <c r="D12" s="381"/>
      <c r="E12" s="382"/>
      <c r="F12" s="172">
        <f>IFERROR(VLOOKUP(MID(B12,4,3),MMWR_TRAD_AGG_NATIONAL[],2,0),"--")</f>
        <v>6378</v>
      </c>
      <c r="G12" s="173">
        <f>IFERROR(VLOOKUP(MID(B12,4,3),MMWR_TRAD_AGG_NATIONAL[],3,0),"--")</f>
        <v>1004</v>
      </c>
      <c r="H12" s="174">
        <f t="shared" si="0"/>
        <v>0.15741611790529947</v>
      </c>
      <c r="I12" s="69" t="s">
        <v>319</v>
      </c>
      <c r="J12" s="286" t="s">
        <v>268</v>
      </c>
      <c r="K12" s="379"/>
      <c r="L12" s="172">
        <f>IFERROR(VLOOKUP(MID(J12,4,3)&amp;"p",MMWR_TRAD_AGG_NATIONAL[],2,0),"--")</f>
        <v>870</v>
      </c>
      <c r="M12" s="173">
        <f>IFERROR(VLOOKUP(MID(J12,4,3)&amp;"p",MMWR_TRAD_AGG_NATIONAL[],3,0),"--")</f>
        <v>35</v>
      </c>
      <c r="N12" s="174">
        <f t="shared" ref="N12:N17" si="1">IF(L12="--", 0,M12/L12)</f>
        <v>4.0229885057471264E-2</v>
      </c>
      <c r="O12" s="70"/>
      <c r="P12" s="432" t="s">
        <v>970</v>
      </c>
      <c r="Q12" s="433"/>
      <c r="R12" s="185">
        <f>VLOOKUP(P12,MMWR_APP_NATIONAL[],2,0)</f>
        <v>389</v>
      </c>
      <c r="S12" s="435" t="s">
        <v>988</v>
      </c>
      <c r="T12" s="383"/>
      <c r="U12" s="186">
        <f>VLOOKUP(P12,MMWR_APP_NATIONAL[],3,0)</f>
        <v>466.7686375321</v>
      </c>
      <c r="V12" s="25"/>
    </row>
    <row r="13" spans="1:22" s="1" customFormat="1" ht="49.5" customHeight="1" thickBot="1" x14ac:dyDescent="0.25">
      <c r="A13" s="25"/>
      <c r="B13" s="380" t="s">
        <v>258</v>
      </c>
      <c r="C13" s="381"/>
      <c r="D13" s="381"/>
      <c r="E13" s="382"/>
      <c r="F13" s="172">
        <f>IFERROR(VLOOKUP(MID(B13,4,3),MMWR_TRAD_AGG_NATIONAL[],2,0),"--")</f>
        <v>518</v>
      </c>
      <c r="G13" s="173">
        <f>IFERROR(VLOOKUP(MID(B13,4,3),MMWR_TRAD_AGG_NATIONAL[],3,0),"--")</f>
        <v>414</v>
      </c>
      <c r="H13" s="174">
        <f t="shared" si="0"/>
        <v>0.79922779922779918</v>
      </c>
      <c r="I13" s="25"/>
      <c r="J13" s="286" t="s">
        <v>277</v>
      </c>
      <c r="K13" s="379"/>
      <c r="L13" s="172">
        <f>IFERROR(VLOOKUP(MID(J13,4,3),MMWR_TRAD_AGG_NATIONAL[],2,0),"--")</f>
        <v>4072</v>
      </c>
      <c r="M13" s="173">
        <f>IFERROR(VLOOKUP(MID(J13,4,3),MMWR_TRAD_AGG_NATIONAL[],3,0),"--")</f>
        <v>722</v>
      </c>
      <c r="N13" s="174">
        <f t="shared" si="1"/>
        <v>0.17730844793713163</v>
      </c>
      <c r="O13" s="70"/>
      <c r="P13" s="384" t="s">
        <v>1000</v>
      </c>
      <c r="Q13" s="385"/>
      <c r="R13" s="428"/>
      <c r="S13" s="429">
        <f>VLOOKUP(P13,MMWR_APP_NATIONAL[],2,0)</f>
        <v>19622</v>
      </c>
      <c r="T13" s="430"/>
      <c r="U13" s="431"/>
      <c r="V13" s="25"/>
    </row>
    <row r="14" spans="1:22" s="1" customFormat="1" ht="45" customHeight="1" thickBot="1" x14ac:dyDescent="0.25">
      <c r="A14" s="25"/>
      <c r="B14" s="384" t="s">
        <v>1</v>
      </c>
      <c r="C14" s="385"/>
      <c r="D14" s="385"/>
      <c r="E14" s="385"/>
      <c r="F14" s="169">
        <f>SUM(F15:F21)</f>
        <v>214222</v>
      </c>
      <c r="G14" s="170">
        <f>SUM(G15:G21)</f>
        <v>67122</v>
      </c>
      <c r="H14" s="171">
        <f t="shared" si="0"/>
        <v>0.31332916320452614</v>
      </c>
      <c r="I14" s="25"/>
      <c r="J14" s="286" t="s">
        <v>279</v>
      </c>
      <c r="K14" s="379"/>
      <c r="L14" s="172">
        <f>IFERROR(VLOOKUP(MID(J14,4,3),MMWR_TRAD_AGG_NATIONAL[],2,0),"--")</f>
        <v>12121</v>
      </c>
      <c r="M14" s="173">
        <f>IFERROR(VLOOKUP(MID(J14,4,3),MMWR_TRAD_AGG_NATIONAL[],3,0),"--")</f>
        <v>2283</v>
      </c>
      <c r="N14" s="174">
        <f t="shared" si="1"/>
        <v>0.18835079613893244</v>
      </c>
      <c r="O14" s="70"/>
      <c r="P14" s="21"/>
      <c r="Q14" s="21"/>
      <c r="R14" s="21"/>
      <c r="S14" s="28"/>
      <c r="T14" s="28"/>
      <c r="U14" s="71"/>
      <c r="V14" s="25"/>
    </row>
    <row r="15" spans="1:22" s="1" customFormat="1" ht="44.25" customHeight="1" thickBot="1" x14ac:dyDescent="0.25">
      <c r="A15" s="25"/>
      <c r="B15" s="284" t="s">
        <v>259</v>
      </c>
      <c r="C15" s="285"/>
      <c r="D15" s="285"/>
      <c r="E15" s="410"/>
      <c r="F15" s="172">
        <f>IFERROR(VLOOKUP(MID(B15,4,3),MMWR_TRAD_AGG_NATIONAL[],2,0),"--")</f>
        <v>213748</v>
      </c>
      <c r="G15" s="173">
        <f>IFERROR(VLOOKUP(MID(B15,4,3),MMWR_TRAD_AGG_NATIONAL[],3,0),"--")</f>
        <v>66975</v>
      </c>
      <c r="H15" s="174">
        <f t="shared" si="0"/>
        <v>0.31333626513464452</v>
      </c>
      <c r="I15" s="69" t="s">
        <v>319</v>
      </c>
      <c r="J15" s="286" t="s">
        <v>280</v>
      </c>
      <c r="K15" s="379"/>
      <c r="L15" s="172">
        <f>IFERROR(VLOOKUP(MID(J15,4,3),MMWR_TRAD_AGG_NATIONAL[],2,0),"--")</f>
        <v>1</v>
      </c>
      <c r="M15" s="173">
        <f>IFERROR(VLOOKUP(MID(J15,4,3),MMWR_TRAD_AGG_NATIONAL[],3,0),"--")</f>
        <v>1</v>
      </c>
      <c r="N15" s="174">
        <f t="shared" si="1"/>
        <v>1</v>
      </c>
      <c r="O15" s="70"/>
      <c r="P15" s="25"/>
      <c r="Q15" s="25"/>
      <c r="R15" s="25"/>
      <c r="S15" s="25"/>
      <c r="T15" s="28"/>
      <c r="U15" s="72"/>
      <c r="V15" s="25"/>
    </row>
    <row r="16" spans="1:22" s="1" customFormat="1" ht="57.75" customHeight="1" thickBot="1" x14ac:dyDescent="0.25">
      <c r="A16" s="25"/>
      <c r="B16" s="286" t="s">
        <v>260</v>
      </c>
      <c r="C16" s="287"/>
      <c r="D16" s="287"/>
      <c r="E16" s="379"/>
      <c r="F16" s="172">
        <f>IFERROR(VLOOKUP(MID(B16,4,3),MMWR_TRAD_AGG_NATIONAL[],2,0),"--")</f>
        <v>251</v>
      </c>
      <c r="G16" s="173">
        <f>IFERROR(VLOOKUP(MID(B16,4,3),MMWR_TRAD_AGG_NATIONAL[],3,0),"--")</f>
        <v>28</v>
      </c>
      <c r="H16" s="174">
        <f t="shared" si="0"/>
        <v>0.11155378486055777</v>
      </c>
      <c r="I16" s="69" t="s">
        <v>319</v>
      </c>
      <c r="J16" s="286" t="s">
        <v>281</v>
      </c>
      <c r="K16" s="379"/>
      <c r="L16" s="172">
        <f>IFERROR(VLOOKUP(MID(J16,4,3),MMWR_TRAD_AGG_NATIONAL[],2,0),"--")</f>
        <v>3646</v>
      </c>
      <c r="M16" s="173">
        <f>IFERROR(VLOOKUP(MID(J16,4,3),MMWR_TRAD_AGG_NATIONAL[],3,0),"--")</f>
        <v>706</v>
      </c>
      <c r="N16" s="174">
        <f t="shared" si="1"/>
        <v>0.1936368623148656</v>
      </c>
      <c r="O16" s="70"/>
      <c r="P16" s="414" t="s">
        <v>971</v>
      </c>
      <c r="Q16" s="415"/>
      <c r="R16" s="415"/>
      <c r="S16" s="416"/>
      <c r="T16" s="28"/>
      <c r="U16" s="72"/>
      <c r="V16" s="25"/>
    </row>
    <row r="17" spans="1:22" s="1" customFormat="1" ht="31.5" customHeight="1" thickBot="1" x14ac:dyDescent="0.25">
      <c r="A17" s="25"/>
      <c r="B17" s="286" t="s">
        <v>261</v>
      </c>
      <c r="C17" s="287"/>
      <c r="D17" s="287"/>
      <c r="E17" s="379"/>
      <c r="F17" s="172">
        <f>IFERROR(VLOOKUP(MID(B17,4,3),MMWR_TRAD_AGG_NATIONAL[],2,0),"--")</f>
        <v>167</v>
      </c>
      <c r="G17" s="173">
        <f>IFERROR(VLOOKUP(MID(B17,4,3),MMWR_TRAD_AGG_NATIONAL[],3,0),"--")</f>
        <v>109</v>
      </c>
      <c r="H17" s="174">
        <f t="shared" si="0"/>
        <v>0.65269461077844315</v>
      </c>
      <c r="I17" s="25"/>
      <c r="J17" s="286" t="s">
        <v>282</v>
      </c>
      <c r="K17" s="379"/>
      <c r="L17" s="172">
        <f>IFERROR(VLOOKUP(MID(J17,4,3),MMWR_TRAD_AGG_NATIONAL[],2,0),"--")</f>
        <v>10661</v>
      </c>
      <c r="M17" s="173">
        <f>IFERROR(VLOOKUP(MID(J17,4,3),MMWR_TRAD_AGG_NATIONAL[],3,0),"--")</f>
        <v>2248</v>
      </c>
      <c r="N17" s="174">
        <f t="shared" si="1"/>
        <v>0.21086202044836319</v>
      </c>
      <c r="O17" s="73"/>
      <c r="P17" s="423" t="s">
        <v>253</v>
      </c>
      <c r="Q17" s="424"/>
      <c r="R17" s="424"/>
      <c r="S17" s="187">
        <f>IFERROR(VLOOKUP("160",MMWR_TRAD_AGG_NATIONAL[],2,0),"--")</f>
        <v>18902</v>
      </c>
      <c r="T17" s="28"/>
      <c r="U17" s="72"/>
      <c r="V17" s="25"/>
    </row>
    <row r="18" spans="1:22" s="1" customFormat="1" ht="32.25" customHeight="1" thickBot="1" x14ac:dyDescent="0.25">
      <c r="A18" s="25"/>
      <c r="B18" s="286" t="s">
        <v>262</v>
      </c>
      <c r="C18" s="287"/>
      <c r="D18" s="287"/>
      <c r="E18" s="379"/>
      <c r="F18" s="172">
        <f>IFERROR(VLOOKUP(MID(B18,4,3),MMWR_TRAD_AGG_NATIONAL[],2,0),"--")</f>
        <v>20</v>
      </c>
      <c r="G18" s="173">
        <f>IFERROR(VLOOKUP(MID(B18,4,3),MMWR_TRAD_AGG_NATIONAL[],3,0),"--")</f>
        <v>8</v>
      </c>
      <c r="H18" s="174">
        <f t="shared" si="0"/>
        <v>0.4</v>
      </c>
      <c r="I18" s="69" t="s">
        <v>319</v>
      </c>
      <c r="J18" s="384" t="s">
        <v>15</v>
      </c>
      <c r="K18" s="385"/>
      <c r="L18" s="169">
        <f>SUM(L19:L21)</f>
        <v>858</v>
      </c>
      <c r="M18" s="169">
        <f>SUM(M19:M21)</f>
        <v>832</v>
      </c>
      <c r="N18" s="162">
        <f t="shared" ref="N18:N26" si="2">IF(M18="--", 0, M18/L18)</f>
        <v>0.96969696969696972</v>
      </c>
      <c r="O18" s="74"/>
      <c r="P18" s="425" t="s">
        <v>254</v>
      </c>
      <c r="Q18" s="426"/>
      <c r="R18" s="426"/>
      <c r="S18" s="188">
        <f>IFERROR(VLOOKUP("165",MMWR_TRAD_AGG_NATIONAL[],2,0),"--")</f>
        <v>9165</v>
      </c>
      <c r="T18" s="28"/>
      <c r="U18" s="72"/>
      <c r="V18" s="25"/>
    </row>
    <row r="19" spans="1:22" s="1" customFormat="1" ht="41.25" customHeight="1" x14ac:dyDescent="0.4">
      <c r="A19" s="25"/>
      <c r="B19" s="286" t="s">
        <v>263</v>
      </c>
      <c r="C19" s="287"/>
      <c r="D19" s="287"/>
      <c r="E19" s="379"/>
      <c r="F19" s="172">
        <f>IFERROR(VLOOKUP(MID(B19,4,3),MMWR_TRAD_AGG_NATIONAL[],2,0),"--")</f>
        <v>2</v>
      </c>
      <c r="G19" s="173">
        <f>IFERROR(VLOOKUP(MID(B19,4,3),MMWR_TRAD_AGG_NATIONAL[],3,0),"--")</f>
        <v>2</v>
      </c>
      <c r="H19" s="174">
        <f t="shared" si="0"/>
        <v>1</v>
      </c>
      <c r="I19" s="69" t="s">
        <v>319</v>
      </c>
      <c r="J19" s="286" t="s">
        <v>283</v>
      </c>
      <c r="K19" s="379"/>
      <c r="L19" s="172">
        <f>IFERROR(VLOOKUP(MID(J19,4,3),MMWR_TRAD_AGG_NATIONAL[],2,0),"--")</f>
        <v>718</v>
      </c>
      <c r="M19" s="173">
        <f>IFERROR(VLOOKUP(MID(J19,4,3),MMWR_TRAD_AGG_NATIONAL[],3,0),"--")</f>
        <v>709</v>
      </c>
      <c r="N19" s="174">
        <f t="shared" si="2"/>
        <v>0.98746518105849579</v>
      </c>
      <c r="O19" s="57"/>
      <c r="P19" s="25"/>
      <c r="Q19" s="25"/>
      <c r="R19" s="25"/>
      <c r="S19" s="25"/>
      <c r="T19" s="28"/>
      <c r="U19" s="72"/>
      <c r="V19" s="25"/>
    </row>
    <row r="20" spans="1:22" s="1" customFormat="1" ht="40.5" customHeight="1" x14ac:dyDescent="0.4">
      <c r="A20" s="25"/>
      <c r="B20" s="286" t="s">
        <v>264</v>
      </c>
      <c r="C20" s="287"/>
      <c r="D20" s="287"/>
      <c r="E20" s="379"/>
      <c r="F20" s="172">
        <f>IFERROR(VLOOKUP(MID(B20,4,3),MMWR_TRAD_AGG_NATIONAL[],2,0),"--")</f>
        <v>29</v>
      </c>
      <c r="G20" s="173">
        <f>IFERROR(VLOOKUP(MID(B20,4,3),MMWR_TRAD_AGG_NATIONAL[],3,0),"--")</f>
        <v>0</v>
      </c>
      <c r="H20" s="174">
        <f t="shared" si="0"/>
        <v>0</v>
      </c>
      <c r="I20" s="69" t="s">
        <v>319</v>
      </c>
      <c r="J20" s="286" t="s">
        <v>306</v>
      </c>
      <c r="K20" s="379"/>
      <c r="L20" s="172">
        <f>IFERROR(VLOOKUP(MID(J20,4,3),MMWR_TRAD_AGG_NATIONAL[],2,0),"--")</f>
        <v>131</v>
      </c>
      <c r="M20" s="173">
        <f>IFERROR(VLOOKUP(MID(J20,4,3),MMWR_TRAD_AGG_NATIONAL[],3,0),"--")</f>
        <v>121</v>
      </c>
      <c r="N20" s="174">
        <f t="shared" si="2"/>
        <v>0.92366412213740456</v>
      </c>
      <c r="O20" s="57"/>
      <c r="P20" s="57"/>
      <c r="Q20" s="57"/>
      <c r="R20" s="57"/>
      <c r="S20" s="57"/>
      <c r="T20" s="57"/>
      <c r="U20" s="75"/>
      <c r="V20" s="25"/>
    </row>
    <row r="21" spans="1:22" s="1" customFormat="1" ht="39" customHeight="1" thickBot="1" x14ac:dyDescent="0.45">
      <c r="A21" s="25"/>
      <c r="B21" s="286" t="s">
        <v>265</v>
      </c>
      <c r="C21" s="287"/>
      <c r="D21" s="287"/>
      <c r="E21" s="379"/>
      <c r="F21" s="172">
        <f>IFERROR(VLOOKUP(MID(B21,4,3),MMWR_TRAD_AGG_NATIONAL[],2,0),"--")</f>
        <v>5</v>
      </c>
      <c r="G21" s="173">
        <f>IFERROR(VLOOKUP(MID(B21,4,3),MMWR_TRAD_AGG_NATIONAL[],3,0),"--")</f>
        <v>0</v>
      </c>
      <c r="H21" s="174">
        <f t="shared" si="0"/>
        <v>0</v>
      </c>
      <c r="I21" s="69" t="s">
        <v>319</v>
      </c>
      <c r="J21" s="286" t="s">
        <v>284</v>
      </c>
      <c r="K21" s="379"/>
      <c r="L21" s="172">
        <f>IFERROR(VLOOKUP(MID(J21,4,3),MMWR_TRAD_AGG_NATIONAL[],2,0),"--")</f>
        <v>9</v>
      </c>
      <c r="M21" s="173">
        <f>IFERROR(VLOOKUP(MID(J21,4,3),MMWR_TRAD_AGG_NATIONAL[],3,0),"--")</f>
        <v>2</v>
      </c>
      <c r="N21" s="174">
        <f t="shared" si="2"/>
        <v>0.22222222222222221</v>
      </c>
      <c r="O21" s="57"/>
      <c r="P21" s="57"/>
      <c r="Q21" s="57"/>
      <c r="R21" s="57"/>
      <c r="S21" s="57"/>
      <c r="T21" s="57"/>
      <c r="U21" s="75"/>
      <c r="V21" s="25"/>
    </row>
    <row r="22" spans="1:22" s="1" customFormat="1" ht="32.25" customHeight="1" thickBot="1" x14ac:dyDescent="0.45">
      <c r="A22" s="25"/>
      <c r="B22" s="384" t="s">
        <v>13</v>
      </c>
      <c r="C22" s="385"/>
      <c r="D22" s="385"/>
      <c r="E22" s="385"/>
      <c r="F22" s="169">
        <f>SUM(F23:F29)</f>
        <v>504355</v>
      </c>
      <c r="G22" s="170">
        <f>SUM(G23:G29)</f>
        <v>318450</v>
      </c>
      <c r="H22" s="171">
        <f t="shared" si="0"/>
        <v>0.63140050163079575</v>
      </c>
      <c r="I22" s="25"/>
      <c r="J22" s="384" t="s">
        <v>232</v>
      </c>
      <c r="K22" s="385"/>
      <c r="L22" s="169">
        <f>SUM(L23:L26)</f>
        <v>5725</v>
      </c>
      <c r="M22" s="169">
        <f>SUM(M23:M26)</f>
        <v>956</v>
      </c>
      <c r="N22" s="162">
        <f t="shared" si="2"/>
        <v>0.16698689956331877</v>
      </c>
      <c r="O22" s="57"/>
      <c r="P22" s="25"/>
      <c r="Q22" s="25"/>
      <c r="R22" s="25"/>
      <c r="S22" s="25"/>
      <c r="T22" s="57"/>
      <c r="U22" s="75"/>
      <c r="V22" s="25"/>
    </row>
    <row r="23" spans="1:22" s="1" customFormat="1" ht="26.25" customHeight="1" x14ac:dyDescent="0.4">
      <c r="A23" s="25"/>
      <c r="B23" s="380" t="s">
        <v>266</v>
      </c>
      <c r="C23" s="381"/>
      <c r="D23" s="381"/>
      <c r="E23" s="382"/>
      <c r="F23" s="172">
        <f>IFERROR(VLOOKUP(MID(B23,4,3),MMWR_TRAD_AGG_NATIONAL[],2,0),"--")</f>
        <v>221284</v>
      </c>
      <c r="G23" s="173">
        <f>IFERROR(VLOOKUP(MID(B23,4,3),MMWR_TRAD_AGG_NATIONAL[],3,0),"--")</f>
        <v>168545</v>
      </c>
      <c r="H23" s="174">
        <f t="shared" si="0"/>
        <v>0.761668263408109</v>
      </c>
      <c r="I23" s="25"/>
      <c r="J23" s="386" t="s">
        <v>287</v>
      </c>
      <c r="K23" s="388"/>
      <c r="L23" s="175">
        <f>IFERROR(VLOOKUP(MID(J23,4,3),MMWR_TRAD_AGG_NATIONAL[],2,0),"--")</f>
        <v>4605</v>
      </c>
      <c r="M23" s="176">
        <f>IFERROR(VLOOKUP(MID(J23,4,3),MMWR_TRAD_AGG_NATIONAL[],3,0),"--")</f>
        <v>631</v>
      </c>
      <c r="N23" s="177">
        <f t="shared" si="2"/>
        <v>0.13702497285559176</v>
      </c>
      <c r="O23" s="57"/>
      <c r="P23" s="25"/>
      <c r="Q23" s="25"/>
      <c r="R23" s="25"/>
      <c r="S23" s="25"/>
      <c r="T23" s="57"/>
      <c r="U23" s="75"/>
      <c r="V23" s="25"/>
    </row>
    <row r="24" spans="1:22" s="1" customFormat="1" ht="39.75" customHeight="1" x14ac:dyDescent="0.4">
      <c r="A24" s="25"/>
      <c r="B24" s="380" t="s">
        <v>267</v>
      </c>
      <c r="C24" s="381"/>
      <c r="D24" s="381"/>
      <c r="E24" s="382"/>
      <c r="F24" s="172">
        <f>IFERROR(VLOOKUP(MID(B24,4,3),MMWR_TRAD_AGG_NATIONAL[],2,0),"--")</f>
        <v>182</v>
      </c>
      <c r="G24" s="173">
        <f>IFERROR(VLOOKUP(MID(B24,4,3),MMWR_TRAD_AGG_NATIONAL[],3,0),"--")</f>
        <v>103</v>
      </c>
      <c r="H24" s="174">
        <f t="shared" si="0"/>
        <v>0.56593406593406592</v>
      </c>
      <c r="I24" s="25"/>
      <c r="J24" s="286" t="s">
        <v>286</v>
      </c>
      <c r="K24" s="379"/>
      <c r="L24" s="172">
        <f>IFERROR(VLOOKUP(MID(J24,4,3),MMWR_TRAD_AGG_NATIONAL[],2,0),"--")</f>
        <v>463</v>
      </c>
      <c r="M24" s="173">
        <f>IFERROR(VLOOKUP(MID(J24,4,3),MMWR_TRAD_AGG_NATIONAL[],3,0),"--")</f>
        <v>15</v>
      </c>
      <c r="N24" s="174">
        <f t="shared" si="2"/>
        <v>3.2397408207343416E-2</v>
      </c>
      <c r="O24" s="57"/>
      <c r="P24" s="25"/>
      <c r="Q24" s="25"/>
      <c r="R24" s="25"/>
      <c r="S24" s="25"/>
      <c r="T24" s="57"/>
      <c r="U24" s="75"/>
      <c r="V24" s="25"/>
    </row>
    <row r="25" spans="1:22" s="1" customFormat="1" ht="37.5" customHeight="1" x14ac:dyDescent="0.4">
      <c r="A25" s="25"/>
      <c r="B25" s="380" t="s">
        <v>268</v>
      </c>
      <c r="C25" s="381"/>
      <c r="D25" s="381"/>
      <c r="E25" s="382"/>
      <c r="F25" s="172">
        <f>IFERROR(VLOOKUP(MID(B25,4,3),MMWR_TRAD_AGG_NATIONAL[],2,0),"--")</f>
        <v>244</v>
      </c>
      <c r="G25" s="173">
        <f>IFERROR(VLOOKUP(MID(B25,4,3),MMWR_TRAD_AGG_NATIONAL[],3,0),"--")</f>
        <v>174</v>
      </c>
      <c r="H25" s="174">
        <f t="shared" si="0"/>
        <v>0.71311475409836067</v>
      </c>
      <c r="I25" s="25"/>
      <c r="J25" s="286" t="s">
        <v>285</v>
      </c>
      <c r="K25" s="379"/>
      <c r="L25" s="172">
        <f>IFERROR(VLOOKUP(MID(J25,4,3),MMWR_TRAD_AGG_NATIONAL[],2,0),"--")</f>
        <v>614</v>
      </c>
      <c r="M25" s="173">
        <f>IFERROR(VLOOKUP(MID(J25,4,3),MMWR_TRAD_AGG_NATIONAL[],3,0),"--")</f>
        <v>286</v>
      </c>
      <c r="N25" s="174">
        <f t="shared" si="2"/>
        <v>0.46579804560260585</v>
      </c>
      <c r="O25" s="57"/>
      <c r="P25" s="57"/>
      <c r="Q25" s="57"/>
      <c r="R25" s="57"/>
      <c r="S25" s="57"/>
      <c r="T25" s="57"/>
      <c r="U25" s="75"/>
      <c r="V25" s="25"/>
    </row>
    <row r="26" spans="1:22" s="1" customFormat="1" ht="37.5" customHeight="1" thickBot="1" x14ac:dyDescent="0.45">
      <c r="A26" s="25"/>
      <c r="B26" s="380" t="s">
        <v>269</v>
      </c>
      <c r="C26" s="381"/>
      <c r="D26" s="381"/>
      <c r="E26" s="382"/>
      <c r="F26" s="172">
        <f>IFERROR(VLOOKUP(MID(B26,4,3),MMWR_TRAD_AGG_NATIONAL[],2,0),"--")</f>
        <v>144951</v>
      </c>
      <c r="G26" s="173">
        <f>IFERROR(VLOOKUP(MID(B26,4,3),MMWR_TRAD_AGG_NATIONAL[],3,0),"--")</f>
        <v>91934</v>
      </c>
      <c r="H26" s="174">
        <f t="shared" si="0"/>
        <v>0.6342419162337618</v>
      </c>
      <c r="I26" s="57"/>
      <c r="J26" s="291" t="s">
        <v>322</v>
      </c>
      <c r="K26" s="383"/>
      <c r="L26" s="178">
        <f>IFERROR(VLOOKUP(MID(J26,4,3),MMWR_TRAD_AGG_NATIONAL[],2,0),"--")</f>
        <v>43</v>
      </c>
      <c r="M26" s="179">
        <f>IFERROR(VLOOKUP(MID(J26,4,3),MMWR_TRAD_AGG_NATIONAL[],3,0),"--")</f>
        <v>24</v>
      </c>
      <c r="N26" s="180">
        <f t="shared" si="2"/>
        <v>0.55813953488372092</v>
      </c>
      <c r="O26" s="57"/>
      <c r="P26" s="57"/>
      <c r="Q26" s="57"/>
      <c r="R26" s="57"/>
      <c r="S26" s="57"/>
      <c r="T26" s="57"/>
      <c r="U26" s="75"/>
      <c r="V26" s="25"/>
    </row>
    <row r="27" spans="1:22" s="1" customFormat="1" ht="26.25" customHeight="1" thickBot="1" x14ac:dyDescent="0.45">
      <c r="A27" s="25"/>
      <c r="B27" s="380" t="s">
        <v>270</v>
      </c>
      <c r="C27" s="381"/>
      <c r="D27" s="381"/>
      <c r="E27" s="382"/>
      <c r="F27" s="172">
        <f>IFERROR(VLOOKUP(MID(B27,4,3),MMWR_TRAD_AGG_NATIONAL[],2,0),"--")</f>
        <v>8</v>
      </c>
      <c r="G27" s="173">
        <f>IFERROR(VLOOKUP(MID(B27,4,3),MMWR_TRAD_AGG_NATIONAL[],3,0),"--")</f>
        <v>5</v>
      </c>
      <c r="H27" s="174">
        <f t="shared" si="0"/>
        <v>0.625</v>
      </c>
      <c r="I27" s="57"/>
      <c r="J27" s="57"/>
      <c r="K27" s="57"/>
      <c r="L27" s="57"/>
      <c r="M27" s="57"/>
      <c r="N27" s="57"/>
      <c r="O27" s="57"/>
      <c r="P27" s="57"/>
      <c r="Q27" s="57"/>
      <c r="R27" s="57"/>
      <c r="S27" s="57"/>
      <c r="T27" s="57"/>
      <c r="U27" s="75"/>
      <c r="V27" s="25"/>
    </row>
    <row r="28" spans="1:22" s="1" customFormat="1" ht="32.25" customHeight="1" x14ac:dyDescent="0.4">
      <c r="A28" s="25"/>
      <c r="B28" s="380" t="s">
        <v>271</v>
      </c>
      <c r="C28" s="381"/>
      <c r="D28" s="381"/>
      <c r="E28" s="382"/>
      <c r="F28" s="172">
        <f>IFERROR(VLOOKUP(MID(B28,4,3),MMWR_TRAD_AGG_NATIONAL[],2,0),"--")</f>
        <v>16812</v>
      </c>
      <c r="G28" s="173">
        <f>IFERROR(VLOOKUP(MID(B28,4,3),MMWR_TRAD_AGG_NATIONAL[],3,0),"--")</f>
        <v>3194</v>
      </c>
      <c r="H28" s="174">
        <f t="shared" si="0"/>
        <v>0.18998334522959789</v>
      </c>
      <c r="I28" s="69" t="s">
        <v>319</v>
      </c>
      <c r="J28" s="392" t="s">
        <v>321</v>
      </c>
      <c r="K28" s="393"/>
      <c r="L28" s="393"/>
      <c r="M28" s="393"/>
      <c r="N28" s="394"/>
      <c r="O28" s="427" t="s">
        <v>319</v>
      </c>
      <c r="P28" s="76"/>
      <c r="Q28" s="57"/>
      <c r="R28" s="57"/>
      <c r="S28" s="57"/>
      <c r="T28" s="57"/>
      <c r="U28" s="75"/>
      <c r="V28" s="25"/>
    </row>
    <row r="29" spans="1:22" s="1" customFormat="1" ht="27" customHeight="1" thickBot="1" x14ac:dyDescent="0.45">
      <c r="A29" s="25"/>
      <c r="B29" s="380" t="s">
        <v>272</v>
      </c>
      <c r="C29" s="381"/>
      <c r="D29" s="381"/>
      <c r="E29" s="382"/>
      <c r="F29" s="172">
        <f>IFERROR(VLOOKUP(MID(B29,4,3),MMWR_TRAD_AGG_NATIONAL[],2,0),"--")</f>
        <v>120874</v>
      </c>
      <c r="G29" s="173">
        <f>IFERROR(VLOOKUP(MID(B29,4,3),MMWR_TRAD_AGG_NATIONAL[],3,0),"--")</f>
        <v>54495</v>
      </c>
      <c r="H29" s="174">
        <f t="shared" si="0"/>
        <v>0.45084137200721414</v>
      </c>
      <c r="I29" s="57"/>
      <c r="J29" s="395"/>
      <c r="K29" s="396"/>
      <c r="L29" s="396"/>
      <c r="M29" s="396"/>
      <c r="N29" s="397"/>
      <c r="O29" s="427"/>
      <c r="P29" s="77"/>
      <c r="Q29" s="57"/>
      <c r="R29" s="57"/>
      <c r="S29" s="57"/>
      <c r="T29" s="57"/>
      <c r="U29" s="75"/>
      <c r="V29" s="25"/>
    </row>
    <row r="30" spans="1:22" s="1" customFormat="1" ht="32.25" customHeight="1" thickBot="1" x14ac:dyDescent="0.45">
      <c r="A30" s="25"/>
      <c r="B30" s="384" t="s">
        <v>32</v>
      </c>
      <c r="C30" s="385"/>
      <c r="D30" s="385"/>
      <c r="E30" s="385"/>
      <c r="F30" s="170">
        <f>SUM(F31:F37)</f>
        <v>76457</v>
      </c>
      <c r="G30" s="170">
        <f>SUM(G31:G37)</f>
        <v>61028</v>
      </c>
      <c r="H30" s="162">
        <f t="shared" si="0"/>
        <v>0.79820029559098582</v>
      </c>
      <c r="I30" s="57"/>
      <c r="J30" s="28"/>
      <c r="K30" s="28"/>
      <c r="L30" s="28"/>
      <c r="M30" s="28"/>
      <c r="N30" s="28"/>
      <c r="O30" s="28"/>
      <c r="P30" s="57"/>
      <c r="Q30" s="57"/>
      <c r="R30" s="57"/>
      <c r="S30" s="57"/>
      <c r="T30" s="57"/>
      <c r="U30" s="75"/>
      <c r="V30" s="25"/>
    </row>
    <row r="31" spans="1:22" s="1" customFormat="1" ht="33.75" customHeight="1" x14ac:dyDescent="0.4">
      <c r="A31" s="25"/>
      <c r="B31" s="286" t="s">
        <v>289</v>
      </c>
      <c r="C31" s="287"/>
      <c r="D31" s="287"/>
      <c r="E31" s="379"/>
      <c r="F31" s="172">
        <f>IFERROR(VLOOKUP(MID(B31,4,3),MMWR_TRAD_AGG_NATIONAL[],2,0),"--")</f>
        <v>53</v>
      </c>
      <c r="G31" s="173">
        <f>IFERROR(VLOOKUP(MID(B31,4,3),MMWR_TRAD_AGG_NATIONAL[],3,0),"--")</f>
        <v>53</v>
      </c>
      <c r="H31" s="174">
        <f t="shared" si="0"/>
        <v>1</v>
      </c>
      <c r="I31" s="57"/>
      <c r="J31" s="57"/>
      <c r="K31" s="57"/>
      <c r="L31" s="57"/>
      <c r="M31" s="57"/>
      <c r="N31" s="57"/>
      <c r="O31" s="57"/>
      <c r="P31" s="57"/>
      <c r="Q31" s="57"/>
      <c r="R31" s="57"/>
      <c r="S31" s="57"/>
      <c r="T31" s="57"/>
      <c r="U31" s="75"/>
      <c r="V31" s="25"/>
    </row>
    <row r="32" spans="1:22" s="1" customFormat="1" ht="32.25" customHeight="1" x14ac:dyDescent="0.4">
      <c r="A32" s="25"/>
      <c r="B32" s="286" t="s">
        <v>290</v>
      </c>
      <c r="C32" s="287"/>
      <c r="D32" s="287"/>
      <c r="E32" s="379"/>
      <c r="F32" s="172">
        <f>IFERROR(VLOOKUP(MID(B32,4,3),MMWR_TRAD_AGG_NATIONAL[],2,0),"--")</f>
        <v>51</v>
      </c>
      <c r="G32" s="173">
        <f>IFERROR(VLOOKUP(MID(B32,4,3),MMWR_TRAD_AGG_NATIONAL[],3,0),"--")</f>
        <v>49</v>
      </c>
      <c r="H32" s="174">
        <f t="shared" si="0"/>
        <v>0.96078431372549022</v>
      </c>
      <c r="I32" s="57"/>
      <c r="J32" s="57"/>
      <c r="K32" s="57"/>
      <c r="L32" s="57"/>
      <c r="M32" s="57"/>
      <c r="N32" s="57"/>
      <c r="O32" s="57"/>
      <c r="P32" s="57"/>
      <c r="Q32" s="57"/>
      <c r="R32" s="57"/>
      <c r="S32" s="57"/>
      <c r="T32" s="57"/>
      <c r="U32" s="75"/>
      <c r="V32" s="25"/>
    </row>
    <row r="33" spans="1:22" s="1" customFormat="1" ht="32.25" customHeight="1" x14ac:dyDescent="0.4">
      <c r="A33" s="25"/>
      <c r="B33" s="286" t="s">
        <v>291</v>
      </c>
      <c r="C33" s="287"/>
      <c r="D33" s="287"/>
      <c r="E33" s="379"/>
      <c r="F33" s="172">
        <f>IFERROR(VLOOKUP(MID(B33,4,3),MMWR_TRAD_AGG_NATIONAL[],2,0),"--")</f>
        <v>735</v>
      </c>
      <c r="G33" s="173">
        <f>IFERROR(VLOOKUP(MID(B33,4,3),MMWR_TRAD_AGG_NATIONAL[],3,0),"--")</f>
        <v>655</v>
      </c>
      <c r="H33" s="174">
        <f t="shared" si="0"/>
        <v>0.891156462585034</v>
      </c>
      <c r="I33" s="57"/>
      <c r="J33" s="57"/>
      <c r="K33" s="57"/>
      <c r="L33" s="28"/>
      <c r="M33" s="28"/>
      <c r="N33" s="28"/>
      <c r="O33" s="28"/>
      <c r="P33" s="28"/>
      <c r="Q33" s="28"/>
      <c r="R33" s="57"/>
      <c r="S33" s="57"/>
      <c r="T33" s="57"/>
      <c r="U33" s="75"/>
      <c r="V33" s="25"/>
    </row>
    <row r="34" spans="1:22" s="1" customFormat="1" ht="32.25" customHeight="1" x14ac:dyDescent="0.4">
      <c r="A34" s="25"/>
      <c r="B34" s="286" t="s">
        <v>292</v>
      </c>
      <c r="C34" s="287"/>
      <c r="D34" s="287"/>
      <c r="E34" s="379"/>
      <c r="F34" s="172">
        <f>IFERROR(VLOOKUP(MID(B34,4,3),MMWR_TRAD_AGG_NATIONAL[],2,0),"--")</f>
        <v>1353</v>
      </c>
      <c r="G34" s="173">
        <f>IFERROR(VLOOKUP(MID(B34,4,3),MMWR_TRAD_AGG_NATIONAL[],3,0),"--")</f>
        <v>364</v>
      </c>
      <c r="H34" s="174">
        <f t="shared" si="0"/>
        <v>0.26903178122690319</v>
      </c>
      <c r="I34" s="57"/>
      <c r="J34" s="57"/>
      <c r="K34" s="57"/>
      <c r="L34" s="28"/>
      <c r="M34" s="28"/>
      <c r="N34" s="28"/>
      <c r="O34" s="28"/>
      <c r="P34" s="28"/>
      <c r="Q34" s="28"/>
      <c r="R34" s="57"/>
      <c r="S34" s="57"/>
      <c r="T34" s="57"/>
      <c r="U34" s="75"/>
      <c r="V34" s="25"/>
    </row>
    <row r="35" spans="1:22" s="1" customFormat="1" ht="32.25" customHeight="1" x14ac:dyDescent="0.4">
      <c r="A35" s="25"/>
      <c r="B35" s="286" t="s">
        <v>293</v>
      </c>
      <c r="C35" s="287"/>
      <c r="D35" s="287"/>
      <c r="E35" s="379"/>
      <c r="F35" s="172">
        <f>IFERROR(VLOOKUP(MID(B35,4,3),MMWR_TRAD_AGG_NATIONAL[],2,0),"--")</f>
        <v>192</v>
      </c>
      <c r="G35" s="173">
        <f>IFERROR(VLOOKUP(MID(B35,4,3),MMWR_TRAD_AGG_NATIONAL[],3,0),"--")</f>
        <v>191</v>
      </c>
      <c r="H35" s="174">
        <f t="shared" si="0"/>
        <v>0.99479166666666663</v>
      </c>
      <c r="I35" s="57"/>
      <c r="J35" s="57"/>
      <c r="K35" s="57"/>
      <c r="L35" s="57"/>
      <c r="M35" s="57"/>
      <c r="N35" s="57"/>
      <c r="O35" s="57"/>
      <c r="P35" s="57"/>
      <c r="Q35" s="57"/>
      <c r="R35" s="57"/>
      <c r="S35" s="57"/>
      <c r="T35" s="57"/>
      <c r="U35" s="75"/>
      <c r="V35" s="25"/>
    </row>
    <row r="36" spans="1:22" s="1" customFormat="1" ht="32.25" customHeight="1" x14ac:dyDescent="0.4">
      <c r="A36" s="25"/>
      <c r="B36" s="286" t="s">
        <v>294</v>
      </c>
      <c r="C36" s="287"/>
      <c r="D36" s="287"/>
      <c r="E36" s="379"/>
      <c r="F36" s="172">
        <f>IFERROR(VLOOKUP(MID(B36,4,3),MMWR_TRAD_AGG_NATIONAL[],2,0),"--")</f>
        <v>16780</v>
      </c>
      <c r="G36" s="173">
        <f>IFERROR(VLOOKUP(MID(B36,4,3),MMWR_TRAD_AGG_NATIONAL[],3,0),"--")</f>
        <v>12777</v>
      </c>
      <c r="H36" s="174">
        <f t="shared" si="0"/>
        <v>0.76144219308700833</v>
      </c>
      <c r="I36" s="57"/>
      <c r="J36" s="57"/>
      <c r="K36" s="57"/>
      <c r="L36" s="57"/>
      <c r="M36" s="57"/>
      <c r="N36" s="57"/>
      <c r="O36" s="57"/>
      <c r="P36" s="57"/>
      <c r="Q36" s="57"/>
      <c r="R36" s="57"/>
      <c r="S36" s="57"/>
      <c r="T36" s="57"/>
      <c r="U36" s="75"/>
      <c r="V36" s="25"/>
    </row>
    <row r="37" spans="1:22" s="1" customFormat="1" ht="27" customHeight="1" thickBot="1" x14ac:dyDescent="0.45">
      <c r="A37" s="25"/>
      <c r="B37" s="286" t="s">
        <v>295</v>
      </c>
      <c r="C37" s="287"/>
      <c r="D37" s="287"/>
      <c r="E37" s="379"/>
      <c r="F37" s="172">
        <f>IFERROR(VLOOKUP(MID(B37,4,3)&amp;"G",MMWR_TRAD_AGG_NATIONAL[],2,0),"--")</f>
        <v>57293</v>
      </c>
      <c r="G37" s="173">
        <f>IFERROR(VLOOKUP(MID(B37,4,3)&amp;"G",MMWR_TRAD_AGG_NATIONAL[],3,0),"--")</f>
        <v>46939</v>
      </c>
      <c r="H37" s="174">
        <f t="shared" si="0"/>
        <v>0.81927984221458117</v>
      </c>
      <c r="I37" s="57"/>
      <c r="J37" s="57"/>
      <c r="K37" s="57"/>
      <c r="L37" s="57"/>
      <c r="M37" s="57"/>
      <c r="N37" s="57"/>
      <c r="O37" s="57"/>
      <c r="P37" s="57"/>
      <c r="Q37" s="57"/>
      <c r="R37" s="57"/>
      <c r="S37" s="57"/>
      <c r="T37" s="57"/>
      <c r="U37" s="75"/>
      <c r="V37" s="25"/>
    </row>
    <row r="38" spans="1:22" s="1" customFormat="1" ht="32.25" customHeight="1" thickBot="1" x14ac:dyDescent="0.45">
      <c r="A38" s="25"/>
      <c r="B38" s="384" t="s">
        <v>246</v>
      </c>
      <c r="C38" s="385"/>
      <c r="D38" s="385"/>
      <c r="E38" s="385"/>
      <c r="F38" s="169">
        <f>SUM(F39:F44)</f>
        <v>157619</v>
      </c>
      <c r="G38" s="170">
        <f>SUM(G39:G44)</f>
        <v>107533</v>
      </c>
      <c r="H38" s="171">
        <f t="shared" si="0"/>
        <v>0.6822337408561151</v>
      </c>
      <c r="I38" s="57"/>
      <c r="J38" s="57"/>
      <c r="K38" s="76"/>
      <c r="L38" s="76"/>
      <c r="M38" s="76"/>
      <c r="N38" s="76"/>
      <c r="O38" s="76"/>
      <c r="P38" s="57"/>
      <c r="Q38" s="57"/>
      <c r="R38" s="57"/>
      <c r="S38" s="57"/>
      <c r="T38" s="57"/>
      <c r="U38" s="75"/>
      <c r="V38" s="25"/>
    </row>
    <row r="39" spans="1:22" s="1" customFormat="1" ht="26.25" customHeight="1" x14ac:dyDescent="0.4">
      <c r="A39" s="25"/>
      <c r="B39" s="386" t="s">
        <v>296</v>
      </c>
      <c r="C39" s="387"/>
      <c r="D39" s="387"/>
      <c r="E39" s="388"/>
      <c r="F39" s="175">
        <f>IFERROR(VLOOKUP(MID(B39,4,3),MMWR_TRAD_AGG_NATIONAL[],2,0),"--")</f>
        <v>6233</v>
      </c>
      <c r="G39" s="176">
        <f>IFERROR(VLOOKUP(MID(B39,4,3),MMWR_TRAD_AGG_NATIONAL[],3,0),"--")</f>
        <v>4740</v>
      </c>
      <c r="H39" s="177">
        <f t="shared" si="0"/>
        <v>0.76046847424995989</v>
      </c>
      <c r="I39" s="57"/>
      <c r="J39" s="57"/>
      <c r="K39" s="76"/>
      <c r="L39" s="76"/>
      <c r="M39" s="76"/>
      <c r="N39" s="76"/>
      <c r="O39" s="76"/>
      <c r="P39" s="57"/>
      <c r="Q39" s="57"/>
      <c r="R39" s="57"/>
      <c r="S39" s="57"/>
      <c r="T39" s="57"/>
      <c r="U39" s="75"/>
      <c r="V39" s="25"/>
    </row>
    <row r="40" spans="1:22" s="1" customFormat="1" ht="26.25" customHeight="1" x14ac:dyDescent="0.4">
      <c r="A40" s="25"/>
      <c r="B40" s="286" t="s">
        <v>297</v>
      </c>
      <c r="C40" s="287"/>
      <c r="D40" s="287"/>
      <c r="E40" s="379"/>
      <c r="F40" s="172">
        <f>IFERROR(VLOOKUP(MID(B40,4,3),MMWR_TRAD_AGG_NATIONAL[],2,0),"--")</f>
        <v>102612</v>
      </c>
      <c r="G40" s="173">
        <f>IFERROR(VLOOKUP(MID(B40,4,3),MMWR_TRAD_AGG_NATIONAL[],3,0),"--")</f>
        <v>72697</v>
      </c>
      <c r="H40" s="174">
        <f t="shared" si="0"/>
        <v>0.70846489689315095</v>
      </c>
      <c r="I40" s="57"/>
      <c r="J40" s="57"/>
      <c r="K40" s="57"/>
      <c r="L40" s="57"/>
      <c r="M40" s="57"/>
      <c r="N40" s="57"/>
      <c r="O40" s="57"/>
      <c r="P40" s="57"/>
      <c r="Q40" s="57"/>
      <c r="R40" s="57"/>
      <c r="S40" s="57"/>
      <c r="T40" s="57"/>
      <c r="U40" s="75"/>
      <c r="V40" s="25"/>
    </row>
    <row r="41" spans="1:22" s="1" customFormat="1" ht="26.25" customHeight="1" x14ac:dyDescent="0.4">
      <c r="A41" s="25"/>
      <c r="B41" s="286" t="s">
        <v>298</v>
      </c>
      <c r="C41" s="287"/>
      <c r="D41" s="287"/>
      <c r="E41" s="379"/>
      <c r="F41" s="172">
        <f>IFERROR(VLOOKUP(MID(B41,4,3),MMWR_TRAD_AGG_NATIONAL[],2,0),"--")</f>
        <v>1566</v>
      </c>
      <c r="G41" s="173">
        <f>IFERROR(VLOOKUP(MID(B41,4,3),MMWR_TRAD_AGG_NATIONAL[],3,0),"--")</f>
        <v>372</v>
      </c>
      <c r="H41" s="174">
        <f t="shared" si="0"/>
        <v>0.23754789272030652</v>
      </c>
      <c r="I41" s="57"/>
      <c r="J41" s="57"/>
      <c r="K41" s="57"/>
      <c r="L41" s="57"/>
      <c r="M41" s="57"/>
      <c r="N41" s="57"/>
      <c r="O41" s="57"/>
      <c r="P41" s="57"/>
      <c r="Q41" s="57"/>
      <c r="R41" s="57"/>
      <c r="S41" s="57"/>
      <c r="T41" s="57"/>
      <c r="U41" s="75"/>
      <c r="V41" s="25"/>
    </row>
    <row r="42" spans="1:22" s="1" customFormat="1" ht="36" customHeight="1" x14ac:dyDescent="0.4">
      <c r="A42" s="25"/>
      <c r="B42" s="286" t="s">
        <v>299</v>
      </c>
      <c r="C42" s="287"/>
      <c r="D42" s="287"/>
      <c r="E42" s="379"/>
      <c r="F42" s="172">
        <f>IFERROR(VLOOKUP(MID(B42,4,3),MMWR_TRAD_AGG_NATIONAL[],2,0),"--")</f>
        <v>24472</v>
      </c>
      <c r="G42" s="173">
        <f>IFERROR(VLOOKUP(MID(B42,4,3),MMWR_TRAD_AGG_NATIONAL[],3,0),"--")</f>
        <v>10166</v>
      </c>
      <c r="H42" s="174">
        <f t="shared" si="0"/>
        <v>0.41541353383458646</v>
      </c>
      <c r="I42" s="57"/>
      <c r="J42" s="57"/>
      <c r="K42" s="57"/>
      <c r="L42" s="57"/>
      <c r="M42" s="57"/>
      <c r="N42" s="57"/>
      <c r="O42" s="57"/>
      <c r="P42" s="57"/>
      <c r="Q42" s="57"/>
      <c r="R42" s="57"/>
      <c r="S42" s="57"/>
      <c r="T42" s="57"/>
      <c r="U42" s="75"/>
      <c r="V42" s="25"/>
    </row>
    <row r="43" spans="1:22" s="1" customFormat="1" ht="33" customHeight="1" x14ac:dyDescent="0.4">
      <c r="A43" s="25"/>
      <c r="B43" s="286" t="s">
        <v>300</v>
      </c>
      <c r="C43" s="287"/>
      <c r="D43" s="287"/>
      <c r="E43" s="379"/>
      <c r="F43" s="172">
        <f>IFERROR(VLOOKUP(MID(B43,4,3),MMWR_TRAD_AGG_NATIONAL[],2,0),"--")</f>
        <v>22204</v>
      </c>
      <c r="G43" s="173">
        <f>IFERROR(VLOOKUP(MID(B43,4,3),MMWR_TRAD_AGG_NATIONAL[],3,0),"--")</f>
        <v>19071</v>
      </c>
      <c r="H43" s="174">
        <f t="shared" si="0"/>
        <v>0.8588992974238876</v>
      </c>
      <c r="I43" s="57"/>
      <c r="J43" s="57"/>
      <c r="K43" s="57"/>
      <c r="L43" s="57"/>
      <c r="M43" s="57"/>
      <c r="N43" s="57"/>
      <c r="O43" s="57"/>
      <c r="P43" s="57"/>
      <c r="Q43" s="57"/>
      <c r="R43" s="57"/>
      <c r="S43" s="57"/>
      <c r="T43" s="57"/>
      <c r="U43" s="75"/>
      <c r="V43" s="25"/>
    </row>
    <row r="44" spans="1:22" s="1" customFormat="1" ht="27" customHeight="1" thickBot="1" x14ac:dyDescent="0.45">
      <c r="A44" s="25"/>
      <c r="B44" s="291" t="s">
        <v>301</v>
      </c>
      <c r="C44" s="292"/>
      <c r="D44" s="292"/>
      <c r="E44" s="383"/>
      <c r="F44" s="178">
        <f>IFERROR(VLOOKUP(MID(B44,4,3),MMWR_TRAD_AGG_NATIONAL[],2,0),"--")</f>
        <v>532</v>
      </c>
      <c r="G44" s="179">
        <f>IFERROR(VLOOKUP(MID(B44,4,3),MMWR_TRAD_AGG_NATIONAL[],3,0),"--")</f>
        <v>487</v>
      </c>
      <c r="H44" s="180">
        <f t="shared" si="0"/>
        <v>0.91541353383458646</v>
      </c>
      <c r="I44" s="78"/>
      <c r="J44" s="78"/>
      <c r="K44" s="78"/>
      <c r="L44" s="78"/>
      <c r="M44" s="78"/>
      <c r="N44" s="78"/>
      <c r="O44" s="78"/>
      <c r="P44" s="78"/>
      <c r="Q44" s="78"/>
      <c r="R44" s="78"/>
      <c r="S44" s="78"/>
      <c r="T44" s="78"/>
      <c r="U44" s="79"/>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A3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6" priority="89" stopIfTrue="1">
      <formula>ISERROR(H30)</formula>
    </cfRule>
  </conditionalFormatting>
  <conditionalFormatting sqref="J8">
    <cfRule type="expression" dxfId="415" priority="83" stopIfTrue="1">
      <formula>ISERROR(J8)</formula>
    </cfRule>
  </conditionalFormatting>
  <conditionalFormatting sqref="J10">
    <cfRule type="expression" dxfId="414" priority="79" stopIfTrue="1">
      <formula>ISERROR(J10)</formula>
    </cfRule>
  </conditionalFormatting>
  <conditionalFormatting sqref="N11">
    <cfRule type="expression" dxfId="413" priority="76" stopIfTrue="1">
      <formula>ISERROR(N11)</formula>
    </cfRule>
  </conditionalFormatting>
  <conditionalFormatting sqref="N18">
    <cfRule type="expression" dxfId="412" priority="75" stopIfTrue="1">
      <formula>ISERROR(N18)</formula>
    </cfRule>
  </conditionalFormatting>
  <conditionalFormatting sqref="N22">
    <cfRule type="expression" dxfId="411" priority="73" stopIfTrue="1">
      <formula>ISERROR(N22)</formula>
    </cfRule>
  </conditionalFormatting>
  <conditionalFormatting sqref="F6">
    <cfRule type="expression" dxfId="410" priority="58" stopIfTrue="1">
      <formula>ISERROR(F6)</formula>
    </cfRule>
  </conditionalFormatting>
  <conditionalFormatting sqref="L6">
    <cfRule type="expression" dxfId="409" priority="57" stopIfTrue="1">
      <formula>ISERROR(L6)</formula>
    </cfRule>
  </conditionalFormatting>
  <conditionalFormatting sqref="R6">
    <cfRule type="expression" dxfId="408" priority="51" stopIfTrue="1">
      <formula>ISERROR(R6)</formula>
    </cfRule>
  </conditionalFormatting>
  <conditionalFormatting sqref="U6">
    <cfRule type="expression" dxfId="407" priority="50" stopIfTrue="1">
      <formula>ISERROR(U6)</formula>
    </cfRule>
  </conditionalFormatting>
  <conditionalFormatting sqref="H8">
    <cfRule type="expression" dxfId="406" priority="49" stopIfTrue="1">
      <formula>ISERROR(H8)</formula>
    </cfRule>
  </conditionalFormatting>
  <conditionalFormatting sqref="H9">
    <cfRule type="expression" dxfId="405" priority="48" stopIfTrue="1">
      <formula>ISERROR(H9)</formula>
    </cfRule>
  </conditionalFormatting>
  <conditionalFormatting sqref="H10">
    <cfRule type="expression" dxfId="404" priority="47" stopIfTrue="1">
      <formula>ISERROR(H10)</formula>
    </cfRule>
  </conditionalFormatting>
  <conditionalFormatting sqref="H12">
    <cfRule type="expression" dxfId="403" priority="46" stopIfTrue="1">
      <formula>ISERROR(H12)</formula>
    </cfRule>
  </conditionalFormatting>
  <conditionalFormatting sqref="H13">
    <cfRule type="expression" dxfId="402" priority="45" stopIfTrue="1">
      <formula>ISERROR(H13)</formula>
    </cfRule>
  </conditionalFormatting>
  <conditionalFormatting sqref="H15">
    <cfRule type="expression" dxfId="401" priority="44" stopIfTrue="1">
      <formula>ISERROR(H15)</formula>
    </cfRule>
  </conditionalFormatting>
  <conditionalFormatting sqref="H16">
    <cfRule type="expression" dxfId="400" priority="43" stopIfTrue="1">
      <formula>ISERROR(H16)</formula>
    </cfRule>
  </conditionalFormatting>
  <conditionalFormatting sqref="H17">
    <cfRule type="expression" dxfId="399" priority="42" stopIfTrue="1">
      <formula>ISERROR(H17)</formula>
    </cfRule>
  </conditionalFormatting>
  <conditionalFormatting sqref="H18">
    <cfRule type="expression" dxfId="398" priority="41" stopIfTrue="1">
      <formula>ISERROR(H18)</formula>
    </cfRule>
  </conditionalFormatting>
  <conditionalFormatting sqref="H19">
    <cfRule type="expression" dxfId="397" priority="40" stopIfTrue="1">
      <formula>ISERROR(H19)</formula>
    </cfRule>
  </conditionalFormatting>
  <conditionalFormatting sqref="H20">
    <cfRule type="expression" dxfId="396" priority="38" stopIfTrue="1">
      <formula>ISERROR(H20)</formula>
    </cfRule>
  </conditionalFormatting>
  <conditionalFormatting sqref="H21">
    <cfRule type="expression" dxfId="395" priority="37" stopIfTrue="1">
      <formula>ISERROR(H21)</formula>
    </cfRule>
  </conditionalFormatting>
  <conditionalFormatting sqref="H23">
    <cfRule type="expression" dxfId="394" priority="36" stopIfTrue="1">
      <formula>ISERROR(H23)</formula>
    </cfRule>
  </conditionalFormatting>
  <conditionalFormatting sqref="H24">
    <cfRule type="expression" dxfId="393" priority="35" stopIfTrue="1">
      <formula>ISERROR(H24)</formula>
    </cfRule>
  </conditionalFormatting>
  <conditionalFormatting sqref="H25">
    <cfRule type="expression" dxfId="392" priority="34" stopIfTrue="1">
      <formula>ISERROR(H25)</formula>
    </cfRule>
  </conditionalFormatting>
  <conditionalFormatting sqref="H26">
    <cfRule type="expression" dxfId="391" priority="33" stopIfTrue="1">
      <formula>ISERROR(H26)</formula>
    </cfRule>
  </conditionalFormatting>
  <conditionalFormatting sqref="H27">
    <cfRule type="expression" dxfId="390" priority="32" stopIfTrue="1">
      <formula>ISERROR(H27)</formula>
    </cfRule>
  </conditionalFormatting>
  <conditionalFormatting sqref="H28">
    <cfRule type="expression" dxfId="389" priority="31" stopIfTrue="1">
      <formula>ISERROR(H28)</formula>
    </cfRule>
  </conditionalFormatting>
  <conditionalFormatting sqref="H29">
    <cfRule type="expression" dxfId="388" priority="30" stopIfTrue="1">
      <formula>ISERROR(H29)</formula>
    </cfRule>
  </conditionalFormatting>
  <conditionalFormatting sqref="H31">
    <cfRule type="expression" dxfId="387" priority="29" stopIfTrue="1">
      <formula>ISERROR(H31)</formula>
    </cfRule>
  </conditionalFormatting>
  <conditionalFormatting sqref="H32">
    <cfRule type="expression" dxfId="386" priority="28" stopIfTrue="1">
      <formula>ISERROR(H32)</formula>
    </cfRule>
  </conditionalFormatting>
  <conditionalFormatting sqref="H33">
    <cfRule type="expression" dxfId="385" priority="27" stopIfTrue="1">
      <formula>ISERROR(H33)</formula>
    </cfRule>
  </conditionalFormatting>
  <conditionalFormatting sqref="H34">
    <cfRule type="expression" dxfId="384" priority="26" stopIfTrue="1">
      <formula>ISERROR(H34)</formula>
    </cfRule>
  </conditionalFormatting>
  <conditionalFormatting sqref="H35">
    <cfRule type="expression" dxfId="383" priority="25" stopIfTrue="1">
      <formula>ISERROR(H35)</formula>
    </cfRule>
  </conditionalFormatting>
  <conditionalFormatting sqref="H36">
    <cfRule type="expression" dxfId="382" priority="24" stopIfTrue="1">
      <formula>ISERROR(H36)</formula>
    </cfRule>
  </conditionalFormatting>
  <conditionalFormatting sqref="H37">
    <cfRule type="expression" dxfId="381" priority="23" stopIfTrue="1">
      <formula>ISERROR(H37)</formula>
    </cfRule>
  </conditionalFormatting>
  <conditionalFormatting sqref="H39">
    <cfRule type="expression" dxfId="380" priority="22" stopIfTrue="1">
      <formula>ISERROR(H39)</formula>
    </cfRule>
  </conditionalFormatting>
  <conditionalFormatting sqref="H40">
    <cfRule type="expression" dxfId="379" priority="21" stopIfTrue="1">
      <formula>ISERROR(H40)</formula>
    </cfRule>
  </conditionalFormatting>
  <conditionalFormatting sqref="H41">
    <cfRule type="expression" dxfId="378" priority="20" stopIfTrue="1">
      <formula>ISERROR(H41)</formula>
    </cfRule>
  </conditionalFormatting>
  <conditionalFormatting sqref="H42">
    <cfRule type="expression" dxfId="377" priority="19" stopIfTrue="1">
      <formula>ISERROR(H42)</formula>
    </cfRule>
  </conditionalFormatting>
  <conditionalFormatting sqref="H43">
    <cfRule type="expression" dxfId="376" priority="18" stopIfTrue="1">
      <formula>ISERROR(H43)</formula>
    </cfRule>
  </conditionalFormatting>
  <conditionalFormatting sqref="H44">
    <cfRule type="expression" dxfId="375" priority="17" stopIfTrue="1">
      <formula>ISERROR(H44)</formula>
    </cfRule>
  </conditionalFormatting>
  <conditionalFormatting sqref="N8">
    <cfRule type="expression" dxfId="374" priority="16" stopIfTrue="1">
      <formula>ISERROR(N8)</formula>
    </cfRule>
  </conditionalFormatting>
  <conditionalFormatting sqref="N9">
    <cfRule type="expression" dxfId="373" priority="15" stopIfTrue="1">
      <formula>ISERROR(N9)</formula>
    </cfRule>
  </conditionalFormatting>
  <conditionalFormatting sqref="N10">
    <cfRule type="expression" dxfId="372" priority="14" stopIfTrue="1">
      <formula>ISERROR(N10)</formula>
    </cfRule>
  </conditionalFormatting>
  <conditionalFormatting sqref="N12">
    <cfRule type="expression" dxfId="371" priority="13" stopIfTrue="1">
      <formula>ISERROR(N12)</formula>
    </cfRule>
  </conditionalFormatting>
  <conditionalFormatting sqref="N13">
    <cfRule type="expression" dxfId="370" priority="12" stopIfTrue="1">
      <formula>ISERROR(N13)</formula>
    </cfRule>
  </conditionalFormatting>
  <conditionalFormatting sqref="N14">
    <cfRule type="expression" dxfId="369" priority="11" stopIfTrue="1">
      <formula>ISERROR(N14)</formula>
    </cfRule>
  </conditionalFormatting>
  <conditionalFormatting sqref="N15">
    <cfRule type="expression" dxfId="368" priority="10" stopIfTrue="1">
      <formula>ISERROR(N15)</formula>
    </cfRule>
  </conditionalFormatting>
  <conditionalFormatting sqref="N16">
    <cfRule type="expression" dxfId="367" priority="9" stopIfTrue="1">
      <formula>ISERROR(N16)</formula>
    </cfRule>
  </conditionalFormatting>
  <conditionalFormatting sqref="N17">
    <cfRule type="expression" dxfId="366" priority="8" stopIfTrue="1">
      <formula>ISERROR(N17)</formula>
    </cfRule>
  </conditionalFormatting>
  <conditionalFormatting sqref="N19">
    <cfRule type="expression" dxfId="365" priority="7" stopIfTrue="1">
      <formula>ISERROR(N19)</formula>
    </cfRule>
  </conditionalFormatting>
  <conditionalFormatting sqref="N20">
    <cfRule type="expression" dxfId="364" priority="6" stopIfTrue="1">
      <formula>ISERROR(N20)</formula>
    </cfRule>
  </conditionalFormatting>
  <conditionalFormatting sqref="N21">
    <cfRule type="expression" dxfId="363" priority="5" stopIfTrue="1">
      <formula>ISERROR(N21)</formula>
    </cfRule>
  </conditionalFormatting>
  <conditionalFormatting sqref="N23">
    <cfRule type="expression" dxfId="362" priority="4" stopIfTrue="1">
      <formula>ISERROR(N23)</formula>
    </cfRule>
  </conditionalFormatting>
  <conditionalFormatting sqref="N24">
    <cfRule type="expression" dxfId="361" priority="3" stopIfTrue="1">
      <formula>ISERROR(N24)</formula>
    </cfRule>
  </conditionalFormatting>
  <conditionalFormatting sqref="N25">
    <cfRule type="expression" dxfId="360" priority="2" stopIfTrue="1">
      <formula>ISERROR(N25)</formula>
    </cfRule>
  </conditionalFormatting>
  <conditionalFormatting sqref="N26">
    <cfRule type="expression" dxfId="359"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sqref="A1:P1"/>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5"/>
    </row>
    <row r="2" spans="1:20" ht="26.25" x14ac:dyDescent="0.4">
      <c r="A2" s="25"/>
      <c r="B2" s="26"/>
      <c r="C2" s="436" t="str">
        <f>UPPER("INVENTORY BY REGIONAL OFFICE "&amp;Transformation!B4)</f>
        <v>INVENTORY BY REGIONAL OFFICE AS OF: JULY 11, 2015</v>
      </c>
      <c r="D2" s="437"/>
      <c r="E2" s="437"/>
      <c r="F2" s="437"/>
      <c r="G2" s="437"/>
      <c r="H2" s="437"/>
      <c r="I2" s="437"/>
      <c r="J2" s="437"/>
      <c r="K2" s="437"/>
      <c r="L2" s="437"/>
      <c r="M2" s="437"/>
      <c r="N2" s="437"/>
      <c r="O2" s="437"/>
      <c r="P2" s="437"/>
      <c r="Q2" s="437"/>
      <c r="R2" s="437"/>
      <c r="S2" s="438"/>
      <c r="T2" s="25"/>
    </row>
    <row r="3" spans="1:20" x14ac:dyDescent="0.2">
      <c r="A3" s="25"/>
      <c r="B3" s="26"/>
      <c r="C3" s="439" t="s">
        <v>233</v>
      </c>
      <c r="D3" s="440"/>
      <c r="E3" s="441" t="s">
        <v>213</v>
      </c>
      <c r="F3" s="442"/>
      <c r="G3" s="443"/>
      <c r="H3" s="441" t="s">
        <v>7</v>
      </c>
      <c r="I3" s="442"/>
      <c r="J3" s="443"/>
      <c r="K3" s="441" t="s">
        <v>33</v>
      </c>
      <c r="L3" s="442"/>
      <c r="M3" s="443"/>
      <c r="N3" s="441" t="s">
        <v>8</v>
      </c>
      <c r="O3" s="442"/>
      <c r="P3" s="443"/>
      <c r="Q3" s="82" t="s">
        <v>9</v>
      </c>
      <c r="R3" s="83" t="s">
        <v>10</v>
      </c>
      <c r="S3" s="83" t="s">
        <v>11</v>
      </c>
      <c r="T3" s="25"/>
    </row>
    <row r="4" spans="1:20"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1" t="s">
        <v>498</v>
      </c>
      <c r="T4" s="92"/>
    </row>
    <row r="5" spans="1:20" ht="26.25" x14ac:dyDescent="0.4">
      <c r="A5" s="25"/>
      <c r="B5" s="26"/>
      <c r="C5" s="436" t="s">
        <v>496</v>
      </c>
      <c r="D5" s="437"/>
      <c r="E5" s="437"/>
      <c r="F5" s="437"/>
      <c r="G5" s="437"/>
      <c r="H5" s="437"/>
      <c r="I5" s="437"/>
      <c r="J5" s="437"/>
      <c r="K5" s="437"/>
      <c r="L5" s="437"/>
      <c r="M5" s="437"/>
      <c r="N5" s="437"/>
      <c r="O5" s="437"/>
      <c r="P5" s="437"/>
      <c r="Q5" s="437"/>
      <c r="R5" s="437"/>
      <c r="S5" s="438"/>
      <c r="T5" s="25"/>
    </row>
    <row r="6" spans="1:20" x14ac:dyDescent="0.2">
      <c r="A6" s="93"/>
      <c r="B6" s="94" t="s">
        <v>471</v>
      </c>
      <c r="C6" s="211">
        <f>IFERROR(VLOOKUP($B6,MMWR_TRAD_AGG_DISTRICT_COMP[],C$1,0),"ERROR")</f>
        <v>366498</v>
      </c>
      <c r="D6" s="189">
        <f>IFERROR(VLOOKUP($B6,MMWR_TRAD_AGG_DISTRICT_COMP[],D$1,0),"ERROR")</f>
        <v>362.9702017473</v>
      </c>
      <c r="E6" s="197">
        <f>IFERROR(VLOOKUP($B6,MMWR_TRAD_AGG_DISTRICT_COMP[],E$1,0),"ERROR")</f>
        <v>357456</v>
      </c>
      <c r="F6" s="191">
        <f>IFERROR(VLOOKUP($B6,MMWR_TRAD_AGG_DISTRICT_COMP[],F$1,0),"ERROR")</f>
        <v>120881</v>
      </c>
      <c r="G6" s="214">
        <f t="shared" ref="G6:G69" si="0">IFERROR(F6/E6,"0%")</f>
        <v>0.33817029228772211</v>
      </c>
      <c r="H6" s="190">
        <f>IFERROR(VLOOKUP($B6,MMWR_TRAD_AGG_DISTRICT_COMP[],H$1,0),"ERROR")</f>
        <v>504355</v>
      </c>
      <c r="I6" s="191">
        <f>IFERROR(VLOOKUP($B6,MMWR_TRAD_AGG_DISTRICT_COMP[],I$1,0),"ERROR")</f>
        <v>318450</v>
      </c>
      <c r="J6" s="214">
        <f t="shared" ref="J6:J69" si="1">IFERROR(I6/H6,"0%")</f>
        <v>0.63140050163079575</v>
      </c>
      <c r="K6" s="190">
        <f>IFERROR(VLOOKUP($B6,MMWR_TRAD_AGG_DISTRICT_COMP[],K$1,0),"ERROR")</f>
        <v>76457</v>
      </c>
      <c r="L6" s="191">
        <f>IFERROR(VLOOKUP($B6,MMWR_TRAD_AGG_DISTRICT_COMP[],L$1,0),"ERROR")</f>
        <v>61028</v>
      </c>
      <c r="M6" s="214">
        <f t="shared" ref="M6:M69" si="2">IFERROR(L6/K6,"0%")</f>
        <v>0.79820029559098582</v>
      </c>
      <c r="N6" s="190">
        <f>IFERROR(VLOOKUP($B6,MMWR_TRAD_AGG_DISTRICT_COMP[],N$1,0),"ERROR")</f>
        <v>157619</v>
      </c>
      <c r="O6" s="191">
        <f>IFERROR(VLOOKUP($B6,MMWR_TRAD_AGG_DISTRICT_COMP[],O$1,0),"ERROR")</f>
        <v>107533</v>
      </c>
      <c r="P6" s="214">
        <f t="shared" ref="P6:P69" si="3">IFERROR(O6/N6,"0%")</f>
        <v>0.6822337408561151</v>
      </c>
      <c r="Q6" s="203">
        <f>IFERROR(VLOOKUP($B6,MMWR_TRAD_AGG_DISTRICT_COMP[],Q$1,0),"ERROR")</f>
        <v>7977</v>
      </c>
      <c r="R6" s="203">
        <f>IFERROR(VLOOKUP($B6,MMWR_TRAD_AGG_DISTRICT_COMP[],R$1,0),"ERROR")</f>
        <v>4360</v>
      </c>
      <c r="S6" s="206">
        <f>S7+S25+S38+S49+S62+S70</f>
        <v>301979</v>
      </c>
      <c r="T6" s="25"/>
    </row>
    <row r="7" spans="1:20" x14ac:dyDescent="0.2">
      <c r="A7" s="93"/>
      <c r="B7" s="102" t="s">
        <v>379</v>
      </c>
      <c r="C7" s="215">
        <f>IFERROR(VLOOKUP($B7,MMWR_TRAD_AGG_DISTRICT_COMP[],C$1,0),"ERROR")</f>
        <v>112011</v>
      </c>
      <c r="D7" s="200">
        <f>IFERROR(VLOOKUP($B7,MMWR_TRAD_AGG_DISTRICT_COMP[],D$1,0),"ERROR")</f>
        <v>399.07843872479998</v>
      </c>
      <c r="E7" s="216">
        <f>IFERROR(VLOOKUP($B7,MMWR_TRAD_AGG_DISTRICT_COMP[],E$1,0),"ERROR")</f>
        <v>82974</v>
      </c>
      <c r="F7" s="215">
        <f>IFERROR(VLOOKUP($B7,MMWR_TRAD_AGG_DISTRICT_COMP[],F$1,0),"ERROR")</f>
        <v>27932</v>
      </c>
      <c r="G7" s="217">
        <f t="shared" si="0"/>
        <v>0.33663557258900378</v>
      </c>
      <c r="H7" s="215">
        <f>IFERROR(VLOOKUP($B7,MMWR_TRAD_AGG_DISTRICT_COMP[],H$1,0),"ERROR")</f>
        <v>139948</v>
      </c>
      <c r="I7" s="215">
        <f>IFERROR(VLOOKUP($B7,MMWR_TRAD_AGG_DISTRICT_COMP[],I$1,0),"ERROR")</f>
        <v>100005</v>
      </c>
      <c r="J7" s="217">
        <f t="shared" si="1"/>
        <v>0.71458684654300164</v>
      </c>
      <c r="K7" s="215">
        <f>IFERROR(VLOOKUP($B7,MMWR_TRAD_AGG_DISTRICT_COMP[],K$1,0),"ERROR")</f>
        <v>17799</v>
      </c>
      <c r="L7" s="215">
        <f>IFERROR(VLOOKUP($B7,MMWR_TRAD_AGG_DISTRICT_COMP[],L$1,0),"ERROR")</f>
        <v>13050</v>
      </c>
      <c r="M7" s="217">
        <f t="shared" si="2"/>
        <v>0.73318725771110738</v>
      </c>
      <c r="N7" s="215">
        <f>IFERROR(VLOOKUP($B7,MMWR_TRAD_AGG_DISTRICT_COMP[],N$1,0),"ERROR")</f>
        <v>36190</v>
      </c>
      <c r="O7" s="215">
        <f>IFERROR(VLOOKUP($B7,MMWR_TRAD_AGG_DISTRICT_COMP[],O$1,0),"ERROR")</f>
        <v>25432</v>
      </c>
      <c r="P7" s="217">
        <f t="shared" si="3"/>
        <v>0.70273556231003043</v>
      </c>
      <c r="Q7" s="215">
        <f>IFERROR(VLOOKUP($B7,MMWR_TRAD_AGG_DISTRICT_COMP[],Q$1,0),"ERROR")</f>
        <v>7136</v>
      </c>
      <c r="R7" s="218">
        <f>IFERROR(VLOOKUP($B7,MMWR_TRAD_AGG_DISTRICT_COMP[],R$1,0),"ERROR")</f>
        <v>104</v>
      </c>
      <c r="S7" s="218">
        <f>IFERROR(VLOOKUP($B7,MMWR_APP_RO[],S$1,0),"ERROR")</f>
        <v>52955</v>
      </c>
      <c r="T7" s="25"/>
    </row>
    <row r="8" spans="1:20" x14ac:dyDescent="0.2">
      <c r="A8" s="108"/>
      <c r="B8" s="109" t="s">
        <v>36</v>
      </c>
      <c r="C8" s="212">
        <f>IFERROR(VLOOKUP($B8,MMWR_TRAD_AGG_RO_COMP[],C$1,0),"ERROR")</f>
        <v>7029</v>
      </c>
      <c r="D8" s="201">
        <f>IFERROR(VLOOKUP($B8,MMWR_TRAD_AGG_RO_COMP[],D$1,0),"ERROR")</f>
        <v>615.91165172859996</v>
      </c>
      <c r="E8" s="198">
        <f>IFERROR(VLOOKUP($B8,MMWR_TRAD_AGG_RO_COMP[],E$1,0),"ERROR")</f>
        <v>5745</v>
      </c>
      <c r="F8" s="194">
        <f>IFERROR(VLOOKUP($B8,MMWR_TRAD_AGG_RO_COMP[],F$1,0),"ERROR")</f>
        <v>2267</v>
      </c>
      <c r="G8" s="219">
        <f t="shared" si="0"/>
        <v>0.3946040034812881</v>
      </c>
      <c r="H8" s="193">
        <f>IFERROR(VLOOKUP($B8,MMWR_TRAD_AGG_RO_COMP[],H$1,0),"ERROR")</f>
        <v>8405</v>
      </c>
      <c r="I8" s="194">
        <f>IFERROR(VLOOKUP($B8,MMWR_TRAD_AGG_RO_COMP[],I$1,0),"ERROR")</f>
        <v>6824</v>
      </c>
      <c r="J8" s="219">
        <f t="shared" si="1"/>
        <v>0.81189767995240925</v>
      </c>
      <c r="K8" s="207">
        <f>IFERROR(VLOOKUP($B8,MMWR_TRAD_AGG_RO_COMP[],K$1,0),"ERROR")</f>
        <v>1074</v>
      </c>
      <c r="L8" s="208">
        <f>IFERROR(VLOOKUP($B8,MMWR_TRAD_AGG_RO_COMP[],L$1,0),"ERROR")</f>
        <v>950</v>
      </c>
      <c r="M8" s="219">
        <f t="shared" si="2"/>
        <v>0.88454376163873372</v>
      </c>
      <c r="N8" s="207">
        <f>IFERROR(VLOOKUP($B8,MMWR_TRAD_AGG_RO_COMP[],N$1,0),"ERROR")</f>
        <v>6195</v>
      </c>
      <c r="O8" s="208">
        <f>IFERROR(VLOOKUP($B8,MMWR_TRAD_AGG_RO_COMP[],O$1,0),"ERROR")</f>
        <v>5377</v>
      </c>
      <c r="P8" s="219">
        <f t="shared" si="3"/>
        <v>0.86795803066989508</v>
      </c>
      <c r="Q8" s="204">
        <f>IFERROR(VLOOKUP($B8,MMWR_TRAD_AGG_RO_COMP[],Q$1,0),"ERROR")</f>
        <v>31</v>
      </c>
      <c r="R8" s="204">
        <f>IFERROR(VLOOKUP($B8,MMWR_TRAD_AGG_RO_COMP[],R$1,0),"ERROR")</f>
        <v>6</v>
      </c>
      <c r="S8" s="204">
        <f>IFERROR(VLOOKUP($B8,MMWR_APP_RO[],S$1,0),"ERROR")</f>
        <v>5360</v>
      </c>
      <c r="T8" s="25"/>
    </row>
    <row r="9" spans="1:20" x14ac:dyDescent="0.2">
      <c r="A9" s="108"/>
      <c r="B9" s="109" t="s">
        <v>38</v>
      </c>
      <c r="C9" s="212">
        <f>IFERROR(VLOOKUP($B9,MMWR_TRAD_AGG_RO_COMP[],C$1,0),"ERROR")</f>
        <v>5032</v>
      </c>
      <c r="D9" s="201">
        <f>IFERROR(VLOOKUP($B9,MMWR_TRAD_AGG_RO_COMP[],D$1,0),"ERROR")</f>
        <v>473.56339427659998</v>
      </c>
      <c r="E9" s="198">
        <f>IFERROR(VLOOKUP($B9,MMWR_TRAD_AGG_RO_COMP[],E$1,0),"ERROR")</f>
        <v>3560</v>
      </c>
      <c r="F9" s="194">
        <f>IFERROR(VLOOKUP($B9,MMWR_TRAD_AGG_RO_COMP[],F$1,0),"ERROR")</f>
        <v>1144</v>
      </c>
      <c r="G9" s="219">
        <f t="shared" si="0"/>
        <v>0.32134831460674157</v>
      </c>
      <c r="H9" s="193">
        <f>IFERROR(VLOOKUP($B9,MMWR_TRAD_AGG_RO_COMP[],H$1,0),"ERROR")</f>
        <v>6577</v>
      </c>
      <c r="I9" s="194">
        <f>IFERROR(VLOOKUP($B9,MMWR_TRAD_AGG_RO_COMP[],I$1,0),"ERROR")</f>
        <v>4548</v>
      </c>
      <c r="J9" s="219">
        <f t="shared" si="1"/>
        <v>0.69150068420252397</v>
      </c>
      <c r="K9" s="207">
        <f>IFERROR(VLOOKUP($B9,MMWR_TRAD_AGG_RO_COMP[],K$1,0),"ERROR")</f>
        <v>2103</v>
      </c>
      <c r="L9" s="208">
        <f>IFERROR(VLOOKUP($B9,MMWR_TRAD_AGG_RO_COMP[],L$1,0),"ERROR")</f>
        <v>1933</v>
      </c>
      <c r="M9" s="219">
        <f t="shared" si="2"/>
        <v>0.91916310033285786</v>
      </c>
      <c r="N9" s="207">
        <f>IFERROR(VLOOKUP($B9,MMWR_TRAD_AGG_RO_COMP[],N$1,0),"ERROR")</f>
        <v>851</v>
      </c>
      <c r="O9" s="208">
        <f>IFERROR(VLOOKUP($B9,MMWR_TRAD_AGG_RO_COMP[],O$1,0),"ERROR")</f>
        <v>739</v>
      </c>
      <c r="P9" s="219">
        <f t="shared" si="3"/>
        <v>0.8683901292596945</v>
      </c>
      <c r="Q9" s="204">
        <f>IFERROR(VLOOKUP($B9,MMWR_TRAD_AGG_RO_COMP[],Q$1,0),"ERROR")</f>
        <v>2</v>
      </c>
      <c r="R9" s="204">
        <f>IFERROR(VLOOKUP($B9,MMWR_TRAD_AGG_RO_COMP[],R$1,0),"ERROR")</f>
        <v>10</v>
      </c>
      <c r="S9" s="204">
        <f>IFERROR(VLOOKUP($B9,MMWR_APP_RO[],S$1,0),"ERROR")</f>
        <v>3478</v>
      </c>
      <c r="T9" s="25"/>
    </row>
    <row r="10" spans="1:20" x14ac:dyDescent="0.2">
      <c r="A10" s="108"/>
      <c r="B10" s="109" t="s">
        <v>24</v>
      </c>
      <c r="C10" s="212">
        <f>IFERROR(VLOOKUP($B10,MMWR_TRAD_AGG_RO_COMP[],C$1,0),"ERROR")</f>
        <v>1088</v>
      </c>
      <c r="D10" s="201">
        <f>IFERROR(VLOOKUP($B10,MMWR_TRAD_AGG_RO_COMP[],D$1,0),"ERROR")</f>
        <v>101.4476102941</v>
      </c>
      <c r="E10" s="198">
        <f>IFERROR(VLOOKUP($B10,MMWR_TRAD_AGG_RO_COMP[],E$1,0),"ERROR")</f>
        <v>4581</v>
      </c>
      <c r="F10" s="194">
        <f>IFERROR(VLOOKUP($B10,MMWR_TRAD_AGG_RO_COMP[],F$1,0),"ERROR")</f>
        <v>1544</v>
      </c>
      <c r="G10" s="219">
        <f t="shared" si="0"/>
        <v>0.33704431346867497</v>
      </c>
      <c r="H10" s="193">
        <f>IFERROR(VLOOKUP($B10,MMWR_TRAD_AGG_RO_COMP[],H$1,0),"ERROR")</f>
        <v>2023</v>
      </c>
      <c r="I10" s="194">
        <f>IFERROR(VLOOKUP($B10,MMWR_TRAD_AGG_RO_COMP[],I$1,0),"ERROR")</f>
        <v>461</v>
      </c>
      <c r="J10" s="219">
        <f t="shared" si="1"/>
        <v>0.22787938704893723</v>
      </c>
      <c r="K10" s="207">
        <f>IFERROR(VLOOKUP($B10,MMWR_TRAD_AGG_RO_COMP[],K$1,0),"ERROR")</f>
        <v>121</v>
      </c>
      <c r="L10" s="208">
        <f>IFERROR(VLOOKUP($B10,MMWR_TRAD_AGG_RO_COMP[],L$1,0),"ERROR")</f>
        <v>41</v>
      </c>
      <c r="M10" s="219">
        <f t="shared" si="2"/>
        <v>0.33884297520661155</v>
      </c>
      <c r="N10" s="207">
        <f>IFERROR(VLOOKUP($B10,MMWR_TRAD_AGG_RO_COMP[],N$1,0),"ERROR")</f>
        <v>440</v>
      </c>
      <c r="O10" s="208">
        <f>IFERROR(VLOOKUP($B10,MMWR_TRAD_AGG_RO_COMP[],O$1,0),"ERROR")</f>
        <v>312</v>
      </c>
      <c r="P10" s="219">
        <f t="shared" si="3"/>
        <v>0.70909090909090911</v>
      </c>
      <c r="Q10" s="204">
        <f>IFERROR(VLOOKUP($B10,MMWR_TRAD_AGG_RO_COMP[],Q$1,0),"ERROR")</f>
        <v>0</v>
      </c>
      <c r="R10" s="204">
        <f>IFERROR(VLOOKUP($B10,MMWR_TRAD_AGG_RO_COMP[],R$1,0),"ERROR")</f>
        <v>0</v>
      </c>
      <c r="S10" s="204">
        <f>IFERROR(VLOOKUP($B10,MMWR_APP_RO[],S$1,0),"ERROR")</f>
        <v>1715</v>
      </c>
      <c r="T10" s="25"/>
    </row>
    <row r="11" spans="1:20" x14ac:dyDescent="0.2">
      <c r="A11" s="108"/>
      <c r="B11" s="109" t="s">
        <v>47</v>
      </c>
      <c r="C11" s="212">
        <f>IFERROR(VLOOKUP($B11,MMWR_TRAD_AGG_RO_COMP[],C$1,0),"ERROR")</f>
        <v>1921</v>
      </c>
      <c r="D11" s="201">
        <f>IFERROR(VLOOKUP($B11,MMWR_TRAD_AGG_RO_COMP[],D$1,0),"ERROR")</f>
        <v>219.61582509109999</v>
      </c>
      <c r="E11" s="198">
        <f>IFERROR(VLOOKUP($B11,MMWR_TRAD_AGG_RO_COMP[],E$1,0),"ERROR")</f>
        <v>1907</v>
      </c>
      <c r="F11" s="194">
        <f>IFERROR(VLOOKUP($B11,MMWR_TRAD_AGG_RO_COMP[],F$1,0),"ERROR")</f>
        <v>536</v>
      </c>
      <c r="G11" s="219">
        <f t="shared" si="0"/>
        <v>0.28106974305191401</v>
      </c>
      <c r="H11" s="193">
        <f>IFERROR(VLOOKUP($B11,MMWR_TRAD_AGG_RO_COMP[],H$1,0),"ERROR")</f>
        <v>3304</v>
      </c>
      <c r="I11" s="194">
        <f>IFERROR(VLOOKUP($B11,MMWR_TRAD_AGG_RO_COMP[],I$1,0),"ERROR")</f>
        <v>1733</v>
      </c>
      <c r="J11" s="219">
        <f t="shared" si="1"/>
        <v>0.5245157384987893</v>
      </c>
      <c r="K11" s="207">
        <f>IFERROR(VLOOKUP($B11,MMWR_TRAD_AGG_RO_COMP[],K$1,0),"ERROR")</f>
        <v>323</v>
      </c>
      <c r="L11" s="208">
        <f>IFERROR(VLOOKUP($B11,MMWR_TRAD_AGG_RO_COMP[],L$1,0),"ERROR")</f>
        <v>256</v>
      </c>
      <c r="M11" s="219">
        <f t="shared" si="2"/>
        <v>0.79256965944272451</v>
      </c>
      <c r="N11" s="207">
        <f>IFERROR(VLOOKUP($B11,MMWR_TRAD_AGG_RO_COMP[],N$1,0),"ERROR")</f>
        <v>641</v>
      </c>
      <c r="O11" s="208">
        <f>IFERROR(VLOOKUP($B11,MMWR_TRAD_AGG_RO_COMP[],O$1,0),"ERROR")</f>
        <v>479</v>
      </c>
      <c r="P11" s="219">
        <f t="shared" si="3"/>
        <v>0.74726989079563177</v>
      </c>
      <c r="Q11" s="204">
        <f>IFERROR(VLOOKUP($B11,MMWR_TRAD_AGG_RO_COMP[],Q$1,0),"ERROR")</f>
        <v>0</v>
      </c>
      <c r="R11" s="204">
        <f>IFERROR(VLOOKUP($B11,MMWR_TRAD_AGG_RO_COMP[],R$1,0),"ERROR")</f>
        <v>3</v>
      </c>
      <c r="S11" s="204">
        <f>IFERROR(VLOOKUP($B11,MMWR_APP_RO[],S$1,0),"ERROR")</f>
        <v>874</v>
      </c>
      <c r="T11" s="25"/>
    </row>
    <row r="12" spans="1:20" x14ac:dyDescent="0.2">
      <c r="A12" s="108"/>
      <c r="B12" s="109" t="s">
        <v>50</v>
      </c>
      <c r="C12" s="212">
        <f>IFERROR(VLOOKUP($B12,MMWR_TRAD_AGG_RO_COMP[],C$1,0),"ERROR")</f>
        <v>2297</v>
      </c>
      <c r="D12" s="201">
        <f>IFERROR(VLOOKUP($B12,MMWR_TRAD_AGG_RO_COMP[],D$1,0),"ERROR")</f>
        <v>219.67958206360001</v>
      </c>
      <c r="E12" s="198">
        <f>IFERROR(VLOOKUP($B12,MMWR_TRAD_AGG_RO_COMP[],E$1,0),"ERROR")</f>
        <v>2484</v>
      </c>
      <c r="F12" s="194">
        <f>IFERROR(VLOOKUP($B12,MMWR_TRAD_AGG_RO_COMP[],F$1,0),"ERROR")</f>
        <v>638</v>
      </c>
      <c r="G12" s="219">
        <f t="shared" si="0"/>
        <v>0.25684380032206117</v>
      </c>
      <c r="H12" s="193">
        <f>IFERROR(VLOOKUP($B12,MMWR_TRAD_AGG_RO_COMP[],H$1,0),"ERROR")</f>
        <v>3535</v>
      </c>
      <c r="I12" s="194">
        <f>IFERROR(VLOOKUP($B12,MMWR_TRAD_AGG_RO_COMP[],I$1,0),"ERROR")</f>
        <v>1848</v>
      </c>
      <c r="J12" s="219">
        <f t="shared" si="1"/>
        <v>0.52277227722772279</v>
      </c>
      <c r="K12" s="207">
        <f>IFERROR(VLOOKUP($B12,MMWR_TRAD_AGG_RO_COMP[],K$1,0),"ERROR")</f>
        <v>251</v>
      </c>
      <c r="L12" s="208">
        <f>IFERROR(VLOOKUP($B12,MMWR_TRAD_AGG_RO_COMP[],L$1,0),"ERROR")</f>
        <v>227</v>
      </c>
      <c r="M12" s="219">
        <f t="shared" si="2"/>
        <v>0.90438247011952189</v>
      </c>
      <c r="N12" s="207">
        <f>IFERROR(VLOOKUP($B12,MMWR_TRAD_AGG_RO_COMP[],N$1,0),"ERROR")</f>
        <v>1049</v>
      </c>
      <c r="O12" s="208">
        <f>IFERROR(VLOOKUP($B12,MMWR_TRAD_AGG_RO_COMP[],O$1,0),"ERROR")</f>
        <v>769</v>
      </c>
      <c r="P12" s="219">
        <f t="shared" si="3"/>
        <v>0.73307912297426125</v>
      </c>
      <c r="Q12" s="204">
        <f>IFERROR(VLOOKUP($B12,MMWR_TRAD_AGG_RO_COMP[],Q$1,0),"ERROR")</f>
        <v>2</v>
      </c>
      <c r="R12" s="204">
        <f>IFERROR(VLOOKUP($B12,MMWR_TRAD_AGG_RO_COMP[],R$1,0),"ERROR")</f>
        <v>18</v>
      </c>
      <c r="S12" s="204">
        <f>IFERROR(VLOOKUP($B12,MMWR_APP_RO[],S$1,0),"ERROR")</f>
        <v>1970</v>
      </c>
      <c r="T12" s="25"/>
    </row>
    <row r="13" spans="1:20" x14ac:dyDescent="0.2">
      <c r="A13" s="108"/>
      <c r="B13" s="109" t="s">
        <v>57</v>
      </c>
      <c r="C13" s="212">
        <f>IFERROR(VLOOKUP($B13,MMWR_TRAD_AGG_RO_COMP[],C$1,0),"ERROR")</f>
        <v>2061</v>
      </c>
      <c r="D13" s="201">
        <f>IFERROR(VLOOKUP($B13,MMWR_TRAD_AGG_RO_COMP[],D$1,0),"ERROR")</f>
        <v>360.02037845709998</v>
      </c>
      <c r="E13" s="198">
        <f>IFERROR(VLOOKUP($B13,MMWR_TRAD_AGG_RO_COMP[],E$1,0),"ERROR")</f>
        <v>1195</v>
      </c>
      <c r="F13" s="194">
        <f>IFERROR(VLOOKUP($B13,MMWR_TRAD_AGG_RO_COMP[],F$1,0),"ERROR")</f>
        <v>311</v>
      </c>
      <c r="G13" s="219">
        <f t="shared" si="0"/>
        <v>0.26025104602510463</v>
      </c>
      <c r="H13" s="193">
        <f>IFERROR(VLOOKUP($B13,MMWR_TRAD_AGG_RO_COMP[],H$1,0),"ERROR")</f>
        <v>2500</v>
      </c>
      <c r="I13" s="194">
        <f>IFERROR(VLOOKUP($B13,MMWR_TRAD_AGG_RO_COMP[],I$1,0),"ERROR")</f>
        <v>1687</v>
      </c>
      <c r="J13" s="219">
        <f t="shared" si="1"/>
        <v>0.67479999999999996</v>
      </c>
      <c r="K13" s="207">
        <f>IFERROR(VLOOKUP($B13,MMWR_TRAD_AGG_RO_COMP[],K$1,0),"ERROR")</f>
        <v>620</v>
      </c>
      <c r="L13" s="208">
        <f>IFERROR(VLOOKUP($B13,MMWR_TRAD_AGG_RO_COMP[],L$1,0),"ERROR")</f>
        <v>604</v>
      </c>
      <c r="M13" s="219">
        <f t="shared" si="2"/>
        <v>0.97419354838709682</v>
      </c>
      <c r="N13" s="207">
        <f>IFERROR(VLOOKUP($B13,MMWR_TRAD_AGG_RO_COMP[],N$1,0),"ERROR")</f>
        <v>101</v>
      </c>
      <c r="O13" s="208">
        <f>IFERROR(VLOOKUP($B13,MMWR_TRAD_AGG_RO_COMP[],O$1,0),"ERROR")</f>
        <v>76</v>
      </c>
      <c r="P13" s="219">
        <f t="shared" si="3"/>
        <v>0.75247524752475248</v>
      </c>
      <c r="Q13" s="204">
        <f>IFERROR(VLOOKUP($B13,MMWR_TRAD_AGG_RO_COMP[],Q$1,0),"ERROR")</f>
        <v>0</v>
      </c>
      <c r="R13" s="204">
        <f>IFERROR(VLOOKUP($B13,MMWR_TRAD_AGG_RO_COMP[],R$1,0),"ERROR")</f>
        <v>1</v>
      </c>
      <c r="S13" s="204">
        <f>IFERROR(VLOOKUP($B13,MMWR_APP_RO[],S$1,0),"ERROR")</f>
        <v>667</v>
      </c>
      <c r="T13" s="25"/>
    </row>
    <row r="14" spans="1:20" x14ac:dyDescent="0.2">
      <c r="A14" s="108"/>
      <c r="B14" s="109" t="s">
        <v>63</v>
      </c>
      <c r="C14" s="212">
        <f>IFERROR(VLOOKUP($B14,MMWR_TRAD_AGG_RO_COMP[],C$1,0),"ERROR")</f>
        <v>3383</v>
      </c>
      <c r="D14" s="201">
        <f>IFERROR(VLOOKUP($B14,MMWR_TRAD_AGG_RO_COMP[],D$1,0),"ERROR")</f>
        <v>253.69198935860001</v>
      </c>
      <c r="E14" s="198">
        <f>IFERROR(VLOOKUP($B14,MMWR_TRAD_AGG_RO_COMP[],E$1,0),"ERROR")</f>
        <v>4742</v>
      </c>
      <c r="F14" s="194">
        <f>IFERROR(VLOOKUP($B14,MMWR_TRAD_AGG_RO_COMP[],F$1,0),"ERROR")</f>
        <v>1890</v>
      </c>
      <c r="G14" s="219">
        <f t="shared" si="0"/>
        <v>0.39856600590468155</v>
      </c>
      <c r="H14" s="193">
        <f>IFERROR(VLOOKUP($B14,MMWR_TRAD_AGG_RO_COMP[],H$1,0),"ERROR")</f>
        <v>5201</v>
      </c>
      <c r="I14" s="194">
        <f>IFERROR(VLOOKUP($B14,MMWR_TRAD_AGG_RO_COMP[],I$1,0),"ERROR")</f>
        <v>2867</v>
      </c>
      <c r="J14" s="219">
        <f t="shared" si="1"/>
        <v>0.55124014612574501</v>
      </c>
      <c r="K14" s="207">
        <f>IFERROR(VLOOKUP($B14,MMWR_TRAD_AGG_RO_COMP[],K$1,0),"ERROR")</f>
        <v>1418</v>
      </c>
      <c r="L14" s="208">
        <f>IFERROR(VLOOKUP($B14,MMWR_TRAD_AGG_RO_COMP[],L$1,0),"ERROR")</f>
        <v>854</v>
      </c>
      <c r="M14" s="219">
        <f t="shared" si="2"/>
        <v>0.60225669957686878</v>
      </c>
      <c r="N14" s="207">
        <f>IFERROR(VLOOKUP($B14,MMWR_TRAD_AGG_RO_COMP[],N$1,0),"ERROR")</f>
        <v>304</v>
      </c>
      <c r="O14" s="208">
        <f>IFERROR(VLOOKUP($B14,MMWR_TRAD_AGG_RO_COMP[],O$1,0),"ERROR")</f>
        <v>221</v>
      </c>
      <c r="P14" s="219">
        <f t="shared" si="3"/>
        <v>0.72697368421052633</v>
      </c>
      <c r="Q14" s="204">
        <f>IFERROR(VLOOKUP($B14,MMWR_TRAD_AGG_RO_COMP[],Q$1,0),"ERROR")</f>
        <v>0</v>
      </c>
      <c r="R14" s="204">
        <f>IFERROR(VLOOKUP($B14,MMWR_TRAD_AGG_RO_COMP[],R$1,0),"ERROR")</f>
        <v>11</v>
      </c>
      <c r="S14" s="204">
        <f>IFERROR(VLOOKUP($B14,MMWR_APP_RO[],S$1,0),"ERROR")</f>
        <v>3277</v>
      </c>
      <c r="T14" s="25"/>
    </row>
    <row r="15" spans="1:20" x14ac:dyDescent="0.2">
      <c r="A15" s="108"/>
      <c r="B15" s="109" t="s">
        <v>64</v>
      </c>
      <c r="C15" s="212">
        <f>IFERROR(VLOOKUP($B15,MMWR_TRAD_AGG_RO_COMP[],C$1,0),"ERROR")</f>
        <v>717</v>
      </c>
      <c r="D15" s="201">
        <f>IFERROR(VLOOKUP($B15,MMWR_TRAD_AGG_RO_COMP[],D$1,0),"ERROR")</f>
        <v>133.9009762901</v>
      </c>
      <c r="E15" s="198">
        <f>IFERROR(VLOOKUP($B15,MMWR_TRAD_AGG_RO_COMP[],E$1,0),"ERROR")</f>
        <v>2661</v>
      </c>
      <c r="F15" s="194">
        <f>IFERROR(VLOOKUP($B15,MMWR_TRAD_AGG_RO_COMP[],F$1,0),"ERROR")</f>
        <v>897</v>
      </c>
      <c r="G15" s="219">
        <f t="shared" si="0"/>
        <v>0.33709131905298761</v>
      </c>
      <c r="H15" s="193">
        <f>IFERROR(VLOOKUP($B15,MMWR_TRAD_AGG_RO_COMP[],H$1,0),"ERROR")</f>
        <v>1450</v>
      </c>
      <c r="I15" s="194">
        <f>IFERROR(VLOOKUP($B15,MMWR_TRAD_AGG_RO_COMP[],I$1,0),"ERROR")</f>
        <v>469</v>
      </c>
      <c r="J15" s="219">
        <f t="shared" si="1"/>
        <v>0.32344827586206898</v>
      </c>
      <c r="K15" s="207">
        <f>IFERROR(VLOOKUP($B15,MMWR_TRAD_AGG_RO_COMP[],K$1,0),"ERROR")</f>
        <v>267</v>
      </c>
      <c r="L15" s="208">
        <f>IFERROR(VLOOKUP($B15,MMWR_TRAD_AGG_RO_COMP[],L$1,0),"ERROR")</f>
        <v>96</v>
      </c>
      <c r="M15" s="219">
        <f t="shared" si="2"/>
        <v>0.3595505617977528</v>
      </c>
      <c r="N15" s="207">
        <f>IFERROR(VLOOKUP($B15,MMWR_TRAD_AGG_RO_COMP[],N$1,0),"ERROR")</f>
        <v>2277</v>
      </c>
      <c r="O15" s="208">
        <f>IFERROR(VLOOKUP($B15,MMWR_TRAD_AGG_RO_COMP[],O$1,0),"ERROR")</f>
        <v>1297</v>
      </c>
      <c r="P15" s="219">
        <f t="shared" si="3"/>
        <v>0.56960913482652609</v>
      </c>
      <c r="Q15" s="204">
        <f>IFERROR(VLOOKUP($B15,MMWR_TRAD_AGG_RO_COMP[],Q$1,0),"ERROR")</f>
        <v>0</v>
      </c>
      <c r="R15" s="204">
        <f>IFERROR(VLOOKUP($B15,MMWR_TRAD_AGG_RO_COMP[],R$1,0),"ERROR")</f>
        <v>2</v>
      </c>
      <c r="S15" s="204">
        <f>IFERROR(VLOOKUP($B15,MMWR_APP_RO[],S$1,0),"ERROR")</f>
        <v>2692</v>
      </c>
      <c r="T15" s="25"/>
    </row>
    <row r="16" spans="1:20" x14ac:dyDescent="0.2">
      <c r="A16" s="108"/>
      <c r="B16" s="109" t="s">
        <v>66</v>
      </c>
      <c r="C16" s="212">
        <f>IFERROR(VLOOKUP($B16,MMWR_TRAD_AGG_RO_COMP[],C$1,0),"ERROR")</f>
        <v>5639</v>
      </c>
      <c r="D16" s="201">
        <f>IFERROR(VLOOKUP($B16,MMWR_TRAD_AGG_RO_COMP[],D$1,0),"ERROR")</f>
        <v>430.16226281259998</v>
      </c>
      <c r="E16" s="198">
        <f>IFERROR(VLOOKUP($B16,MMWR_TRAD_AGG_RO_COMP[],E$1,0),"ERROR")</f>
        <v>10318</v>
      </c>
      <c r="F16" s="194">
        <f>IFERROR(VLOOKUP($B16,MMWR_TRAD_AGG_RO_COMP[],F$1,0),"ERROR")</f>
        <v>3752</v>
      </c>
      <c r="G16" s="219">
        <f t="shared" si="0"/>
        <v>0.36363636363636365</v>
      </c>
      <c r="H16" s="193">
        <f>IFERROR(VLOOKUP($B16,MMWR_TRAD_AGG_RO_COMP[],H$1,0),"ERROR")</f>
        <v>8445</v>
      </c>
      <c r="I16" s="194">
        <f>IFERROR(VLOOKUP($B16,MMWR_TRAD_AGG_RO_COMP[],I$1,0),"ERROR")</f>
        <v>5520</v>
      </c>
      <c r="J16" s="219">
        <f t="shared" si="1"/>
        <v>0.65364120781527535</v>
      </c>
      <c r="K16" s="207">
        <f>IFERROR(VLOOKUP($B16,MMWR_TRAD_AGG_RO_COMP[],K$1,0),"ERROR")</f>
        <v>1785</v>
      </c>
      <c r="L16" s="208">
        <f>IFERROR(VLOOKUP($B16,MMWR_TRAD_AGG_RO_COMP[],L$1,0),"ERROR")</f>
        <v>436</v>
      </c>
      <c r="M16" s="219">
        <f t="shared" si="2"/>
        <v>0.24425770308123249</v>
      </c>
      <c r="N16" s="207">
        <f>IFERROR(VLOOKUP($B16,MMWR_TRAD_AGG_RO_COMP[],N$1,0),"ERROR")</f>
        <v>7981</v>
      </c>
      <c r="O16" s="208">
        <f>IFERROR(VLOOKUP($B16,MMWR_TRAD_AGG_RO_COMP[],O$1,0),"ERROR")</f>
        <v>4483</v>
      </c>
      <c r="P16" s="219">
        <f t="shared" si="3"/>
        <v>0.56170905901516099</v>
      </c>
      <c r="Q16" s="204">
        <f>IFERROR(VLOOKUP($B16,MMWR_TRAD_AGG_RO_COMP[],Q$1,0),"ERROR")</f>
        <v>7094</v>
      </c>
      <c r="R16" s="204">
        <f>IFERROR(VLOOKUP($B16,MMWR_TRAD_AGG_RO_COMP[],R$1,0),"ERROR")</f>
        <v>0</v>
      </c>
      <c r="S16" s="204">
        <f>IFERROR(VLOOKUP($B16,MMWR_APP_RO[],S$1,0),"ERROR")</f>
        <v>4605</v>
      </c>
      <c r="T16" s="25"/>
    </row>
    <row r="17" spans="1:20" x14ac:dyDescent="0.2">
      <c r="A17" s="108"/>
      <c r="B17" s="109" t="s">
        <v>68</v>
      </c>
      <c r="C17" s="212">
        <f>IFERROR(VLOOKUP($B17,MMWR_TRAD_AGG_RO_COMP[],C$1,0),"ERROR")</f>
        <v>4041</v>
      </c>
      <c r="D17" s="201">
        <f>IFERROR(VLOOKUP($B17,MMWR_TRAD_AGG_RO_COMP[],D$1,0),"ERROR")</f>
        <v>447.96139569410002</v>
      </c>
      <c r="E17" s="198">
        <f>IFERROR(VLOOKUP($B17,MMWR_TRAD_AGG_RO_COMP[],E$1,0),"ERROR")</f>
        <v>4700</v>
      </c>
      <c r="F17" s="194">
        <f>IFERROR(VLOOKUP($B17,MMWR_TRAD_AGG_RO_COMP[],F$1,0),"ERROR")</f>
        <v>1776</v>
      </c>
      <c r="G17" s="219">
        <f t="shared" si="0"/>
        <v>0.37787234042553192</v>
      </c>
      <c r="H17" s="193">
        <f>IFERROR(VLOOKUP($B17,MMWR_TRAD_AGG_RO_COMP[],H$1,0),"ERROR")</f>
        <v>5538</v>
      </c>
      <c r="I17" s="194">
        <f>IFERROR(VLOOKUP($B17,MMWR_TRAD_AGG_RO_COMP[],I$1,0),"ERROR")</f>
        <v>4062</v>
      </c>
      <c r="J17" s="219">
        <f t="shared" si="1"/>
        <v>0.73347778981581802</v>
      </c>
      <c r="K17" s="207">
        <f>IFERROR(VLOOKUP($B17,MMWR_TRAD_AGG_RO_COMP[],K$1,0),"ERROR")</f>
        <v>528</v>
      </c>
      <c r="L17" s="208">
        <f>IFERROR(VLOOKUP($B17,MMWR_TRAD_AGG_RO_COMP[],L$1,0),"ERROR")</f>
        <v>438</v>
      </c>
      <c r="M17" s="219">
        <f t="shared" si="2"/>
        <v>0.82954545454545459</v>
      </c>
      <c r="N17" s="207">
        <f>IFERROR(VLOOKUP($B17,MMWR_TRAD_AGG_RO_COMP[],N$1,0),"ERROR")</f>
        <v>1206</v>
      </c>
      <c r="O17" s="208">
        <f>IFERROR(VLOOKUP($B17,MMWR_TRAD_AGG_RO_COMP[],O$1,0),"ERROR")</f>
        <v>958</v>
      </c>
      <c r="P17" s="219">
        <f t="shared" si="3"/>
        <v>0.79436152570480933</v>
      </c>
      <c r="Q17" s="204">
        <f>IFERROR(VLOOKUP($B17,MMWR_TRAD_AGG_RO_COMP[],Q$1,0),"ERROR")</f>
        <v>1</v>
      </c>
      <c r="R17" s="204">
        <f>IFERROR(VLOOKUP($B17,MMWR_TRAD_AGG_RO_COMP[],R$1,0),"ERROR")</f>
        <v>3</v>
      </c>
      <c r="S17" s="204">
        <f>IFERROR(VLOOKUP($B17,MMWR_APP_RO[],S$1,0),"ERROR")</f>
        <v>4691</v>
      </c>
      <c r="T17" s="25"/>
    </row>
    <row r="18" spans="1:20" x14ac:dyDescent="0.2">
      <c r="A18" s="108"/>
      <c r="B18" s="109" t="s">
        <v>70</v>
      </c>
      <c r="C18" s="212">
        <f>IFERROR(VLOOKUP($B18,MMWR_TRAD_AGG_RO_COMP[],C$1,0),"ERROR")</f>
        <v>812</v>
      </c>
      <c r="D18" s="201">
        <f>IFERROR(VLOOKUP($B18,MMWR_TRAD_AGG_RO_COMP[],D$1,0),"ERROR")</f>
        <v>139.83128078819999</v>
      </c>
      <c r="E18" s="198">
        <f>IFERROR(VLOOKUP($B18,MMWR_TRAD_AGG_RO_COMP[],E$1,0),"ERROR")</f>
        <v>2115</v>
      </c>
      <c r="F18" s="194">
        <f>IFERROR(VLOOKUP($B18,MMWR_TRAD_AGG_RO_COMP[],F$1,0),"ERROR")</f>
        <v>465</v>
      </c>
      <c r="G18" s="219">
        <f t="shared" si="0"/>
        <v>0.21985815602836881</v>
      </c>
      <c r="H18" s="193">
        <f>IFERROR(VLOOKUP($B18,MMWR_TRAD_AGG_RO_COMP[],H$1,0),"ERROR")</f>
        <v>2710</v>
      </c>
      <c r="I18" s="194">
        <f>IFERROR(VLOOKUP($B18,MMWR_TRAD_AGG_RO_COMP[],I$1,0),"ERROR")</f>
        <v>680</v>
      </c>
      <c r="J18" s="219">
        <f t="shared" si="1"/>
        <v>0.25092250922509224</v>
      </c>
      <c r="K18" s="207">
        <f>IFERROR(VLOOKUP($B18,MMWR_TRAD_AGG_RO_COMP[],K$1,0),"ERROR")</f>
        <v>973</v>
      </c>
      <c r="L18" s="208">
        <f>IFERROR(VLOOKUP($B18,MMWR_TRAD_AGG_RO_COMP[],L$1,0),"ERROR")</f>
        <v>267</v>
      </c>
      <c r="M18" s="219">
        <f t="shared" si="2"/>
        <v>0.27440904419321688</v>
      </c>
      <c r="N18" s="207">
        <f>IFERROR(VLOOKUP($B18,MMWR_TRAD_AGG_RO_COMP[],N$1,0),"ERROR")</f>
        <v>228</v>
      </c>
      <c r="O18" s="208">
        <f>IFERROR(VLOOKUP($B18,MMWR_TRAD_AGG_RO_COMP[],O$1,0),"ERROR")</f>
        <v>141</v>
      </c>
      <c r="P18" s="219">
        <f t="shared" si="3"/>
        <v>0.61842105263157898</v>
      </c>
      <c r="Q18" s="204">
        <f>IFERROR(VLOOKUP($B18,MMWR_TRAD_AGG_RO_COMP[],Q$1,0),"ERROR")</f>
        <v>0</v>
      </c>
      <c r="R18" s="204">
        <f>IFERROR(VLOOKUP($B18,MMWR_TRAD_AGG_RO_COMP[],R$1,0),"ERROR")</f>
        <v>3</v>
      </c>
      <c r="S18" s="204">
        <f>IFERROR(VLOOKUP($B18,MMWR_APP_RO[],S$1,0),"ERROR")</f>
        <v>467</v>
      </c>
      <c r="T18" s="25"/>
    </row>
    <row r="19" spans="1:20" x14ac:dyDescent="0.2">
      <c r="A19" s="108"/>
      <c r="B19" s="109" t="s">
        <v>72</v>
      </c>
      <c r="C19" s="212">
        <f>IFERROR(VLOOKUP($B19,MMWR_TRAD_AGG_RO_COMP[],C$1,0),"ERROR")</f>
        <v>14729</v>
      </c>
      <c r="D19" s="201">
        <f>IFERROR(VLOOKUP($B19,MMWR_TRAD_AGG_RO_COMP[],D$1,0),"ERROR")</f>
        <v>399.20143933740002</v>
      </c>
      <c r="E19" s="198">
        <f>IFERROR(VLOOKUP($B19,MMWR_TRAD_AGG_RO_COMP[],E$1,0),"ERROR")</f>
        <v>11379</v>
      </c>
      <c r="F19" s="194">
        <f>IFERROR(VLOOKUP($B19,MMWR_TRAD_AGG_RO_COMP[],F$1,0),"ERROR")</f>
        <v>3603</v>
      </c>
      <c r="G19" s="219">
        <f t="shared" si="0"/>
        <v>0.31663590825204324</v>
      </c>
      <c r="H19" s="193">
        <f>IFERROR(VLOOKUP($B19,MMWR_TRAD_AGG_RO_COMP[],H$1,0),"ERROR")</f>
        <v>17526</v>
      </c>
      <c r="I19" s="194">
        <f>IFERROR(VLOOKUP($B19,MMWR_TRAD_AGG_RO_COMP[],I$1,0),"ERROR")</f>
        <v>11755</v>
      </c>
      <c r="J19" s="219">
        <f t="shared" si="1"/>
        <v>0.67071779071094373</v>
      </c>
      <c r="K19" s="207">
        <f>IFERROR(VLOOKUP($B19,MMWR_TRAD_AGG_RO_COMP[],K$1,0),"ERROR")</f>
        <v>2795</v>
      </c>
      <c r="L19" s="208">
        <f>IFERROR(VLOOKUP($B19,MMWR_TRAD_AGG_RO_COMP[],L$1,0),"ERROR")</f>
        <v>2364</v>
      </c>
      <c r="M19" s="219">
        <f t="shared" si="2"/>
        <v>0.84579606440071553</v>
      </c>
      <c r="N19" s="207">
        <f>IFERROR(VLOOKUP($B19,MMWR_TRAD_AGG_RO_COMP[],N$1,0),"ERROR")</f>
        <v>5150</v>
      </c>
      <c r="O19" s="208">
        <f>IFERROR(VLOOKUP($B19,MMWR_TRAD_AGG_RO_COMP[],O$1,0),"ERROR")</f>
        <v>4397</v>
      </c>
      <c r="P19" s="219">
        <f t="shared" si="3"/>
        <v>0.85378640776699033</v>
      </c>
      <c r="Q19" s="204">
        <f>IFERROR(VLOOKUP($B19,MMWR_TRAD_AGG_RO_COMP[],Q$1,0),"ERROR")</f>
        <v>6</v>
      </c>
      <c r="R19" s="204">
        <f>IFERROR(VLOOKUP($B19,MMWR_TRAD_AGG_RO_COMP[],R$1,0),"ERROR")</f>
        <v>23</v>
      </c>
      <c r="S19" s="204">
        <f>IFERROR(VLOOKUP($B19,MMWR_APP_RO[],S$1,0),"ERROR")</f>
        <v>13397</v>
      </c>
      <c r="T19" s="25"/>
    </row>
    <row r="20" spans="1:20" x14ac:dyDescent="0.2">
      <c r="A20" s="108"/>
      <c r="B20" s="109" t="s">
        <v>81</v>
      </c>
      <c r="C20" s="212">
        <f>IFERROR(VLOOKUP($B20,MMWR_TRAD_AGG_RO_COMP[],C$1,0),"ERROR")</f>
        <v>1130</v>
      </c>
      <c r="D20" s="201">
        <f>IFERROR(VLOOKUP($B20,MMWR_TRAD_AGG_RO_COMP[],D$1,0),"ERROR")</f>
        <v>276.01061946900001</v>
      </c>
      <c r="E20" s="198">
        <f>IFERROR(VLOOKUP($B20,MMWR_TRAD_AGG_RO_COMP[],E$1,0),"ERROR")</f>
        <v>1168</v>
      </c>
      <c r="F20" s="194">
        <f>IFERROR(VLOOKUP($B20,MMWR_TRAD_AGG_RO_COMP[],F$1,0),"ERROR")</f>
        <v>235</v>
      </c>
      <c r="G20" s="219">
        <f t="shared" si="0"/>
        <v>0.2011986301369863</v>
      </c>
      <c r="H20" s="193">
        <f>IFERROR(VLOOKUP($B20,MMWR_TRAD_AGG_RO_COMP[],H$1,0),"ERROR")</f>
        <v>1734</v>
      </c>
      <c r="I20" s="194">
        <f>IFERROR(VLOOKUP($B20,MMWR_TRAD_AGG_RO_COMP[],I$1,0),"ERROR")</f>
        <v>1029</v>
      </c>
      <c r="J20" s="219">
        <f t="shared" si="1"/>
        <v>0.59342560553633217</v>
      </c>
      <c r="K20" s="207">
        <f>IFERROR(VLOOKUP($B20,MMWR_TRAD_AGG_RO_COMP[],K$1,0),"ERROR")</f>
        <v>624</v>
      </c>
      <c r="L20" s="208">
        <f>IFERROR(VLOOKUP($B20,MMWR_TRAD_AGG_RO_COMP[],L$1,0),"ERROR")</f>
        <v>527</v>
      </c>
      <c r="M20" s="219">
        <f t="shared" si="2"/>
        <v>0.84455128205128205</v>
      </c>
      <c r="N20" s="207">
        <f>IFERROR(VLOOKUP($B20,MMWR_TRAD_AGG_RO_COMP[],N$1,0),"ERROR")</f>
        <v>965</v>
      </c>
      <c r="O20" s="208">
        <f>IFERROR(VLOOKUP($B20,MMWR_TRAD_AGG_RO_COMP[],O$1,0),"ERROR")</f>
        <v>891</v>
      </c>
      <c r="P20" s="219">
        <f t="shared" si="3"/>
        <v>0.9233160621761658</v>
      </c>
      <c r="Q20" s="204">
        <f>IFERROR(VLOOKUP($B20,MMWR_TRAD_AGG_RO_COMP[],Q$1,0),"ERROR")</f>
        <v>0</v>
      </c>
      <c r="R20" s="204">
        <f>IFERROR(VLOOKUP($B20,MMWR_TRAD_AGG_RO_COMP[],R$1,0),"ERROR")</f>
        <v>1</v>
      </c>
      <c r="S20" s="204">
        <f>IFERROR(VLOOKUP($B20,MMWR_APP_RO[],S$1,0),"ERROR")</f>
        <v>348</v>
      </c>
      <c r="T20" s="25"/>
    </row>
    <row r="21" spans="1:20" x14ac:dyDescent="0.2">
      <c r="A21" s="108"/>
      <c r="B21" s="109" t="s">
        <v>440</v>
      </c>
      <c r="C21" s="212">
        <f>IFERROR(VLOOKUP($B21,MMWR_TRAD_AGG_RO_COMP[],C$1,0),"ERROR")</f>
        <v>44907</v>
      </c>
      <c r="D21" s="201">
        <f>IFERROR(VLOOKUP($B21,MMWR_TRAD_AGG_RO_COMP[],D$1,0),"ERROR")</f>
        <v>423.15284922170002</v>
      </c>
      <c r="E21" s="198">
        <f>IFERROR(VLOOKUP($B21,MMWR_TRAD_AGG_RO_COMP[],E$1,0),"ERROR")</f>
        <v>1072</v>
      </c>
      <c r="F21" s="194">
        <f>IFERROR(VLOOKUP($B21,MMWR_TRAD_AGG_RO_COMP[],F$1,0),"ERROR")</f>
        <v>370</v>
      </c>
      <c r="G21" s="219">
        <f t="shared" si="0"/>
        <v>0.34514925373134331</v>
      </c>
      <c r="H21" s="193">
        <f>IFERROR(VLOOKUP($B21,MMWR_TRAD_AGG_RO_COMP[],H$1,0),"ERROR")</f>
        <v>45448</v>
      </c>
      <c r="I21" s="194">
        <f>IFERROR(VLOOKUP($B21,MMWR_TRAD_AGG_RO_COMP[],I$1,0),"ERROR")</f>
        <v>41910</v>
      </c>
      <c r="J21" s="219">
        <f t="shared" si="1"/>
        <v>0.9221527900017602</v>
      </c>
      <c r="K21" s="207">
        <f>IFERROR(VLOOKUP($B21,MMWR_TRAD_AGG_RO_COMP[],K$1,0),"ERROR")</f>
        <v>116</v>
      </c>
      <c r="L21" s="208">
        <f>IFERROR(VLOOKUP($B21,MMWR_TRAD_AGG_RO_COMP[],L$1,0),"ERROR")</f>
        <v>111</v>
      </c>
      <c r="M21" s="219">
        <f t="shared" si="2"/>
        <v>0.9568965517241379</v>
      </c>
      <c r="N21" s="207">
        <f>IFERROR(VLOOKUP($B21,MMWR_TRAD_AGG_RO_COMP[],N$1,0),"ERROR")</f>
        <v>1123</v>
      </c>
      <c r="O21" s="208">
        <f>IFERROR(VLOOKUP($B21,MMWR_TRAD_AGG_RO_COMP[],O$1,0),"ERROR")</f>
        <v>1055</v>
      </c>
      <c r="P21" s="219">
        <f t="shared" si="3"/>
        <v>0.93944790739091721</v>
      </c>
      <c r="Q21" s="204">
        <f>IFERROR(VLOOKUP($B21,MMWR_TRAD_AGG_RO_COMP[],Q$1,0),"ERROR")</f>
        <v>0</v>
      </c>
      <c r="R21" s="204">
        <f>IFERROR(VLOOKUP($B21,MMWR_TRAD_AGG_RO_COMP[],R$1,0),"ERROR")</f>
        <v>2</v>
      </c>
      <c r="S21" s="204">
        <f>IFERROR(VLOOKUP($B21,MMWR_APP_RO[],S$1,0),"ERROR")</f>
        <v>4</v>
      </c>
      <c r="T21" s="25"/>
    </row>
    <row r="22" spans="1:20" x14ac:dyDescent="0.2">
      <c r="A22" s="108"/>
      <c r="B22" s="109" t="s">
        <v>141</v>
      </c>
      <c r="C22" s="212">
        <f>IFERROR(VLOOKUP($B22,MMWR_TRAD_AGG_RO_COMP[],C$1,0),"ERROR")</f>
        <v>481</v>
      </c>
      <c r="D22" s="201">
        <f>IFERROR(VLOOKUP($B22,MMWR_TRAD_AGG_RO_COMP[],D$1,0),"ERROR")</f>
        <v>336.27858627860002</v>
      </c>
      <c r="E22" s="198">
        <f>IFERROR(VLOOKUP($B22,MMWR_TRAD_AGG_RO_COMP[],E$1,0),"ERROR")</f>
        <v>406</v>
      </c>
      <c r="F22" s="194">
        <f>IFERROR(VLOOKUP($B22,MMWR_TRAD_AGG_RO_COMP[],F$1,0),"ERROR")</f>
        <v>122</v>
      </c>
      <c r="G22" s="219">
        <f t="shared" si="0"/>
        <v>0.30049261083743845</v>
      </c>
      <c r="H22" s="193">
        <f>IFERROR(VLOOKUP($B22,MMWR_TRAD_AGG_RO_COMP[],H$1,0),"ERROR")</f>
        <v>724</v>
      </c>
      <c r="I22" s="194">
        <f>IFERROR(VLOOKUP($B22,MMWR_TRAD_AGG_RO_COMP[],I$1,0),"ERROR")</f>
        <v>464</v>
      </c>
      <c r="J22" s="219">
        <f t="shared" si="1"/>
        <v>0.64088397790055252</v>
      </c>
      <c r="K22" s="207">
        <f>IFERROR(VLOOKUP($B22,MMWR_TRAD_AGG_RO_COMP[],K$1,0),"ERROR")</f>
        <v>77</v>
      </c>
      <c r="L22" s="208">
        <f>IFERROR(VLOOKUP($B22,MMWR_TRAD_AGG_RO_COMP[],L$1,0),"ERROR")</f>
        <v>69</v>
      </c>
      <c r="M22" s="219">
        <f t="shared" si="2"/>
        <v>0.89610389610389607</v>
      </c>
      <c r="N22" s="207">
        <f>IFERROR(VLOOKUP($B22,MMWR_TRAD_AGG_RO_COMP[],N$1,0),"ERROR")</f>
        <v>103</v>
      </c>
      <c r="O22" s="208">
        <f>IFERROR(VLOOKUP($B22,MMWR_TRAD_AGG_RO_COMP[],O$1,0),"ERROR")</f>
        <v>68</v>
      </c>
      <c r="P22" s="219">
        <f t="shared" si="3"/>
        <v>0.66019417475728159</v>
      </c>
      <c r="Q22" s="204">
        <f>IFERROR(VLOOKUP($B22,MMWR_TRAD_AGG_RO_COMP[],Q$1,0),"ERROR")</f>
        <v>0</v>
      </c>
      <c r="R22" s="204">
        <f>IFERROR(VLOOKUP($B22,MMWR_TRAD_AGG_RO_COMP[],R$1,0),"ERROR")</f>
        <v>1</v>
      </c>
      <c r="S22" s="204">
        <f>IFERROR(VLOOKUP($B22,MMWR_APP_RO[],S$1,0),"ERROR")</f>
        <v>184</v>
      </c>
      <c r="T22" s="25"/>
    </row>
    <row r="23" spans="1:20" x14ac:dyDescent="0.2">
      <c r="A23" s="108"/>
      <c r="B23" s="109" t="s">
        <v>85</v>
      </c>
      <c r="C23" s="212">
        <f>IFERROR(VLOOKUP($B23,MMWR_TRAD_AGG_RO_COMP[],C$1,0),"ERROR")</f>
        <v>817</v>
      </c>
      <c r="D23" s="201">
        <f>IFERROR(VLOOKUP($B23,MMWR_TRAD_AGG_RO_COMP[],D$1,0),"ERROR")</f>
        <v>313.47490820069999</v>
      </c>
      <c r="E23" s="198">
        <f>IFERROR(VLOOKUP($B23,MMWR_TRAD_AGG_RO_COMP[],E$1,0),"ERROR")</f>
        <v>836</v>
      </c>
      <c r="F23" s="194">
        <f>IFERROR(VLOOKUP($B23,MMWR_TRAD_AGG_RO_COMP[],F$1,0),"ERROR")</f>
        <v>297</v>
      </c>
      <c r="G23" s="219">
        <f t="shared" si="0"/>
        <v>0.35526315789473684</v>
      </c>
      <c r="H23" s="193">
        <f>IFERROR(VLOOKUP($B23,MMWR_TRAD_AGG_RO_COMP[],H$1,0),"ERROR")</f>
        <v>908</v>
      </c>
      <c r="I23" s="194">
        <f>IFERROR(VLOOKUP($B23,MMWR_TRAD_AGG_RO_COMP[],I$1,0),"ERROR")</f>
        <v>425</v>
      </c>
      <c r="J23" s="219">
        <f t="shared" si="1"/>
        <v>0.46806167400881055</v>
      </c>
      <c r="K23" s="207">
        <f>IFERROR(VLOOKUP($B23,MMWR_TRAD_AGG_RO_COMP[],K$1,0),"ERROR")</f>
        <v>12</v>
      </c>
      <c r="L23" s="208">
        <f>IFERROR(VLOOKUP($B23,MMWR_TRAD_AGG_RO_COMP[],L$1,0),"ERROR")</f>
        <v>10</v>
      </c>
      <c r="M23" s="219">
        <f t="shared" si="2"/>
        <v>0.83333333333333337</v>
      </c>
      <c r="N23" s="207">
        <f>IFERROR(VLOOKUP($B23,MMWR_TRAD_AGG_RO_COMP[],N$1,0),"ERROR")</f>
        <v>381</v>
      </c>
      <c r="O23" s="208">
        <f>IFERROR(VLOOKUP($B23,MMWR_TRAD_AGG_RO_COMP[],O$1,0),"ERROR")</f>
        <v>159</v>
      </c>
      <c r="P23" s="219">
        <f t="shared" si="3"/>
        <v>0.41732283464566927</v>
      </c>
      <c r="Q23" s="204">
        <f>IFERROR(VLOOKUP($B23,MMWR_TRAD_AGG_RO_COMP[],Q$1,0),"ERROR")</f>
        <v>0</v>
      </c>
      <c r="R23" s="204">
        <f>IFERROR(VLOOKUP($B23,MMWR_TRAD_AGG_RO_COMP[],R$1,0),"ERROR")</f>
        <v>0</v>
      </c>
      <c r="S23" s="204">
        <f>IFERROR(VLOOKUP($B23,MMWR_APP_RO[],S$1,0),"ERROR")</f>
        <v>193</v>
      </c>
      <c r="T23" s="25"/>
    </row>
    <row r="24" spans="1:20" x14ac:dyDescent="0.2">
      <c r="A24" s="93"/>
      <c r="B24" s="117" t="s">
        <v>86</v>
      </c>
      <c r="C24" s="213">
        <f>IFERROR(VLOOKUP($B24,MMWR_TRAD_AGG_RO_COMP[],C$1,0),"ERROR")</f>
        <v>15927</v>
      </c>
      <c r="D24" s="202">
        <f>IFERROR(VLOOKUP($B24,MMWR_TRAD_AGG_RO_COMP[],D$1,0),"ERROR")</f>
        <v>332.41018396430002</v>
      </c>
      <c r="E24" s="199">
        <f>IFERROR(VLOOKUP($B24,MMWR_TRAD_AGG_RO_COMP[],E$1,0),"ERROR")</f>
        <v>24105</v>
      </c>
      <c r="F24" s="196">
        <f>IFERROR(VLOOKUP($B24,MMWR_TRAD_AGG_RO_COMP[],F$1,0),"ERROR")</f>
        <v>8085</v>
      </c>
      <c r="G24" s="220">
        <f t="shared" si="0"/>
        <v>0.33540759178593654</v>
      </c>
      <c r="H24" s="195">
        <f>IFERROR(VLOOKUP($B24,MMWR_TRAD_AGG_RO_COMP[],H$1,0),"ERROR")</f>
        <v>23920</v>
      </c>
      <c r="I24" s="196">
        <f>IFERROR(VLOOKUP($B24,MMWR_TRAD_AGG_RO_COMP[],I$1,0),"ERROR")</f>
        <v>13723</v>
      </c>
      <c r="J24" s="220">
        <f t="shared" si="1"/>
        <v>0.57370401337792643</v>
      </c>
      <c r="K24" s="209">
        <f>IFERROR(VLOOKUP($B24,MMWR_TRAD_AGG_RO_COMP[],K$1,0),"ERROR")</f>
        <v>4712</v>
      </c>
      <c r="L24" s="210">
        <f>IFERROR(VLOOKUP($B24,MMWR_TRAD_AGG_RO_COMP[],L$1,0),"ERROR")</f>
        <v>3867</v>
      </c>
      <c r="M24" s="220">
        <f t="shared" si="2"/>
        <v>0.82067062818336167</v>
      </c>
      <c r="N24" s="209">
        <f>IFERROR(VLOOKUP($B24,MMWR_TRAD_AGG_RO_COMP[],N$1,0),"ERROR")</f>
        <v>7195</v>
      </c>
      <c r="O24" s="210">
        <f>IFERROR(VLOOKUP($B24,MMWR_TRAD_AGG_RO_COMP[],O$1,0),"ERROR")</f>
        <v>4010</v>
      </c>
      <c r="P24" s="220">
        <f t="shared" si="3"/>
        <v>0.55733148019457956</v>
      </c>
      <c r="Q24" s="205">
        <f>IFERROR(VLOOKUP($B24,MMWR_TRAD_AGG_RO_COMP[],Q$1,0),"ERROR")</f>
        <v>0</v>
      </c>
      <c r="R24" s="205">
        <f>IFERROR(VLOOKUP($B24,MMWR_TRAD_AGG_RO_COMP[],R$1,0),"ERROR")</f>
        <v>20</v>
      </c>
      <c r="S24" s="204">
        <f>IFERROR(VLOOKUP($B24,MMWR_APP_RO[],S$1,0),"ERROR")</f>
        <v>9033</v>
      </c>
      <c r="T24" s="25"/>
    </row>
    <row r="25" spans="1:20" x14ac:dyDescent="0.2">
      <c r="A25" s="108"/>
      <c r="B25" s="102" t="s">
        <v>400</v>
      </c>
      <c r="C25" s="215">
        <f>IFERROR(VLOOKUP($B25,MMWR_TRAD_AGG_DISTRICT_COMP[],C$1,0),"ERROR")</f>
        <v>52261</v>
      </c>
      <c r="D25" s="200">
        <f>IFERROR(VLOOKUP($B25,MMWR_TRAD_AGG_DISTRICT_COMP[],D$1,0),"ERROR")</f>
        <v>342.32113813360002</v>
      </c>
      <c r="E25" s="216">
        <f>IFERROR(VLOOKUP($B25,MMWR_TRAD_AGG_DISTRICT_COMP[],E$1,0),"ERROR")</f>
        <v>58754</v>
      </c>
      <c r="F25" s="221">
        <f>IFERROR(VLOOKUP($B25,MMWR_TRAD_AGG_DISTRICT_COMP[],F$1,0),"ERROR")</f>
        <v>16887</v>
      </c>
      <c r="G25" s="217">
        <f t="shared" si="0"/>
        <v>0.28741872893760423</v>
      </c>
      <c r="H25" s="221">
        <f>IFERROR(VLOOKUP($B25,MMWR_TRAD_AGG_DISTRICT_COMP[],H$1,0),"ERROR")</f>
        <v>80529</v>
      </c>
      <c r="I25" s="221">
        <f>IFERROR(VLOOKUP($B25,MMWR_TRAD_AGG_DISTRICT_COMP[],I$1,0),"ERROR")</f>
        <v>41701</v>
      </c>
      <c r="J25" s="217">
        <f t="shared" si="1"/>
        <v>0.51783829427907957</v>
      </c>
      <c r="K25" s="215">
        <f>IFERROR(VLOOKUP($B25,MMWR_TRAD_AGG_DISTRICT_COMP[],K$1,0),"ERROR")</f>
        <v>9998</v>
      </c>
      <c r="L25" s="215">
        <f>IFERROR(VLOOKUP($B25,MMWR_TRAD_AGG_DISTRICT_COMP[],L$1,0),"ERROR")</f>
        <v>8312</v>
      </c>
      <c r="M25" s="217">
        <f t="shared" si="2"/>
        <v>0.83136627325465096</v>
      </c>
      <c r="N25" s="215">
        <f>IFERROR(VLOOKUP($B25,MMWR_TRAD_AGG_DISTRICT_COMP[],N$1,0),"ERROR")</f>
        <v>21554</v>
      </c>
      <c r="O25" s="215">
        <f>IFERROR(VLOOKUP($B25,MMWR_TRAD_AGG_DISTRICT_COMP[],O$1,0),"ERROR")</f>
        <v>16719</v>
      </c>
      <c r="P25" s="217">
        <f t="shared" si="3"/>
        <v>0.7756796882249235</v>
      </c>
      <c r="Q25" s="215">
        <f>IFERROR(VLOOKUP($B25,MMWR_TRAD_AGG_DISTRICT_COMP[],Q$1,0),"ERROR")</f>
        <v>215</v>
      </c>
      <c r="R25" s="218">
        <f>IFERROR(VLOOKUP($B25,MMWR_TRAD_AGG_DISTRICT_COMP[],R$1,0),"ERROR")</f>
        <v>1205</v>
      </c>
      <c r="S25" s="218">
        <f>IFERROR(VLOOKUP($B25,MMWR_APP_RO[],S$1,0),"ERROR")</f>
        <v>50570</v>
      </c>
      <c r="T25" s="25"/>
    </row>
    <row r="26" spans="1:20" x14ac:dyDescent="0.2">
      <c r="A26" s="108"/>
      <c r="B26" s="109" t="s">
        <v>40</v>
      </c>
      <c r="C26" s="212">
        <f>IFERROR(VLOOKUP($B26,MMWR_TRAD_AGG_RO_COMP[],C$1,0),"ERROR")</f>
        <v>6791</v>
      </c>
      <c r="D26" s="201">
        <f>IFERROR(VLOOKUP($B26,MMWR_TRAD_AGG_RO_COMP[],D$1,0),"ERROR")</f>
        <v>515.243999411</v>
      </c>
      <c r="E26" s="198">
        <f>IFERROR(VLOOKUP($B26,MMWR_TRAD_AGG_RO_COMP[],E$1,0),"ERROR")</f>
        <v>7340</v>
      </c>
      <c r="F26" s="194">
        <f>IFERROR(VLOOKUP($B26,MMWR_TRAD_AGG_RO_COMP[],F$1,0),"ERROR")</f>
        <v>2723</v>
      </c>
      <c r="G26" s="219">
        <f t="shared" si="0"/>
        <v>0.37098092643051772</v>
      </c>
      <c r="H26" s="193">
        <f>IFERROR(VLOOKUP($B26,MMWR_TRAD_AGG_RO_COMP[],H$1,0),"ERROR")</f>
        <v>8506</v>
      </c>
      <c r="I26" s="194">
        <f>IFERROR(VLOOKUP($B26,MMWR_TRAD_AGG_RO_COMP[],I$1,0),"ERROR")</f>
        <v>6502</v>
      </c>
      <c r="J26" s="219">
        <f t="shared" si="1"/>
        <v>0.76440159887138492</v>
      </c>
      <c r="K26" s="207">
        <f>IFERROR(VLOOKUP($B26,MMWR_TRAD_AGG_RO_COMP[],K$1,0),"ERROR")</f>
        <v>1398</v>
      </c>
      <c r="L26" s="208">
        <f>IFERROR(VLOOKUP($B26,MMWR_TRAD_AGG_RO_COMP[],L$1,0),"ERROR")</f>
        <v>1307</v>
      </c>
      <c r="M26" s="219">
        <f t="shared" si="2"/>
        <v>0.93490701001430621</v>
      </c>
      <c r="N26" s="207">
        <f>IFERROR(VLOOKUP($B26,MMWR_TRAD_AGG_RO_COMP[],N$1,0),"ERROR")</f>
        <v>2942</v>
      </c>
      <c r="O26" s="208">
        <f>IFERROR(VLOOKUP($B26,MMWR_TRAD_AGG_RO_COMP[],O$1,0),"ERROR")</f>
        <v>2444</v>
      </c>
      <c r="P26" s="219">
        <f t="shared" si="3"/>
        <v>0.83072739632902792</v>
      </c>
      <c r="Q26" s="204">
        <f>IFERROR(VLOOKUP($B26,MMWR_TRAD_AGG_RO_COMP[],Q$1,0),"ERROR")</f>
        <v>1</v>
      </c>
      <c r="R26" s="204">
        <f>IFERROR(VLOOKUP($B26,MMWR_TRAD_AGG_RO_COMP[],R$1,0),"ERROR")</f>
        <v>290</v>
      </c>
      <c r="S26" s="204">
        <f>IFERROR(VLOOKUP($B26,MMWR_APP_RO[],S$1,0),"ERROR")</f>
        <v>7358</v>
      </c>
      <c r="T26" s="25"/>
    </row>
    <row r="27" spans="1:20" x14ac:dyDescent="0.2">
      <c r="A27" s="108"/>
      <c r="B27" s="109" t="s">
        <v>41</v>
      </c>
      <c r="C27" s="212">
        <f>IFERROR(VLOOKUP($B27,MMWR_TRAD_AGG_RO_COMP[],C$1,0),"ERROR")</f>
        <v>9078</v>
      </c>
      <c r="D27" s="201">
        <f>IFERROR(VLOOKUP($B27,MMWR_TRAD_AGG_RO_COMP[],D$1,0),"ERROR")</f>
        <v>537.30127781450005</v>
      </c>
      <c r="E27" s="198">
        <f>IFERROR(VLOOKUP($B27,MMWR_TRAD_AGG_RO_COMP[],E$1,0),"ERROR")</f>
        <v>8424</v>
      </c>
      <c r="F27" s="194">
        <f>IFERROR(VLOOKUP($B27,MMWR_TRAD_AGG_RO_COMP[],F$1,0),"ERROR")</f>
        <v>2373</v>
      </c>
      <c r="G27" s="219">
        <f t="shared" si="0"/>
        <v>0.28169515669515671</v>
      </c>
      <c r="H27" s="193">
        <f>IFERROR(VLOOKUP($B27,MMWR_TRAD_AGG_RO_COMP[],H$1,0),"ERROR")</f>
        <v>11335</v>
      </c>
      <c r="I27" s="194">
        <f>IFERROR(VLOOKUP($B27,MMWR_TRAD_AGG_RO_COMP[],I$1,0),"ERROR")</f>
        <v>9424</v>
      </c>
      <c r="J27" s="219">
        <f t="shared" si="1"/>
        <v>0.83140714600793997</v>
      </c>
      <c r="K27" s="207">
        <f>IFERROR(VLOOKUP($B27,MMWR_TRAD_AGG_RO_COMP[],K$1,0),"ERROR")</f>
        <v>1598</v>
      </c>
      <c r="L27" s="208">
        <f>IFERROR(VLOOKUP($B27,MMWR_TRAD_AGG_RO_COMP[],L$1,0),"ERROR")</f>
        <v>1549</v>
      </c>
      <c r="M27" s="219">
        <f t="shared" si="2"/>
        <v>0.96933667083854813</v>
      </c>
      <c r="N27" s="207">
        <f>IFERROR(VLOOKUP($B27,MMWR_TRAD_AGG_RO_COMP[],N$1,0),"ERROR")</f>
        <v>5056</v>
      </c>
      <c r="O27" s="208">
        <f>IFERROR(VLOOKUP($B27,MMWR_TRAD_AGG_RO_COMP[],O$1,0),"ERROR")</f>
        <v>3981</v>
      </c>
      <c r="P27" s="219">
        <f t="shared" si="3"/>
        <v>0.787381329113924</v>
      </c>
      <c r="Q27" s="204">
        <f>IFERROR(VLOOKUP($B27,MMWR_TRAD_AGG_RO_COMP[],Q$1,0),"ERROR")</f>
        <v>15</v>
      </c>
      <c r="R27" s="204">
        <f>IFERROR(VLOOKUP($B27,MMWR_TRAD_AGG_RO_COMP[],R$1,0),"ERROR")</f>
        <v>342</v>
      </c>
      <c r="S27" s="204">
        <f>IFERROR(VLOOKUP($B27,MMWR_APP_RO[],S$1,0),"ERROR")</f>
        <v>13558</v>
      </c>
      <c r="T27" s="25"/>
    </row>
    <row r="28" spans="1:20" x14ac:dyDescent="0.2">
      <c r="A28" s="108"/>
      <c r="B28" s="109" t="s">
        <v>44</v>
      </c>
      <c r="C28" s="212">
        <f>IFERROR(VLOOKUP($B28,MMWR_TRAD_AGG_RO_COMP[],C$1,0),"ERROR")</f>
        <v>1488</v>
      </c>
      <c r="D28" s="201">
        <f>IFERROR(VLOOKUP($B28,MMWR_TRAD_AGG_RO_COMP[],D$1,0),"ERROR")</f>
        <v>129.07190860220001</v>
      </c>
      <c r="E28" s="198">
        <f>IFERROR(VLOOKUP($B28,MMWR_TRAD_AGG_RO_COMP[],E$1,0),"ERROR")</f>
        <v>2445</v>
      </c>
      <c r="F28" s="194">
        <f>IFERROR(VLOOKUP($B28,MMWR_TRAD_AGG_RO_COMP[],F$1,0),"ERROR")</f>
        <v>623</v>
      </c>
      <c r="G28" s="219">
        <f t="shared" si="0"/>
        <v>0.25480572597137013</v>
      </c>
      <c r="H28" s="193">
        <f>IFERROR(VLOOKUP($B28,MMWR_TRAD_AGG_RO_COMP[],H$1,0),"ERROR")</f>
        <v>2571</v>
      </c>
      <c r="I28" s="194">
        <f>IFERROR(VLOOKUP($B28,MMWR_TRAD_AGG_RO_COMP[],I$1,0),"ERROR")</f>
        <v>873</v>
      </c>
      <c r="J28" s="219">
        <f t="shared" si="1"/>
        <v>0.33955659276546091</v>
      </c>
      <c r="K28" s="207">
        <f>IFERROR(VLOOKUP($B28,MMWR_TRAD_AGG_RO_COMP[],K$1,0),"ERROR")</f>
        <v>209</v>
      </c>
      <c r="L28" s="208">
        <f>IFERROR(VLOOKUP($B28,MMWR_TRAD_AGG_RO_COMP[],L$1,0),"ERROR")</f>
        <v>172</v>
      </c>
      <c r="M28" s="219">
        <f t="shared" si="2"/>
        <v>0.82296650717703346</v>
      </c>
      <c r="N28" s="207">
        <f>IFERROR(VLOOKUP($B28,MMWR_TRAD_AGG_RO_COMP[],N$1,0),"ERROR")</f>
        <v>2826</v>
      </c>
      <c r="O28" s="208">
        <f>IFERROR(VLOOKUP($B28,MMWR_TRAD_AGG_RO_COMP[],O$1,0),"ERROR")</f>
        <v>2689</v>
      </c>
      <c r="P28" s="219">
        <f t="shared" si="3"/>
        <v>0.95152158527954711</v>
      </c>
      <c r="Q28" s="204">
        <f>IFERROR(VLOOKUP($B28,MMWR_TRAD_AGG_RO_COMP[],Q$1,0),"ERROR")</f>
        <v>0</v>
      </c>
      <c r="R28" s="204">
        <f>IFERROR(VLOOKUP($B28,MMWR_TRAD_AGG_RO_COMP[],R$1,0),"ERROR")</f>
        <v>11</v>
      </c>
      <c r="S28" s="204">
        <f>IFERROR(VLOOKUP($B28,MMWR_APP_RO[],S$1,0),"ERROR")</f>
        <v>1112</v>
      </c>
      <c r="T28" s="25"/>
    </row>
    <row r="29" spans="1:20" x14ac:dyDescent="0.2">
      <c r="A29" s="108"/>
      <c r="B29" s="109" t="s">
        <v>45</v>
      </c>
      <c r="C29" s="212">
        <f>IFERROR(VLOOKUP($B29,MMWR_TRAD_AGG_RO_COMP[],C$1,0),"ERROR")</f>
        <v>3003</v>
      </c>
      <c r="D29" s="201">
        <f>IFERROR(VLOOKUP($B29,MMWR_TRAD_AGG_RO_COMP[],D$1,0),"ERROR")</f>
        <v>230.73126873129999</v>
      </c>
      <c r="E29" s="198">
        <f>IFERROR(VLOOKUP($B29,MMWR_TRAD_AGG_RO_COMP[],E$1,0),"ERROR")</f>
        <v>7871</v>
      </c>
      <c r="F29" s="194">
        <f>IFERROR(VLOOKUP($B29,MMWR_TRAD_AGG_RO_COMP[],F$1,0),"ERROR")</f>
        <v>2365</v>
      </c>
      <c r="G29" s="219">
        <f t="shared" si="0"/>
        <v>0.30047008004065556</v>
      </c>
      <c r="H29" s="193">
        <f>IFERROR(VLOOKUP($B29,MMWR_TRAD_AGG_RO_COMP[],H$1,0),"ERROR")</f>
        <v>5384</v>
      </c>
      <c r="I29" s="194">
        <f>IFERROR(VLOOKUP($B29,MMWR_TRAD_AGG_RO_COMP[],I$1,0),"ERROR")</f>
        <v>2633</v>
      </c>
      <c r="J29" s="219">
        <f t="shared" si="1"/>
        <v>0.48904160475482911</v>
      </c>
      <c r="K29" s="207">
        <f>IFERROR(VLOOKUP($B29,MMWR_TRAD_AGG_RO_COMP[],K$1,0),"ERROR")</f>
        <v>855</v>
      </c>
      <c r="L29" s="208">
        <f>IFERROR(VLOOKUP($B29,MMWR_TRAD_AGG_RO_COMP[],L$1,0),"ERROR")</f>
        <v>716</v>
      </c>
      <c r="M29" s="219">
        <f t="shared" si="2"/>
        <v>0.8374269005847953</v>
      </c>
      <c r="N29" s="207">
        <f>IFERROR(VLOOKUP($B29,MMWR_TRAD_AGG_RO_COMP[],N$1,0),"ERROR")</f>
        <v>798</v>
      </c>
      <c r="O29" s="208">
        <f>IFERROR(VLOOKUP($B29,MMWR_TRAD_AGG_RO_COMP[],O$1,0),"ERROR")</f>
        <v>583</v>
      </c>
      <c r="P29" s="219">
        <f t="shared" si="3"/>
        <v>0.73057644110275688</v>
      </c>
      <c r="Q29" s="204">
        <f>IFERROR(VLOOKUP($B29,MMWR_TRAD_AGG_RO_COMP[],Q$1,0),"ERROR")</f>
        <v>3</v>
      </c>
      <c r="R29" s="204">
        <f>IFERROR(VLOOKUP($B29,MMWR_TRAD_AGG_RO_COMP[],R$1,0),"ERROR")</f>
        <v>207</v>
      </c>
      <c r="S29" s="204">
        <f>IFERROR(VLOOKUP($B29,MMWR_APP_RO[],S$1,0),"ERROR")</f>
        <v>6207</v>
      </c>
      <c r="T29" s="25"/>
    </row>
    <row r="30" spans="1:20" x14ac:dyDescent="0.2">
      <c r="A30" s="108"/>
      <c r="B30" s="109" t="s">
        <v>46</v>
      </c>
      <c r="C30" s="212">
        <f>IFERROR(VLOOKUP($B30,MMWR_TRAD_AGG_RO_COMP[],C$1,0),"ERROR")</f>
        <v>194</v>
      </c>
      <c r="D30" s="201">
        <f>IFERROR(VLOOKUP($B30,MMWR_TRAD_AGG_RO_COMP[],D$1,0),"ERROR")</f>
        <v>71.835051546399995</v>
      </c>
      <c r="E30" s="198">
        <f>IFERROR(VLOOKUP($B30,MMWR_TRAD_AGG_RO_COMP[],E$1,0),"ERROR")</f>
        <v>901</v>
      </c>
      <c r="F30" s="194">
        <f>IFERROR(VLOOKUP($B30,MMWR_TRAD_AGG_RO_COMP[],F$1,0),"ERROR")</f>
        <v>220</v>
      </c>
      <c r="G30" s="219">
        <f t="shared" si="0"/>
        <v>0.24417314095449499</v>
      </c>
      <c r="H30" s="193">
        <f>IFERROR(VLOOKUP($B30,MMWR_TRAD_AGG_RO_COMP[],H$1,0),"ERROR")</f>
        <v>816</v>
      </c>
      <c r="I30" s="194">
        <f>IFERROR(VLOOKUP($B30,MMWR_TRAD_AGG_RO_COMP[],I$1,0),"ERROR")</f>
        <v>39</v>
      </c>
      <c r="J30" s="219">
        <f t="shared" si="1"/>
        <v>4.779411764705882E-2</v>
      </c>
      <c r="K30" s="207">
        <f>IFERROR(VLOOKUP($B30,MMWR_TRAD_AGG_RO_COMP[],K$1,0),"ERROR")</f>
        <v>54</v>
      </c>
      <c r="L30" s="208">
        <f>IFERROR(VLOOKUP($B30,MMWR_TRAD_AGG_RO_COMP[],L$1,0),"ERROR")</f>
        <v>12</v>
      </c>
      <c r="M30" s="219">
        <f t="shared" si="2"/>
        <v>0.22222222222222221</v>
      </c>
      <c r="N30" s="207">
        <f>IFERROR(VLOOKUP($B30,MMWR_TRAD_AGG_RO_COMP[],N$1,0),"ERROR")</f>
        <v>30</v>
      </c>
      <c r="O30" s="208">
        <f>IFERROR(VLOOKUP($B30,MMWR_TRAD_AGG_RO_COMP[],O$1,0),"ERROR")</f>
        <v>14</v>
      </c>
      <c r="P30" s="219">
        <f t="shared" si="3"/>
        <v>0.46666666666666667</v>
      </c>
      <c r="Q30" s="204">
        <f>IFERROR(VLOOKUP($B30,MMWR_TRAD_AGG_RO_COMP[],Q$1,0),"ERROR")</f>
        <v>0</v>
      </c>
      <c r="R30" s="204">
        <f>IFERROR(VLOOKUP($B30,MMWR_TRAD_AGG_RO_COMP[],R$1,0),"ERROR")</f>
        <v>1</v>
      </c>
      <c r="S30" s="204">
        <f>IFERROR(VLOOKUP($B30,MMWR_APP_RO[],S$1,0),"ERROR")</f>
        <v>458</v>
      </c>
      <c r="T30" s="25"/>
    </row>
    <row r="31" spans="1:20" x14ac:dyDescent="0.2">
      <c r="A31" s="108"/>
      <c r="B31" s="109" t="s">
        <v>51</v>
      </c>
      <c r="C31" s="212">
        <f>IFERROR(VLOOKUP($B31,MMWR_TRAD_AGG_RO_COMP[],C$1,0),"ERROR")</f>
        <v>8895</v>
      </c>
      <c r="D31" s="201">
        <f>IFERROR(VLOOKUP($B31,MMWR_TRAD_AGG_RO_COMP[],D$1,0),"ERROR")</f>
        <v>516.25137717819996</v>
      </c>
      <c r="E31" s="198">
        <f>IFERROR(VLOOKUP($B31,MMWR_TRAD_AGG_RO_COMP[],E$1,0),"ERROR")</f>
        <v>4973</v>
      </c>
      <c r="F31" s="194">
        <f>IFERROR(VLOOKUP($B31,MMWR_TRAD_AGG_RO_COMP[],F$1,0),"ERROR")</f>
        <v>1749</v>
      </c>
      <c r="G31" s="219">
        <f t="shared" si="0"/>
        <v>0.35169917554795899</v>
      </c>
      <c r="H31" s="193">
        <f>IFERROR(VLOOKUP($B31,MMWR_TRAD_AGG_RO_COMP[],H$1,0),"ERROR")</f>
        <v>14563</v>
      </c>
      <c r="I31" s="194">
        <f>IFERROR(VLOOKUP($B31,MMWR_TRAD_AGG_RO_COMP[],I$1,0),"ERROR")</f>
        <v>8428</v>
      </c>
      <c r="J31" s="219">
        <f t="shared" si="1"/>
        <v>0.5787269106640115</v>
      </c>
      <c r="K31" s="207">
        <f>IFERROR(VLOOKUP($B31,MMWR_TRAD_AGG_RO_COMP[],K$1,0),"ERROR")</f>
        <v>1065</v>
      </c>
      <c r="L31" s="208">
        <f>IFERROR(VLOOKUP($B31,MMWR_TRAD_AGG_RO_COMP[],L$1,0),"ERROR")</f>
        <v>937</v>
      </c>
      <c r="M31" s="219">
        <f t="shared" si="2"/>
        <v>0.87981220657276993</v>
      </c>
      <c r="N31" s="207">
        <f>IFERROR(VLOOKUP($B31,MMWR_TRAD_AGG_RO_COMP[],N$1,0),"ERROR")</f>
        <v>1950</v>
      </c>
      <c r="O31" s="208">
        <f>IFERROR(VLOOKUP($B31,MMWR_TRAD_AGG_RO_COMP[],O$1,0),"ERROR")</f>
        <v>1308</v>
      </c>
      <c r="P31" s="219">
        <f t="shared" si="3"/>
        <v>0.67076923076923078</v>
      </c>
      <c r="Q31" s="204">
        <f>IFERROR(VLOOKUP($B31,MMWR_TRAD_AGG_RO_COMP[],Q$1,0),"ERROR")</f>
        <v>3</v>
      </c>
      <c r="R31" s="204">
        <f>IFERROR(VLOOKUP($B31,MMWR_TRAD_AGG_RO_COMP[],R$1,0),"ERROR")</f>
        <v>206</v>
      </c>
      <c r="S31" s="204">
        <f>IFERROR(VLOOKUP($B31,MMWR_APP_RO[],S$1,0),"ERROR")</f>
        <v>7988</v>
      </c>
      <c r="T31" s="25"/>
    </row>
    <row r="32" spans="1:20" x14ac:dyDescent="0.2">
      <c r="A32" s="108"/>
      <c r="B32" s="109" t="s">
        <v>53</v>
      </c>
      <c r="C32" s="212">
        <f>IFERROR(VLOOKUP($B32,MMWR_TRAD_AGG_RO_COMP[],C$1,0),"ERROR")</f>
        <v>2676</v>
      </c>
      <c r="D32" s="201">
        <f>IFERROR(VLOOKUP($B32,MMWR_TRAD_AGG_RO_COMP[],D$1,0),"ERROR")</f>
        <v>122.4973841555</v>
      </c>
      <c r="E32" s="198">
        <f>IFERROR(VLOOKUP($B32,MMWR_TRAD_AGG_RO_COMP[],E$1,0),"ERROR")</f>
        <v>2215</v>
      </c>
      <c r="F32" s="194">
        <f>IFERROR(VLOOKUP($B32,MMWR_TRAD_AGG_RO_COMP[],F$1,0),"ERROR")</f>
        <v>435</v>
      </c>
      <c r="G32" s="219">
        <f t="shared" si="0"/>
        <v>0.19638826185101579</v>
      </c>
      <c r="H32" s="193">
        <f>IFERROR(VLOOKUP($B32,MMWR_TRAD_AGG_RO_COMP[],H$1,0),"ERROR")</f>
        <v>5083</v>
      </c>
      <c r="I32" s="194">
        <f>IFERROR(VLOOKUP($B32,MMWR_TRAD_AGG_RO_COMP[],I$1,0),"ERROR")</f>
        <v>1122</v>
      </c>
      <c r="J32" s="219">
        <f t="shared" si="1"/>
        <v>0.22073578595317725</v>
      </c>
      <c r="K32" s="207">
        <f>IFERROR(VLOOKUP($B32,MMWR_TRAD_AGG_RO_COMP[],K$1,0),"ERROR")</f>
        <v>571</v>
      </c>
      <c r="L32" s="208">
        <f>IFERROR(VLOOKUP($B32,MMWR_TRAD_AGG_RO_COMP[],L$1,0),"ERROR")</f>
        <v>488</v>
      </c>
      <c r="M32" s="219">
        <f t="shared" si="2"/>
        <v>0.85464098073555161</v>
      </c>
      <c r="N32" s="207">
        <f>IFERROR(VLOOKUP($B32,MMWR_TRAD_AGG_RO_COMP[],N$1,0),"ERROR")</f>
        <v>268</v>
      </c>
      <c r="O32" s="208">
        <f>IFERROR(VLOOKUP($B32,MMWR_TRAD_AGG_RO_COMP[],O$1,0),"ERROR")</f>
        <v>200</v>
      </c>
      <c r="P32" s="219">
        <f t="shared" si="3"/>
        <v>0.74626865671641796</v>
      </c>
      <c r="Q32" s="204">
        <f>IFERROR(VLOOKUP($B32,MMWR_TRAD_AGG_RO_COMP[],Q$1,0),"ERROR")</f>
        <v>0</v>
      </c>
      <c r="R32" s="204">
        <f>IFERROR(VLOOKUP($B32,MMWR_TRAD_AGG_RO_COMP[],R$1,0),"ERROR")</f>
        <v>15</v>
      </c>
      <c r="S32" s="204">
        <f>IFERROR(VLOOKUP($B32,MMWR_APP_RO[],S$1,0),"ERROR")</f>
        <v>1389</v>
      </c>
      <c r="T32" s="25"/>
    </row>
    <row r="33" spans="1:20" x14ac:dyDescent="0.2">
      <c r="A33" s="108"/>
      <c r="B33" s="109" t="s">
        <v>59</v>
      </c>
      <c r="C33" s="212">
        <f>IFERROR(VLOOKUP($B33,MMWR_TRAD_AGG_RO_COMP[],C$1,0),"ERROR")</f>
        <v>6914</v>
      </c>
      <c r="D33" s="201">
        <f>IFERROR(VLOOKUP($B33,MMWR_TRAD_AGG_RO_COMP[],D$1,0),"ERROR")</f>
        <v>182.64521261210001</v>
      </c>
      <c r="E33" s="198">
        <f>IFERROR(VLOOKUP($B33,MMWR_TRAD_AGG_RO_COMP[],E$1,0),"ERROR")</f>
        <v>5658</v>
      </c>
      <c r="F33" s="194">
        <f>IFERROR(VLOOKUP($B33,MMWR_TRAD_AGG_RO_COMP[],F$1,0),"ERROR")</f>
        <v>1384</v>
      </c>
      <c r="G33" s="219">
        <f t="shared" si="0"/>
        <v>0.24460940261576528</v>
      </c>
      <c r="H33" s="193">
        <f>IFERROR(VLOOKUP($B33,MMWR_TRAD_AGG_RO_COMP[],H$1,0),"ERROR")</f>
        <v>9294</v>
      </c>
      <c r="I33" s="194">
        <f>IFERROR(VLOOKUP($B33,MMWR_TRAD_AGG_RO_COMP[],I$1,0),"ERROR")</f>
        <v>3813</v>
      </c>
      <c r="J33" s="219">
        <f t="shared" si="1"/>
        <v>0.4102646868947708</v>
      </c>
      <c r="K33" s="207">
        <f>IFERROR(VLOOKUP($B33,MMWR_TRAD_AGG_RO_COMP[],K$1,0),"ERROR")</f>
        <v>305</v>
      </c>
      <c r="L33" s="208">
        <f>IFERROR(VLOOKUP($B33,MMWR_TRAD_AGG_RO_COMP[],L$1,0),"ERROR")</f>
        <v>210</v>
      </c>
      <c r="M33" s="219">
        <f t="shared" si="2"/>
        <v>0.68852459016393441</v>
      </c>
      <c r="N33" s="207">
        <f>IFERROR(VLOOKUP($B33,MMWR_TRAD_AGG_RO_COMP[],N$1,0),"ERROR")</f>
        <v>343</v>
      </c>
      <c r="O33" s="208">
        <f>IFERROR(VLOOKUP($B33,MMWR_TRAD_AGG_RO_COMP[],O$1,0),"ERROR")</f>
        <v>154</v>
      </c>
      <c r="P33" s="219">
        <f t="shared" si="3"/>
        <v>0.44897959183673469</v>
      </c>
      <c r="Q33" s="204">
        <f>IFERROR(VLOOKUP($B33,MMWR_TRAD_AGG_RO_COMP[],Q$1,0),"ERROR")</f>
        <v>125</v>
      </c>
      <c r="R33" s="204">
        <f>IFERROR(VLOOKUP($B33,MMWR_TRAD_AGG_RO_COMP[],R$1,0),"ERROR")</f>
        <v>0</v>
      </c>
      <c r="S33" s="204">
        <f>IFERROR(VLOOKUP($B33,MMWR_APP_RO[],S$1,0),"ERROR")</f>
        <v>2911</v>
      </c>
      <c r="T33" s="25"/>
    </row>
    <row r="34" spans="1:20" x14ac:dyDescent="0.2">
      <c r="A34" s="108"/>
      <c r="B34" s="109" t="s">
        <v>77</v>
      </c>
      <c r="C34" s="212">
        <f>IFERROR(VLOOKUP($B34,MMWR_TRAD_AGG_RO_COMP[],C$1,0),"ERROR")</f>
        <v>871</v>
      </c>
      <c r="D34" s="201">
        <f>IFERROR(VLOOKUP($B34,MMWR_TRAD_AGG_RO_COMP[],D$1,0),"ERROR")</f>
        <v>70.842709529299995</v>
      </c>
      <c r="E34" s="198">
        <f>IFERROR(VLOOKUP($B34,MMWR_TRAD_AGG_RO_COMP[],E$1,0),"ERROR")</f>
        <v>886</v>
      </c>
      <c r="F34" s="194">
        <f>IFERROR(VLOOKUP($B34,MMWR_TRAD_AGG_RO_COMP[],F$1,0),"ERROR")</f>
        <v>251</v>
      </c>
      <c r="G34" s="219">
        <f t="shared" si="0"/>
        <v>0.28329571106094809</v>
      </c>
      <c r="H34" s="193">
        <f>IFERROR(VLOOKUP($B34,MMWR_TRAD_AGG_RO_COMP[],H$1,0),"ERROR")</f>
        <v>1101</v>
      </c>
      <c r="I34" s="194">
        <f>IFERROR(VLOOKUP($B34,MMWR_TRAD_AGG_RO_COMP[],I$1,0),"ERROR")</f>
        <v>131</v>
      </c>
      <c r="J34" s="219">
        <f t="shared" si="1"/>
        <v>0.11898274296094459</v>
      </c>
      <c r="K34" s="207">
        <f>IFERROR(VLOOKUP($B34,MMWR_TRAD_AGG_RO_COMP[],K$1,0),"ERROR")</f>
        <v>752</v>
      </c>
      <c r="L34" s="208">
        <f>IFERROR(VLOOKUP($B34,MMWR_TRAD_AGG_RO_COMP[],L$1,0),"ERROR")</f>
        <v>115</v>
      </c>
      <c r="M34" s="219">
        <f t="shared" si="2"/>
        <v>0.15292553191489361</v>
      </c>
      <c r="N34" s="207">
        <f>IFERROR(VLOOKUP($B34,MMWR_TRAD_AGG_RO_COMP[],N$1,0),"ERROR")</f>
        <v>22</v>
      </c>
      <c r="O34" s="208">
        <f>IFERROR(VLOOKUP($B34,MMWR_TRAD_AGG_RO_COMP[],O$1,0),"ERROR")</f>
        <v>12</v>
      </c>
      <c r="P34" s="219">
        <f t="shared" si="3"/>
        <v>0.54545454545454541</v>
      </c>
      <c r="Q34" s="204">
        <f>IFERROR(VLOOKUP($B34,MMWR_TRAD_AGG_RO_COMP[],Q$1,0),"ERROR")</f>
        <v>0</v>
      </c>
      <c r="R34" s="204">
        <f>IFERROR(VLOOKUP($B34,MMWR_TRAD_AGG_RO_COMP[],R$1,0),"ERROR")</f>
        <v>2</v>
      </c>
      <c r="S34" s="204">
        <f>IFERROR(VLOOKUP($B34,MMWR_APP_RO[],S$1,0),"ERROR")</f>
        <v>231</v>
      </c>
      <c r="T34" s="25"/>
    </row>
    <row r="35" spans="1:20" x14ac:dyDescent="0.2">
      <c r="A35" s="108"/>
      <c r="B35" s="109" t="s">
        <v>78</v>
      </c>
      <c r="C35" s="212">
        <f>IFERROR(VLOOKUP($B35,MMWR_TRAD_AGG_RO_COMP[],C$1,0),"ERROR")</f>
        <v>4897</v>
      </c>
      <c r="D35" s="201">
        <f>IFERROR(VLOOKUP($B35,MMWR_TRAD_AGG_RO_COMP[],D$1,0),"ERROR")</f>
        <v>270.05901572390002</v>
      </c>
      <c r="E35" s="198">
        <f>IFERROR(VLOOKUP($B35,MMWR_TRAD_AGG_RO_COMP[],E$1,0),"ERROR")</f>
        <v>5067</v>
      </c>
      <c r="F35" s="194">
        <f>IFERROR(VLOOKUP($B35,MMWR_TRAD_AGG_RO_COMP[],F$1,0),"ERROR")</f>
        <v>1544</v>
      </c>
      <c r="G35" s="219">
        <f t="shared" si="0"/>
        <v>0.30471679494770082</v>
      </c>
      <c r="H35" s="193">
        <f>IFERROR(VLOOKUP($B35,MMWR_TRAD_AGG_RO_COMP[],H$1,0),"ERROR")</f>
        <v>7653</v>
      </c>
      <c r="I35" s="194">
        <f>IFERROR(VLOOKUP($B35,MMWR_TRAD_AGG_RO_COMP[],I$1,0),"ERROR")</f>
        <v>4914</v>
      </c>
      <c r="J35" s="219">
        <f t="shared" si="1"/>
        <v>0.64210113680909442</v>
      </c>
      <c r="K35" s="207">
        <f>IFERROR(VLOOKUP($B35,MMWR_TRAD_AGG_RO_COMP[],K$1,0),"ERROR")</f>
        <v>2359</v>
      </c>
      <c r="L35" s="208">
        <f>IFERROR(VLOOKUP($B35,MMWR_TRAD_AGG_RO_COMP[],L$1,0),"ERROR")</f>
        <v>2241</v>
      </c>
      <c r="M35" s="219">
        <f t="shared" si="2"/>
        <v>0.94997880457821116</v>
      </c>
      <c r="N35" s="207">
        <f>IFERROR(VLOOKUP($B35,MMWR_TRAD_AGG_RO_COMP[],N$1,0),"ERROR")</f>
        <v>5768</v>
      </c>
      <c r="O35" s="208">
        <f>IFERROR(VLOOKUP($B35,MMWR_TRAD_AGG_RO_COMP[],O$1,0),"ERROR")</f>
        <v>4675</v>
      </c>
      <c r="P35" s="219">
        <f t="shared" si="3"/>
        <v>0.81050624133148408</v>
      </c>
      <c r="Q35" s="204">
        <f>IFERROR(VLOOKUP($B35,MMWR_TRAD_AGG_RO_COMP[],Q$1,0),"ERROR")</f>
        <v>44</v>
      </c>
      <c r="R35" s="204">
        <f>IFERROR(VLOOKUP($B35,MMWR_TRAD_AGG_RO_COMP[],R$1,0),"ERROR")</f>
        <v>121</v>
      </c>
      <c r="S35" s="204">
        <f>IFERROR(VLOOKUP($B35,MMWR_APP_RO[],S$1,0),"ERROR")</f>
        <v>6254</v>
      </c>
      <c r="T35" s="25"/>
    </row>
    <row r="36" spans="1:20" x14ac:dyDescent="0.2">
      <c r="A36" s="28"/>
      <c r="B36" s="109" t="s">
        <v>79</v>
      </c>
      <c r="C36" s="222">
        <f>IFERROR(VLOOKUP($B36,MMWR_TRAD_AGG_RO_COMP[],C$1,0),"ERROR")</f>
        <v>5661</v>
      </c>
      <c r="D36" s="223">
        <f>IFERROR(VLOOKUP($B36,MMWR_TRAD_AGG_RO_COMP[],D$1,0),"ERROR")</f>
        <v>145.92050874399999</v>
      </c>
      <c r="E36" s="224">
        <f>IFERROR(VLOOKUP($B36,MMWR_TRAD_AGG_RO_COMP[],E$1,0),"ERROR")</f>
        <v>10391</v>
      </c>
      <c r="F36" s="225">
        <f>IFERROR(VLOOKUP($B36,MMWR_TRAD_AGG_RO_COMP[],F$1,0),"ERROR")</f>
        <v>2454</v>
      </c>
      <c r="G36" s="226">
        <f t="shared" si="0"/>
        <v>0.23616591280916177</v>
      </c>
      <c r="H36" s="227">
        <f>IFERROR(VLOOKUP($B36,MMWR_TRAD_AGG_RO_COMP[],H$1,0),"ERROR")</f>
        <v>11474</v>
      </c>
      <c r="I36" s="225">
        <f>IFERROR(VLOOKUP($B36,MMWR_TRAD_AGG_RO_COMP[],I$1,0),"ERROR")</f>
        <v>2829</v>
      </c>
      <c r="J36" s="226">
        <f t="shared" si="1"/>
        <v>0.24655743419905873</v>
      </c>
      <c r="K36" s="228">
        <f>IFERROR(VLOOKUP($B36,MMWR_TRAD_AGG_RO_COMP[],K$1,0),"ERROR")</f>
        <v>540</v>
      </c>
      <c r="L36" s="229">
        <f>IFERROR(VLOOKUP($B36,MMWR_TRAD_AGG_RO_COMP[],L$1,0),"ERROR")</f>
        <v>410</v>
      </c>
      <c r="M36" s="226">
        <f t="shared" si="2"/>
        <v>0.7592592592592593</v>
      </c>
      <c r="N36" s="228">
        <f>IFERROR(VLOOKUP($B36,MMWR_TRAD_AGG_RO_COMP[],N$1,0),"ERROR")</f>
        <v>1377</v>
      </c>
      <c r="O36" s="229">
        <f>IFERROR(VLOOKUP($B36,MMWR_TRAD_AGG_RO_COMP[],O$1,0),"ERROR")</f>
        <v>560</v>
      </c>
      <c r="P36" s="226">
        <f t="shared" si="3"/>
        <v>0.40668119099491651</v>
      </c>
      <c r="Q36" s="230">
        <f>IFERROR(VLOOKUP($B36,MMWR_TRAD_AGG_RO_COMP[],Q$1,0),"ERROR")</f>
        <v>24</v>
      </c>
      <c r="R36" s="230">
        <f>IFERROR(VLOOKUP($B36,MMWR_TRAD_AGG_RO_COMP[],R$1,0),"ERROR")</f>
        <v>0</v>
      </c>
      <c r="S36" s="204">
        <f>IFERROR(VLOOKUP($B36,MMWR_APP_RO[],S$1,0),"ERROR")</f>
        <v>1751</v>
      </c>
      <c r="T36" s="28"/>
    </row>
    <row r="37" spans="1:20" x14ac:dyDescent="0.2">
      <c r="A37" s="28"/>
      <c r="B37" s="117" t="s">
        <v>84</v>
      </c>
      <c r="C37" s="231">
        <f>IFERROR(VLOOKUP($B37,MMWR_TRAD_AGG_RO_COMP[],C$1,0),"ERROR")</f>
        <v>1793</v>
      </c>
      <c r="D37" s="232">
        <f>IFERROR(VLOOKUP($B37,MMWR_TRAD_AGG_RO_COMP[],D$1,0),"ERROR")</f>
        <v>123.5995538204</v>
      </c>
      <c r="E37" s="233">
        <f>IFERROR(VLOOKUP($B37,MMWR_TRAD_AGG_RO_COMP[],E$1,0),"ERROR")</f>
        <v>2583</v>
      </c>
      <c r="F37" s="234">
        <f>IFERROR(VLOOKUP($B37,MMWR_TRAD_AGG_RO_COMP[],F$1,0),"ERROR")</f>
        <v>766</v>
      </c>
      <c r="G37" s="235">
        <f t="shared" si="0"/>
        <v>0.29655439411536971</v>
      </c>
      <c r="H37" s="236">
        <f>IFERROR(VLOOKUP($B37,MMWR_TRAD_AGG_RO_COMP[],H$1,0),"ERROR")</f>
        <v>2749</v>
      </c>
      <c r="I37" s="234">
        <f>IFERROR(VLOOKUP($B37,MMWR_TRAD_AGG_RO_COMP[],I$1,0),"ERROR")</f>
        <v>993</v>
      </c>
      <c r="J37" s="235">
        <f t="shared" si="1"/>
        <v>0.36122226264096036</v>
      </c>
      <c r="K37" s="237">
        <f>IFERROR(VLOOKUP($B37,MMWR_TRAD_AGG_RO_COMP[],K$1,0),"ERROR")</f>
        <v>292</v>
      </c>
      <c r="L37" s="238">
        <f>IFERROR(VLOOKUP($B37,MMWR_TRAD_AGG_RO_COMP[],L$1,0),"ERROR")</f>
        <v>155</v>
      </c>
      <c r="M37" s="235">
        <f t="shared" si="2"/>
        <v>0.53082191780821919</v>
      </c>
      <c r="N37" s="237">
        <f>IFERROR(VLOOKUP($B37,MMWR_TRAD_AGG_RO_COMP[],N$1,0),"ERROR")</f>
        <v>174</v>
      </c>
      <c r="O37" s="238">
        <f>IFERROR(VLOOKUP($B37,MMWR_TRAD_AGG_RO_COMP[],O$1,0),"ERROR")</f>
        <v>99</v>
      </c>
      <c r="P37" s="235">
        <f t="shared" si="3"/>
        <v>0.56896551724137934</v>
      </c>
      <c r="Q37" s="239">
        <f>IFERROR(VLOOKUP($B37,MMWR_TRAD_AGG_RO_COMP[],Q$1,0),"ERROR")</f>
        <v>0</v>
      </c>
      <c r="R37" s="239">
        <f>IFERROR(VLOOKUP($B37,MMWR_TRAD_AGG_RO_COMP[],R$1,0),"ERROR")</f>
        <v>10</v>
      </c>
      <c r="S37" s="204">
        <f>IFERROR(VLOOKUP($B37,MMWR_APP_RO[],S$1,0),"ERROR")</f>
        <v>1353</v>
      </c>
      <c r="T37" s="28"/>
    </row>
    <row r="38" spans="1:20" x14ac:dyDescent="0.2">
      <c r="A38" s="28"/>
      <c r="B38" s="102" t="s">
        <v>395</v>
      </c>
      <c r="C38" s="215">
        <f>IFERROR(VLOOKUP($B38,MMWR_TRAD_AGG_DISTRICT_COMP[],C$1,0),"ERROR")</f>
        <v>62646</v>
      </c>
      <c r="D38" s="200">
        <f>IFERROR(VLOOKUP($B38,MMWR_TRAD_AGG_DISTRICT_COMP[],D$1,0),"ERROR")</f>
        <v>324.73677489379997</v>
      </c>
      <c r="E38" s="216">
        <f>IFERROR(VLOOKUP($B38,MMWR_TRAD_AGG_DISTRICT_COMP[],E$1,0),"ERROR")</f>
        <v>71249</v>
      </c>
      <c r="F38" s="221">
        <f>IFERROR(VLOOKUP($B38,MMWR_TRAD_AGG_DISTRICT_COMP[],F$1,0),"ERROR")</f>
        <v>25124</v>
      </c>
      <c r="G38" s="217">
        <f t="shared" si="0"/>
        <v>0.35262249294726944</v>
      </c>
      <c r="H38" s="221">
        <f>IFERROR(VLOOKUP($B38,MMWR_TRAD_AGG_DISTRICT_COMP[],H$1,0),"ERROR")</f>
        <v>91994</v>
      </c>
      <c r="I38" s="221">
        <f>IFERROR(VLOOKUP($B38,MMWR_TRAD_AGG_DISTRICT_COMP[],I$1,0),"ERROR")</f>
        <v>52605</v>
      </c>
      <c r="J38" s="217">
        <f t="shared" si="1"/>
        <v>0.57183077157205908</v>
      </c>
      <c r="K38" s="215">
        <f>IFERROR(VLOOKUP($B38,MMWR_TRAD_AGG_DISTRICT_COMP[],K$1,0),"ERROR")</f>
        <v>13336</v>
      </c>
      <c r="L38" s="215">
        <f>IFERROR(VLOOKUP($B38,MMWR_TRAD_AGG_DISTRICT_COMP[],L$1,0),"ERROR")</f>
        <v>9659</v>
      </c>
      <c r="M38" s="217">
        <f t="shared" si="2"/>
        <v>0.72428014397120577</v>
      </c>
      <c r="N38" s="215">
        <f>IFERROR(VLOOKUP($B38,MMWR_TRAD_AGG_DISTRICT_COMP[],N$1,0),"ERROR")</f>
        <v>26687</v>
      </c>
      <c r="O38" s="215">
        <f>IFERROR(VLOOKUP($B38,MMWR_TRAD_AGG_DISTRICT_COMP[],O$1,0),"ERROR")</f>
        <v>20525</v>
      </c>
      <c r="P38" s="217">
        <f t="shared" si="3"/>
        <v>0.76910106044141346</v>
      </c>
      <c r="Q38" s="215">
        <f>IFERROR(VLOOKUP($B38,MMWR_TRAD_AGG_DISTRICT_COMP[],Q$1,0),"ERROR")</f>
        <v>114</v>
      </c>
      <c r="R38" s="218">
        <f>IFERROR(VLOOKUP($B38,MMWR_TRAD_AGG_DISTRICT_COMP[],R$1,0),"ERROR")</f>
        <v>1250</v>
      </c>
      <c r="S38" s="218">
        <f>IFERROR(VLOOKUP($B38,MMWR_APP_RO[],S$1,0),"ERROR")</f>
        <v>63296</v>
      </c>
      <c r="T38" s="28"/>
    </row>
    <row r="39" spans="1:20" x14ac:dyDescent="0.2">
      <c r="A39" s="28"/>
      <c r="B39" s="109" t="s">
        <v>39</v>
      </c>
      <c r="C39" s="222">
        <f>IFERROR(VLOOKUP($B39,MMWR_TRAD_AGG_RO_COMP[],C$1,0),"ERROR")</f>
        <v>667</v>
      </c>
      <c r="D39" s="223">
        <f>IFERROR(VLOOKUP($B39,MMWR_TRAD_AGG_RO_COMP[],D$1,0),"ERROR")</f>
        <v>219.86806596700001</v>
      </c>
      <c r="E39" s="224">
        <f>IFERROR(VLOOKUP($B39,MMWR_TRAD_AGG_RO_COMP[],E$1,0),"ERROR")</f>
        <v>888</v>
      </c>
      <c r="F39" s="225">
        <f>IFERROR(VLOOKUP($B39,MMWR_TRAD_AGG_RO_COMP[],F$1,0),"ERROR")</f>
        <v>210</v>
      </c>
      <c r="G39" s="226">
        <f t="shared" si="0"/>
        <v>0.23648648648648649</v>
      </c>
      <c r="H39" s="227">
        <f>IFERROR(VLOOKUP($B39,MMWR_TRAD_AGG_RO_COMP[],H$1,0),"ERROR")</f>
        <v>978</v>
      </c>
      <c r="I39" s="225">
        <f>IFERROR(VLOOKUP($B39,MMWR_TRAD_AGG_RO_COMP[],I$1,0),"ERROR")</f>
        <v>402</v>
      </c>
      <c r="J39" s="226">
        <f t="shared" si="1"/>
        <v>0.41104294478527609</v>
      </c>
      <c r="K39" s="228">
        <f>IFERROR(VLOOKUP($B39,MMWR_TRAD_AGG_RO_COMP[],K$1,0),"ERROR")</f>
        <v>196</v>
      </c>
      <c r="L39" s="229">
        <f>IFERROR(VLOOKUP($B39,MMWR_TRAD_AGG_RO_COMP[],L$1,0),"ERROR")</f>
        <v>162</v>
      </c>
      <c r="M39" s="226">
        <f t="shared" si="2"/>
        <v>0.82653061224489799</v>
      </c>
      <c r="N39" s="228">
        <f>IFERROR(VLOOKUP($B39,MMWR_TRAD_AGG_RO_COMP[],N$1,0),"ERROR")</f>
        <v>110</v>
      </c>
      <c r="O39" s="229">
        <f>IFERROR(VLOOKUP($B39,MMWR_TRAD_AGG_RO_COMP[],O$1,0),"ERROR")</f>
        <v>55</v>
      </c>
      <c r="P39" s="226">
        <f t="shared" si="3"/>
        <v>0.5</v>
      </c>
      <c r="Q39" s="230">
        <f>IFERROR(VLOOKUP($B39,MMWR_TRAD_AGG_RO_COMP[],Q$1,0),"ERROR")</f>
        <v>25</v>
      </c>
      <c r="R39" s="230">
        <f>IFERROR(VLOOKUP($B39,MMWR_TRAD_AGG_RO_COMP[],R$1,0),"ERROR")</f>
        <v>8</v>
      </c>
      <c r="S39" s="204">
        <f>IFERROR(VLOOKUP($B39,MMWR_APP_RO[],S$1,0),"ERROR")</f>
        <v>321</v>
      </c>
      <c r="T39" s="28"/>
    </row>
    <row r="40" spans="1:20" x14ac:dyDescent="0.2">
      <c r="A40" s="28"/>
      <c r="B40" s="109" t="s">
        <v>43</v>
      </c>
      <c r="C40" s="222">
        <f>IFERROR(VLOOKUP($B40,MMWR_TRAD_AGG_RO_COMP[],C$1,0),"ERROR")</f>
        <v>7481</v>
      </c>
      <c r="D40" s="223">
        <f>IFERROR(VLOOKUP($B40,MMWR_TRAD_AGG_RO_COMP[],D$1,0),"ERROR")</f>
        <v>432.228579067</v>
      </c>
      <c r="E40" s="224">
        <f>IFERROR(VLOOKUP($B40,MMWR_TRAD_AGG_RO_COMP[],E$1,0),"ERROR")</f>
        <v>7650</v>
      </c>
      <c r="F40" s="225">
        <f>IFERROR(VLOOKUP($B40,MMWR_TRAD_AGG_RO_COMP[],F$1,0),"ERROR")</f>
        <v>3431</v>
      </c>
      <c r="G40" s="226">
        <f t="shared" si="0"/>
        <v>0.44849673202614382</v>
      </c>
      <c r="H40" s="227">
        <f>IFERROR(VLOOKUP($B40,MMWR_TRAD_AGG_RO_COMP[],H$1,0),"ERROR")</f>
        <v>9812</v>
      </c>
      <c r="I40" s="225">
        <f>IFERROR(VLOOKUP($B40,MMWR_TRAD_AGG_RO_COMP[],I$1,0),"ERROR")</f>
        <v>6730</v>
      </c>
      <c r="J40" s="226">
        <f t="shared" si="1"/>
        <v>0.68589482266612312</v>
      </c>
      <c r="K40" s="228">
        <f>IFERROR(VLOOKUP($B40,MMWR_TRAD_AGG_RO_COMP[],K$1,0),"ERROR")</f>
        <v>2045</v>
      </c>
      <c r="L40" s="229">
        <f>IFERROR(VLOOKUP($B40,MMWR_TRAD_AGG_RO_COMP[],L$1,0),"ERROR")</f>
        <v>1781</v>
      </c>
      <c r="M40" s="226">
        <f t="shared" si="2"/>
        <v>0.8709046454767726</v>
      </c>
      <c r="N40" s="228">
        <f>IFERROR(VLOOKUP($B40,MMWR_TRAD_AGG_RO_COMP[],N$1,0),"ERROR")</f>
        <v>5144</v>
      </c>
      <c r="O40" s="229">
        <f>IFERROR(VLOOKUP($B40,MMWR_TRAD_AGG_RO_COMP[],O$1,0),"ERROR")</f>
        <v>3417</v>
      </c>
      <c r="P40" s="226">
        <f t="shared" si="3"/>
        <v>0.66426905132192848</v>
      </c>
      <c r="Q40" s="230">
        <f>IFERROR(VLOOKUP($B40,MMWR_TRAD_AGG_RO_COMP[],Q$1,0),"ERROR")</f>
        <v>1</v>
      </c>
      <c r="R40" s="230">
        <f>IFERROR(VLOOKUP($B40,MMWR_TRAD_AGG_RO_COMP[],R$1,0),"ERROR")</f>
        <v>54</v>
      </c>
      <c r="S40" s="204">
        <f>IFERROR(VLOOKUP($B40,MMWR_APP_RO[],S$1,0),"ERROR")</f>
        <v>5571</v>
      </c>
      <c r="T40" s="28"/>
    </row>
    <row r="41" spans="1:20" x14ac:dyDescent="0.2">
      <c r="A41" s="28"/>
      <c r="B41" s="109" t="s">
        <v>187</v>
      </c>
      <c r="C41" s="222">
        <f>IFERROR(VLOOKUP($B41,MMWR_TRAD_AGG_RO_COMP[],C$1,0),"ERROR")</f>
        <v>979</v>
      </c>
      <c r="D41" s="223">
        <f>IFERROR(VLOOKUP($B41,MMWR_TRAD_AGG_RO_COMP[],D$1,0),"ERROR")</f>
        <v>167.2972420838</v>
      </c>
      <c r="E41" s="224">
        <f>IFERROR(VLOOKUP($B41,MMWR_TRAD_AGG_RO_COMP[],E$1,0),"ERROR")</f>
        <v>876</v>
      </c>
      <c r="F41" s="225">
        <f>IFERROR(VLOOKUP($B41,MMWR_TRAD_AGG_RO_COMP[],F$1,0),"ERROR")</f>
        <v>106</v>
      </c>
      <c r="G41" s="226">
        <f t="shared" si="0"/>
        <v>0.12100456621004566</v>
      </c>
      <c r="H41" s="227">
        <f>IFERROR(VLOOKUP($B41,MMWR_TRAD_AGG_RO_COMP[],H$1,0),"ERROR")</f>
        <v>1348</v>
      </c>
      <c r="I41" s="225">
        <f>IFERROR(VLOOKUP($B41,MMWR_TRAD_AGG_RO_COMP[],I$1,0),"ERROR")</f>
        <v>430</v>
      </c>
      <c r="J41" s="226">
        <f t="shared" si="1"/>
        <v>0.31899109792284869</v>
      </c>
      <c r="K41" s="228">
        <f>IFERROR(VLOOKUP($B41,MMWR_TRAD_AGG_RO_COMP[],K$1,0),"ERROR")</f>
        <v>343</v>
      </c>
      <c r="L41" s="229">
        <f>IFERROR(VLOOKUP($B41,MMWR_TRAD_AGG_RO_COMP[],L$1,0),"ERROR")</f>
        <v>191</v>
      </c>
      <c r="M41" s="226">
        <f t="shared" si="2"/>
        <v>0.5568513119533528</v>
      </c>
      <c r="N41" s="228">
        <f>IFERROR(VLOOKUP($B41,MMWR_TRAD_AGG_RO_COMP[],N$1,0),"ERROR")</f>
        <v>83</v>
      </c>
      <c r="O41" s="229">
        <f>IFERROR(VLOOKUP($B41,MMWR_TRAD_AGG_RO_COMP[],O$1,0),"ERROR")</f>
        <v>31</v>
      </c>
      <c r="P41" s="226">
        <f t="shared" si="3"/>
        <v>0.37349397590361444</v>
      </c>
      <c r="Q41" s="230">
        <f>IFERROR(VLOOKUP($B41,MMWR_TRAD_AGG_RO_COMP[],Q$1,0),"ERROR")</f>
        <v>0</v>
      </c>
      <c r="R41" s="230">
        <f>IFERROR(VLOOKUP($B41,MMWR_TRAD_AGG_RO_COMP[],R$1,0),"ERROR")</f>
        <v>4</v>
      </c>
      <c r="S41" s="204">
        <f>IFERROR(VLOOKUP($B41,MMWR_APP_RO[],S$1,0),"ERROR")</f>
        <v>274</v>
      </c>
      <c r="T41" s="28"/>
    </row>
    <row r="42" spans="1:20" x14ac:dyDescent="0.2">
      <c r="A42" s="28"/>
      <c r="B42" s="109" t="s">
        <v>49</v>
      </c>
      <c r="C42" s="222">
        <f>IFERROR(VLOOKUP($B42,MMWR_TRAD_AGG_RO_COMP[],C$1,0),"ERROR")</f>
        <v>12782</v>
      </c>
      <c r="D42" s="223">
        <f>IFERROR(VLOOKUP($B42,MMWR_TRAD_AGG_RO_COMP[],D$1,0),"ERROR")</f>
        <v>340.85416992649999</v>
      </c>
      <c r="E42" s="224">
        <f>IFERROR(VLOOKUP($B42,MMWR_TRAD_AGG_RO_COMP[],E$1,0),"ERROR")</f>
        <v>17662</v>
      </c>
      <c r="F42" s="225">
        <f>IFERROR(VLOOKUP($B42,MMWR_TRAD_AGG_RO_COMP[],F$1,0),"ERROR")</f>
        <v>6862</v>
      </c>
      <c r="G42" s="226">
        <f t="shared" si="0"/>
        <v>0.3885177216623259</v>
      </c>
      <c r="H42" s="227">
        <f>IFERROR(VLOOKUP($B42,MMWR_TRAD_AGG_RO_COMP[],H$1,0),"ERROR")</f>
        <v>17072</v>
      </c>
      <c r="I42" s="225">
        <f>IFERROR(VLOOKUP($B42,MMWR_TRAD_AGG_RO_COMP[],I$1,0),"ERROR")</f>
        <v>11417</v>
      </c>
      <c r="J42" s="226">
        <f t="shared" si="1"/>
        <v>0.66875585754451738</v>
      </c>
      <c r="K42" s="228">
        <f>IFERROR(VLOOKUP($B42,MMWR_TRAD_AGG_RO_COMP[],K$1,0),"ERROR")</f>
        <v>1780</v>
      </c>
      <c r="L42" s="229">
        <f>IFERROR(VLOOKUP($B42,MMWR_TRAD_AGG_RO_COMP[],L$1,0),"ERROR")</f>
        <v>1440</v>
      </c>
      <c r="M42" s="226">
        <f t="shared" si="2"/>
        <v>0.8089887640449438</v>
      </c>
      <c r="N42" s="228">
        <f>IFERROR(VLOOKUP($B42,MMWR_TRAD_AGG_RO_COMP[],N$1,0),"ERROR")</f>
        <v>5196</v>
      </c>
      <c r="O42" s="229">
        <f>IFERROR(VLOOKUP($B42,MMWR_TRAD_AGG_RO_COMP[],O$1,0),"ERROR")</f>
        <v>4227</v>
      </c>
      <c r="P42" s="226">
        <f t="shared" si="3"/>
        <v>0.81351039260969982</v>
      </c>
      <c r="Q42" s="230">
        <f>IFERROR(VLOOKUP($B42,MMWR_TRAD_AGG_RO_COMP[],Q$1,0),"ERROR")</f>
        <v>1</v>
      </c>
      <c r="R42" s="230">
        <f>IFERROR(VLOOKUP($B42,MMWR_TRAD_AGG_RO_COMP[],R$1,0),"ERROR")</f>
        <v>237</v>
      </c>
      <c r="S42" s="204">
        <f>IFERROR(VLOOKUP($B42,MMWR_APP_RO[],S$1,0),"ERROR")</f>
        <v>19006</v>
      </c>
      <c r="T42" s="28"/>
    </row>
    <row r="43" spans="1:20" x14ac:dyDescent="0.2">
      <c r="A43" s="28"/>
      <c r="B43" s="109" t="s">
        <v>52</v>
      </c>
      <c r="C43" s="222">
        <f>IFERROR(VLOOKUP($B43,MMWR_TRAD_AGG_RO_COMP[],C$1,0),"ERROR")</f>
        <v>4259</v>
      </c>
      <c r="D43" s="223">
        <f>IFERROR(VLOOKUP($B43,MMWR_TRAD_AGG_RO_COMP[],D$1,0),"ERROR")</f>
        <v>386.6247945527</v>
      </c>
      <c r="E43" s="224">
        <f>IFERROR(VLOOKUP($B43,MMWR_TRAD_AGG_RO_COMP[],E$1,0),"ERROR")</f>
        <v>4434</v>
      </c>
      <c r="F43" s="225">
        <f>IFERROR(VLOOKUP($B43,MMWR_TRAD_AGG_RO_COMP[],F$1,0),"ERROR")</f>
        <v>2240</v>
      </c>
      <c r="G43" s="226">
        <f t="shared" si="0"/>
        <v>0.50518718989625622</v>
      </c>
      <c r="H43" s="227">
        <f>IFERROR(VLOOKUP($B43,MMWR_TRAD_AGG_RO_COMP[],H$1,0),"ERROR")</f>
        <v>5736</v>
      </c>
      <c r="I43" s="225">
        <f>IFERROR(VLOOKUP($B43,MMWR_TRAD_AGG_RO_COMP[],I$1,0),"ERROR")</f>
        <v>4072</v>
      </c>
      <c r="J43" s="226">
        <f t="shared" si="1"/>
        <v>0.70990237099023712</v>
      </c>
      <c r="K43" s="228">
        <f>IFERROR(VLOOKUP($B43,MMWR_TRAD_AGG_RO_COMP[],K$1,0),"ERROR")</f>
        <v>1589</v>
      </c>
      <c r="L43" s="229">
        <f>IFERROR(VLOOKUP($B43,MMWR_TRAD_AGG_RO_COMP[],L$1,0),"ERROR")</f>
        <v>1356</v>
      </c>
      <c r="M43" s="226">
        <f t="shared" si="2"/>
        <v>0.85336689741976091</v>
      </c>
      <c r="N43" s="228">
        <f>IFERROR(VLOOKUP($B43,MMWR_TRAD_AGG_RO_COMP[],N$1,0),"ERROR")</f>
        <v>2385</v>
      </c>
      <c r="O43" s="229">
        <f>IFERROR(VLOOKUP($B43,MMWR_TRAD_AGG_RO_COMP[],O$1,0),"ERROR")</f>
        <v>1938</v>
      </c>
      <c r="P43" s="226">
        <f t="shared" si="3"/>
        <v>0.8125786163522013</v>
      </c>
      <c r="Q43" s="230">
        <f>IFERROR(VLOOKUP($B43,MMWR_TRAD_AGG_RO_COMP[],Q$1,0),"ERROR")</f>
        <v>83</v>
      </c>
      <c r="R43" s="230">
        <f>IFERROR(VLOOKUP($B43,MMWR_TRAD_AGG_RO_COMP[],R$1,0),"ERROR")</f>
        <v>169</v>
      </c>
      <c r="S43" s="204">
        <f>IFERROR(VLOOKUP($B43,MMWR_APP_RO[],S$1,0),"ERROR")</f>
        <v>4254</v>
      </c>
      <c r="T43" s="28"/>
    </row>
    <row r="44" spans="1:20" x14ac:dyDescent="0.2">
      <c r="A44" s="28"/>
      <c r="B44" s="109" t="s">
        <v>54</v>
      </c>
      <c r="C44" s="222">
        <f>IFERROR(VLOOKUP($B44,MMWR_TRAD_AGG_RO_COMP[],C$1,0),"ERROR")</f>
        <v>4952</v>
      </c>
      <c r="D44" s="223">
        <f>IFERROR(VLOOKUP($B44,MMWR_TRAD_AGG_RO_COMP[],D$1,0),"ERROR")</f>
        <v>322.37641357029997</v>
      </c>
      <c r="E44" s="224">
        <f>IFERROR(VLOOKUP($B44,MMWR_TRAD_AGG_RO_COMP[],E$1,0),"ERROR")</f>
        <v>3354</v>
      </c>
      <c r="F44" s="225">
        <f>IFERROR(VLOOKUP($B44,MMWR_TRAD_AGG_RO_COMP[],F$1,0),"ERROR")</f>
        <v>941</v>
      </c>
      <c r="G44" s="226">
        <f t="shared" si="0"/>
        <v>0.28056052474657128</v>
      </c>
      <c r="H44" s="227">
        <f>IFERROR(VLOOKUP($B44,MMWR_TRAD_AGG_RO_COMP[],H$1,0),"ERROR")</f>
        <v>7895</v>
      </c>
      <c r="I44" s="225">
        <f>IFERROR(VLOOKUP($B44,MMWR_TRAD_AGG_RO_COMP[],I$1,0),"ERROR")</f>
        <v>4042</v>
      </c>
      <c r="J44" s="226">
        <f t="shared" si="1"/>
        <v>0.51196960101329958</v>
      </c>
      <c r="K44" s="228">
        <f>IFERROR(VLOOKUP($B44,MMWR_TRAD_AGG_RO_COMP[],K$1,0),"ERROR")</f>
        <v>3238</v>
      </c>
      <c r="L44" s="229">
        <f>IFERROR(VLOOKUP($B44,MMWR_TRAD_AGG_RO_COMP[],L$1,0),"ERROR")</f>
        <v>2096</v>
      </c>
      <c r="M44" s="226">
        <f t="shared" si="2"/>
        <v>0.64731315626930208</v>
      </c>
      <c r="N44" s="228">
        <f>IFERROR(VLOOKUP($B44,MMWR_TRAD_AGG_RO_COMP[],N$1,0),"ERROR")</f>
        <v>9525</v>
      </c>
      <c r="O44" s="229">
        <f>IFERROR(VLOOKUP($B44,MMWR_TRAD_AGG_RO_COMP[],O$1,0),"ERROR")</f>
        <v>8633</v>
      </c>
      <c r="P44" s="226">
        <f t="shared" si="3"/>
        <v>0.90635170603674542</v>
      </c>
      <c r="Q44" s="230">
        <f>IFERROR(VLOOKUP($B44,MMWR_TRAD_AGG_RO_COMP[],Q$1,0),"ERROR")</f>
        <v>0</v>
      </c>
      <c r="R44" s="230">
        <f>IFERROR(VLOOKUP($B44,MMWR_TRAD_AGG_RO_COMP[],R$1,0),"ERROR")</f>
        <v>163</v>
      </c>
      <c r="S44" s="204">
        <f>IFERROR(VLOOKUP($B44,MMWR_APP_RO[],S$1,0),"ERROR")</f>
        <v>5102</v>
      </c>
      <c r="T44" s="28"/>
    </row>
    <row r="45" spans="1:20" x14ac:dyDescent="0.2">
      <c r="A45" s="28"/>
      <c r="B45" s="109" t="s">
        <v>27</v>
      </c>
      <c r="C45" s="222">
        <f>IFERROR(VLOOKUP($B45,MMWR_TRAD_AGG_RO_COMP[],C$1,0),"ERROR")</f>
        <v>3102</v>
      </c>
      <c r="D45" s="223">
        <f>IFERROR(VLOOKUP($B45,MMWR_TRAD_AGG_RO_COMP[],D$1,0),"ERROR")</f>
        <v>154.19310122499999</v>
      </c>
      <c r="E45" s="224">
        <f>IFERROR(VLOOKUP($B45,MMWR_TRAD_AGG_RO_COMP[],E$1,0),"ERROR")</f>
        <v>7120</v>
      </c>
      <c r="F45" s="225">
        <f>IFERROR(VLOOKUP($B45,MMWR_TRAD_AGG_RO_COMP[],F$1,0),"ERROR")</f>
        <v>2030</v>
      </c>
      <c r="G45" s="226">
        <f t="shared" si="0"/>
        <v>0.2851123595505618</v>
      </c>
      <c r="H45" s="227">
        <f>IFERROR(VLOOKUP($B45,MMWR_TRAD_AGG_RO_COMP[],H$1,0),"ERROR")</f>
        <v>8959</v>
      </c>
      <c r="I45" s="225">
        <f>IFERROR(VLOOKUP($B45,MMWR_TRAD_AGG_RO_COMP[],I$1,0),"ERROR")</f>
        <v>3017</v>
      </c>
      <c r="J45" s="226">
        <f t="shared" si="1"/>
        <v>0.33675633441232278</v>
      </c>
      <c r="K45" s="228">
        <f>IFERROR(VLOOKUP($B45,MMWR_TRAD_AGG_RO_COMP[],K$1,0),"ERROR")</f>
        <v>1235</v>
      </c>
      <c r="L45" s="229">
        <f>IFERROR(VLOOKUP($B45,MMWR_TRAD_AGG_RO_COMP[],L$1,0),"ERROR")</f>
        <v>524</v>
      </c>
      <c r="M45" s="226">
        <f t="shared" si="2"/>
        <v>0.42429149797570848</v>
      </c>
      <c r="N45" s="228">
        <f>IFERROR(VLOOKUP($B45,MMWR_TRAD_AGG_RO_COMP[],N$1,0),"ERROR")</f>
        <v>412</v>
      </c>
      <c r="O45" s="229">
        <f>IFERROR(VLOOKUP($B45,MMWR_TRAD_AGG_RO_COMP[],O$1,0),"ERROR")</f>
        <v>196</v>
      </c>
      <c r="P45" s="226">
        <f t="shared" si="3"/>
        <v>0.47572815533980584</v>
      </c>
      <c r="Q45" s="230">
        <f>IFERROR(VLOOKUP($B45,MMWR_TRAD_AGG_RO_COMP[],Q$1,0),"ERROR")</f>
        <v>0</v>
      </c>
      <c r="R45" s="230">
        <f>IFERROR(VLOOKUP($B45,MMWR_TRAD_AGG_RO_COMP[],R$1,0),"ERROR")</f>
        <v>66</v>
      </c>
      <c r="S45" s="204">
        <f>IFERROR(VLOOKUP($B45,MMWR_APP_RO[],S$1,0),"ERROR")</f>
        <v>3738</v>
      </c>
      <c r="T45" s="28"/>
    </row>
    <row r="46" spans="1:20" x14ac:dyDescent="0.2">
      <c r="A46" s="28"/>
      <c r="B46" s="109" t="s">
        <v>62</v>
      </c>
      <c r="C46" s="222">
        <f>IFERROR(VLOOKUP($B46,MMWR_TRAD_AGG_RO_COMP[],C$1,0),"ERROR")</f>
        <v>6151</v>
      </c>
      <c r="D46" s="223">
        <f>IFERROR(VLOOKUP($B46,MMWR_TRAD_AGG_RO_COMP[],D$1,0),"ERROR")</f>
        <v>405.00422695499998</v>
      </c>
      <c r="E46" s="224">
        <f>IFERROR(VLOOKUP($B46,MMWR_TRAD_AGG_RO_COMP[],E$1,0),"ERROR")</f>
        <v>5730</v>
      </c>
      <c r="F46" s="225">
        <f>IFERROR(VLOOKUP($B46,MMWR_TRAD_AGG_RO_COMP[],F$1,0),"ERROR")</f>
        <v>1906</v>
      </c>
      <c r="G46" s="226">
        <f t="shared" si="0"/>
        <v>0.33263525305410124</v>
      </c>
      <c r="H46" s="227">
        <f>IFERROR(VLOOKUP($B46,MMWR_TRAD_AGG_RO_COMP[],H$1,0),"ERROR")</f>
        <v>7414</v>
      </c>
      <c r="I46" s="225">
        <f>IFERROR(VLOOKUP($B46,MMWR_TRAD_AGG_RO_COMP[],I$1,0),"ERROR")</f>
        <v>4911</v>
      </c>
      <c r="J46" s="226">
        <f t="shared" si="1"/>
        <v>0.66239546803345017</v>
      </c>
      <c r="K46" s="228">
        <f>IFERROR(VLOOKUP($B46,MMWR_TRAD_AGG_RO_COMP[],K$1,0),"ERROR")</f>
        <v>534</v>
      </c>
      <c r="L46" s="229">
        <f>IFERROR(VLOOKUP($B46,MMWR_TRAD_AGG_RO_COMP[],L$1,0),"ERROR")</f>
        <v>482</v>
      </c>
      <c r="M46" s="226">
        <f t="shared" si="2"/>
        <v>0.90262172284644193</v>
      </c>
      <c r="N46" s="228">
        <f>IFERROR(VLOOKUP($B46,MMWR_TRAD_AGG_RO_COMP[],N$1,0),"ERROR")</f>
        <v>692</v>
      </c>
      <c r="O46" s="229">
        <f>IFERROR(VLOOKUP($B46,MMWR_TRAD_AGG_RO_COMP[],O$1,0),"ERROR")</f>
        <v>402</v>
      </c>
      <c r="P46" s="226">
        <f t="shared" si="3"/>
        <v>0.58092485549132944</v>
      </c>
      <c r="Q46" s="230">
        <f>IFERROR(VLOOKUP($B46,MMWR_TRAD_AGG_RO_COMP[],Q$1,0),"ERROR")</f>
        <v>2</v>
      </c>
      <c r="R46" s="230">
        <f>IFERROR(VLOOKUP($B46,MMWR_TRAD_AGG_RO_COMP[],R$1,0),"ERROR")</f>
        <v>314</v>
      </c>
      <c r="S46" s="204">
        <f>IFERROR(VLOOKUP($B46,MMWR_APP_RO[],S$1,0),"ERROR")</f>
        <v>5710</v>
      </c>
      <c r="T46" s="28"/>
    </row>
    <row r="47" spans="1:20" x14ac:dyDescent="0.2">
      <c r="A47" s="28"/>
      <c r="B47" s="109" t="s">
        <v>73</v>
      </c>
      <c r="C47" s="222">
        <f>IFERROR(VLOOKUP($B47,MMWR_TRAD_AGG_RO_COMP[],C$1,0),"ERROR")</f>
        <v>8609</v>
      </c>
      <c r="D47" s="223">
        <f>IFERROR(VLOOKUP($B47,MMWR_TRAD_AGG_RO_COMP[],D$1,0),"ERROR")</f>
        <v>238.0792194215</v>
      </c>
      <c r="E47" s="224">
        <f>IFERROR(VLOOKUP($B47,MMWR_TRAD_AGG_RO_COMP[],E$1,0),"ERROR")</f>
        <v>5187</v>
      </c>
      <c r="F47" s="225">
        <f>IFERROR(VLOOKUP($B47,MMWR_TRAD_AGG_RO_COMP[],F$1,0),"ERROR")</f>
        <v>1059</v>
      </c>
      <c r="G47" s="226">
        <f t="shared" si="0"/>
        <v>0.20416425679583575</v>
      </c>
      <c r="H47" s="227">
        <f>IFERROR(VLOOKUP($B47,MMWR_TRAD_AGG_RO_COMP[],H$1,0),"ERROR")</f>
        <v>16455</v>
      </c>
      <c r="I47" s="225">
        <f>IFERROR(VLOOKUP($B47,MMWR_TRAD_AGG_RO_COMP[],I$1,0),"ERROR")</f>
        <v>7826</v>
      </c>
      <c r="J47" s="226">
        <f t="shared" si="1"/>
        <v>0.47560012154360376</v>
      </c>
      <c r="K47" s="228">
        <f>IFERROR(VLOOKUP($B47,MMWR_TRAD_AGG_RO_COMP[],K$1,0),"ERROR")</f>
        <v>975</v>
      </c>
      <c r="L47" s="229">
        <f>IFERROR(VLOOKUP($B47,MMWR_TRAD_AGG_RO_COMP[],L$1,0),"ERROR")</f>
        <v>568</v>
      </c>
      <c r="M47" s="226">
        <f t="shared" si="2"/>
        <v>0.58256410256410252</v>
      </c>
      <c r="N47" s="228">
        <f>IFERROR(VLOOKUP($B47,MMWR_TRAD_AGG_RO_COMP[],N$1,0),"ERROR")</f>
        <v>139</v>
      </c>
      <c r="O47" s="229">
        <f>IFERROR(VLOOKUP($B47,MMWR_TRAD_AGG_RO_COMP[],O$1,0),"ERROR")</f>
        <v>63</v>
      </c>
      <c r="P47" s="226">
        <f t="shared" si="3"/>
        <v>0.45323741007194246</v>
      </c>
      <c r="Q47" s="230">
        <f>IFERROR(VLOOKUP($B47,MMWR_TRAD_AGG_RO_COMP[],Q$1,0),"ERROR")</f>
        <v>0</v>
      </c>
      <c r="R47" s="230">
        <f>IFERROR(VLOOKUP($B47,MMWR_TRAD_AGG_RO_COMP[],R$1,0),"ERROR")</f>
        <v>4</v>
      </c>
      <c r="S47" s="204">
        <f>IFERROR(VLOOKUP($B47,MMWR_APP_RO[],S$1,0),"ERROR")</f>
        <v>452</v>
      </c>
      <c r="T47" s="28"/>
    </row>
    <row r="48" spans="1:20" x14ac:dyDescent="0.2">
      <c r="A48" s="28"/>
      <c r="B48" s="117" t="s">
        <v>82</v>
      </c>
      <c r="C48" s="231">
        <f>IFERROR(VLOOKUP($B48,MMWR_TRAD_AGG_RO_COMP[],C$1,0),"ERROR")</f>
        <v>13664</v>
      </c>
      <c r="D48" s="232">
        <f>IFERROR(VLOOKUP($B48,MMWR_TRAD_AGG_RO_COMP[],D$1,0),"ERROR")</f>
        <v>305.9549912178</v>
      </c>
      <c r="E48" s="233">
        <f>IFERROR(VLOOKUP($B48,MMWR_TRAD_AGG_RO_COMP[],E$1,0),"ERROR")</f>
        <v>18348</v>
      </c>
      <c r="F48" s="234">
        <f>IFERROR(VLOOKUP($B48,MMWR_TRAD_AGG_RO_COMP[],F$1,0),"ERROR")</f>
        <v>6339</v>
      </c>
      <c r="G48" s="235">
        <f t="shared" si="0"/>
        <v>0.34548724656638324</v>
      </c>
      <c r="H48" s="236">
        <f>IFERROR(VLOOKUP($B48,MMWR_TRAD_AGG_RO_COMP[],H$1,0),"ERROR")</f>
        <v>16325</v>
      </c>
      <c r="I48" s="234">
        <f>IFERROR(VLOOKUP($B48,MMWR_TRAD_AGG_RO_COMP[],I$1,0),"ERROR")</f>
        <v>9758</v>
      </c>
      <c r="J48" s="235">
        <f t="shared" si="1"/>
        <v>0.59773353751914238</v>
      </c>
      <c r="K48" s="237">
        <f>IFERROR(VLOOKUP($B48,MMWR_TRAD_AGG_RO_COMP[],K$1,0),"ERROR")</f>
        <v>1401</v>
      </c>
      <c r="L48" s="238">
        <f>IFERROR(VLOOKUP($B48,MMWR_TRAD_AGG_RO_COMP[],L$1,0),"ERROR")</f>
        <v>1059</v>
      </c>
      <c r="M48" s="235">
        <f t="shared" si="2"/>
        <v>0.75588865096359747</v>
      </c>
      <c r="N48" s="237">
        <f>IFERROR(VLOOKUP($B48,MMWR_TRAD_AGG_RO_COMP[],N$1,0),"ERROR")</f>
        <v>3001</v>
      </c>
      <c r="O48" s="238">
        <f>IFERROR(VLOOKUP($B48,MMWR_TRAD_AGG_RO_COMP[],O$1,0),"ERROR")</f>
        <v>1563</v>
      </c>
      <c r="P48" s="235">
        <f t="shared" si="3"/>
        <v>0.52082639120293239</v>
      </c>
      <c r="Q48" s="239">
        <f>IFERROR(VLOOKUP($B48,MMWR_TRAD_AGG_RO_COMP[],Q$1,0),"ERROR")</f>
        <v>2</v>
      </c>
      <c r="R48" s="239">
        <f>IFERROR(VLOOKUP($B48,MMWR_TRAD_AGG_RO_COMP[],R$1,0),"ERROR")</f>
        <v>231</v>
      </c>
      <c r="S48" s="204">
        <f>IFERROR(VLOOKUP($B48,MMWR_APP_RO[],S$1,0),"ERROR")</f>
        <v>18868</v>
      </c>
      <c r="T48" s="28"/>
    </row>
    <row r="49" spans="1:20" x14ac:dyDescent="0.2">
      <c r="A49" s="28"/>
      <c r="B49" s="102" t="s">
        <v>414</v>
      </c>
      <c r="C49" s="215">
        <f>IFERROR(VLOOKUP($B49,MMWR_TRAD_AGG_DISTRICT_COMP[],C$1,0),"ERROR")</f>
        <v>69989</v>
      </c>
      <c r="D49" s="200">
        <f>IFERROR(VLOOKUP($B49,MMWR_TRAD_AGG_DISTRICT_COMP[],D$1,0),"ERROR")</f>
        <v>370.18472902880001</v>
      </c>
      <c r="E49" s="216">
        <f>IFERROR(VLOOKUP($B49,MMWR_TRAD_AGG_DISTRICT_COMP[],E$1,0),"ERROR")</f>
        <v>68590</v>
      </c>
      <c r="F49" s="221">
        <f>IFERROR(VLOOKUP($B49,MMWR_TRAD_AGG_DISTRICT_COMP[],F$1,0),"ERROR")</f>
        <v>22539</v>
      </c>
      <c r="G49" s="217">
        <f t="shared" si="0"/>
        <v>0.32860475287942847</v>
      </c>
      <c r="H49" s="221">
        <f>IFERROR(VLOOKUP($B49,MMWR_TRAD_AGG_DISTRICT_COMP[],H$1,0),"ERROR")</f>
        <v>94897</v>
      </c>
      <c r="I49" s="221">
        <f>IFERROR(VLOOKUP($B49,MMWR_TRAD_AGG_DISTRICT_COMP[],I$1,0),"ERROR")</f>
        <v>60695</v>
      </c>
      <c r="J49" s="217">
        <f t="shared" si="1"/>
        <v>0.63958818508488147</v>
      </c>
      <c r="K49" s="215">
        <f>IFERROR(VLOOKUP($B49,MMWR_TRAD_AGG_DISTRICT_COMP[],K$1,0),"ERROR")</f>
        <v>17844</v>
      </c>
      <c r="L49" s="215">
        <f>IFERROR(VLOOKUP($B49,MMWR_TRAD_AGG_DISTRICT_COMP[],L$1,0),"ERROR")</f>
        <v>15161</v>
      </c>
      <c r="M49" s="217">
        <f t="shared" si="2"/>
        <v>0.84964133602331315</v>
      </c>
      <c r="N49" s="215">
        <f>IFERROR(VLOOKUP($B49,MMWR_TRAD_AGG_DISTRICT_COMP[],N$1,0),"ERROR")</f>
        <v>25351</v>
      </c>
      <c r="O49" s="215">
        <f>IFERROR(VLOOKUP($B49,MMWR_TRAD_AGG_DISTRICT_COMP[],O$1,0),"ERROR")</f>
        <v>18854</v>
      </c>
      <c r="P49" s="217">
        <f t="shared" si="3"/>
        <v>0.74371819652084725</v>
      </c>
      <c r="Q49" s="215">
        <f>IFERROR(VLOOKUP($B49,MMWR_TRAD_AGG_DISTRICT_COMP[],Q$1,0),"ERROR")</f>
        <v>355</v>
      </c>
      <c r="R49" s="218">
        <f>IFERROR(VLOOKUP($B49,MMWR_TRAD_AGG_DISTRICT_COMP[],R$1,0),"ERROR")</f>
        <v>692</v>
      </c>
      <c r="S49" s="218">
        <f>IFERROR(VLOOKUP($B49,MMWR_APP_RO[],S$1,0),"ERROR")</f>
        <v>41482</v>
      </c>
      <c r="T49" s="28"/>
    </row>
    <row r="50" spans="1:20" x14ac:dyDescent="0.2">
      <c r="A50" s="28"/>
      <c r="B50" s="109" t="s">
        <v>34</v>
      </c>
      <c r="C50" s="222">
        <f>IFERROR(VLOOKUP($B50,MMWR_TRAD_AGG_RO_COMP[],C$1,0),"ERROR")</f>
        <v>1447</v>
      </c>
      <c r="D50" s="223">
        <f>IFERROR(VLOOKUP($B50,MMWR_TRAD_AGG_RO_COMP[],D$1,0),"ERROR")</f>
        <v>141.68348306839999</v>
      </c>
      <c r="E50" s="224">
        <f>IFERROR(VLOOKUP($B50,MMWR_TRAD_AGG_RO_COMP[],E$1,0),"ERROR")</f>
        <v>3122</v>
      </c>
      <c r="F50" s="225">
        <f>IFERROR(VLOOKUP($B50,MMWR_TRAD_AGG_RO_COMP[],F$1,0),"ERROR")</f>
        <v>1067</v>
      </c>
      <c r="G50" s="226">
        <f t="shared" si="0"/>
        <v>0.34176809737347852</v>
      </c>
      <c r="H50" s="227">
        <f>IFERROR(VLOOKUP($B50,MMWR_TRAD_AGG_RO_COMP[],H$1,0),"ERROR")</f>
        <v>2117</v>
      </c>
      <c r="I50" s="225">
        <f>IFERROR(VLOOKUP($B50,MMWR_TRAD_AGG_RO_COMP[],I$1,0),"ERROR")</f>
        <v>790</v>
      </c>
      <c r="J50" s="226">
        <f t="shared" si="1"/>
        <v>0.37316957959376479</v>
      </c>
      <c r="K50" s="228">
        <f>IFERROR(VLOOKUP($B50,MMWR_TRAD_AGG_RO_COMP[],K$1,0),"ERROR")</f>
        <v>190</v>
      </c>
      <c r="L50" s="229">
        <f>IFERROR(VLOOKUP($B50,MMWR_TRAD_AGG_RO_COMP[],L$1,0),"ERROR")</f>
        <v>104</v>
      </c>
      <c r="M50" s="226">
        <f t="shared" si="2"/>
        <v>0.54736842105263162</v>
      </c>
      <c r="N50" s="228">
        <f>IFERROR(VLOOKUP($B50,MMWR_TRAD_AGG_RO_COMP[],N$1,0),"ERROR")</f>
        <v>431</v>
      </c>
      <c r="O50" s="229">
        <f>IFERROR(VLOOKUP($B50,MMWR_TRAD_AGG_RO_COMP[],O$1,0),"ERROR")</f>
        <v>247</v>
      </c>
      <c r="P50" s="226">
        <f t="shared" si="3"/>
        <v>0.57308584686774944</v>
      </c>
      <c r="Q50" s="230">
        <f>IFERROR(VLOOKUP($B50,MMWR_TRAD_AGG_RO_COMP[],Q$1,0),"ERROR")</f>
        <v>0</v>
      </c>
      <c r="R50" s="230">
        <f>IFERROR(VLOOKUP($B50,MMWR_TRAD_AGG_RO_COMP[],R$1,0),"ERROR")</f>
        <v>17</v>
      </c>
      <c r="S50" s="204">
        <f>IFERROR(VLOOKUP($B50,MMWR_APP_RO[],S$1,0),"ERROR")</f>
        <v>1760</v>
      </c>
      <c r="T50" s="28"/>
    </row>
    <row r="51" spans="1:20" x14ac:dyDescent="0.2">
      <c r="A51" s="28"/>
      <c r="B51" s="109" t="s">
        <v>35</v>
      </c>
      <c r="C51" s="222">
        <f>IFERROR(VLOOKUP($B51,MMWR_TRAD_AGG_RO_COMP[],C$1,0),"ERROR")</f>
        <v>2369</v>
      </c>
      <c r="D51" s="223">
        <f>IFERROR(VLOOKUP($B51,MMWR_TRAD_AGG_RO_COMP[],D$1,0),"ERROR")</f>
        <v>511.13761080619997</v>
      </c>
      <c r="E51" s="224">
        <f>IFERROR(VLOOKUP($B51,MMWR_TRAD_AGG_RO_COMP[],E$1,0),"ERROR")</f>
        <v>950</v>
      </c>
      <c r="F51" s="225">
        <f>IFERROR(VLOOKUP($B51,MMWR_TRAD_AGG_RO_COMP[],F$1,0),"ERROR")</f>
        <v>160</v>
      </c>
      <c r="G51" s="226">
        <f t="shared" si="0"/>
        <v>0.16842105263157894</v>
      </c>
      <c r="H51" s="227">
        <f>IFERROR(VLOOKUP($B51,MMWR_TRAD_AGG_RO_COMP[],H$1,0),"ERROR")</f>
        <v>2982</v>
      </c>
      <c r="I51" s="225">
        <f>IFERROR(VLOOKUP($B51,MMWR_TRAD_AGG_RO_COMP[],I$1,0),"ERROR")</f>
        <v>2234</v>
      </c>
      <c r="J51" s="226">
        <f t="shared" si="1"/>
        <v>0.7491616364855801</v>
      </c>
      <c r="K51" s="228">
        <f>IFERROR(VLOOKUP($B51,MMWR_TRAD_AGG_RO_COMP[],K$1,0),"ERROR")</f>
        <v>1935</v>
      </c>
      <c r="L51" s="229">
        <f>IFERROR(VLOOKUP($B51,MMWR_TRAD_AGG_RO_COMP[],L$1,0),"ERROR")</f>
        <v>1743</v>
      </c>
      <c r="M51" s="226">
        <f t="shared" si="2"/>
        <v>0.90077519379844961</v>
      </c>
      <c r="N51" s="228">
        <f>IFERROR(VLOOKUP($B51,MMWR_TRAD_AGG_RO_COMP[],N$1,0),"ERROR")</f>
        <v>129</v>
      </c>
      <c r="O51" s="229">
        <f>IFERROR(VLOOKUP($B51,MMWR_TRAD_AGG_RO_COMP[],O$1,0),"ERROR")</f>
        <v>90</v>
      </c>
      <c r="P51" s="226">
        <f t="shared" si="3"/>
        <v>0.69767441860465118</v>
      </c>
      <c r="Q51" s="230">
        <f>IFERROR(VLOOKUP($B51,MMWR_TRAD_AGG_RO_COMP[],Q$1,0),"ERROR")</f>
        <v>0</v>
      </c>
      <c r="R51" s="230">
        <f>IFERROR(VLOOKUP($B51,MMWR_TRAD_AGG_RO_COMP[],R$1,0),"ERROR")</f>
        <v>2</v>
      </c>
      <c r="S51" s="204">
        <f>IFERROR(VLOOKUP($B51,MMWR_APP_RO[],S$1,0),"ERROR")</f>
        <v>261</v>
      </c>
      <c r="T51" s="28"/>
    </row>
    <row r="52" spans="1:20" x14ac:dyDescent="0.2">
      <c r="A52" s="28"/>
      <c r="B52" s="109" t="s">
        <v>37</v>
      </c>
      <c r="C52" s="222">
        <f>IFERROR(VLOOKUP($B52,MMWR_TRAD_AGG_RO_COMP[],C$1,0),"ERROR")</f>
        <v>435</v>
      </c>
      <c r="D52" s="223">
        <f>IFERROR(VLOOKUP($B52,MMWR_TRAD_AGG_RO_COMP[],D$1,0),"ERROR")</f>
        <v>103.9310344828</v>
      </c>
      <c r="E52" s="224">
        <f>IFERROR(VLOOKUP($B52,MMWR_TRAD_AGG_RO_COMP[],E$1,0),"ERROR")</f>
        <v>1519</v>
      </c>
      <c r="F52" s="225">
        <f>IFERROR(VLOOKUP($B52,MMWR_TRAD_AGG_RO_COMP[],F$1,0),"ERROR")</f>
        <v>431</v>
      </c>
      <c r="G52" s="226">
        <f t="shared" si="0"/>
        <v>0.28373930217248189</v>
      </c>
      <c r="H52" s="227">
        <f>IFERROR(VLOOKUP($B52,MMWR_TRAD_AGG_RO_COMP[],H$1,0),"ERROR")</f>
        <v>1058</v>
      </c>
      <c r="I52" s="225">
        <f>IFERROR(VLOOKUP($B52,MMWR_TRAD_AGG_RO_COMP[],I$1,0),"ERROR")</f>
        <v>136</v>
      </c>
      <c r="J52" s="226">
        <f t="shared" si="1"/>
        <v>0.12854442344045369</v>
      </c>
      <c r="K52" s="228">
        <f>IFERROR(VLOOKUP($B52,MMWR_TRAD_AGG_RO_COMP[],K$1,0),"ERROR")</f>
        <v>148</v>
      </c>
      <c r="L52" s="229">
        <f>IFERROR(VLOOKUP($B52,MMWR_TRAD_AGG_RO_COMP[],L$1,0),"ERROR")</f>
        <v>66</v>
      </c>
      <c r="M52" s="226">
        <f t="shared" si="2"/>
        <v>0.44594594594594594</v>
      </c>
      <c r="N52" s="228">
        <f>IFERROR(VLOOKUP($B52,MMWR_TRAD_AGG_RO_COMP[],N$1,0),"ERROR")</f>
        <v>75</v>
      </c>
      <c r="O52" s="229">
        <f>IFERROR(VLOOKUP($B52,MMWR_TRAD_AGG_RO_COMP[],O$1,0),"ERROR")</f>
        <v>39</v>
      </c>
      <c r="P52" s="226">
        <f t="shared" si="3"/>
        <v>0.52</v>
      </c>
      <c r="Q52" s="230">
        <f>IFERROR(VLOOKUP($B52,MMWR_TRAD_AGG_RO_COMP[],Q$1,0),"ERROR")</f>
        <v>0</v>
      </c>
      <c r="R52" s="230">
        <f>IFERROR(VLOOKUP($B52,MMWR_TRAD_AGG_RO_COMP[],R$1,0),"ERROR")</f>
        <v>10</v>
      </c>
      <c r="S52" s="204">
        <f>IFERROR(VLOOKUP($B52,MMWR_APP_RO[],S$1,0),"ERROR")</f>
        <v>975</v>
      </c>
      <c r="T52" s="28"/>
    </row>
    <row r="53" spans="1:20" x14ac:dyDescent="0.2">
      <c r="A53" s="28"/>
      <c r="B53" s="109" t="s">
        <v>48</v>
      </c>
      <c r="C53" s="222">
        <f>IFERROR(VLOOKUP($B53,MMWR_TRAD_AGG_RO_COMP[],C$1,0),"ERROR")</f>
        <v>2202</v>
      </c>
      <c r="D53" s="223">
        <f>IFERROR(VLOOKUP($B53,MMWR_TRAD_AGG_RO_COMP[],D$1,0),"ERROR")</f>
        <v>224.60990009080001</v>
      </c>
      <c r="E53" s="224">
        <f>IFERROR(VLOOKUP($B53,MMWR_TRAD_AGG_RO_COMP[],E$1,0),"ERROR")</f>
        <v>2628</v>
      </c>
      <c r="F53" s="225">
        <f>IFERROR(VLOOKUP($B53,MMWR_TRAD_AGG_RO_COMP[],F$1,0),"ERROR")</f>
        <v>951</v>
      </c>
      <c r="G53" s="226">
        <f t="shared" si="0"/>
        <v>0.36187214611872148</v>
      </c>
      <c r="H53" s="227">
        <f>IFERROR(VLOOKUP($B53,MMWR_TRAD_AGG_RO_COMP[],H$1,0),"ERROR")</f>
        <v>2835</v>
      </c>
      <c r="I53" s="225">
        <f>IFERROR(VLOOKUP($B53,MMWR_TRAD_AGG_RO_COMP[],I$1,0),"ERROR")</f>
        <v>1475</v>
      </c>
      <c r="J53" s="226">
        <f t="shared" si="1"/>
        <v>0.52028218694885364</v>
      </c>
      <c r="K53" s="228">
        <f>IFERROR(VLOOKUP($B53,MMWR_TRAD_AGG_RO_COMP[],K$1,0),"ERROR")</f>
        <v>428</v>
      </c>
      <c r="L53" s="229">
        <f>IFERROR(VLOOKUP($B53,MMWR_TRAD_AGG_RO_COMP[],L$1,0),"ERROR")</f>
        <v>383</v>
      </c>
      <c r="M53" s="226">
        <f t="shared" si="2"/>
        <v>0.89485981308411211</v>
      </c>
      <c r="N53" s="228">
        <f>IFERROR(VLOOKUP($B53,MMWR_TRAD_AGG_RO_COMP[],N$1,0),"ERROR")</f>
        <v>425</v>
      </c>
      <c r="O53" s="229">
        <f>IFERROR(VLOOKUP($B53,MMWR_TRAD_AGG_RO_COMP[],O$1,0),"ERROR")</f>
        <v>260</v>
      </c>
      <c r="P53" s="226">
        <f t="shared" si="3"/>
        <v>0.61176470588235299</v>
      </c>
      <c r="Q53" s="230">
        <f>IFERROR(VLOOKUP($B53,MMWR_TRAD_AGG_RO_COMP[],Q$1,0),"ERROR")</f>
        <v>0</v>
      </c>
      <c r="R53" s="230">
        <f>IFERROR(VLOOKUP($B53,MMWR_TRAD_AGG_RO_COMP[],R$1,0),"ERROR")</f>
        <v>1</v>
      </c>
      <c r="S53" s="204">
        <f>IFERROR(VLOOKUP($B53,MMWR_APP_RO[],S$1,0),"ERROR")</f>
        <v>1169</v>
      </c>
      <c r="T53" s="28"/>
    </row>
    <row r="54" spans="1:20" x14ac:dyDescent="0.2">
      <c r="A54" s="28"/>
      <c r="B54" s="109" t="s">
        <v>55</v>
      </c>
      <c r="C54" s="222">
        <f>IFERROR(VLOOKUP($B54,MMWR_TRAD_AGG_RO_COMP[],C$1,0),"ERROR")</f>
        <v>7745</v>
      </c>
      <c r="D54" s="223">
        <f>IFERROR(VLOOKUP($B54,MMWR_TRAD_AGG_RO_COMP[],D$1,0),"ERROR")</f>
        <v>419.51245965139998</v>
      </c>
      <c r="E54" s="224">
        <f>IFERROR(VLOOKUP($B54,MMWR_TRAD_AGG_RO_COMP[],E$1,0),"ERROR")</f>
        <v>11084</v>
      </c>
      <c r="F54" s="225">
        <f>IFERROR(VLOOKUP($B54,MMWR_TRAD_AGG_RO_COMP[],F$1,0),"ERROR")</f>
        <v>4455</v>
      </c>
      <c r="G54" s="226">
        <f t="shared" si="0"/>
        <v>0.40193071093468064</v>
      </c>
      <c r="H54" s="227">
        <f>IFERROR(VLOOKUP($B54,MMWR_TRAD_AGG_RO_COMP[],H$1,0),"ERROR")</f>
        <v>9309</v>
      </c>
      <c r="I54" s="225">
        <f>IFERROR(VLOOKUP($B54,MMWR_TRAD_AGG_RO_COMP[],I$1,0),"ERROR")</f>
        <v>6904</v>
      </c>
      <c r="J54" s="226">
        <f t="shared" si="1"/>
        <v>0.7416478676549576</v>
      </c>
      <c r="K54" s="228">
        <f>IFERROR(VLOOKUP($B54,MMWR_TRAD_AGG_RO_COMP[],K$1,0),"ERROR")</f>
        <v>1007</v>
      </c>
      <c r="L54" s="229">
        <f>IFERROR(VLOOKUP($B54,MMWR_TRAD_AGG_RO_COMP[],L$1,0),"ERROR")</f>
        <v>908</v>
      </c>
      <c r="M54" s="226">
        <f t="shared" si="2"/>
        <v>0.9016881827209533</v>
      </c>
      <c r="N54" s="228">
        <f>IFERROR(VLOOKUP($B54,MMWR_TRAD_AGG_RO_COMP[],N$1,0),"ERROR")</f>
        <v>5266</v>
      </c>
      <c r="O54" s="229">
        <f>IFERROR(VLOOKUP($B54,MMWR_TRAD_AGG_RO_COMP[],O$1,0),"ERROR")</f>
        <v>3722</v>
      </c>
      <c r="P54" s="226">
        <f t="shared" si="3"/>
        <v>0.70679832890239269</v>
      </c>
      <c r="Q54" s="230">
        <f>IFERROR(VLOOKUP($B54,MMWR_TRAD_AGG_RO_COMP[],Q$1,0),"ERROR")</f>
        <v>3</v>
      </c>
      <c r="R54" s="230">
        <f>IFERROR(VLOOKUP($B54,MMWR_TRAD_AGG_RO_COMP[],R$1,0),"ERROR")</f>
        <v>36</v>
      </c>
      <c r="S54" s="204">
        <f>IFERROR(VLOOKUP($B54,MMWR_APP_RO[],S$1,0),"ERROR")</f>
        <v>4476</v>
      </c>
      <c r="T54" s="28"/>
    </row>
    <row r="55" spans="1:20" x14ac:dyDescent="0.2">
      <c r="A55" s="28"/>
      <c r="B55" s="109" t="s">
        <v>58</v>
      </c>
      <c r="C55" s="222">
        <f>IFERROR(VLOOKUP($B55,MMWR_TRAD_AGG_RO_COMP[],C$1,0),"ERROR")</f>
        <v>718</v>
      </c>
      <c r="D55" s="223">
        <f>IFERROR(VLOOKUP($B55,MMWR_TRAD_AGG_RO_COMP[],D$1,0),"ERROR")</f>
        <v>157.41782729810001</v>
      </c>
      <c r="E55" s="224">
        <f>IFERROR(VLOOKUP($B55,MMWR_TRAD_AGG_RO_COMP[],E$1,0),"ERROR")</f>
        <v>1147</v>
      </c>
      <c r="F55" s="225">
        <f>IFERROR(VLOOKUP($B55,MMWR_TRAD_AGG_RO_COMP[],F$1,0),"ERROR")</f>
        <v>450</v>
      </c>
      <c r="G55" s="226">
        <f t="shared" si="0"/>
        <v>0.39232781168265041</v>
      </c>
      <c r="H55" s="227">
        <f>IFERROR(VLOOKUP($B55,MMWR_TRAD_AGG_RO_COMP[],H$1,0),"ERROR")</f>
        <v>929</v>
      </c>
      <c r="I55" s="225">
        <f>IFERROR(VLOOKUP($B55,MMWR_TRAD_AGG_RO_COMP[],I$1,0),"ERROR")</f>
        <v>408</v>
      </c>
      <c r="J55" s="226">
        <f t="shared" si="1"/>
        <v>0.43918191603875134</v>
      </c>
      <c r="K55" s="228">
        <f>IFERROR(VLOOKUP($B55,MMWR_TRAD_AGG_RO_COMP[],K$1,0),"ERROR")</f>
        <v>186</v>
      </c>
      <c r="L55" s="229">
        <f>IFERROR(VLOOKUP($B55,MMWR_TRAD_AGG_RO_COMP[],L$1,0),"ERROR")</f>
        <v>141</v>
      </c>
      <c r="M55" s="226">
        <f t="shared" si="2"/>
        <v>0.75806451612903225</v>
      </c>
      <c r="N55" s="228">
        <f>IFERROR(VLOOKUP($B55,MMWR_TRAD_AGG_RO_COMP[],N$1,0),"ERROR")</f>
        <v>574</v>
      </c>
      <c r="O55" s="229">
        <f>IFERROR(VLOOKUP($B55,MMWR_TRAD_AGG_RO_COMP[],O$1,0),"ERROR")</f>
        <v>420</v>
      </c>
      <c r="P55" s="226">
        <f t="shared" si="3"/>
        <v>0.73170731707317072</v>
      </c>
      <c r="Q55" s="230">
        <f>IFERROR(VLOOKUP($B55,MMWR_TRAD_AGG_RO_COMP[],Q$1,0),"ERROR")</f>
        <v>350</v>
      </c>
      <c r="R55" s="230">
        <f>IFERROR(VLOOKUP($B55,MMWR_TRAD_AGG_RO_COMP[],R$1,0),"ERROR")</f>
        <v>126</v>
      </c>
      <c r="S55" s="204">
        <f>IFERROR(VLOOKUP($B55,MMWR_APP_RO[],S$1,0),"ERROR")</f>
        <v>1049</v>
      </c>
      <c r="T55" s="28"/>
    </row>
    <row r="56" spans="1:20" x14ac:dyDescent="0.2">
      <c r="A56" s="28"/>
      <c r="B56" s="109" t="s">
        <v>65</v>
      </c>
      <c r="C56" s="222">
        <f>IFERROR(VLOOKUP($B56,MMWR_TRAD_AGG_RO_COMP[],C$1,0),"ERROR")</f>
        <v>10079</v>
      </c>
      <c r="D56" s="223">
        <f>IFERROR(VLOOKUP($B56,MMWR_TRAD_AGG_RO_COMP[],D$1,0),"ERROR")</f>
        <v>417.49489036609998</v>
      </c>
      <c r="E56" s="224">
        <f>IFERROR(VLOOKUP($B56,MMWR_TRAD_AGG_RO_COMP[],E$1,0),"ERROR")</f>
        <v>12204</v>
      </c>
      <c r="F56" s="225">
        <f>IFERROR(VLOOKUP($B56,MMWR_TRAD_AGG_RO_COMP[],F$1,0),"ERROR")</f>
        <v>4453</v>
      </c>
      <c r="G56" s="226">
        <f t="shared" si="0"/>
        <v>0.36488036709275645</v>
      </c>
      <c r="H56" s="227">
        <f>IFERROR(VLOOKUP($B56,MMWR_TRAD_AGG_RO_COMP[],H$1,0),"ERROR")</f>
        <v>13674</v>
      </c>
      <c r="I56" s="225">
        <f>IFERROR(VLOOKUP($B56,MMWR_TRAD_AGG_RO_COMP[],I$1,0),"ERROR")</f>
        <v>10575</v>
      </c>
      <c r="J56" s="226">
        <f t="shared" si="1"/>
        <v>0.773365511189118</v>
      </c>
      <c r="K56" s="228">
        <f>IFERROR(VLOOKUP($B56,MMWR_TRAD_AGG_RO_COMP[],K$1,0),"ERROR")</f>
        <v>3605</v>
      </c>
      <c r="L56" s="229">
        <f>IFERROR(VLOOKUP($B56,MMWR_TRAD_AGG_RO_COMP[],L$1,0),"ERROR")</f>
        <v>3012</v>
      </c>
      <c r="M56" s="226">
        <f t="shared" si="2"/>
        <v>0.8355062413314841</v>
      </c>
      <c r="N56" s="228">
        <f>IFERROR(VLOOKUP($B56,MMWR_TRAD_AGG_RO_COMP[],N$1,0),"ERROR")</f>
        <v>4007</v>
      </c>
      <c r="O56" s="229">
        <f>IFERROR(VLOOKUP($B56,MMWR_TRAD_AGG_RO_COMP[],O$1,0),"ERROR")</f>
        <v>3364</v>
      </c>
      <c r="P56" s="226">
        <f t="shared" si="3"/>
        <v>0.83953082106313948</v>
      </c>
      <c r="Q56" s="230">
        <f>IFERROR(VLOOKUP($B56,MMWR_TRAD_AGG_RO_COMP[],Q$1,0),"ERROR")</f>
        <v>0</v>
      </c>
      <c r="R56" s="230">
        <f>IFERROR(VLOOKUP($B56,MMWR_TRAD_AGG_RO_COMP[],R$1,0),"ERROR")</f>
        <v>44</v>
      </c>
      <c r="S56" s="204">
        <f>IFERROR(VLOOKUP($B56,MMWR_APP_RO[],S$1,0),"ERROR")</f>
        <v>8637</v>
      </c>
      <c r="T56" s="28"/>
    </row>
    <row r="57" spans="1:20" x14ac:dyDescent="0.2">
      <c r="A57" s="28"/>
      <c r="B57" s="109" t="s">
        <v>67</v>
      </c>
      <c r="C57" s="222">
        <f>IFERROR(VLOOKUP($B57,MMWR_TRAD_AGG_RO_COMP[],C$1,0),"ERROR")</f>
        <v>6359</v>
      </c>
      <c r="D57" s="223">
        <f>IFERROR(VLOOKUP($B57,MMWR_TRAD_AGG_RO_COMP[],D$1,0),"ERROR")</f>
        <v>275.09545526030001</v>
      </c>
      <c r="E57" s="224">
        <f>IFERROR(VLOOKUP($B57,MMWR_TRAD_AGG_RO_COMP[],E$1,0),"ERROR")</f>
        <v>5475</v>
      </c>
      <c r="F57" s="225">
        <f>IFERROR(VLOOKUP($B57,MMWR_TRAD_AGG_RO_COMP[],F$1,0),"ERROR")</f>
        <v>1722</v>
      </c>
      <c r="G57" s="226">
        <f t="shared" si="0"/>
        <v>0.31452054794520545</v>
      </c>
      <c r="H57" s="227">
        <f>IFERROR(VLOOKUP($B57,MMWR_TRAD_AGG_RO_COMP[],H$1,0),"ERROR")</f>
        <v>7614</v>
      </c>
      <c r="I57" s="225">
        <f>IFERROR(VLOOKUP($B57,MMWR_TRAD_AGG_RO_COMP[],I$1,0),"ERROR")</f>
        <v>4415</v>
      </c>
      <c r="J57" s="226">
        <f t="shared" si="1"/>
        <v>0.57985290254793798</v>
      </c>
      <c r="K57" s="228">
        <f>IFERROR(VLOOKUP($B57,MMWR_TRAD_AGG_RO_COMP[],K$1,0),"ERROR")</f>
        <v>234</v>
      </c>
      <c r="L57" s="229">
        <f>IFERROR(VLOOKUP($B57,MMWR_TRAD_AGG_RO_COMP[],L$1,0),"ERROR")</f>
        <v>194</v>
      </c>
      <c r="M57" s="226">
        <f t="shared" si="2"/>
        <v>0.82905982905982911</v>
      </c>
      <c r="N57" s="228">
        <f>IFERROR(VLOOKUP($B57,MMWR_TRAD_AGG_RO_COMP[],N$1,0),"ERROR")</f>
        <v>2995</v>
      </c>
      <c r="O57" s="229">
        <f>IFERROR(VLOOKUP($B57,MMWR_TRAD_AGG_RO_COMP[],O$1,0),"ERROR")</f>
        <v>2466</v>
      </c>
      <c r="P57" s="226">
        <f t="shared" si="3"/>
        <v>0.82337228714524202</v>
      </c>
      <c r="Q57" s="230">
        <f>IFERROR(VLOOKUP($B57,MMWR_TRAD_AGG_RO_COMP[],Q$1,0),"ERROR")</f>
        <v>0</v>
      </c>
      <c r="R57" s="230">
        <f>IFERROR(VLOOKUP($B57,MMWR_TRAD_AGG_RO_COMP[],R$1,0),"ERROR")</f>
        <v>68</v>
      </c>
      <c r="S57" s="204">
        <f>IFERROR(VLOOKUP($B57,MMWR_APP_RO[],S$1,0),"ERROR")</f>
        <v>6925</v>
      </c>
      <c r="T57" s="28"/>
    </row>
    <row r="58" spans="1:20" x14ac:dyDescent="0.2">
      <c r="A58" s="28"/>
      <c r="B58" s="109" t="s">
        <v>69</v>
      </c>
      <c r="C58" s="222">
        <f>IFERROR(VLOOKUP($B58,MMWR_TRAD_AGG_RO_COMP[],C$1,0),"ERROR")</f>
        <v>9141</v>
      </c>
      <c r="D58" s="223">
        <f>IFERROR(VLOOKUP($B58,MMWR_TRAD_AGG_RO_COMP[],D$1,0),"ERROR")</f>
        <v>391.2314845203</v>
      </c>
      <c r="E58" s="224">
        <f>IFERROR(VLOOKUP($B58,MMWR_TRAD_AGG_RO_COMP[],E$1,0),"ERROR")</f>
        <v>5718</v>
      </c>
      <c r="F58" s="225">
        <f>IFERROR(VLOOKUP($B58,MMWR_TRAD_AGG_RO_COMP[],F$1,0),"ERROR")</f>
        <v>2141</v>
      </c>
      <c r="G58" s="226">
        <f t="shared" si="0"/>
        <v>0.3744316194473592</v>
      </c>
      <c r="H58" s="227">
        <f>IFERROR(VLOOKUP($B58,MMWR_TRAD_AGG_RO_COMP[],H$1,0),"ERROR")</f>
        <v>11405</v>
      </c>
      <c r="I58" s="225">
        <f>IFERROR(VLOOKUP($B58,MMWR_TRAD_AGG_RO_COMP[],I$1,0),"ERROR")</f>
        <v>7514</v>
      </c>
      <c r="J58" s="226">
        <f t="shared" si="1"/>
        <v>0.65883384480491014</v>
      </c>
      <c r="K58" s="228">
        <f>IFERROR(VLOOKUP($B58,MMWR_TRAD_AGG_RO_COMP[],K$1,0),"ERROR")</f>
        <v>3798</v>
      </c>
      <c r="L58" s="229">
        <f>IFERROR(VLOOKUP($B58,MMWR_TRAD_AGG_RO_COMP[],L$1,0),"ERROR")</f>
        <v>3239</v>
      </c>
      <c r="M58" s="226">
        <f t="shared" si="2"/>
        <v>0.85281727224855186</v>
      </c>
      <c r="N58" s="228">
        <f>IFERROR(VLOOKUP($B58,MMWR_TRAD_AGG_RO_COMP[],N$1,0),"ERROR")</f>
        <v>1241</v>
      </c>
      <c r="O58" s="229">
        <f>IFERROR(VLOOKUP($B58,MMWR_TRAD_AGG_RO_COMP[],O$1,0),"ERROR")</f>
        <v>704</v>
      </c>
      <c r="P58" s="226">
        <f t="shared" si="3"/>
        <v>0.5672844480257857</v>
      </c>
      <c r="Q58" s="230">
        <f>IFERROR(VLOOKUP($B58,MMWR_TRAD_AGG_RO_COMP[],Q$1,0),"ERROR")</f>
        <v>0</v>
      </c>
      <c r="R58" s="230">
        <f>IFERROR(VLOOKUP($B58,MMWR_TRAD_AGG_RO_COMP[],R$1,0),"ERROR")</f>
        <v>73</v>
      </c>
      <c r="S58" s="204">
        <f>IFERROR(VLOOKUP($B58,MMWR_APP_RO[],S$1,0),"ERROR")</f>
        <v>5304</v>
      </c>
      <c r="T58" s="28"/>
    </row>
    <row r="59" spans="1:20" x14ac:dyDescent="0.2">
      <c r="A59" s="28"/>
      <c r="B59" s="109" t="s">
        <v>71</v>
      </c>
      <c r="C59" s="222">
        <f>IFERROR(VLOOKUP($B59,MMWR_TRAD_AGG_RO_COMP[],C$1,0),"ERROR")</f>
        <v>3666</v>
      </c>
      <c r="D59" s="223">
        <f>IFERROR(VLOOKUP($B59,MMWR_TRAD_AGG_RO_COMP[],D$1,0),"ERROR")</f>
        <v>484.00681942170002</v>
      </c>
      <c r="E59" s="224">
        <f>IFERROR(VLOOKUP($B59,MMWR_TRAD_AGG_RO_COMP[],E$1,0),"ERROR")</f>
        <v>3825</v>
      </c>
      <c r="F59" s="225">
        <f>IFERROR(VLOOKUP($B59,MMWR_TRAD_AGG_RO_COMP[],F$1,0),"ERROR")</f>
        <v>1401</v>
      </c>
      <c r="G59" s="226">
        <f t="shared" si="0"/>
        <v>0.36627450980392157</v>
      </c>
      <c r="H59" s="227">
        <f>IFERROR(VLOOKUP($B59,MMWR_TRAD_AGG_RO_COMP[],H$1,0),"ERROR")</f>
        <v>4561</v>
      </c>
      <c r="I59" s="225">
        <f>IFERROR(VLOOKUP($B59,MMWR_TRAD_AGG_RO_COMP[],I$1,0),"ERROR")</f>
        <v>3340</v>
      </c>
      <c r="J59" s="226">
        <f t="shared" si="1"/>
        <v>0.73229554922166196</v>
      </c>
      <c r="K59" s="228">
        <f>IFERROR(VLOOKUP($B59,MMWR_TRAD_AGG_RO_COMP[],K$1,0),"ERROR")</f>
        <v>378</v>
      </c>
      <c r="L59" s="229">
        <f>IFERROR(VLOOKUP($B59,MMWR_TRAD_AGG_RO_COMP[],L$1,0),"ERROR")</f>
        <v>344</v>
      </c>
      <c r="M59" s="226">
        <f t="shared" si="2"/>
        <v>0.91005291005291</v>
      </c>
      <c r="N59" s="228">
        <f>IFERROR(VLOOKUP($B59,MMWR_TRAD_AGG_RO_COMP[],N$1,0),"ERROR")</f>
        <v>1148</v>
      </c>
      <c r="O59" s="229">
        <f>IFERROR(VLOOKUP($B59,MMWR_TRAD_AGG_RO_COMP[],O$1,0),"ERROR")</f>
        <v>761</v>
      </c>
      <c r="P59" s="226">
        <f t="shared" si="3"/>
        <v>0.66289198606271782</v>
      </c>
      <c r="Q59" s="230">
        <f>IFERROR(VLOOKUP($B59,MMWR_TRAD_AGG_RO_COMP[],Q$1,0),"ERROR")</f>
        <v>1</v>
      </c>
      <c r="R59" s="230">
        <f>IFERROR(VLOOKUP($B59,MMWR_TRAD_AGG_RO_COMP[],R$1,0),"ERROR")</f>
        <v>105</v>
      </c>
      <c r="S59" s="204">
        <f>IFERROR(VLOOKUP($B59,MMWR_APP_RO[],S$1,0),"ERROR")</f>
        <v>2537</v>
      </c>
      <c r="T59" s="28"/>
    </row>
    <row r="60" spans="1:20" x14ac:dyDescent="0.2">
      <c r="A60" s="28"/>
      <c r="B60" s="109" t="s">
        <v>74</v>
      </c>
      <c r="C60" s="222">
        <f>IFERROR(VLOOKUP($B60,MMWR_TRAD_AGG_RO_COMP[],C$1,0),"ERROR")</f>
        <v>9306</v>
      </c>
      <c r="D60" s="223">
        <f>IFERROR(VLOOKUP($B60,MMWR_TRAD_AGG_RO_COMP[],D$1,0),"ERROR")</f>
        <v>299.72705781219997</v>
      </c>
      <c r="E60" s="224">
        <f>IFERROR(VLOOKUP($B60,MMWR_TRAD_AGG_RO_COMP[],E$1,0),"ERROR")</f>
        <v>12387</v>
      </c>
      <c r="F60" s="225">
        <f>IFERROR(VLOOKUP($B60,MMWR_TRAD_AGG_RO_COMP[],F$1,0),"ERROR")</f>
        <v>2557</v>
      </c>
      <c r="G60" s="226">
        <f t="shared" si="0"/>
        <v>0.20642609187050939</v>
      </c>
      <c r="H60" s="227">
        <f>IFERROR(VLOOKUP($B60,MMWR_TRAD_AGG_RO_COMP[],H$1,0),"ERROR")</f>
        <v>16230</v>
      </c>
      <c r="I60" s="225">
        <f>IFERROR(VLOOKUP($B60,MMWR_TRAD_AGG_RO_COMP[],I$1,0),"ERROR")</f>
        <v>7268</v>
      </c>
      <c r="J60" s="226">
        <f t="shared" si="1"/>
        <v>0.44781269254467038</v>
      </c>
      <c r="K60" s="228">
        <f>IFERROR(VLOOKUP($B60,MMWR_TRAD_AGG_RO_COMP[],K$1,0),"ERROR")</f>
        <v>1773</v>
      </c>
      <c r="L60" s="229">
        <f>IFERROR(VLOOKUP($B60,MMWR_TRAD_AGG_RO_COMP[],L$1,0),"ERROR")</f>
        <v>1183</v>
      </c>
      <c r="M60" s="226">
        <f t="shared" si="2"/>
        <v>0.66723068245910888</v>
      </c>
      <c r="N60" s="228">
        <f>IFERROR(VLOOKUP($B60,MMWR_TRAD_AGG_RO_COMP[],N$1,0),"ERROR")</f>
        <v>1945</v>
      </c>
      <c r="O60" s="229">
        <f>IFERROR(VLOOKUP($B60,MMWR_TRAD_AGG_RO_COMP[],O$1,0),"ERROR")</f>
        <v>1363</v>
      </c>
      <c r="P60" s="226">
        <f t="shared" si="3"/>
        <v>0.70077120822622108</v>
      </c>
      <c r="Q60" s="230">
        <f>IFERROR(VLOOKUP($B60,MMWR_TRAD_AGG_RO_COMP[],Q$1,0),"ERROR")</f>
        <v>0</v>
      </c>
      <c r="R60" s="230">
        <f>IFERROR(VLOOKUP($B60,MMWR_TRAD_AGG_RO_COMP[],R$1,0),"ERROR")</f>
        <v>67</v>
      </c>
      <c r="S60" s="204">
        <f>IFERROR(VLOOKUP($B60,MMWR_APP_RO[],S$1,0),"ERROR")</f>
        <v>3939</v>
      </c>
      <c r="T60" s="28"/>
    </row>
    <row r="61" spans="1:20" x14ac:dyDescent="0.2">
      <c r="A61" s="28"/>
      <c r="B61" s="117" t="s">
        <v>76</v>
      </c>
      <c r="C61" s="231">
        <f>IFERROR(VLOOKUP($B61,MMWR_TRAD_AGG_RO_COMP[],C$1,0),"ERROR")</f>
        <v>16522</v>
      </c>
      <c r="D61" s="232">
        <f>IFERROR(VLOOKUP($B61,MMWR_TRAD_AGG_RO_COMP[],D$1,0),"ERROR")</f>
        <v>393.04369931000002</v>
      </c>
      <c r="E61" s="233">
        <f>IFERROR(VLOOKUP($B61,MMWR_TRAD_AGG_RO_COMP[],E$1,0),"ERROR")</f>
        <v>8531</v>
      </c>
      <c r="F61" s="234">
        <f>IFERROR(VLOOKUP($B61,MMWR_TRAD_AGG_RO_COMP[],F$1,0),"ERROR")</f>
        <v>2751</v>
      </c>
      <c r="G61" s="235">
        <f t="shared" si="0"/>
        <v>0.3224709881608252</v>
      </c>
      <c r="H61" s="236">
        <f>IFERROR(VLOOKUP($B61,MMWR_TRAD_AGG_RO_COMP[],H$1,0),"ERROR")</f>
        <v>22183</v>
      </c>
      <c r="I61" s="234">
        <f>IFERROR(VLOOKUP($B61,MMWR_TRAD_AGG_RO_COMP[],I$1,0),"ERROR")</f>
        <v>15636</v>
      </c>
      <c r="J61" s="235">
        <f t="shared" si="1"/>
        <v>0.70486408511021958</v>
      </c>
      <c r="K61" s="237">
        <f>IFERROR(VLOOKUP($B61,MMWR_TRAD_AGG_RO_COMP[],K$1,0),"ERROR")</f>
        <v>4162</v>
      </c>
      <c r="L61" s="238">
        <f>IFERROR(VLOOKUP($B61,MMWR_TRAD_AGG_RO_COMP[],L$1,0),"ERROR")</f>
        <v>3844</v>
      </c>
      <c r="M61" s="235">
        <f t="shared" si="2"/>
        <v>0.92359442575684769</v>
      </c>
      <c r="N61" s="237">
        <f>IFERROR(VLOOKUP($B61,MMWR_TRAD_AGG_RO_COMP[],N$1,0),"ERROR")</f>
        <v>7115</v>
      </c>
      <c r="O61" s="238">
        <f>IFERROR(VLOOKUP($B61,MMWR_TRAD_AGG_RO_COMP[],O$1,0),"ERROR")</f>
        <v>5418</v>
      </c>
      <c r="P61" s="235">
        <f t="shared" si="3"/>
        <v>0.76148981026001406</v>
      </c>
      <c r="Q61" s="239">
        <f>IFERROR(VLOOKUP($B61,MMWR_TRAD_AGG_RO_COMP[],Q$1,0),"ERROR")</f>
        <v>1</v>
      </c>
      <c r="R61" s="239">
        <f>IFERROR(VLOOKUP($B61,MMWR_TRAD_AGG_RO_COMP[],R$1,0),"ERROR")</f>
        <v>143</v>
      </c>
      <c r="S61" s="204">
        <f>IFERROR(VLOOKUP($B61,MMWR_APP_RO[],S$1,0),"ERROR")</f>
        <v>4450</v>
      </c>
      <c r="T61" s="28"/>
    </row>
    <row r="62" spans="1:20" x14ac:dyDescent="0.2">
      <c r="A62" s="28"/>
      <c r="B62" s="102" t="s">
        <v>390</v>
      </c>
      <c r="C62" s="215">
        <f>IFERROR(VLOOKUP($B62,MMWR_TRAD_AGG_DISTRICT_COMP[],C$1,0),"ERROR")</f>
        <v>69540</v>
      </c>
      <c r="D62" s="200">
        <f>IFERROR(VLOOKUP($B62,MMWR_TRAD_AGG_DISTRICT_COMP[],D$1,0),"ERROR")</f>
        <v>347.19985619789998</v>
      </c>
      <c r="E62" s="216">
        <f>IFERROR(VLOOKUP($B62,MMWR_TRAD_AGG_DISTRICT_COMP[],E$1,0),"ERROR")</f>
        <v>75888</v>
      </c>
      <c r="F62" s="221">
        <f>IFERROR(VLOOKUP($B62,MMWR_TRAD_AGG_DISTRICT_COMP[],F$1,0),"ERROR")</f>
        <v>28399</v>
      </c>
      <c r="G62" s="217">
        <f t="shared" si="0"/>
        <v>0.37422253847775672</v>
      </c>
      <c r="H62" s="221">
        <f>IFERROR(VLOOKUP($B62,MMWR_TRAD_AGG_DISTRICT_COMP[],H$1,0),"ERROR")</f>
        <v>96933</v>
      </c>
      <c r="I62" s="221">
        <f>IFERROR(VLOOKUP($B62,MMWR_TRAD_AGG_DISTRICT_COMP[],I$1,0),"ERROR")</f>
        <v>63390</v>
      </c>
      <c r="J62" s="217">
        <f t="shared" si="1"/>
        <v>0.65395685679799453</v>
      </c>
      <c r="K62" s="215">
        <f>IFERROR(VLOOKUP($B62,MMWR_TRAD_AGG_DISTRICT_COMP[],K$1,0),"ERROR")</f>
        <v>17479</v>
      </c>
      <c r="L62" s="215">
        <f>IFERROR(VLOOKUP($B62,MMWR_TRAD_AGG_DISTRICT_COMP[],L$1,0),"ERROR")</f>
        <v>14845</v>
      </c>
      <c r="M62" s="217">
        <f t="shared" si="2"/>
        <v>0.84930488014188454</v>
      </c>
      <c r="N62" s="215">
        <f>IFERROR(VLOOKUP($B62,MMWR_TRAD_AGG_DISTRICT_COMP[],N$1,0),"ERROR")</f>
        <v>31715</v>
      </c>
      <c r="O62" s="215">
        <f>IFERROR(VLOOKUP($B62,MMWR_TRAD_AGG_DISTRICT_COMP[],O$1,0),"ERROR")</f>
        <v>22112</v>
      </c>
      <c r="P62" s="217">
        <f t="shared" si="3"/>
        <v>0.69720952230805611</v>
      </c>
      <c r="Q62" s="215">
        <f>IFERROR(VLOOKUP($B62,MMWR_TRAD_AGG_DISTRICT_COMP[],Q$1,0),"ERROR")</f>
        <v>157</v>
      </c>
      <c r="R62" s="218">
        <f>IFERROR(VLOOKUP($B62,MMWR_TRAD_AGG_DISTRICT_COMP[],R$1,0),"ERROR")</f>
        <v>1107</v>
      </c>
      <c r="S62" s="218">
        <f>IFERROR(VLOOKUP($B62,MMWR_APP_RO[],S$1,0),"ERROR")</f>
        <v>80577</v>
      </c>
      <c r="T62" s="28"/>
    </row>
    <row r="63" spans="1:20" x14ac:dyDescent="0.2">
      <c r="A63" s="28"/>
      <c r="B63" s="109" t="s">
        <v>25</v>
      </c>
      <c r="C63" s="222">
        <f>IFERROR(VLOOKUP($B63,MMWR_TRAD_AGG_RO_COMP[],C$1,0),"ERROR")</f>
        <v>13246</v>
      </c>
      <c r="D63" s="223">
        <f>IFERROR(VLOOKUP($B63,MMWR_TRAD_AGG_RO_COMP[],D$1,0),"ERROR")</f>
        <v>371.8533897026</v>
      </c>
      <c r="E63" s="224">
        <f>IFERROR(VLOOKUP($B63,MMWR_TRAD_AGG_RO_COMP[],E$1,0),"ERROR")</f>
        <v>15631</v>
      </c>
      <c r="F63" s="225">
        <f>IFERROR(VLOOKUP($B63,MMWR_TRAD_AGG_RO_COMP[],F$1,0),"ERROR")</f>
        <v>5622</v>
      </c>
      <c r="G63" s="226">
        <f t="shared" si="0"/>
        <v>0.35966988676348283</v>
      </c>
      <c r="H63" s="227">
        <f>IFERROR(VLOOKUP($B63,MMWR_TRAD_AGG_RO_COMP[],H$1,0),"ERROR")</f>
        <v>18082</v>
      </c>
      <c r="I63" s="225">
        <f>IFERROR(VLOOKUP($B63,MMWR_TRAD_AGG_RO_COMP[],I$1,0),"ERROR")</f>
        <v>12722</v>
      </c>
      <c r="J63" s="226">
        <f t="shared" si="1"/>
        <v>0.70357261364893264</v>
      </c>
      <c r="K63" s="228">
        <f>IFERROR(VLOOKUP($B63,MMWR_TRAD_AGG_RO_COMP[],K$1,0),"ERROR")</f>
        <v>4397</v>
      </c>
      <c r="L63" s="229">
        <f>IFERROR(VLOOKUP($B63,MMWR_TRAD_AGG_RO_COMP[],L$1,0),"ERROR")</f>
        <v>3863</v>
      </c>
      <c r="M63" s="226">
        <f t="shared" si="2"/>
        <v>0.87855355924493972</v>
      </c>
      <c r="N63" s="228">
        <f>IFERROR(VLOOKUP($B63,MMWR_TRAD_AGG_RO_COMP[],N$1,0),"ERROR")</f>
        <v>12999</v>
      </c>
      <c r="O63" s="229">
        <f>IFERROR(VLOOKUP($B63,MMWR_TRAD_AGG_RO_COMP[],O$1,0),"ERROR")</f>
        <v>8860</v>
      </c>
      <c r="P63" s="226">
        <f t="shared" si="3"/>
        <v>0.68159089160704667</v>
      </c>
      <c r="Q63" s="230">
        <f>IFERROR(VLOOKUP($B63,MMWR_TRAD_AGG_RO_COMP[],Q$1,0),"ERROR")</f>
        <v>61</v>
      </c>
      <c r="R63" s="230">
        <f>IFERROR(VLOOKUP($B63,MMWR_TRAD_AGG_RO_COMP[],R$1,0),"ERROR")</f>
        <v>28</v>
      </c>
      <c r="S63" s="204">
        <f>IFERROR(VLOOKUP($B63,MMWR_APP_RO[],S$1,0),"ERROR")</f>
        <v>15629</v>
      </c>
      <c r="T63" s="28"/>
    </row>
    <row r="64" spans="1:20" x14ac:dyDescent="0.2">
      <c r="A64" s="28"/>
      <c r="B64" s="109" t="s">
        <v>42</v>
      </c>
      <c r="C64" s="222">
        <f>IFERROR(VLOOKUP($B64,MMWR_TRAD_AGG_RO_COMP[],C$1,0),"ERROR")</f>
        <v>10958</v>
      </c>
      <c r="D64" s="223">
        <f>IFERROR(VLOOKUP($B64,MMWR_TRAD_AGG_RO_COMP[],D$1,0),"ERROR")</f>
        <v>303.27267749589998</v>
      </c>
      <c r="E64" s="224">
        <f>IFERROR(VLOOKUP($B64,MMWR_TRAD_AGG_RO_COMP[],E$1,0),"ERROR")</f>
        <v>9299</v>
      </c>
      <c r="F64" s="225">
        <f>IFERROR(VLOOKUP($B64,MMWR_TRAD_AGG_RO_COMP[],F$1,0),"ERROR")</f>
        <v>2893</v>
      </c>
      <c r="G64" s="226">
        <f t="shared" si="0"/>
        <v>0.31110872136788903</v>
      </c>
      <c r="H64" s="227">
        <f>IFERROR(VLOOKUP($B64,MMWR_TRAD_AGG_RO_COMP[],H$1,0),"ERROR")</f>
        <v>19391</v>
      </c>
      <c r="I64" s="225">
        <f>IFERROR(VLOOKUP($B64,MMWR_TRAD_AGG_RO_COMP[],I$1,0),"ERROR")</f>
        <v>12148</v>
      </c>
      <c r="J64" s="226">
        <f t="shared" si="1"/>
        <v>0.62647620029910789</v>
      </c>
      <c r="K64" s="228">
        <f>IFERROR(VLOOKUP($B64,MMWR_TRAD_AGG_RO_COMP[],K$1,0),"ERROR")</f>
        <v>1847</v>
      </c>
      <c r="L64" s="229">
        <f>IFERROR(VLOOKUP($B64,MMWR_TRAD_AGG_RO_COMP[],L$1,0),"ERROR")</f>
        <v>1211</v>
      </c>
      <c r="M64" s="226">
        <f t="shared" si="2"/>
        <v>0.65565782349756363</v>
      </c>
      <c r="N64" s="228">
        <f>IFERROR(VLOOKUP($B64,MMWR_TRAD_AGG_RO_COMP[],N$1,0),"ERROR")</f>
        <v>1871</v>
      </c>
      <c r="O64" s="229">
        <f>IFERROR(VLOOKUP($B64,MMWR_TRAD_AGG_RO_COMP[],O$1,0),"ERROR")</f>
        <v>1427</v>
      </c>
      <c r="P64" s="226">
        <f t="shared" si="3"/>
        <v>0.76269374665954037</v>
      </c>
      <c r="Q64" s="230">
        <f>IFERROR(VLOOKUP($B64,MMWR_TRAD_AGG_RO_COMP[],Q$1,0),"ERROR")</f>
        <v>2</v>
      </c>
      <c r="R64" s="230">
        <f>IFERROR(VLOOKUP($B64,MMWR_TRAD_AGG_RO_COMP[],R$1,0),"ERROR")</f>
        <v>55</v>
      </c>
      <c r="S64" s="204">
        <f>IFERROR(VLOOKUP($B64,MMWR_APP_RO[],S$1,0),"ERROR")</f>
        <v>11243</v>
      </c>
      <c r="T64" s="28"/>
    </row>
    <row r="65" spans="1:20" x14ac:dyDescent="0.2">
      <c r="A65" s="28"/>
      <c r="B65" s="109" t="s">
        <v>56</v>
      </c>
      <c r="C65" s="222">
        <f>IFERROR(VLOOKUP($B65,MMWR_TRAD_AGG_RO_COMP[],C$1,0),"ERROR")</f>
        <v>10037</v>
      </c>
      <c r="D65" s="223">
        <f>IFERROR(VLOOKUP($B65,MMWR_TRAD_AGG_RO_COMP[],D$1,0),"ERROR")</f>
        <v>455.47055893200002</v>
      </c>
      <c r="E65" s="224">
        <f>IFERROR(VLOOKUP($B65,MMWR_TRAD_AGG_RO_COMP[],E$1,0),"ERROR")</f>
        <v>6830</v>
      </c>
      <c r="F65" s="225">
        <f>IFERROR(VLOOKUP($B65,MMWR_TRAD_AGG_RO_COMP[],F$1,0),"ERROR")</f>
        <v>3658</v>
      </c>
      <c r="G65" s="226">
        <f t="shared" si="0"/>
        <v>0.53557833089311857</v>
      </c>
      <c r="H65" s="227">
        <f>IFERROR(VLOOKUP($B65,MMWR_TRAD_AGG_RO_COMP[],H$1,0),"ERROR")</f>
        <v>13899</v>
      </c>
      <c r="I65" s="225">
        <f>IFERROR(VLOOKUP($B65,MMWR_TRAD_AGG_RO_COMP[],I$1,0),"ERROR")</f>
        <v>9438</v>
      </c>
      <c r="J65" s="226">
        <f t="shared" si="1"/>
        <v>0.67904165767321389</v>
      </c>
      <c r="K65" s="228">
        <f>IFERROR(VLOOKUP($B65,MMWR_TRAD_AGG_RO_COMP[],K$1,0),"ERROR")</f>
        <v>2294</v>
      </c>
      <c r="L65" s="229">
        <f>IFERROR(VLOOKUP($B65,MMWR_TRAD_AGG_RO_COMP[],L$1,0),"ERROR")</f>
        <v>2127</v>
      </c>
      <c r="M65" s="226">
        <f t="shared" si="2"/>
        <v>0.92720139494333043</v>
      </c>
      <c r="N65" s="228">
        <f>IFERROR(VLOOKUP($B65,MMWR_TRAD_AGG_RO_COMP[],N$1,0),"ERROR")</f>
        <v>1206</v>
      </c>
      <c r="O65" s="229">
        <f>IFERROR(VLOOKUP($B65,MMWR_TRAD_AGG_RO_COMP[],O$1,0),"ERROR")</f>
        <v>747</v>
      </c>
      <c r="P65" s="226">
        <f t="shared" si="3"/>
        <v>0.61940298507462688</v>
      </c>
      <c r="Q65" s="230">
        <f>IFERROR(VLOOKUP($B65,MMWR_TRAD_AGG_RO_COMP[],Q$1,0),"ERROR")</f>
        <v>79</v>
      </c>
      <c r="R65" s="230">
        <f>IFERROR(VLOOKUP($B65,MMWR_TRAD_AGG_RO_COMP[],R$1,0),"ERROR")</f>
        <v>244</v>
      </c>
      <c r="S65" s="204">
        <f>IFERROR(VLOOKUP($B65,MMWR_APP_RO[],S$1,0),"ERROR")</f>
        <v>4478</v>
      </c>
      <c r="T65" s="28"/>
    </row>
    <row r="66" spans="1:20" x14ac:dyDescent="0.2">
      <c r="A66" s="28"/>
      <c r="B66" s="109" t="s">
        <v>60</v>
      </c>
      <c r="C66" s="222">
        <f>IFERROR(VLOOKUP($B66,MMWR_TRAD_AGG_RO_COMP[],C$1,0),"ERROR")</f>
        <v>12508</v>
      </c>
      <c r="D66" s="223">
        <f>IFERROR(VLOOKUP($B66,MMWR_TRAD_AGG_RO_COMP[],D$1,0),"ERROR")</f>
        <v>378.96530220659997</v>
      </c>
      <c r="E66" s="224">
        <f>IFERROR(VLOOKUP($B66,MMWR_TRAD_AGG_RO_COMP[],E$1,0),"ERROR")</f>
        <v>7837</v>
      </c>
      <c r="F66" s="225">
        <f>IFERROR(VLOOKUP($B66,MMWR_TRAD_AGG_RO_COMP[],F$1,0),"ERROR")</f>
        <v>2939</v>
      </c>
      <c r="G66" s="226">
        <f t="shared" si="0"/>
        <v>0.37501594998086002</v>
      </c>
      <c r="H66" s="227">
        <f>IFERROR(VLOOKUP($B66,MMWR_TRAD_AGG_RO_COMP[],H$1,0),"ERROR")</f>
        <v>14023</v>
      </c>
      <c r="I66" s="225">
        <f>IFERROR(VLOOKUP($B66,MMWR_TRAD_AGG_RO_COMP[],I$1,0),"ERROR")</f>
        <v>10296</v>
      </c>
      <c r="J66" s="226">
        <f t="shared" si="1"/>
        <v>0.73422234899807459</v>
      </c>
      <c r="K66" s="228">
        <f>IFERROR(VLOOKUP($B66,MMWR_TRAD_AGG_RO_COMP[],K$1,0),"ERROR")</f>
        <v>4425</v>
      </c>
      <c r="L66" s="229">
        <f>IFERROR(VLOOKUP($B66,MMWR_TRAD_AGG_RO_COMP[],L$1,0),"ERROR")</f>
        <v>4060</v>
      </c>
      <c r="M66" s="226">
        <f t="shared" si="2"/>
        <v>0.91751412429378532</v>
      </c>
      <c r="N66" s="228">
        <f>IFERROR(VLOOKUP($B66,MMWR_TRAD_AGG_RO_COMP[],N$1,0),"ERROR")</f>
        <v>2618</v>
      </c>
      <c r="O66" s="229">
        <f>IFERROR(VLOOKUP($B66,MMWR_TRAD_AGG_RO_COMP[],O$1,0),"ERROR")</f>
        <v>2084</v>
      </c>
      <c r="P66" s="226">
        <f t="shared" si="3"/>
        <v>0.79602750190985483</v>
      </c>
      <c r="Q66" s="230">
        <f>IFERROR(VLOOKUP($B66,MMWR_TRAD_AGG_RO_COMP[],Q$1,0),"ERROR")</f>
        <v>2</v>
      </c>
      <c r="R66" s="230">
        <f>IFERROR(VLOOKUP($B66,MMWR_TRAD_AGG_RO_COMP[],R$1,0),"ERROR")</f>
        <v>342</v>
      </c>
      <c r="S66" s="204">
        <f>IFERROR(VLOOKUP($B66,MMWR_APP_RO[],S$1,0),"ERROR")</f>
        <v>10357</v>
      </c>
      <c r="T66" s="28"/>
    </row>
    <row r="67" spans="1:20" x14ac:dyDescent="0.2">
      <c r="A67" s="28"/>
      <c r="B67" s="109" t="s">
        <v>61</v>
      </c>
      <c r="C67" s="222">
        <f>IFERROR(VLOOKUP($B67,MMWR_TRAD_AGG_RO_COMP[],C$1,0),"ERROR")</f>
        <v>5137</v>
      </c>
      <c r="D67" s="223">
        <f>IFERROR(VLOOKUP($B67,MMWR_TRAD_AGG_RO_COMP[],D$1,0),"ERROR")</f>
        <v>228.2433326844</v>
      </c>
      <c r="E67" s="224">
        <f>IFERROR(VLOOKUP($B67,MMWR_TRAD_AGG_RO_COMP[],E$1,0),"ERROR")</f>
        <v>9120</v>
      </c>
      <c r="F67" s="225">
        <f>IFERROR(VLOOKUP($B67,MMWR_TRAD_AGG_RO_COMP[],F$1,0),"ERROR")</f>
        <v>2617</v>
      </c>
      <c r="G67" s="226">
        <f t="shared" si="0"/>
        <v>0.28695175438596493</v>
      </c>
      <c r="H67" s="227">
        <f>IFERROR(VLOOKUP($B67,MMWR_TRAD_AGG_RO_COMP[],H$1,0),"ERROR")</f>
        <v>8304</v>
      </c>
      <c r="I67" s="225">
        <f>IFERROR(VLOOKUP($B67,MMWR_TRAD_AGG_RO_COMP[],I$1,0),"ERROR")</f>
        <v>4180</v>
      </c>
      <c r="J67" s="226">
        <f t="shared" si="1"/>
        <v>0.50337186897880537</v>
      </c>
      <c r="K67" s="228">
        <f>IFERROR(VLOOKUP($B67,MMWR_TRAD_AGG_RO_COMP[],K$1,0),"ERROR")</f>
        <v>1606</v>
      </c>
      <c r="L67" s="229">
        <f>IFERROR(VLOOKUP($B67,MMWR_TRAD_AGG_RO_COMP[],L$1,0),"ERROR")</f>
        <v>1381</v>
      </c>
      <c r="M67" s="226">
        <f t="shared" si="2"/>
        <v>0.85990037359900373</v>
      </c>
      <c r="N67" s="228">
        <f>IFERROR(VLOOKUP($B67,MMWR_TRAD_AGG_RO_COMP[],N$1,0),"ERROR")</f>
        <v>1649</v>
      </c>
      <c r="O67" s="229">
        <f>IFERROR(VLOOKUP($B67,MMWR_TRAD_AGG_RO_COMP[],O$1,0),"ERROR")</f>
        <v>1318</v>
      </c>
      <c r="P67" s="226">
        <f t="shared" si="3"/>
        <v>0.79927228623408131</v>
      </c>
      <c r="Q67" s="230">
        <f>IFERROR(VLOOKUP($B67,MMWR_TRAD_AGG_RO_COMP[],Q$1,0),"ERROR")</f>
        <v>5</v>
      </c>
      <c r="R67" s="230">
        <f>IFERROR(VLOOKUP($B67,MMWR_TRAD_AGG_RO_COMP[],R$1,0),"ERROR")</f>
        <v>206</v>
      </c>
      <c r="S67" s="204">
        <f>IFERROR(VLOOKUP($B67,MMWR_APP_RO[],S$1,0),"ERROR")</f>
        <v>6285</v>
      </c>
      <c r="T67" s="28"/>
    </row>
    <row r="68" spans="1:20" x14ac:dyDescent="0.2">
      <c r="A68" s="28"/>
      <c r="B68" s="109" t="s">
        <v>75</v>
      </c>
      <c r="C68" s="222">
        <f>IFERROR(VLOOKUP($B68,MMWR_TRAD_AGG_RO_COMP[],C$1,0),"ERROR")</f>
        <v>2225</v>
      </c>
      <c r="D68" s="223">
        <f>IFERROR(VLOOKUP($B68,MMWR_TRAD_AGG_RO_COMP[],D$1,0),"ERROR")</f>
        <v>276.39505617980001</v>
      </c>
      <c r="E68" s="224">
        <f>IFERROR(VLOOKUP($B68,MMWR_TRAD_AGG_RO_COMP[],E$1,0),"ERROR")</f>
        <v>2778</v>
      </c>
      <c r="F68" s="225">
        <f>IFERROR(VLOOKUP($B68,MMWR_TRAD_AGG_RO_COMP[],F$1,0),"ERROR")</f>
        <v>961</v>
      </c>
      <c r="G68" s="226">
        <f t="shared" si="0"/>
        <v>0.3459323254139669</v>
      </c>
      <c r="H68" s="227">
        <f>IFERROR(VLOOKUP($B68,MMWR_TRAD_AGG_RO_COMP[],H$1,0),"ERROR")</f>
        <v>3805</v>
      </c>
      <c r="I68" s="225">
        <f>IFERROR(VLOOKUP($B68,MMWR_TRAD_AGG_RO_COMP[],I$1,0),"ERROR")</f>
        <v>2623</v>
      </c>
      <c r="J68" s="226">
        <f t="shared" si="1"/>
        <v>0.68935611038107758</v>
      </c>
      <c r="K68" s="228">
        <f>IFERROR(VLOOKUP($B68,MMWR_TRAD_AGG_RO_COMP[],K$1,0),"ERROR")</f>
        <v>678</v>
      </c>
      <c r="L68" s="229">
        <f>IFERROR(VLOOKUP($B68,MMWR_TRAD_AGG_RO_COMP[],L$1,0),"ERROR")</f>
        <v>637</v>
      </c>
      <c r="M68" s="226">
        <f t="shared" si="2"/>
        <v>0.93952802359882004</v>
      </c>
      <c r="N68" s="228">
        <f>IFERROR(VLOOKUP($B68,MMWR_TRAD_AGG_RO_COMP[],N$1,0),"ERROR")</f>
        <v>1550</v>
      </c>
      <c r="O68" s="229">
        <f>IFERROR(VLOOKUP($B68,MMWR_TRAD_AGG_RO_COMP[],O$1,0),"ERROR")</f>
        <v>1227</v>
      </c>
      <c r="P68" s="226">
        <f t="shared" si="3"/>
        <v>0.79161290322580646</v>
      </c>
      <c r="Q68" s="230">
        <f>IFERROR(VLOOKUP($B68,MMWR_TRAD_AGG_RO_COMP[],Q$1,0),"ERROR")</f>
        <v>0</v>
      </c>
      <c r="R68" s="230">
        <f>IFERROR(VLOOKUP($B68,MMWR_TRAD_AGG_RO_COMP[],R$1,0),"ERROR")</f>
        <v>5</v>
      </c>
      <c r="S68" s="204">
        <f>IFERROR(VLOOKUP($B68,MMWR_APP_RO[],S$1,0),"ERROR")</f>
        <v>5770</v>
      </c>
      <c r="T68" s="28"/>
    </row>
    <row r="69" spans="1:20" x14ac:dyDescent="0.2">
      <c r="A69" s="28"/>
      <c r="B69" s="117" t="s">
        <v>80</v>
      </c>
      <c r="C69" s="231">
        <f>IFERROR(VLOOKUP($B69,MMWR_TRAD_AGG_RO_COMP[],C$1,0),"ERROR")</f>
        <v>15429</v>
      </c>
      <c r="D69" s="232">
        <f>IFERROR(VLOOKUP($B69,MMWR_TRAD_AGG_RO_COMP[],D$1,0),"ERROR")</f>
        <v>310.86428154769999</v>
      </c>
      <c r="E69" s="233">
        <f>IFERROR(VLOOKUP($B69,MMWR_TRAD_AGG_RO_COMP[],E$1,0),"ERROR")</f>
        <v>24393</v>
      </c>
      <c r="F69" s="234">
        <f>IFERROR(VLOOKUP($B69,MMWR_TRAD_AGG_RO_COMP[],F$1,0),"ERROR")</f>
        <v>9709</v>
      </c>
      <c r="G69" s="235">
        <f t="shared" si="0"/>
        <v>0.39802402328536873</v>
      </c>
      <c r="H69" s="236">
        <f>IFERROR(VLOOKUP($B69,MMWR_TRAD_AGG_RO_COMP[],H$1,0),"ERROR")</f>
        <v>19429</v>
      </c>
      <c r="I69" s="234">
        <f>IFERROR(VLOOKUP($B69,MMWR_TRAD_AGG_RO_COMP[],I$1,0),"ERROR")</f>
        <v>11983</v>
      </c>
      <c r="J69" s="235">
        <f t="shared" si="1"/>
        <v>0.6167584538576355</v>
      </c>
      <c r="K69" s="237">
        <f>IFERROR(VLOOKUP($B69,MMWR_TRAD_AGG_RO_COMP[],K$1,0),"ERROR")</f>
        <v>2232</v>
      </c>
      <c r="L69" s="238">
        <f>IFERROR(VLOOKUP($B69,MMWR_TRAD_AGG_RO_COMP[],L$1,0),"ERROR")</f>
        <v>1566</v>
      </c>
      <c r="M69" s="235">
        <f t="shared" si="2"/>
        <v>0.70161290322580649</v>
      </c>
      <c r="N69" s="237">
        <f>IFERROR(VLOOKUP($B69,MMWR_TRAD_AGG_RO_COMP[],N$1,0),"ERROR")</f>
        <v>9822</v>
      </c>
      <c r="O69" s="238">
        <f>IFERROR(VLOOKUP($B69,MMWR_TRAD_AGG_RO_COMP[],O$1,0),"ERROR")</f>
        <v>6449</v>
      </c>
      <c r="P69" s="235">
        <f t="shared" si="3"/>
        <v>0.65658725310527388</v>
      </c>
      <c r="Q69" s="239">
        <f>IFERROR(VLOOKUP($B69,MMWR_TRAD_AGG_RO_COMP[],Q$1,0),"ERROR")</f>
        <v>8</v>
      </c>
      <c r="R69" s="239">
        <f>IFERROR(VLOOKUP($B69,MMWR_TRAD_AGG_RO_COMP[],R$1,0),"ERROR")</f>
        <v>227</v>
      </c>
      <c r="S69" s="204">
        <f>IFERROR(VLOOKUP($B69,MMWR_APP_RO[],S$1,0),"ERROR")</f>
        <v>26815</v>
      </c>
      <c r="T69" s="28"/>
    </row>
    <row r="70" spans="1:20" x14ac:dyDescent="0.2">
      <c r="A70" s="28"/>
      <c r="B70" s="102" t="s">
        <v>8</v>
      </c>
      <c r="C70" s="215">
        <f>IFERROR(VLOOKUP($B70,MMWR_TRAD_AGG_RO_COMP[],C$1,0),"ERROR")</f>
        <v>51</v>
      </c>
      <c r="D70" s="200">
        <f>IFERROR(VLOOKUP($B70,MMWR_TRAD_AGG_RO_COMP[],D$1,0),"ERROR")</f>
        <v>785.01960784309995</v>
      </c>
      <c r="E70" s="216">
        <f>IFERROR(VLOOKUP($B70,MMWR_TRAD_AGG_RO_COMP[],E$1,0),"ERROR")</f>
        <v>1</v>
      </c>
      <c r="F70" s="221">
        <f>IFERROR(VLOOKUP($B70,MMWR_TRAD_AGG_RO_COMP[],F$1,0),"ERROR")</f>
        <v>0</v>
      </c>
      <c r="G70" s="217">
        <f>IFERROR(F70/E70,"0%")</f>
        <v>0</v>
      </c>
      <c r="H70" s="221">
        <f>IFERROR(VLOOKUP($B70,MMWR_TRAD_AGG_RO_COMP[],H$1,0),"ERROR")</f>
        <v>54</v>
      </c>
      <c r="I70" s="221">
        <f>IFERROR(VLOOKUP($B70,MMWR_TRAD_AGG_RO_COMP[],I$1,0),"ERROR")</f>
        <v>54</v>
      </c>
      <c r="J70" s="217">
        <f>IFERROR(I70/H70,"0%")</f>
        <v>1</v>
      </c>
      <c r="K70" s="215">
        <f>IFERROR(VLOOKUP($B70,MMWR_TRAD_AGG_RO_COMP[],K$1,0),"ERROR")</f>
        <v>1</v>
      </c>
      <c r="L70" s="215">
        <f>IFERROR(VLOOKUP($B70,MMWR_TRAD_AGG_RO_COMP[],L$1,0),"ERROR")</f>
        <v>1</v>
      </c>
      <c r="M70" s="217">
        <f>IFERROR(L70/K70,"0%")</f>
        <v>1</v>
      </c>
      <c r="N70" s="215">
        <f>IFERROR(VLOOKUP($B70,MMWR_TRAD_AGG_RO_COMP[],N$1,0),"ERROR")</f>
        <v>16122</v>
      </c>
      <c r="O70" s="215">
        <f>IFERROR(VLOOKUP($B70,MMWR_TRAD_AGG_RO_COMP[],O$1,0),"ERROR")</f>
        <v>3891</v>
      </c>
      <c r="P70" s="217">
        <f>IFERROR(O70/N70,"0%")</f>
        <v>0.24134722739114253</v>
      </c>
      <c r="Q70" s="215">
        <f>IFERROR(VLOOKUP($B70,MMWR_TRAD_AGG_RO_COMP[],Q$1,0),"ERROR")</f>
        <v>0</v>
      </c>
      <c r="R70" s="218">
        <f>IFERROR(VLOOKUP($B70,MMWR_TRAD_AGG_RO_COMP[],R$1,0),"ERROR")</f>
        <v>2</v>
      </c>
      <c r="S70" s="218">
        <f>IFERROR(VLOOKUP($B70,MMWR_APP_RO[],S$1,0),"ERROR")</f>
        <v>13099</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36" t="s">
        <v>497</v>
      </c>
      <c r="D72" s="437"/>
      <c r="E72" s="437"/>
      <c r="F72" s="437"/>
      <c r="G72" s="437"/>
      <c r="H72" s="437"/>
      <c r="I72" s="437"/>
      <c r="J72" s="437"/>
      <c r="K72" s="437"/>
      <c r="L72" s="437"/>
      <c r="M72" s="437"/>
      <c r="N72" s="437"/>
      <c r="O72" s="437"/>
      <c r="P72" s="437"/>
      <c r="Q72" s="437"/>
      <c r="R72" s="437"/>
      <c r="S72" s="438"/>
      <c r="T72" s="28"/>
    </row>
    <row r="73" spans="1:20" x14ac:dyDescent="0.2">
      <c r="A73" s="25"/>
      <c r="B73" s="118"/>
      <c r="C73" s="439" t="s">
        <v>233</v>
      </c>
      <c r="D73" s="440"/>
      <c r="E73" s="441" t="s">
        <v>213</v>
      </c>
      <c r="F73" s="442"/>
      <c r="G73" s="443"/>
      <c r="H73" s="441" t="s">
        <v>7</v>
      </c>
      <c r="I73" s="442"/>
      <c r="J73" s="443"/>
      <c r="K73" s="441" t="s">
        <v>33</v>
      </c>
      <c r="L73" s="442"/>
      <c r="M73" s="443"/>
      <c r="N73" s="441" t="s">
        <v>8</v>
      </c>
      <c r="O73" s="442"/>
      <c r="P73" s="443"/>
      <c r="Q73" s="82" t="s">
        <v>9</v>
      </c>
      <c r="R73" s="83" t="s">
        <v>10</v>
      </c>
      <c r="S73" s="83" t="s">
        <v>11</v>
      </c>
      <c r="T73" s="28"/>
    </row>
    <row r="74" spans="1:20" ht="38.25" x14ac:dyDescent="0.2">
      <c r="A74" s="92"/>
      <c r="B74" s="119"/>
      <c r="C74" s="85" t="s">
        <v>12</v>
      </c>
      <c r="D74" s="86" t="s">
        <v>140</v>
      </c>
      <c r="E74" s="87" t="s">
        <v>12</v>
      </c>
      <c r="F74" s="88" t="s">
        <v>3</v>
      </c>
      <c r="G74" s="89" t="s">
        <v>4</v>
      </c>
      <c r="H74" s="87" t="s">
        <v>12</v>
      </c>
      <c r="I74" s="88" t="s">
        <v>3</v>
      </c>
      <c r="J74" s="89" t="s">
        <v>4</v>
      </c>
      <c r="K74" s="87" t="s">
        <v>12</v>
      </c>
      <c r="L74" s="88" t="s">
        <v>3</v>
      </c>
      <c r="M74" s="89" t="s">
        <v>4</v>
      </c>
      <c r="N74" s="87" t="s">
        <v>12</v>
      </c>
      <c r="O74" s="88" t="s">
        <v>3</v>
      </c>
      <c r="P74" s="89" t="s">
        <v>4</v>
      </c>
      <c r="Q74" s="90" t="s">
        <v>12</v>
      </c>
      <c r="R74" s="90" t="s">
        <v>12</v>
      </c>
      <c r="S74" s="91" t="s">
        <v>498</v>
      </c>
      <c r="T74" s="28"/>
    </row>
    <row r="75" spans="1:20" x14ac:dyDescent="0.2">
      <c r="A75" s="25"/>
      <c r="B75" s="102" t="s">
        <v>472</v>
      </c>
      <c r="C75" s="240">
        <f>IFERROR(VLOOKUP($B75,MMWR_TRAD_AGG_RO_PEN[],C$1,0),"ERROR")</f>
        <v>19366</v>
      </c>
      <c r="D75" s="241">
        <f>IFERROR(VLOOKUP($B75,MMWR_TRAD_AGG_RO_PEN[],D$1,0),"ERROR")</f>
        <v>78.092016936899995</v>
      </c>
      <c r="E75" s="240">
        <f>IFERROR(VLOOKUP($B75,MMWR_TRAD_AGG_RO_PEN[],E$1,0),"ERROR")</f>
        <v>23855</v>
      </c>
      <c r="F75" s="240">
        <f>IFERROR(VLOOKUP($B75,MMWR_TRAD_AGG_RO_PEN[],F$1,0),"ERROR")</f>
        <v>2758</v>
      </c>
      <c r="G75" s="242">
        <f>IFERROR(F75/E75,"0%")</f>
        <v>0.11561517501571998</v>
      </c>
      <c r="H75" s="240">
        <f>IFERROR(VLOOKUP($B75,MMWR_TRAD_AGG_RO_PEN[],H$1,0),"ERROR")</f>
        <v>31371</v>
      </c>
      <c r="I75" s="240">
        <f>IFERROR(VLOOKUP($B75,MMWR_TRAD_AGG_RO_PEN[],I$1,0),"ERROR")</f>
        <v>5995</v>
      </c>
      <c r="J75" s="242">
        <f>IFERROR(I75/H75,"0%")</f>
        <v>0.19110006056549042</v>
      </c>
      <c r="K75" s="240">
        <f>IFERROR(VLOOKUP($B75,MMWR_TRAD_AGG_RO_PEN[],K$1,0),"ERROR")</f>
        <v>858</v>
      </c>
      <c r="L75" s="240">
        <f>IFERROR(VLOOKUP($B75,MMWR_TRAD_AGG_RO_PEN[],L$1,0),"ERROR")</f>
        <v>832</v>
      </c>
      <c r="M75" s="242">
        <f>IFERROR(L75/K75,"0%")</f>
        <v>0.96969696969696972</v>
      </c>
      <c r="N75" s="240">
        <f>IFERROR(VLOOKUP($B75,MMWR_TRAD_AGG_RO_PEN[],N$1,0),"ERROR")</f>
        <v>5725</v>
      </c>
      <c r="O75" s="240">
        <f>IFERROR(VLOOKUP($B75,MMWR_TRAD_AGG_RO_PEN[],O$1,0),"ERROR")</f>
        <v>956</v>
      </c>
      <c r="P75" s="242">
        <f>IFERROR(O75/N75,"0%")</f>
        <v>0.16698689956331877</v>
      </c>
      <c r="Q75" s="240">
        <f>IFERROR(VLOOKUP($B75,MMWR_TRAD_AGG_RO_PEN[],Q$1,0),"ERROR")</f>
        <v>10925</v>
      </c>
      <c r="R75" s="243">
        <f>IFERROR(VLOOKUP($B75,MMWR_TRAD_AGG_RO_PEN[],R$1,0),"ERROR")</f>
        <v>4805</v>
      </c>
      <c r="S75" s="243">
        <f>IFERROR(VLOOKUP($B75,MMWR_APP_RO[],S$1,0),"ERROR")</f>
        <v>5976</v>
      </c>
      <c r="T75" s="28"/>
    </row>
    <row r="76" spans="1:20" x14ac:dyDescent="0.2">
      <c r="A76" s="108"/>
      <c r="B76" s="123" t="s">
        <v>218</v>
      </c>
      <c r="C76" s="244">
        <f>IFERROR(VLOOKUP($B76,MMWR_TRAD_AGG_RO_PEN[],C$1,0),"ERROR")</f>
        <v>11580</v>
      </c>
      <c r="D76" s="245">
        <f>IFERROR(VLOOKUP($B76,MMWR_TRAD_AGG_RO_PEN[],D$1,0),"ERROR")</f>
        <v>93.055267702899997</v>
      </c>
      <c r="E76" s="244">
        <f>IFERROR(VLOOKUP($B76,MMWR_TRAD_AGG_RO_PEN[],E$1,0),"ERROR")</f>
        <v>11068</v>
      </c>
      <c r="F76" s="244">
        <f>IFERROR(VLOOKUP($B76,MMWR_TRAD_AGG_RO_PEN[],F$1,0),"ERROR")</f>
        <v>1947</v>
      </c>
      <c r="G76" s="226">
        <f>IFERROR(F76/E76,"0%")</f>
        <v>0.17591254065775208</v>
      </c>
      <c r="H76" s="244">
        <f>IFERROR(VLOOKUP($B76,MMWR_TRAD_AGG_RO_PEN[],H$1,0),"ERROR")</f>
        <v>17904</v>
      </c>
      <c r="I76" s="244">
        <f>IFERROR(VLOOKUP($B76,MMWR_TRAD_AGG_RO_PEN[],I$1,0),"ERROR")</f>
        <v>4431</v>
      </c>
      <c r="J76" s="226">
        <f>IFERROR(I76/H76,"0%")</f>
        <v>0.24748659517426275</v>
      </c>
      <c r="K76" s="244">
        <f>IFERROR(VLOOKUP($B76,MMWR_TRAD_AGG_RO_PEN[],K$1,0),"ERROR")</f>
        <v>520</v>
      </c>
      <c r="L76" s="244">
        <f>IFERROR(VLOOKUP($B76,MMWR_TRAD_AGG_RO_PEN[],L$1,0),"ERROR")</f>
        <v>508</v>
      </c>
      <c r="M76" s="226">
        <f>IFERROR(L76/K76,"0%")</f>
        <v>0.97692307692307689</v>
      </c>
      <c r="N76" s="244">
        <f>IFERROR(VLOOKUP($B76,MMWR_TRAD_AGG_RO_PEN[],N$1,0),"ERROR")</f>
        <v>4893</v>
      </c>
      <c r="O76" s="244">
        <f>IFERROR(VLOOKUP($B76,MMWR_TRAD_AGG_RO_PEN[],O$1,0),"ERROR")</f>
        <v>605</v>
      </c>
      <c r="P76" s="226">
        <f>IFERROR(O76/N76,"0%")</f>
        <v>0.12364602493357858</v>
      </c>
      <c r="Q76" s="244">
        <f>IFERROR(VLOOKUP($B76,MMWR_TRAD_AGG_RO_PEN[],Q$1,0),"ERROR")</f>
        <v>1627</v>
      </c>
      <c r="R76" s="244">
        <f>IFERROR(VLOOKUP($B76,MMWR_TRAD_AGG_RO_PEN[],R$1,0),"ERROR")</f>
        <v>3147</v>
      </c>
      <c r="S76" s="246">
        <f>IFERROR(VLOOKUP($B76,MMWR_APP_RO[],S$1,0),"ERROR")</f>
        <v>2601</v>
      </c>
      <c r="T76" s="28"/>
    </row>
    <row r="77" spans="1:20" x14ac:dyDescent="0.2">
      <c r="A77" s="108"/>
      <c r="B77" s="123" t="s">
        <v>217</v>
      </c>
      <c r="C77" s="244">
        <f>IFERROR(VLOOKUP($B77,MMWR_TRAD_AGG_RO_PEN[],C$1,0),"ERROR")</f>
        <v>5085</v>
      </c>
      <c r="D77" s="245">
        <f>IFERROR(VLOOKUP($B77,MMWR_TRAD_AGG_RO_PEN[],D$1,0),"ERROR")</f>
        <v>64.462340216300007</v>
      </c>
      <c r="E77" s="244">
        <f>IFERROR(VLOOKUP($B77,MMWR_TRAD_AGG_RO_PEN[],E$1,0),"ERROR")</f>
        <v>5623</v>
      </c>
      <c r="F77" s="244">
        <f>IFERROR(VLOOKUP($B77,MMWR_TRAD_AGG_RO_PEN[],F$1,0),"ERROR")</f>
        <v>446</v>
      </c>
      <c r="G77" s="226">
        <f>IFERROR(F77/E77,"0%")</f>
        <v>7.9317090521074163E-2</v>
      </c>
      <c r="H77" s="244">
        <f>IFERROR(VLOOKUP($B77,MMWR_TRAD_AGG_RO_PEN[],H$1,0),"ERROR")</f>
        <v>7998</v>
      </c>
      <c r="I77" s="244">
        <f>IFERROR(VLOOKUP($B77,MMWR_TRAD_AGG_RO_PEN[],I$1,0),"ERROR")</f>
        <v>731</v>
      </c>
      <c r="J77" s="226">
        <f>IFERROR(I77/H77,"0%")</f>
        <v>9.1397849462365593E-2</v>
      </c>
      <c r="K77" s="244">
        <f>IFERROR(VLOOKUP($B77,MMWR_TRAD_AGG_RO_PEN[],K$1,0),"ERROR")</f>
        <v>44</v>
      </c>
      <c r="L77" s="244">
        <f>IFERROR(VLOOKUP($B77,MMWR_TRAD_AGG_RO_PEN[],L$1,0),"ERROR")</f>
        <v>43</v>
      </c>
      <c r="M77" s="226">
        <f>IFERROR(L77/K77,"0%")</f>
        <v>0.97727272727272729</v>
      </c>
      <c r="N77" s="244">
        <f>IFERROR(VLOOKUP($B77,MMWR_TRAD_AGG_RO_PEN[],N$1,0),"ERROR")</f>
        <v>454</v>
      </c>
      <c r="O77" s="244">
        <f>IFERROR(VLOOKUP($B77,MMWR_TRAD_AGG_RO_PEN[],O$1,0),"ERROR")</f>
        <v>81</v>
      </c>
      <c r="P77" s="226">
        <f>IFERROR(O77/N77,"0%")</f>
        <v>0.17841409691629956</v>
      </c>
      <c r="Q77" s="244">
        <f>IFERROR(VLOOKUP($B77,MMWR_TRAD_AGG_RO_PEN[],Q$1,0),"ERROR")</f>
        <v>4349</v>
      </c>
      <c r="R77" s="244">
        <f>IFERROR(VLOOKUP($B77,MMWR_TRAD_AGG_RO_PEN[],R$1,0),"ERROR")</f>
        <v>474</v>
      </c>
      <c r="S77" s="246">
        <f>IFERROR(VLOOKUP($B77,MMWR_APP_RO[],S$1,0),"ERROR")</f>
        <v>2040</v>
      </c>
      <c r="T77" s="28"/>
    </row>
    <row r="78" spans="1:20" x14ac:dyDescent="0.2">
      <c r="A78" s="108"/>
      <c r="B78" s="123" t="s">
        <v>220</v>
      </c>
      <c r="C78" s="244">
        <f>IFERROR(VLOOKUP($B78,MMWR_TRAD_AGG_RO_PEN[],C$1,0),"ERROR")</f>
        <v>2701</v>
      </c>
      <c r="D78" s="245">
        <f>IFERROR(VLOOKUP($B78,MMWR_TRAD_AGG_RO_PEN[],D$1,0),"ERROR")</f>
        <v>39.599777860099998</v>
      </c>
      <c r="E78" s="244">
        <f>IFERROR(VLOOKUP($B78,MMWR_TRAD_AGG_RO_PEN[],E$1,0),"ERROR")</f>
        <v>6914</v>
      </c>
      <c r="F78" s="244">
        <f>IFERROR(VLOOKUP($B78,MMWR_TRAD_AGG_RO_PEN[],F$1,0),"ERROR")</f>
        <v>273</v>
      </c>
      <c r="G78" s="226">
        <f>IFERROR(F78/E78,"0%")</f>
        <v>3.9485102690193813E-2</v>
      </c>
      <c r="H78" s="244">
        <f>IFERROR(VLOOKUP($B78,MMWR_TRAD_AGG_RO_PEN[],H$1,0),"ERROR")</f>
        <v>4478</v>
      </c>
      <c r="I78" s="244">
        <f>IFERROR(VLOOKUP($B78,MMWR_TRAD_AGG_RO_PEN[],I$1,0),"ERROR")</f>
        <v>16</v>
      </c>
      <c r="J78" s="226">
        <f>IFERROR(I78/H78,"0%")</f>
        <v>3.5730236712818221E-3</v>
      </c>
      <c r="K78" s="244">
        <f>IFERROR(VLOOKUP($B78,MMWR_TRAD_AGG_RO_PEN[],K$1,0),"ERROR")</f>
        <v>12</v>
      </c>
      <c r="L78" s="244">
        <f>IFERROR(VLOOKUP($B78,MMWR_TRAD_AGG_RO_PEN[],L$1,0),"ERROR")</f>
        <v>9</v>
      </c>
      <c r="M78" s="226">
        <f>IFERROR(L78/K78,"0%")</f>
        <v>0.75</v>
      </c>
      <c r="N78" s="244">
        <f>IFERROR(VLOOKUP($B78,MMWR_TRAD_AGG_RO_PEN[],N$1,0),"ERROR")</f>
        <v>88</v>
      </c>
      <c r="O78" s="244">
        <f>IFERROR(VLOOKUP($B78,MMWR_TRAD_AGG_RO_PEN[],O$1,0),"ERROR")</f>
        <v>24</v>
      </c>
      <c r="P78" s="226">
        <f>IFERROR(O78/N78,"0%")</f>
        <v>0.27272727272727271</v>
      </c>
      <c r="Q78" s="244">
        <f>IFERROR(VLOOKUP($B78,MMWR_TRAD_AGG_RO_PEN[],Q$1,0),"ERROR")</f>
        <v>4834</v>
      </c>
      <c r="R78" s="244">
        <f>IFERROR(VLOOKUP($B78,MMWR_TRAD_AGG_RO_PEN[],R$1,0),"ERROR")</f>
        <v>1184</v>
      </c>
      <c r="S78" s="246">
        <f>IFERROR(VLOOKUP($B78,MMWR_APP_RO[],S$1,0),"ERROR")</f>
        <v>1335</v>
      </c>
      <c r="T78" s="28"/>
    </row>
    <row r="79" spans="1:20" x14ac:dyDescent="0.2">
      <c r="A79" s="93"/>
      <c r="B79" s="102" t="s">
        <v>232</v>
      </c>
      <c r="C79" s="221">
        <f>IFERROR(VLOOKUP($B79,MMWR_TRAD_AGG_RO_PEN[],C$1,0),"ERROR")</f>
        <v>0</v>
      </c>
      <c r="D79" s="192">
        <f>IFERROR(VLOOKUP($B79,MMWR_TRAD_AGG_RO_PEN[],D$1,0),"ERROR")</f>
        <v>0</v>
      </c>
      <c r="E79" s="221">
        <f>IFERROR(VLOOKUP($B79,MMWR_TRAD_AGG_RO_PEN[],E$1,0),"ERROR")</f>
        <v>250</v>
      </c>
      <c r="F79" s="221">
        <f>IFERROR(VLOOKUP($B79,MMWR_TRAD_AGG_RO_PEN[],F$1,0),"ERROR")</f>
        <v>92</v>
      </c>
      <c r="G79" s="217">
        <f>IFERROR(F79/E79,"0%")</f>
        <v>0.36799999999999999</v>
      </c>
      <c r="H79" s="221">
        <f>IFERROR(VLOOKUP($B79,MMWR_TRAD_AGG_RO_PEN[],H$1,0),"ERROR")</f>
        <v>991</v>
      </c>
      <c r="I79" s="221">
        <f>IFERROR(VLOOKUP($B79,MMWR_TRAD_AGG_RO_PEN[],I$1,0),"ERROR")</f>
        <v>817</v>
      </c>
      <c r="J79" s="217">
        <f>IFERROR(I79/H79,"0%")</f>
        <v>0.82441977800201816</v>
      </c>
      <c r="K79" s="221">
        <f>IFERROR(VLOOKUP($B79,MMWR_TRAD_AGG_RO_PEN[],K$1,0),"ERROR")</f>
        <v>282</v>
      </c>
      <c r="L79" s="221">
        <f>IFERROR(VLOOKUP($B79,MMWR_TRAD_AGG_RO_PEN[],L$1,0),"ERROR")</f>
        <v>272</v>
      </c>
      <c r="M79" s="217">
        <f>IFERROR(L79/K79,"0%")</f>
        <v>0.96453900709219853</v>
      </c>
      <c r="N79" s="221">
        <f>IFERROR(VLOOKUP($B79,MMWR_TRAD_AGG_RO_PEN[],N$1,0),"ERROR")</f>
        <v>290</v>
      </c>
      <c r="O79" s="221">
        <f>IFERROR(VLOOKUP($B79,MMWR_TRAD_AGG_RO_PEN[],O$1,0),"ERROR")</f>
        <v>246</v>
      </c>
      <c r="P79" s="217">
        <f>IFERROR(O79/N79,"0%")</f>
        <v>0.84827586206896555</v>
      </c>
      <c r="Q79" s="221">
        <f>IFERROR(VLOOKUP($B79,MMWR_TRAD_AGG_RO_PEN[],Q$1,0),"ERROR")</f>
        <v>115</v>
      </c>
      <c r="R79" s="247">
        <f>IFERROR(VLOOKUP($B79,MMWR_TRAD_AGG_RO_PEN[],R$1,0),"ERROR")</f>
        <v>0</v>
      </c>
      <c r="S79" s="247"/>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A3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8" priority="97" stopIfTrue="1">
      <formula>ISERROR(S63)</formula>
    </cfRule>
  </conditionalFormatting>
  <conditionalFormatting sqref="B6:C6 E6:G6 B7:B24 B72:B74 C7:G7 S8:S24 S36:S37 J6:J7 M6:M7 P6:S7 B26:S35">
    <cfRule type="expression" dxfId="357" priority="340" stopIfTrue="1">
      <formula>ISERROR(B6)</formula>
    </cfRule>
  </conditionalFormatting>
  <conditionalFormatting sqref="D6">
    <cfRule type="expression" dxfId="356" priority="339" stopIfTrue="1">
      <formula>ISERROR(D6)</formula>
    </cfRule>
  </conditionalFormatting>
  <conditionalFormatting sqref="D7:G24 Q7:R24">
    <cfRule type="expression" dxfId="355" priority="338" stopIfTrue="1">
      <formula>ISERROR(D7)</formula>
    </cfRule>
  </conditionalFormatting>
  <conditionalFormatting sqref="S4">
    <cfRule type="expression" dxfId="354" priority="333" stopIfTrue="1">
      <formula>ISERROR(S4)</formula>
    </cfRule>
  </conditionalFormatting>
  <conditionalFormatting sqref="M38">
    <cfRule type="expression" dxfId="353" priority="251" stopIfTrue="1">
      <formula>ISERROR(M38)</formula>
    </cfRule>
  </conditionalFormatting>
  <conditionalFormatting sqref="S49">
    <cfRule type="expression" dxfId="352" priority="329" stopIfTrue="1">
      <formula>ISERROR(S49)</formula>
    </cfRule>
  </conditionalFormatting>
  <conditionalFormatting sqref="E4">
    <cfRule type="expression" dxfId="351" priority="337" stopIfTrue="1">
      <formula>ISERROR(E4)</formula>
    </cfRule>
  </conditionalFormatting>
  <conditionalFormatting sqref="C4">
    <cfRule type="expression" dxfId="350" priority="336" stopIfTrue="1">
      <formula>ISERROR(C4)</formula>
    </cfRule>
  </conditionalFormatting>
  <conditionalFormatting sqref="N25">
    <cfRule type="expression" dxfId="349" priority="279" stopIfTrue="1">
      <formula>ISERROR(N25)</formula>
    </cfRule>
  </conditionalFormatting>
  <conditionalFormatting sqref="K7">
    <cfRule type="expression" dxfId="348" priority="309" stopIfTrue="1">
      <formula>ISERROR(K7)</formula>
    </cfRule>
  </conditionalFormatting>
  <conditionalFormatting sqref="S25">
    <cfRule type="expression" dxfId="347" priority="331" stopIfTrue="1">
      <formula>ISERROR(S25)</formula>
    </cfRule>
  </conditionalFormatting>
  <conditionalFormatting sqref="Q4">
    <cfRule type="expression" dxfId="346" priority="335" stopIfTrue="1">
      <formula>ISERROR(Q4)</formula>
    </cfRule>
  </conditionalFormatting>
  <conditionalFormatting sqref="R4">
    <cfRule type="expression" dxfId="345" priority="334" stopIfTrue="1">
      <formula>ISERROR(R4)</formula>
    </cfRule>
  </conditionalFormatting>
  <conditionalFormatting sqref="K4">
    <cfRule type="expression" dxfId="344" priority="322" stopIfTrue="1">
      <formula>ISERROR(K4)</formula>
    </cfRule>
  </conditionalFormatting>
  <conditionalFormatting sqref="P7">
    <cfRule type="expression" dxfId="343" priority="294" stopIfTrue="1">
      <formula>ISERROR(P7)</formula>
    </cfRule>
  </conditionalFormatting>
  <conditionalFormatting sqref="H7">
    <cfRule type="expression" dxfId="342" priority="312" stopIfTrue="1">
      <formula>ISERROR(H7)</formula>
    </cfRule>
  </conditionalFormatting>
  <conditionalFormatting sqref="C7:C24">
    <cfRule type="expression" dxfId="341" priority="332" stopIfTrue="1">
      <formula>ISERROR(C7)</formula>
    </cfRule>
  </conditionalFormatting>
  <conditionalFormatting sqref="S62">
    <cfRule type="expression" dxfId="340" priority="328" stopIfTrue="1">
      <formula>ISERROR(S62)</formula>
    </cfRule>
  </conditionalFormatting>
  <conditionalFormatting sqref="N7">
    <cfRule type="expression" dxfId="339" priority="305" stopIfTrue="1">
      <formula>ISERROR(N7)</formula>
    </cfRule>
  </conditionalFormatting>
  <conditionalFormatting sqref="Q25">
    <cfRule type="expression" dxfId="338" priority="276" stopIfTrue="1">
      <formula>ISERROR(Q25)</formula>
    </cfRule>
  </conditionalFormatting>
  <conditionalFormatting sqref="R25">
    <cfRule type="expression" dxfId="337" priority="275" stopIfTrue="1">
      <formula>ISERROR(R25)</formula>
    </cfRule>
  </conditionalFormatting>
  <conditionalFormatting sqref="S38">
    <cfRule type="expression" dxfId="336" priority="330" stopIfTrue="1">
      <formula>ISERROR(S38)</formula>
    </cfRule>
  </conditionalFormatting>
  <conditionalFormatting sqref="M7">
    <cfRule type="expression" dxfId="335" priority="295" stopIfTrue="1">
      <formula>ISERROR(M7)</formula>
    </cfRule>
  </conditionalFormatting>
  <conditionalFormatting sqref="K49">
    <cfRule type="expression" dxfId="334" priority="239" stopIfTrue="1">
      <formula>ISERROR(K49)</formula>
    </cfRule>
  </conditionalFormatting>
  <conditionalFormatting sqref="L38">
    <cfRule type="expression" dxfId="333" priority="260" stopIfTrue="1">
      <formula>ISERROR(L38)</formula>
    </cfRule>
  </conditionalFormatting>
  <conditionalFormatting sqref="L38">
    <cfRule type="expression" dxfId="332" priority="259" stopIfTrue="1">
      <formula>ISERROR(L38)</formula>
    </cfRule>
  </conditionalFormatting>
  <conditionalFormatting sqref="I7">
    <cfRule type="expression" dxfId="331" priority="311" stopIfTrue="1">
      <formula>ISERROR(I7)</formula>
    </cfRule>
  </conditionalFormatting>
  <conditionalFormatting sqref="K7">
    <cfRule type="expression" dxfId="330" priority="308" stopIfTrue="1">
      <formula>ISERROR(K7)</formula>
    </cfRule>
  </conditionalFormatting>
  <conditionalFormatting sqref="H6:I6">
    <cfRule type="expression" dxfId="329" priority="327" stopIfTrue="1">
      <formula>ISERROR(H6)</formula>
    </cfRule>
  </conditionalFormatting>
  <conditionalFormatting sqref="H9:J24 H8:I8">
    <cfRule type="expression" dxfId="328" priority="326" stopIfTrue="1">
      <formula>ISERROR(H8)</formula>
    </cfRule>
  </conditionalFormatting>
  <conditionalFormatting sqref="H4">
    <cfRule type="expression" dxfId="327" priority="325" stopIfTrue="1">
      <formula>ISERROR(H4)</formula>
    </cfRule>
  </conditionalFormatting>
  <conditionalFormatting sqref="R7">
    <cfRule type="expression" dxfId="326" priority="300" stopIfTrue="1">
      <formula>ISERROR(R7)</formula>
    </cfRule>
  </conditionalFormatting>
  <conditionalFormatting sqref="K38">
    <cfRule type="expression" dxfId="325" priority="262" stopIfTrue="1">
      <formula>ISERROR(K38)</formula>
    </cfRule>
  </conditionalFormatting>
  <conditionalFormatting sqref="K38">
    <cfRule type="expression" dxfId="324" priority="261" stopIfTrue="1">
      <formula>ISERROR(K38)</formula>
    </cfRule>
  </conditionalFormatting>
  <conditionalFormatting sqref="L25">
    <cfRule type="expression" dxfId="323" priority="282" stopIfTrue="1">
      <formula>ISERROR(L25)</formula>
    </cfRule>
  </conditionalFormatting>
  <conditionalFormatting sqref="L25">
    <cfRule type="expression" dxfId="322" priority="281" stopIfTrue="1">
      <formula>ISERROR(L25)</formula>
    </cfRule>
  </conditionalFormatting>
  <conditionalFormatting sqref="J6">
    <cfRule type="expression" dxfId="321" priority="299" stopIfTrue="1">
      <formula>ISERROR(J6)</formula>
    </cfRule>
  </conditionalFormatting>
  <conditionalFormatting sqref="K6:L6">
    <cfRule type="expression" dxfId="320" priority="324" stopIfTrue="1">
      <formula>ISERROR(K6)</formula>
    </cfRule>
  </conditionalFormatting>
  <conditionalFormatting sqref="K9:M24 K8:L8">
    <cfRule type="expression" dxfId="319" priority="323" stopIfTrue="1">
      <formula>ISERROR(K8)</formula>
    </cfRule>
  </conditionalFormatting>
  <conditionalFormatting sqref="C25">
    <cfRule type="expression" dxfId="318" priority="291" stopIfTrue="1">
      <formula>ISERROR(C25)</formula>
    </cfRule>
  </conditionalFormatting>
  <conditionalFormatting sqref="E25">
    <cfRule type="expression" dxfId="317" priority="290" stopIfTrue="1">
      <formula>ISERROR(E25)</formula>
    </cfRule>
  </conditionalFormatting>
  <conditionalFormatting sqref="P38">
    <cfRule type="expression" dxfId="316" priority="250" stopIfTrue="1">
      <formula>ISERROR(P38)</formula>
    </cfRule>
  </conditionalFormatting>
  <conditionalFormatting sqref="B38:G38 Q38:R38">
    <cfRule type="expression" dxfId="315" priority="271" stopIfTrue="1">
      <formula>ISERROR(B38)</formula>
    </cfRule>
  </conditionalFormatting>
  <conditionalFormatting sqref="Q38:R38 D38:G38">
    <cfRule type="expression" dxfId="314" priority="270" stopIfTrue="1">
      <formula>ISERROR(D38)</formula>
    </cfRule>
  </conditionalFormatting>
  <conditionalFormatting sqref="N6:O6">
    <cfRule type="expression" dxfId="313" priority="321" stopIfTrue="1">
      <formula>ISERROR(N6)</formula>
    </cfRule>
  </conditionalFormatting>
  <conditionalFormatting sqref="N9:P24 N8:O8">
    <cfRule type="expression" dxfId="312" priority="320" stopIfTrue="1">
      <formula>ISERROR(N8)</formula>
    </cfRule>
  </conditionalFormatting>
  <conditionalFormatting sqref="N4">
    <cfRule type="expression" dxfId="311" priority="319" stopIfTrue="1">
      <formula>ISERROR(N4)</formula>
    </cfRule>
  </conditionalFormatting>
  <conditionalFormatting sqref="N25">
    <cfRule type="expression" dxfId="310" priority="280" stopIfTrue="1">
      <formula>ISERROR(N25)</formula>
    </cfRule>
  </conditionalFormatting>
  <conditionalFormatting sqref="O25">
    <cfRule type="expression" dxfId="309" priority="278" stopIfTrue="1">
      <formula>ISERROR(O25)</formula>
    </cfRule>
  </conditionalFormatting>
  <conditionalFormatting sqref="K49">
    <cfRule type="expression" dxfId="308" priority="240" stopIfTrue="1">
      <formula>ISERROR(K49)</formula>
    </cfRule>
  </conditionalFormatting>
  <conditionalFormatting sqref="J8">
    <cfRule type="expression" dxfId="307" priority="318" stopIfTrue="1">
      <formula>ISERROR(J8)</formula>
    </cfRule>
  </conditionalFormatting>
  <conditionalFormatting sqref="M8">
    <cfRule type="expression" dxfId="306" priority="317" stopIfTrue="1">
      <formula>ISERROR(M8)</formula>
    </cfRule>
  </conditionalFormatting>
  <conditionalFormatting sqref="P8">
    <cfRule type="expression" dxfId="305" priority="316" stopIfTrue="1">
      <formula>ISERROR(P8)</formula>
    </cfRule>
  </conditionalFormatting>
  <conditionalFormatting sqref="E7">
    <cfRule type="expression" dxfId="304" priority="315" stopIfTrue="1">
      <formula>ISERROR(E7)</formula>
    </cfRule>
  </conditionalFormatting>
  <conditionalFormatting sqref="F7">
    <cfRule type="expression" dxfId="303" priority="314" stopIfTrue="1">
      <formula>ISERROR(F7)</formula>
    </cfRule>
  </conditionalFormatting>
  <conditionalFormatting sqref="H7">
    <cfRule type="expression" dxfId="302" priority="313" stopIfTrue="1">
      <formula>ISERROR(H7)</formula>
    </cfRule>
  </conditionalFormatting>
  <conditionalFormatting sqref="Q25:R25 D25:G25">
    <cfRule type="expression" dxfId="301" priority="292" stopIfTrue="1">
      <formula>ISERROR(D25)</formula>
    </cfRule>
  </conditionalFormatting>
  <conditionalFormatting sqref="I7">
    <cfRule type="expression" dxfId="300" priority="310" stopIfTrue="1">
      <formula>ISERROR(I7)</formula>
    </cfRule>
  </conditionalFormatting>
  <conditionalFormatting sqref="F25">
    <cfRule type="expression" dxfId="299" priority="289" stopIfTrue="1">
      <formula>ISERROR(F25)</formula>
    </cfRule>
  </conditionalFormatting>
  <conditionalFormatting sqref="H25">
    <cfRule type="expression" dxfId="298" priority="288" stopIfTrue="1">
      <formula>ISERROR(H25)</formula>
    </cfRule>
  </conditionalFormatting>
  <conditionalFormatting sqref="L7">
    <cfRule type="expression" dxfId="297" priority="307" stopIfTrue="1">
      <formula>ISERROR(L7)</formula>
    </cfRule>
  </conditionalFormatting>
  <conditionalFormatting sqref="L7">
    <cfRule type="expression" dxfId="296" priority="306" stopIfTrue="1">
      <formula>ISERROR(L7)</formula>
    </cfRule>
  </conditionalFormatting>
  <conditionalFormatting sqref="N7">
    <cfRule type="expression" dxfId="295" priority="304" stopIfTrue="1">
      <formula>ISERROR(N7)</formula>
    </cfRule>
  </conditionalFormatting>
  <conditionalFormatting sqref="O7">
    <cfRule type="expression" dxfId="294" priority="303" stopIfTrue="1">
      <formula>ISERROR(O7)</formula>
    </cfRule>
  </conditionalFormatting>
  <conditionalFormatting sqref="O7">
    <cfRule type="expression" dxfId="293" priority="302" stopIfTrue="1">
      <formula>ISERROR(O7)</formula>
    </cfRule>
  </conditionalFormatting>
  <conditionalFormatting sqref="Q7">
    <cfRule type="expression" dxfId="292" priority="301" stopIfTrue="1">
      <formula>ISERROR(Q7)</formula>
    </cfRule>
  </conditionalFormatting>
  <conditionalFormatting sqref="O62">
    <cfRule type="expression" dxfId="291" priority="212" stopIfTrue="1">
      <formula>ISERROR(O62)</formula>
    </cfRule>
  </conditionalFormatting>
  <conditionalFormatting sqref="P62">
    <cfRule type="expression" dxfId="290" priority="206" stopIfTrue="1">
      <formula>ISERROR(P62)</formula>
    </cfRule>
  </conditionalFormatting>
  <conditionalFormatting sqref="O25">
    <cfRule type="expression" dxfId="289" priority="277" stopIfTrue="1">
      <formula>ISERROR(O25)</formula>
    </cfRule>
  </conditionalFormatting>
  <conditionalFormatting sqref="M6">
    <cfRule type="expression" dxfId="288" priority="298" stopIfTrue="1">
      <formula>ISERROR(M6)</formula>
    </cfRule>
  </conditionalFormatting>
  <conditionalFormatting sqref="P6">
    <cfRule type="expression" dxfId="287" priority="297" stopIfTrue="1">
      <formula>ISERROR(P6)</formula>
    </cfRule>
  </conditionalFormatting>
  <conditionalFormatting sqref="J7">
    <cfRule type="expression" dxfId="286" priority="296" stopIfTrue="1">
      <formula>ISERROR(J7)</formula>
    </cfRule>
  </conditionalFormatting>
  <conditionalFormatting sqref="M25">
    <cfRule type="expression" dxfId="285" priority="273" stopIfTrue="1">
      <formula>ISERROR(M25)</formula>
    </cfRule>
  </conditionalFormatting>
  <conditionalFormatting sqref="P25">
    <cfRule type="expression" dxfId="284" priority="272" stopIfTrue="1">
      <formula>ISERROR(P25)</formula>
    </cfRule>
  </conditionalFormatting>
  <conditionalFormatting sqref="B25:G25 Q25:R25">
    <cfRule type="expression" dxfId="283" priority="293" stopIfTrue="1">
      <formula>ISERROR(B25)</formula>
    </cfRule>
  </conditionalFormatting>
  <conditionalFormatting sqref="C38">
    <cfRule type="expression" dxfId="282" priority="269" stopIfTrue="1">
      <formula>ISERROR(C38)</formula>
    </cfRule>
  </conditionalFormatting>
  <conditionalFormatting sqref="E38">
    <cfRule type="expression" dxfId="281" priority="268" stopIfTrue="1">
      <formula>ISERROR(E38)</formula>
    </cfRule>
  </conditionalFormatting>
  <conditionalFormatting sqref="H25">
    <cfRule type="expression" dxfId="280" priority="287" stopIfTrue="1">
      <formula>ISERROR(H25)</formula>
    </cfRule>
  </conditionalFormatting>
  <conditionalFormatting sqref="I25">
    <cfRule type="expression" dxfId="279" priority="286" stopIfTrue="1">
      <formula>ISERROR(I25)</formula>
    </cfRule>
  </conditionalFormatting>
  <conditionalFormatting sqref="I25">
    <cfRule type="expression" dxfId="278" priority="285" stopIfTrue="1">
      <formula>ISERROR(I25)</formula>
    </cfRule>
  </conditionalFormatting>
  <conditionalFormatting sqref="K25">
    <cfRule type="expression" dxfId="277" priority="284" stopIfTrue="1">
      <formula>ISERROR(K25)</formula>
    </cfRule>
  </conditionalFormatting>
  <conditionalFormatting sqref="K25">
    <cfRule type="expression" dxfId="276" priority="283" stopIfTrue="1">
      <formula>ISERROR(K25)</formula>
    </cfRule>
  </conditionalFormatting>
  <conditionalFormatting sqref="N38">
    <cfRule type="expression" dxfId="275" priority="258" stopIfTrue="1">
      <formula>ISERROR(N38)</formula>
    </cfRule>
  </conditionalFormatting>
  <conditionalFormatting sqref="N38">
    <cfRule type="expression" dxfId="274" priority="257" stopIfTrue="1">
      <formula>ISERROR(N38)</formula>
    </cfRule>
  </conditionalFormatting>
  <conditionalFormatting sqref="Q38">
    <cfRule type="expression" dxfId="273" priority="254" stopIfTrue="1">
      <formula>ISERROR(Q38)</formula>
    </cfRule>
  </conditionalFormatting>
  <conditionalFormatting sqref="R38">
    <cfRule type="expression" dxfId="272" priority="253" stopIfTrue="1">
      <formula>ISERROR(R38)</formula>
    </cfRule>
  </conditionalFormatting>
  <conditionalFormatting sqref="J25">
    <cfRule type="expression" dxfId="271" priority="274" stopIfTrue="1">
      <formula>ISERROR(J25)</formula>
    </cfRule>
  </conditionalFormatting>
  <conditionalFormatting sqref="B49:G49 Q49:R49">
    <cfRule type="expression" dxfId="270" priority="249" stopIfTrue="1">
      <formula>ISERROR(B49)</formula>
    </cfRule>
  </conditionalFormatting>
  <conditionalFormatting sqref="Q49:R49 D49:G49">
    <cfRule type="expression" dxfId="269" priority="248" stopIfTrue="1">
      <formula>ISERROR(D49)</formula>
    </cfRule>
  </conditionalFormatting>
  <conditionalFormatting sqref="F38">
    <cfRule type="expression" dxfId="268" priority="267" stopIfTrue="1">
      <formula>ISERROR(F38)</formula>
    </cfRule>
  </conditionalFormatting>
  <conditionalFormatting sqref="H38">
    <cfRule type="expression" dxfId="267" priority="266" stopIfTrue="1">
      <formula>ISERROR(H38)</formula>
    </cfRule>
  </conditionalFormatting>
  <conditionalFormatting sqref="H38">
    <cfRule type="expression" dxfId="266" priority="265" stopIfTrue="1">
      <formula>ISERROR(H38)</formula>
    </cfRule>
  </conditionalFormatting>
  <conditionalFormatting sqref="I38">
    <cfRule type="expression" dxfId="265" priority="264" stopIfTrue="1">
      <formula>ISERROR(I38)</formula>
    </cfRule>
  </conditionalFormatting>
  <conditionalFormatting sqref="I38">
    <cfRule type="expression" dxfId="264" priority="263" stopIfTrue="1">
      <formula>ISERROR(I38)</formula>
    </cfRule>
  </conditionalFormatting>
  <conditionalFormatting sqref="L49">
    <cfRule type="expression" dxfId="263" priority="238" stopIfTrue="1">
      <formula>ISERROR(L49)</formula>
    </cfRule>
  </conditionalFormatting>
  <conditionalFormatting sqref="L49">
    <cfRule type="expression" dxfId="262" priority="237" stopIfTrue="1">
      <formula>ISERROR(L49)</formula>
    </cfRule>
  </conditionalFormatting>
  <conditionalFormatting sqref="O38">
    <cfRule type="expression" dxfId="261" priority="256" stopIfTrue="1">
      <formula>ISERROR(O38)</formula>
    </cfRule>
  </conditionalFormatting>
  <conditionalFormatting sqref="O38">
    <cfRule type="expression" dxfId="260" priority="255" stopIfTrue="1">
      <formula>ISERROR(O38)</formula>
    </cfRule>
  </conditionalFormatting>
  <conditionalFormatting sqref="J38">
    <cfRule type="expression" dxfId="259" priority="252" stopIfTrue="1">
      <formula>ISERROR(J38)</formula>
    </cfRule>
  </conditionalFormatting>
  <conditionalFormatting sqref="M49">
    <cfRule type="expression" dxfId="258" priority="229" stopIfTrue="1">
      <formula>ISERROR(M49)</formula>
    </cfRule>
  </conditionalFormatting>
  <conditionalFormatting sqref="P49">
    <cfRule type="expression" dxfId="257" priority="228" stopIfTrue="1">
      <formula>ISERROR(P49)</formula>
    </cfRule>
  </conditionalFormatting>
  <conditionalFormatting sqref="C49">
    <cfRule type="expression" dxfId="256" priority="247" stopIfTrue="1">
      <formula>ISERROR(C49)</formula>
    </cfRule>
  </conditionalFormatting>
  <conditionalFormatting sqref="E49">
    <cfRule type="expression" dxfId="255" priority="246" stopIfTrue="1">
      <formula>ISERROR(E49)</formula>
    </cfRule>
  </conditionalFormatting>
  <conditionalFormatting sqref="F49">
    <cfRule type="expression" dxfId="254" priority="245" stopIfTrue="1">
      <formula>ISERROR(F49)</formula>
    </cfRule>
  </conditionalFormatting>
  <conditionalFormatting sqref="H49">
    <cfRule type="expression" dxfId="253" priority="244" stopIfTrue="1">
      <formula>ISERROR(H49)</formula>
    </cfRule>
  </conditionalFormatting>
  <conditionalFormatting sqref="H49">
    <cfRule type="expression" dxfId="252" priority="243" stopIfTrue="1">
      <formula>ISERROR(H49)</formula>
    </cfRule>
  </conditionalFormatting>
  <conditionalFormatting sqref="I49">
    <cfRule type="expression" dxfId="251" priority="242" stopIfTrue="1">
      <formula>ISERROR(I49)</formula>
    </cfRule>
  </conditionalFormatting>
  <conditionalFormatting sqref="I49">
    <cfRule type="expression" dxfId="250" priority="241" stopIfTrue="1">
      <formula>ISERROR(I49)</formula>
    </cfRule>
  </conditionalFormatting>
  <conditionalFormatting sqref="K62">
    <cfRule type="expression" dxfId="249" priority="218" stopIfTrue="1">
      <formula>ISERROR(K62)</formula>
    </cfRule>
  </conditionalFormatting>
  <conditionalFormatting sqref="K62">
    <cfRule type="expression" dxfId="248" priority="217" stopIfTrue="1">
      <formula>ISERROR(K62)</formula>
    </cfRule>
  </conditionalFormatting>
  <conditionalFormatting sqref="N49">
    <cfRule type="expression" dxfId="247" priority="236" stopIfTrue="1">
      <formula>ISERROR(N49)</formula>
    </cfRule>
  </conditionalFormatting>
  <conditionalFormatting sqref="N49">
    <cfRule type="expression" dxfId="246" priority="235" stopIfTrue="1">
      <formula>ISERROR(N49)</formula>
    </cfRule>
  </conditionalFormatting>
  <conditionalFormatting sqref="O49">
    <cfRule type="expression" dxfId="245" priority="234" stopIfTrue="1">
      <formula>ISERROR(O49)</formula>
    </cfRule>
  </conditionalFormatting>
  <conditionalFormatting sqref="O49">
    <cfRule type="expression" dxfId="244" priority="233" stopIfTrue="1">
      <formula>ISERROR(O49)</formula>
    </cfRule>
  </conditionalFormatting>
  <conditionalFormatting sqref="Q49">
    <cfRule type="expression" dxfId="243" priority="232" stopIfTrue="1">
      <formula>ISERROR(Q49)</formula>
    </cfRule>
  </conditionalFormatting>
  <conditionalFormatting sqref="R49">
    <cfRule type="expression" dxfId="242" priority="231" stopIfTrue="1">
      <formula>ISERROR(R49)</formula>
    </cfRule>
  </conditionalFormatting>
  <conditionalFormatting sqref="J49">
    <cfRule type="expression" dxfId="241" priority="230" stopIfTrue="1">
      <formula>ISERROR(J49)</formula>
    </cfRule>
  </conditionalFormatting>
  <conditionalFormatting sqref="B62:G62 Q62:R62">
    <cfRule type="expression" dxfId="240" priority="227" stopIfTrue="1">
      <formula>ISERROR(B62)</formula>
    </cfRule>
  </conditionalFormatting>
  <conditionalFormatting sqref="Q62:R62 D62:G62">
    <cfRule type="expression" dxfId="239" priority="226" stopIfTrue="1">
      <formula>ISERROR(D62)</formula>
    </cfRule>
  </conditionalFormatting>
  <conditionalFormatting sqref="C62">
    <cfRule type="expression" dxfId="238" priority="225" stopIfTrue="1">
      <formula>ISERROR(C62)</formula>
    </cfRule>
  </conditionalFormatting>
  <conditionalFormatting sqref="E62">
    <cfRule type="expression" dxfId="237" priority="224" stopIfTrue="1">
      <formula>ISERROR(E62)</formula>
    </cfRule>
  </conditionalFormatting>
  <conditionalFormatting sqref="F62">
    <cfRule type="expression" dxfId="236" priority="223" stopIfTrue="1">
      <formula>ISERROR(F62)</formula>
    </cfRule>
  </conditionalFormatting>
  <conditionalFormatting sqref="H62">
    <cfRule type="expression" dxfId="235" priority="222" stopIfTrue="1">
      <formula>ISERROR(H62)</formula>
    </cfRule>
  </conditionalFormatting>
  <conditionalFormatting sqref="H62">
    <cfRule type="expression" dxfId="234" priority="221" stopIfTrue="1">
      <formula>ISERROR(H62)</formula>
    </cfRule>
  </conditionalFormatting>
  <conditionalFormatting sqref="I62">
    <cfRule type="expression" dxfId="233" priority="220" stopIfTrue="1">
      <formula>ISERROR(I62)</formula>
    </cfRule>
  </conditionalFormatting>
  <conditionalFormatting sqref="I62">
    <cfRule type="expression" dxfId="232" priority="219" stopIfTrue="1">
      <formula>ISERROR(I62)</formula>
    </cfRule>
  </conditionalFormatting>
  <conditionalFormatting sqref="L62">
    <cfRule type="expression" dxfId="231" priority="216" stopIfTrue="1">
      <formula>ISERROR(L62)</formula>
    </cfRule>
  </conditionalFormatting>
  <conditionalFormatting sqref="L62">
    <cfRule type="expression" dxfId="230" priority="215" stopIfTrue="1">
      <formula>ISERROR(L62)</formula>
    </cfRule>
  </conditionalFormatting>
  <conditionalFormatting sqref="N62">
    <cfRule type="expression" dxfId="229" priority="214" stopIfTrue="1">
      <formula>ISERROR(N62)</formula>
    </cfRule>
  </conditionalFormatting>
  <conditionalFormatting sqref="N62">
    <cfRule type="expression" dxfId="228" priority="213" stopIfTrue="1">
      <formula>ISERROR(N62)</formula>
    </cfRule>
  </conditionalFormatting>
  <conditionalFormatting sqref="O70">
    <cfRule type="expression" dxfId="227" priority="190" stopIfTrue="1">
      <formula>ISERROR(O70)</formula>
    </cfRule>
  </conditionalFormatting>
  <conditionalFormatting sqref="O62">
    <cfRule type="expression" dxfId="226" priority="211" stopIfTrue="1">
      <formula>ISERROR(O62)</formula>
    </cfRule>
  </conditionalFormatting>
  <conditionalFormatting sqref="Q62">
    <cfRule type="expression" dxfId="225" priority="210" stopIfTrue="1">
      <formula>ISERROR(Q62)</formula>
    </cfRule>
  </conditionalFormatting>
  <conditionalFormatting sqref="R62">
    <cfRule type="expression" dxfId="224" priority="209" stopIfTrue="1">
      <formula>ISERROR(R62)</formula>
    </cfRule>
  </conditionalFormatting>
  <conditionalFormatting sqref="J62">
    <cfRule type="expression" dxfId="223" priority="208" stopIfTrue="1">
      <formula>ISERROR(J62)</formula>
    </cfRule>
  </conditionalFormatting>
  <conditionalFormatting sqref="M62">
    <cfRule type="expression" dxfId="222" priority="207" stopIfTrue="1">
      <formula>ISERROR(M62)</formula>
    </cfRule>
  </conditionalFormatting>
  <conditionalFormatting sqref="P70">
    <cfRule type="expression" dxfId="221" priority="184" stopIfTrue="1">
      <formula>ISERROR(P70)</formula>
    </cfRule>
  </conditionalFormatting>
  <conditionalFormatting sqref="B70:G70 Q70:R70">
    <cfRule type="expression" dxfId="220" priority="205" stopIfTrue="1">
      <formula>ISERROR(B70)</formula>
    </cfRule>
  </conditionalFormatting>
  <conditionalFormatting sqref="Q70:R70 D70:G70">
    <cfRule type="expression" dxfId="219" priority="204" stopIfTrue="1">
      <formula>ISERROR(D70)</formula>
    </cfRule>
  </conditionalFormatting>
  <conditionalFormatting sqref="C70">
    <cfRule type="expression" dxfId="218" priority="203" stopIfTrue="1">
      <formula>ISERROR(C70)</formula>
    </cfRule>
  </conditionalFormatting>
  <conditionalFormatting sqref="E70">
    <cfRule type="expression" dxfId="217" priority="202" stopIfTrue="1">
      <formula>ISERROR(E70)</formula>
    </cfRule>
  </conditionalFormatting>
  <conditionalFormatting sqref="F70">
    <cfRule type="expression" dxfId="216" priority="201" stopIfTrue="1">
      <formula>ISERROR(F70)</formula>
    </cfRule>
  </conditionalFormatting>
  <conditionalFormatting sqref="H70">
    <cfRule type="expression" dxfId="215" priority="200" stopIfTrue="1">
      <formula>ISERROR(H70)</formula>
    </cfRule>
  </conditionalFormatting>
  <conditionalFormatting sqref="H70">
    <cfRule type="expression" dxfId="214" priority="199" stopIfTrue="1">
      <formula>ISERROR(H70)</formula>
    </cfRule>
  </conditionalFormatting>
  <conditionalFormatting sqref="I70">
    <cfRule type="expression" dxfId="213" priority="198" stopIfTrue="1">
      <formula>ISERROR(I70)</formula>
    </cfRule>
  </conditionalFormatting>
  <conditionalFormatting sqref="I70">
    <cfRule type="expression" dxfId="212" priority="197" stopIfTrue="1">
      <formula>ISERROR(I70)</formula>
    </cfRule>
  </conditionalFormatting>
  <conditionalFormatting sqref="K70">
    <cfRule type="expression" dxfId="211" priority="196" stopIfTrue="1">
      <formula>ISERROR(K70)</formula>
    </cfRule>
  </conditionalFormatting>
  <conditionalFormatting sqref="K70">
    <cfRule type="expression" dxfId="210" priority="195" stopIfTrue="1">
      <formula>ISERROR(K70)</formula>
    </cfRule>
  </conditionalFormatting>
  <conditionalFormatting sqref="L70">
    <cfRule type="expression" dxfId="209" priority="194" stopIfTrue="1">
      <formula>ISERROR(L70)</formula>
    </cfRule>
  </conditionalFormatting>
  <conditionalFormatting sqref="L70">
    <cfRule type="expression" dxfId="208" priority="193" stopIfTrue="1">
      <formula>ISERROR(L70)</formula>
    </cfRule>
  </conditionalFormatting>
  <conditionalFormatting sqref="N70">
    <cfRule type="expression" dxfId="207" priority="192" stopIfTrue="1">
      <formula>ISERROR(N70)</formula>
    </cfRule>
  </conditionalFormatting>
  <conditionalFormatting sqref="N70">
    <cfRule type="expression" dxfId="206" priority="191" stopIfTrue="1">
      <formula>ISERROR(N70)</formula>
    </cfRule>
  </conditionalFormatting>
  <conditionalFormatting sqref="O70">
    <cfRule type="expression" dxfId="205" priority="189" stopIfTrue="1">
      <formula>ISERROR(O70)</formula>
    </cfRule>
  </conditionalFormatting>
  <conditionalFormatting sqref="Q70">
    <cfRule type="expression" dxfId="204" priority="188" stopIfTrue="1">
      <formula>ISERROR(Q70)</formula>
    </cfRule>
  </conditionalFormatting>
  <conditionalFormatting sqref="R70">
    <cfRule type="expression" dxfId="203" priority="187" stopIfTrue="1">
      <formula>ISERROR(R70)</formula>
    </cfRule>
  </conditionalFormatting>
  <conditionalFormatting sqref="J70">
    <cfRule type="expression" dxfId="202" priority="186" stopIfTrue="1">
      <formula>ISERROR(J70)</formula>
    </cfRule>
  </conditionalFormatting>
  <conditionalFormatting sqref="M70">
    <cfRule type="expression" dxfId="201" priority="185" stopIfTrue="1">
      <formula>ISERROR(M70)</formula>
    </cfRule>
  </conditionalFormatting>
  <conditionalFormatting sqref="O75">
    <cfRule type="expression" dxfId="200" priority="168" stopIfTrue="1">
      <formula>ISERROR(O75)</formula>
    </cfRule>
  </conditionalFormatting>
  <conditionalFormatting sqref="E74">
    <cfRule type="expression" dxfId="199" priority="157" stopIfTrue="1">
      <formula>ISERROR(E74)</formula>
    </cfRule>
  </conditionalFormatting>
  <conditionalFormatting sqref="K75">
    <cfRule type="expression" dxfId="198" priority="174" stopIfTrue="1">
      <formula>ISERROR(K75)</formula>
    </cfRule>
  </conditionalFormatting>
  <conditionalFormatting sqref="K75">
    <cfRule type="expression" dxfId="197" priority="173" stopIfTrue="1">
      <formula>ISERROR(K75)</formula>
    </cfRule>
  </conditionalFormatting>
  <conditionalFormatting sqref="B75:F75 Q75:R75">
    <cfRule type="expression" dxfId="196" priority="183" stopIfTrue="1">
      <formula>ISERROR(B75)</formula>
    </cfRule>
  </conditionalFormatting>
  <conditionalFormatting sqref="Q75:R75 D75:F75">
    <cfRule type="expression" dxfId="195" priority="182" stopIfTrue="1">
      <formula>ISERROR(D75)</formula>
    </cfRule>
  </conditionalFormatting>
  <conditionalFormatting sqref="C75">
    <cfRule type="expression" dxfId="194" priority="181" stopIfTrue="1">
      <formula>ISERROR(C75)</formula>
    </cfRule>
  </conditionalFormatting>
  <conditionalFormatting sqref="E75">
    <cfRule type="expression" dxfId="193" priority="180" stopIfTrue="1">
      <formula>ISERROR(E75)</formula>
    </cfRule>
  </conditionalFormatting>
  <conditionalFormatting sqref="F75">
    <cfRule type="expression" dxfId="192" priority="179" stopIfTrue="1">
      <formula>ISERROR(F75)</formula>
    </cfRule>
  </conditionalFormatting>
  <conditionalFormatting sqref="H75">
    <cfRule type="expression" dxfId="191" priority="178" stopIfTrue="1">
      <formula>ISERROR(H75)</formula>
    </cfRule>
  </conditionalFormatting>
  <conditionalFormatting sqref="H75">
    <cfRule type="expression" dxfId="190" priority="177" stopIfTrue="1">
      <formula>ISERROR(H75)</formula>
    </cfRule>
  </conditionalFormatting>
  <conditionalFormatting sqref="I75">
    <cfRule type="expression" dxfId="189" priority="176" stopIfTrue="1">
      <formula>ISERROR(I75)</formula>
    </cfRule>
  </conditionalFormatting>
  <conditionalFormatting sqref="I75">
    <cfRule type="expression" dxfId="188" priority="175" stopIfTrue="1">
      <formula>ISERROR(I75)</formula>
    </cfRule>
  </conditionalFormatting>
  <conditionalFormatting sqref="L75">
    <cfRule type="expression" dxfId="187" priority="172" stopIfTrue="1">
      <formula>ISERROR(L75)</formula>
    </cfRule>
  </conditionalFormatting>
  <conditionalFormatting sqref="L75">
    <cfRule type="expression" dxfId="186" priority="171" stopIfTrue="1">
      <formula>ISERROR(L75)</formula>
    </cfRule>
  </conditionalFormatting>
  <conditionalFormatting sqref="N75">
    <cfRule type="expression" dxfId="185" priority="170" stopIfTrue="1">
      <formula>ISERROR(N75)</formula>
    </cfRule>
  </conditionalFormatting>
  <conditionalFormatting sqref="N75">
    <cfRule type="expression" dxfId="184" priority="169" stopIfTrue="1">
      <formula>ISERROR(N75)</formula>
    </cfRule>
  </conditionalFormatting>
  <conditionalFormatting sqref="O75">
    <cfRule type="expression" dxfId="183" priority="167" stopIfTrue="1">
      <formula>ISERROR(O75)</formula>
    </cfRule>
  </conditionalFormatting>
  <conditionalFormatting sqref="Q75">
    <cfRule type="expression" dxfId="182" priority="166" stopIfTrue="1">
      <formula>ISERROR(Q75)</formula>
    </cfRule>
  </conditionalFormatting>
  <conditionalFormatting sqref="R75">
    <cfRule type="expression" dxfId="181" priority="165" stopIfTrue="1">
      <formula>ISERROR(R75)</formula>
    </cfRule>
  </conditionalFormatting>
  <conditionalFormatting sqref="R79">
    <cfRule type="expression" dxfId="180" priority="132" stopIfTrue="1">
      <formula>ISERROR(R79)</formula>
    </cfRule>
  </conditionalFormatting>
  <conditionalFormatting sqref="G75">
    <cfRule type="expression" dxfId="179" priority="164" stopIfTrue="1">
      <formula>ISERROR(G75)</formula>
    </cfRule>
  </conditionalFormatting>
  <conditionalFormatting sqref="J75">
    <cfRule type="expression" dxfId="178" priority="163" stopIfTrue="1">
      <formula>ISERROR(J75)</formula>
    </cfRule>
  </conditionalFormatting>
  <conditionalFormatting sqref="M75">
    <cfRule type="expression" dxfId="177" priority="162" stopIfTrue="1">
      <formula>ISERROR(M75)</formula>
    </cfRule>
  </conditionalFormatting>
  <conditionalFormatting sqref="P75">
    <cfRule type="expression" dxfId="176" priority="161" stopIfTrue="1">
      <formula>ISERROR(P75)</formula>
    </cfRule>
  </conditionalFormatting>
  <conditionalFormatting sqref="S75">
    <cfRule type="expression" dxfId="175" priority="160" stopIfTrue="1">
      <formula>ISERROR(S75)</formula>
    </cfRule>
  </conditionalFormatting>
  <conditionalFormatting sqref="S75">
    <cfRule type="expression" dxfId="174" priority="159" stopIfTrue="1">
      <formula>ISERROR(S75)</formula>
    </cfRule>
  </conditionalFormatting>
  <conditionalFormatting sqref="S75">
    <cfRule type="expression" dxfId="173" priority="158" stopIfTrue="1">
      <formula>ISERROR(S75)</formula>
    </cfRule>
  </conditionalFormatting>
  <conditionalFormatting sqref="H74">
    <cfRule type="expression" dxfId="172" priority="153" stopIfTrue="1">
      <formula>ISERROR(H74)</formula>
    </cfRule>
  </conditionalFormatting>
  <conditionalFormatting sqref="C74">
    <cfRule type="expression" dxfId="171" priority="156" stopIfTrue="1">
      <formula>ISERROR(C74)</formula>
    </cfRule>
  </conditionalFormatting>
  <conditionalFormatting sqref="Q74">
    <cfRule type="expression" dxfId="170" priority="155" stopIfTrue="1">
      <formula>ISERROR(Q74)</formula>
    </cfRule>
  </conditionalFormatting>
  <conditionalFormatting sqref="R74">
    <cfRule type="expression" dxfId="169" priority="154" stopIfTrue="1">
      <formula>ISERROR(R74)</formula>
    </cfRule>
  </conditionalFormatting>
  <conditionalFormatting sqref="K74">
    <cfRule type="expression" dxfId="168" priority="152" stopIfTrue="1">
      <formula>ISERROR(K74)</formula>
    </cfRule>
  </conditionalFormatting>
  <conditionalFormatting sqref="N74">
    <cfRule type="expression" dxfId="167" priority="151" stopIfTrue="1">
      <formula>ISERROR(N74)</formula>
    </cfRule>
  </conditionalFormatting>
  <conditionalFormatting sqref="O79">
    <cfRule type="expression" dxfId="166" priority="135" stopIfTrue="1">
      <formula>ISERROR(O79)</formula>
    </cfRule>
  </conditionalFormatting>
  <conditionalFormatting sqref="P79">
    <cfRule type="expression" dxfId="165" priority="129" stopIfTrue="1">
      <formula>ISERROR(P79)</formula>
    </cfRule>
  </conditionalFormatting>
  <conditionalFormatting sqref="B79:G79 Q79:R79">
    <cfRule type="expression" dxfId="164" priority="150" stopIfTrue="1">
      <formula>ISERROR(B79)</formula>
    </cfRule>
  </conditionalFormatting>
  <conditionalFormatting sqref="Q79:R79 D79:G79">
    <cfRule type="expression" dxfId="163" priority="149" stopIfTrue="1">
      <formula>ISERROR(D79)</formula>
    </cfRule>
  </conditionalFormatting>
  <conditionalFormatting sqref="C79">
    <cfRule type="expression" dxfId="162" priority="148" stopIfTrue="1">
      <formula>ISERROR(C79)</formula>
    </cfRule>
  </conditionalFormatting>
  <conditionalFormatting sqref="E79">
    <cfRule type="expression" dxfId="161" priority="147" stopIfTrue="1">
      <formula>ISERROR(E79)</formula>
    </cfRule>
  </conditionalFormatting>
  <conditionalFormatting sqref="F79">
    <cfRule type="expression" dxfId="160" priority="146" stopIfTrue="1">
      <formula>ISERROR(F79)</formula>
    </cfRule>
  </conditionalFormatting>
  <conditionalFormatting sqref="H79">
    <cfRule type="expression" dxfId="159" priority="145" stopIfTrue="1">
      <formula>ISERROR(H79)</formula>
    </cfRule>
  </conditionalFormatting>
  <conditionalFormatting sqref="H79">
    <cfRule type="expression" dxfId="158" priority="144" stopIfTrue="1">
      <formula>ISERROR(H79)</formula>
    </cfRule>
  </conditionalFormatting>
  <conditionalFormatting sqref="I79">
    <cfRule type="expression" dxfId="157" priority="143" stopIfTrue="1">
      <formula>ISERROR(I79)</formula>
    </cfRule>
  </conditionalFormatting>
  <conditionalFormatting sqref="I79">
    <cfRule type="expression" dxfId="156" priority="142" stopIfTrue="1">
      <formula>ISERROR(I79)</formula>
    </cfRule>
  </conditionalFormatting>
  <conditionalFormatting sqref="K79">
    <cfRule type="expression" dxfId="155" priority="141" stopIfTrue="1">
      <formula>ISERROR(K79)</formula>
    </cfRule>
  </conditionalFormatting>
  <conditionalFormatting sqref="K79">
    <cfRule type="expression" dxfId="154" priority="140" stopIfTrue="1">
      <formula>ISERROR(K79)</formula>
    </cfRule>
  </conditionalFormatting>
  <conditionalFormatting sqref="L79">
    <cfRule type="expression" dxfId="153" priority="139" stopIfTrue="1">
      <formula>ISERROR(L79)</formula>
    </cfRule>
  </conditionalFormatting>
  <conditionalFormatting sqref="L79">
    <cfRule type="expression" dxfId="152" priority="138" stopIfTrue="1">
      <formula>ISERROR(L79)</formula>
    </cfRule>
  </conditionalFormatting>
  <conditionalFormatting sqref="N79">
    <cfRule type="expression" dxfId="151" priority="137" stopIfTrue="1">
      <formula>ISERROR(N79)</formula>
    </cfRule>
  </conditionalFormatting>
  <conditionalFormatting sqref="N79">
    <cfRule type="expression" dxfId="150" priority="136" stopIfTrue="1">
      <formula>ISERROR(N79)</formula>
    </cfRule>
  </conditionalFormatting>
  <conditionalFormatting sqref="O79">
    <cfRule type="expression" dxfId="149" priority="134" stopIfTrue="1">
      <formula>ISERROR(O79)</formula>
    </cfRule>
  </conditionalFormatting>
  <conditionalFormatting sqref="Q79">
    <cfRule type="expression" dxfId="148" priority="133" stopIfTrue="1">
      <formula>ISERROR(Q79)</formula>
    </cfRule>
  </conditionalFormatting>
  <conditionalFormatting sqref="J79">
    <cfRule type="expression" dxfId="147" priority="131" stopIfTrue="1">
      <formula>ISERROR(J79)</formula>
    </cfRule>
  </conditionalFormatting>
  <conditionalFormatting sqref="M79">
    <cfRule type="expression" dxfId="146" priority="130" stopIfTrue="1">
      <formula>ISERROR(M79)</formula>
    </cfRule>
  </conditionalFormatting>
  <conditionalFormatting sqref="S70">
    <cfRule type="expression" dxfId="145" priority="128" stopIfTrue="1">
      <formula>ISERROR(S70)</formula>
    </cfRule>
  </conditionalFormatting>
  <conditionalFormatting sqref="S70">
    <cfRule type="expression" dxfId="144" priority="127" stopIfTrue="1">
      <formula>ISERROR(S70)</formula>
    </cfRule>
  </conditionalFormatting>
  <conditionalFormatting sqref="S70">
    <cfRule type="expression" dxfId="143" priority="126" stopIfTrue="1">
      <formula>ISERROR(S70)</formula>
    </cfRule>
  </conditionalFormatting>
  <conditionalFormatting sqref="S79">
    <cfRule type="expression" dxfId="142" priority="123" stopIfTrue="1">
      <formula>ISERROR(S79)</formula>
    </cfRule>
  </conditionalFormatting>
  <conditionalFormatting sqref="S79">
    <cfRule type="expression" dxfId="141" priority="125" stopIfTrue="1">
      <formula>ISERROR(S79)</formula>
    </cfRule>
  </conditionalFormatting>
  <conditionalFormatting sqref="S79">
    <cfRule type="expression" dxfId="140" priority="124" stopIfTrue="1">
      <formula>ISERROR(S79)</formula>
    </cfRule>
  </conditionalFormatting>
  <conditionalFormatting sqref="S74">
    <cfRule type="expression" dxfId="139" priority="122" stopIfTrue="1">
      <formula>ISERROR(S74)</formula>
    </cfRule>
  </conditionalFormatting>
  <conditionalFormatting sqref="A1:T79">
    <cfRule type="expression" dxfId="138" priority="121">
      <formula>IF(A1="none",TRUE,FALSE)</formula>
    </cfRule>
  </conditionalFormatting>
  <conditionalFormatting sqref="S7:S24">
    <cfRule type="expression" dxfId="137" priority="120" stopIfTrue="1">
      <formula>ISERROR(S7)</formula>
    </cfRule>
  </conditionalFormatting>
  <conditionalFormatting sqref="S25">
    <cfRule type="expression" dxfId="136" priority="116" stopIfTrue="1">
      <formula>ISERROR(S25)</formula>
    </cfRule>
  </conditionalFormatting>
  <conditionalFormatting sqref="S7">
    <cfRule type="expression" dxfId="135" priority="119" stopIfTrue="1">
      <formula>ISERROR(S7)</formula>
    </cfRule>
  </conditionalFormatting>
  <conditionalFormatting sqref="S38">
    <cfRule type="expression" dxfId="134" priority="115" stopIfTrue="1">
      <formula>ISERROR(S38)</formula>
    </cfRule>
  </conditionalFormatting>
  <conditionalFormatting sqref="S38">
    <cfRule type="expression" dxfId="133" priority="114" stopIfTrue="1">
      <formula>ISERROR(S38)</formula>
    </cfRule>
  </conditionalFormatting>
  <conditionalFormatting sqref="S25">
    <cfRule type="expression" dxfId="132" priority="117" stopIfTrue="1">
      <formula>ISERROR(S25)</formula>
    </cfRule>
  </conditionalFormatting>
  <conditionalFormatting sqref="S25">
    <cfRule type="expression" dxfId="131" priority="118" stopIfTrue="1">
      <formula>ISERROR(S25)</formula>
    </cfRule>
  </conditionalFormatting>
  <conditionalFormatting sqref="S38">
    <cfRule type="expression" dxfId="130" priority="113" stopIfTrue="1">
      <formula>ISERROR(S38)</formula>
    </cfRule>
  </conditionalFormatting>
  <conditionalFormatting sqref="S49">
    <cfRule type="expression" dxfId="129" priority="112" stopIfTrue="1">
      <formula>ISERROR(S49)</formula>
    </cfRule>
  </conditionalFormatting>
  <conditionalFormatting sqref="S49">
    <cfRule type="expression" dxfId="128" priority="111" stopIfTrue="1">
      <formula>ISERROR(S49)</formula>
    </cfRule>
  </conditionalFormatting>
  <conditionalFormatting sqref="S49">
    <cfRule type="expression" dxfId="127" priority="110" stopIfTrue="1">
      <formula>ISERROR(S49)</formula>
    </cfRule>
  </conditionalFormatting>
  <conditionalFormatting sqref="S62">
    <cfRule type="expression" dxfId="126" priority="109" stopIfTrue="1">
      <formula>ISERROR(S62)</formula>
    </cfRule>
  </conditionalFormatting>
  <conditionalFormatting sqref="S62">
    <cfRule type="expression" dxfId="125" priority="108" stopIfTrue="1">
      <formula>ISERROR(S62)</formula>
    </cfRule>
  </conditionalFormatting>
  <conditionalFormatting sqref="S62">
    <cfRule type="expression" dxfId="124" priority="107" stopIfTrue="1">
      <formula>ISERROR(S62)</formula>
    </cfRule>
  </conditionalFormatting>
  <conditionalFormatting sqref="S70">
    <cfRule type="expression" dxfId="123" priority="106" stopIfTrue="1">
      <formula>ISERROR(S70)</formula>
    </cfRule>
  </conditionalFormatting>
  <conditionalFormatting sqref="S70">
    <cfRule type="expression" dxfId="122" priority="105" stopIfTrue="1">
      <formula>ISERROR(S70)</formula>
    </cfRule>
  </conditionalFormatting>
  <conditionalFormatting sqref="S70">
    <cfRule type="expression" dxfId="121" priority="104" stopIfTrue="1">
      <formula>ISERROR(S70)</formula>
    </cfRule>
  </conditionalFormatting>
  <conditionalFormatting sqref="S26:S37">
    <cfRule type="expression" dxfId="120" priority="103" stopIfTrue="1">
      <formula>ISERROR(S26)</formula>
    </cfRule>
  </conditionalFormatting>
  <conditionalFormatting sqref="S39:S48">
    <cfRule type="expression" dxfId="119" priority="102" stopIfTrue="1">
      <formula>ISERROR(S39)</formula>
    </cfRule>
  </conditionalFormatting>
  <conditionalFormatting sqref="S39:S48">
    <cfRule type="expression" dxfId="118" priority="101" stopIfTrue="1">
      <formula>ISERROR(S39)</formula>
    </cfRule>
  </conditionalFormatting>
  <conditionalFormatting sqref="S50:S61">
    <cfRule type="expression" dxfId="117" priority="100" stopIfTrue="1">
      <formula>ISERROR(S50)</formula>
    </cfRule>
  </conditionalFormatting>
  <conditionalFormatting sqref="S50:S61">
    <cfRule type="expression" dxfId="116" priority="99" stopIfTrue="1">
      <formula>ISERROR(S50)</formula>
    </cfRule>
  </conditionalFormatting>
  <conditionalFormatting sqref="S63:S69">
    <cfRule type="expression" dxfId="115" priority="98" stopIfTrue="1">
      <formula>ISERROR(S63)</formula>
    </cfRule>
  </conditionalFormatting>
  <conditionalFormatting sqref="S70">
    <cfRule type="expression" dxfId="114" priority="95" stopIfTrue="1">
      <formula>ISERROR(S70)</formula>
    </cfRule>
  </conditionalFormatting>
  <conditionalFormatting sqref="S70">
    <cfRule type="expression" dxfId="113" priority="96" stopIfTrue="1">
      <formula>ISERROR(S70)</formula>
    </cfRule>
  </conditionalFormatting>
  <conditionalFormatting sqref="S70">
    <cfRule type="expression" dxfId="112" priority="94" stopIfTrue="1">
      <formula>ISERROR(S70)</formula>
    </cfRule>
  </conditionalFormatting>
  <conditionalFormatting sqref="S70">
    <cfRule type="expression" dxfId="111" priority="93" stopIfTrue="1">
      <formula>ISERROR(S70)</formula>
    </cfRule>
  </conditionalFormatting>
  <conditionalFormatting sqref="S70">
    <cfRule type="expression" dxfId="110" priority="92" stopIfTrue="1">
      <formula>ISERROR(S70)</formula>
    </cfRule>
  </conditionalFormatting>
  <conditionalFormatting sqref="J7:J24">
    <cfRule type="expression" dxfId="109" priority="91" stopIfTrue="1">
      <formula>ISERROR(J7)</formula>
    </cfRule>
  </conditionalFormatting>
  <conditionalFormatting sqref="J38">
    <cfRule type="expression" dxfId="108" priority="88" stopIfTrue="1">
      <formula>ISERROR(J38)</formula>
    </cfRule>
  </conditionalFormatting>
  <conditionalFormatting sqref="J38">
    <cfRule type="expression" dxfId="107" priority="87" stopIfTrue="1">
      <formula>ISERROR(J38)</formula>
    </cfRule>
  </conditionalFormatting>
  <conditionalFormatting sqref="J25">
    <cfRule type="expression" dxfId="106" priority="89" stopIfTrue="1">
      <formula>ISERROR(J25)</formula>
    </cfRule>
  </conditionalFormatting>
  <conditionalFormatting sqref="J25">
    <cfRule type="expression" dxfId="105" priority="90" stopIfTrue="1">
      <formula>ISERROR(J25)</formula>
    </cfRule>
  </conditionalFormatting>
  <conditionalFormatting sqref="J49">
    <cfRule type="expression" dxfId="104" priority="86" stopIfTrue="1">
      <formula>ISERROR(J49)</formula>
    </cfRule>
  </conditionalFormatting>
  <conditionalFormatting sqref="J49">
    <cfRule type="expression" dxfId="103" priority="85" stopIfTrue="1">
      <formula>ISERROR(J49)</formula>
    </cfRule>
  </conditionalFormatting>
  <conditionalFormatting sqref="J62">
    <cfRule type="expression" dxfId="102" priority="84" stopIfTrue="1">
      <formula>ISERROR(J62)</formula>
    </cfRule>
  </conditionalFormatting>
  <conditionalFormatting sqref="J62">
    <cfRule type="expression" dxfId="101" priority="83" stopIfTrue="1">
      <formula>ISERROR(J62)</formula>
    </cfRule>
  </conditionalFormatting>
  <conditionalFormatting sqref="J70">
    <cfRule type="expression" dxfId="100" priority="82" stopIfTrue="1">
      <formula>ISERROR(J70)</formula>
    </cfRule>
  </conditionalFormatting>
  <conditionalFormatting sqref="J70">
    <cfRule type="expression" dxfId="99" priority="81" stopIfTrue="1">
      <formula>ISERROR(J70)</formula>
    </cfRule>
  </conditionalFormatting>
  <conditionalFormatting sqref="M7:M24">
    <cfRule type="expression" dxfId="98" priority="80" stopIfTrue="1">
      <formula>ISERROR(M7)</formula>
    </cfRule>
  </conditionalFormatting>
  <conditionalFormatting sqref="M38">
    <cfRule type="expression" dxfId="97" priority="77" stopIfTrue="1">
      <formula>ISERROR(M38)</formula>
    </cfRule>
  </conditionalFormatting>
  <conditionalFormatting sqref="M38">
    <cfRule type="expression" dxfId="96" priority="76" stopIfTrue="1">
      <formula>ISERROR(M38)</formula>
    </cfRule>
  </conditionalFormatting>
  <conditionalFormatting sqref="M25">
    <cfRule type="expression" dxfId="95" priority="78" stopIfTrue="1">
      <formula>ISERROR(M25)</formula>
    </cfRule>
  </conditionalFormatting>
  <conditionalFormatting sqref="M25">
    <cfRule type="expression" dxfId="94" priority="79" stopIfTrue="1">
      <formula>ISERROR(M25)</formula>
    </cfRule>
  </conditionalFormatting>
  <conditionalFormatting sqref="M49">
    <cfRule type="expression" dxfId="93" priority="75" stopIfTrue="1">
      <formula>ISERROR(M49)</formula>
    </cfRule>
  </conditionalFormatting>
  <conditionalFormatting sqref="M49">
    <cfRule type="expression" dxfId="92" priority="74" stopIfTrue="1">
      <formula>ISERROR(M49)</formula>
    </cfRule>
  </conditionalFormatting>
  <conditionalFormatting sqref="M62">
    <cfRule type="expression" dxfId="91" priority="73" stopIfTrue="1">
      <formula>ISERROR(M62)</formula>
    </cfRule>
  </conditionalFormatting>
  <conditionalFormatting sqref="M62">
    <cfRule type="expression" dxfId="90" priority="72" stopIfTrue="1">
      <formula>ISERROR(M62)</formula>
    </cfRule>
  </conditionalFormatting>
  <conditionalFormatting sqref="M70">
    <cfRule type="expression" dxfId="89" priority="71" stopIfTrue="1">
      <formula>ISERROR(M70)</formula>
    </cfRule>
  </conditionalFormatting>
  <conditionalFormatting sqref="M70">
    <cfRule type="expression" dxfId="88" priority="70" stopIfTrue="1">
      <formula>ISERROR(M70)</formula>
    </cfRule>
  </conditionalFormatting>
  <conditionalFormatting sqref="P7:P24">
    <cfRule type="expression" dxfId="87" priority="69" stopIfTrue="1">
      <formula>ISERROR(P7)</formula>
    </cfRule>
  </conditionalFormatting>
  <conditionalFormatting sqref="P38">
    <cfRule type="expression" dxfId="86" priority="66" stopIfTrue="1">
      <formula>ISERROR(P38)</formula>
    </cfRule>
  </conditionalFormatting>
  <conditionalFormatting sqref="P38">
    <cfRule type="expression" dxfId="85" priority="65" stopIfTrue="1">
      <formula>ISERROR(P38)</formula>
    </cfRule>
  </conditionalFormatting>
  <conditionalFormatting sqref="P25">
    <cfRule type="expression" dxfId="84" priority="67" stopIfTrue="1">
      <formula>ISERROR(P25)</formula>
    </cfRule>
  </conditionalFormatting>
  <conditionalFormatting sqref="P25">
    <cfRule type="expression" dxfId="83" priority="68" stopIfTrue="1">
      <formula>ISERROR(P25)</formula>
    </cfRule>
  </conditionalFormatting>
  <conditionalFormatting sqref="P49">
    <cfRule type="expression" dxfId="82" priority="64" stopIfTrue="1">
      <formula>ISERROR(P49)</formula>
    </cfRule>
  </conditionalFormatting>
  <conditionalFormatting sqref="P49">
    <cfRule type="expression" dxfId="81" priority="63" stopIfTrue="1">
      <formula>ISERROR(P49)</formula>
    </cfRule>
  </conditionalFormatting>
  <conditionalFormatting sqref="P62">
    <cfRule type="expression" dxfId="80" priority="62" stopIfTrue="1">
      <formula>ISERROR(P62)</formula>
    </cfRule>
  </conditionalFormatting>
  <conditionalFormatting sqref="P62">
    <cfRule type="expression" dxfId="79" priority="61" stopIfTrue="1">
      <formula>ISERROR(P62)</formula>
    </cfRule>
  </conditionalFormatting>
  <conditionalFormatting sqref="P70">
    <cfRule type="expression" dxfId="78" priority="60" stopIfTrue="1">
      <formula>ISERROR(P70)</formula>
    </cfRule>
  </conditionalFormatting>
  <conditionalFormatting sqref="P70">
    <cfRule type="expression" dxfId="77" priority="59" stopIfTrue="1">
      <formula>ISERROR(P70)</formula>
    </cfRule>
  </conditionalFormatting>
  <conditionalFormatting sqref="J75">
    <cfRule type="expression" dxfId="76" priority="58" stopIfTrue="1">
      <formula>ISERROR(J75)</formula>
    </cfRule>
  </conditionalFormatting>
  <conditionalFormatting sqref="J79">
    <cfRule type="expression" dxfId="75" priority="57" stopIfTrue="1">
      <formula>ISERROR(J79)</formula>
    </cfRule>
  </conditionalFormatting>
  <conditionalFormatting sqref="J79">
    <cfRule type="expression" dxfId="74" priority="56" stopIfTrue="1">
      <formula>ISERROR(J79)</formula>
    </cfRule>
  </conditionalFormatting>
  <conditionalFormatting sqref="M75">
    <cfRule type="expression" dxfId="73" priority="55" stopIfTrue="1">
      <formula>ISERROR(M75)</formula>
    </cfRule>
  </conditionalFormatting>
  <conditionalFormatting sqref="M79">
    <cfRule type="expression" dxfId="72" priority="54" stopIfTrue="1">
      <formula>ISERROR(M79)</formula>
    </cfRule>
  </conditionalFormatting>
  <conditionalFormatting sqref="M79">
    <cfRule type="expression" dxfId="71" priority="53" stopIfTrue="1">
      <formula>ISERROR(M79)</formula>
    </cfRule>
  </conditionalFormatting>
  <conditionalFormatting sqref="P75">
    <cfRule type="expression" dxfId="70" priority="52" stopIfTrue="1">
      <formula>ISERROR(P75)</formula>
    </cfRule>
  </conditionalFormatting>
  <conditionalFormatting sqref="P79">
    <cfRule type="expression" dxfId="69" priority="51" stopIfTrue="1">
      <formula>ISERROR(P79)</formula>
    </cfRule>
  </conditionalFormatting>
  <conditionalFormatting sqref="P79">
    <cfRule type="expression" dxfId="68" priority="50" stopIfTrue="1">
      <formula>ISERROR(P79)</formula>
    </cfRule>
  </conditionalFormatting>
  <conditionalFormatting sqref="R75">
    <cfRule type="expression" dxfId="67" priority="31" stopIfTrue="1">
      <formula>ISERROR(R75)</formula>
    </cfRule>
  </conditionalFormatting>
  <conditionalFormatting sqref="O75">
    <cfRule type="expression" dxfId="66" priority="34" stopIfTrue="1">
      <formula>ISERROR(O75)</formula>
    </cfRule>
  </conditionalFormatting>
  <conditionalFormatting sqref="P75">
    <cfRule type="expression" dxfId="65" priority="28" stopIfTrue="1">
      <formula>ISERROR(P75)</formula>
    </cfRule>
  </conditionalFormatting>
  <conditionalFormatting sqref="B75:G75 Q75:R75">
    <cfRule type="expression" dxfId="64" priority="49" stopIfTrue="1">
      <formula>ISERROR(B75)</formula>
    </cfRule>
  </conditionalFormatting>
  <conditionalFormatting sqref="Q75:R75 D75:G75">
    <cfRule type="expression" dxfId="63" priority="48" stopIfTrue="1">
      <formula>ISERROR(D75)</formula>
    </cfRule>
  </conditionalFormatting>
  <conditionalFormatting sqref="C75">
    <cfRule type="expression" dxfId="62" priority="47" stopIfTrue="1">
      <formula>ISERROR(C75)</formula>
    </cfRule>
  </conditionalFormatting>
  <conditionalFormatting sqref="E75">
    <cfRule type="expression" dxfId="61" priority="46" stopIfTrue="1">
      <formula>ISERROR(E75)</formula>
    </cfRule>
  </conditionalFormatting>
  <conditionalFormatting sqref="F75">
    <cfRule type="expression" dxfId="60" priority="45" stopIfTrue="1">
      <formula>ISERROR(F75)</formula>
    </cfRule>
  </conditionalFormatting>
  <conditionalFormatting sqref="H75">
    <cfRule type="expression" dxfId="59" priority="44" stopIfTrue="1">
      <formula>ISERROR(H75)</formula>
    </cfRule>
  </conditionalFormatting>
  <conditionalFormatting sqref="H75">
    <cfRule type="expression" dxfId="58" priority="43" stopIfTrue="1">
      <formula>ISERROR(H75)</formula>
    </cfRule>
  </conditionalFormatting>
  <conditionalFormatting sqref="I75">
    <cfRule type="expression" dxfId="57" priority="42" stopIfTrue="1">
      <formula>ISERROR(I75)</formula>
    </cfRule>
  </conditionalFormatting>
  <conditionalFormatting sqref="I75">
    <cfRule type="expression" dxfId="56" priority="41" stopIfTrue="1">
      <formula>ISERROR(I75)</formula>
    </cfRule>
  </conditionalFormatting>
  <conditionalFormatting sqref="K75">
    <cfRule type="expression" dxfId="55" priority="40" stopIfTrue="1">
      <formula>ISERROR(K75)</formula>
    </cfRule>
  </conditionalFormatting>
  <conditionalFormatting sqref="K75">
    <cfRule type="expression" dxfId="54" priority="39" stopIfTrue="1">
      <formula>ISERROR(K75)</formula>
    </cfRule>
  </conditionalFormatting>
  <conditionalFormatting sqref="L75">
    <cfRule type="expression" dxfId="53" priority="38" stopIfTrue="1">
      <formula>ISERROR(L75)</formula>
    </cfRule>
  </conditionalFormatting>
  <conditionalFormatting sqref="L75">
    <cfRule type="expression" dxfId="52" priority="37" stopIfTrue="1">
      <formula>ISERROR(L75)</formula>
    </cfRule>
  </conditionalFormatting>
  <conditionalFormatting sqref="N75">
    <cfRule type="expression" dxfId="51" priority="36" stopIfTrue="1">
      <formula>ISERROR(N75)</formula>
    </cfRule>
  </conditionalFormatting>
  <conditionalFormatting sqref="N75">
    <cfRule type="expression" dxfId="50" priority="35" stopIfTrue="1">
      <formula>ISERROR(N75)</formula>
    </cfRule>
  </conditionalFormatting>
  <conditionalFormatting sqref="O75">
    <cfRule type="expression" dxfId="49" priority="33" stopIfTrue="1">
      <formula>ISERROR(O75)</formula>
    </cfRule>
  </conditionalFormatting>
  <conditionalFormatting sqref="Q75">
    <cfRule type="expression" dxfId="48" priority="32" stopIfTrue="1">
      <formula>ISERROR(Q75)</formula>
    </cfRule>
  </conditionalFormatting>
  <conditionalFormatting sqref="J75">
    <cfRule type="expression" dxfId="47" priority="30" stopIfTrue="1">
      <formula>ISERROR(J75)</formula>
    </cfRule>
  </conditionalFormatting>
  <conditionalFormatting sqref="M75">
    <cfRule type="expression" dxfId="46" priority="29" stopIfTrue="1">
      <formula>ISERROR(M75)</formula>
    </cfRule>
  </conditionalFormatting>
  <conditionalFormatting sqref="S75">
    <cfRule type="expression" dxfId="45" priority="25" stopIfTrue="1">
      <formula>ISERROR(S75)</formula>
    </cfRule>
  </conditionalFormatting>
  <conditionalFormatting sqref="S75">
    <cfRule type="expression" dxfId="44" priority="27" stopIfTrue="1">
      <formula>ISERROR(S75)</formula>
    </cfRule>
  </conditionalFormatting>
  <conditionalFormatting sqref="S75">
    <cfRule type="expression" dxfId="43" priority="26" stopIfTrue="1">
      <formula>ISERROR(S75)</formula>
    </cfRule>
  </conditionalFormatting>
  <conditionalFormatting sqref="J75">
    <cfRule type="expression" dxfId="42" priority="24" stopIfTrue="1">
      <formula>ISERROR(J75)</formula>
    </cfRule>
  </conditionalFormatting>
  <conditionalFormatting sqref="J75">
    <cfRule type="expression" dxfId="41" priority="23" stopIfTrue="1">
      <formula>ISERROR(J75)</formula>
    </cfRule>
  </conditionalFormatting>
  <conditionalFormatting sqref="M75">
    <cfRule type="expression" dxfId="40" priority="22" stopIfTrue="1">
      <formula>ISERROR(M75)</formula>
    </cfRule>
  </conditionalFormatting>
  <conditionalFormatting sqref="M75">
    <cfRule type="expression" dxfId="39" priority="21" stopIfTrue="1">
      <formula>ISERROR(M75)</formula>
    </cfRule>
  </conditionalFormatting>
  <conditionalFormatting sqref="P75">
    <cfRule type="expression" dxfId="38" priority="20" stopIfTrue="1">
      <formula>ISERROR(P75)</formula>
    </cfRule>
  </conditionalFormatting>
  <conditionalFormatting sqref="P75">
    <cfRule type="expression" dxfId="37" priority="19" stopIfTrue="1">
      <formula>ISERROR(P75)</formula>
    </cfRule>
  </conditionalFormatting>
  <conditionalFormatting sqref="H7">
    <cfRule type="expression" dxfId="36" priority="18" stopIfTrue="1">
      <formula>ISERROR(H7)</formula>
    </cfRule>
  </conditionalFormatting>
  <conditionalFormatting sqref="H7">
    <cfRule type="expression" dxfId="35" priority="17" stopIfTrue="1">
      <formula>ISERROR(H7)</formula>
    </cfRule>
  </conditionalFormatting>
  <conditionalFormatting sqref="H7">
    <cfRule type="expression" dxfId="34" priority="16" stopIfTrue="1">
      <formula>ISERROR(H7)</formula>
    </cfRule>
  </conditionalFormatting>
  <conditionalFormatting sqref="I7">
    <cfRule type="expression" dxfId="33" priority="15" stopIfTrue="1">
      <formula>ISERROR(I7)</formula>
    </cfRule>
  </conditionalFormatting>
  <conditionalFormatting sqref="I7">
    <cfRule type="expression" dxfId="32" priority="14" stopIfTrue="1">
      <formula>ISERROR(I7)</formula>
    </cfRule>
  </conditionalFormatting>
  <conditionalFormatting sqref="I7">
    <cfRule type="expression" dxfId="31" priority="13" stopIfTrue="1">
      <formula>ISERROR(I7)</formula>
    </cfRule>
  </conditionalFormatting>
  <conditionalFormatting sqref="K7">
    <cfRule type="expression" dxfId="30" priority="12" stopIfTrue="1">
      <formula>ISERROR(K7)</formula>
    </cfRule>
  </conditionalFormatting>
  <conditionalFormatting sqref="K7">
    <cfRule type="expression" dxfId="29" priority="11" stopIfTrue="1">
      <formula>ISERROR(K7)</formula>
    </cfRule>
  </conditionalFormatting>
  <conditionalFormatting sqref="K7">
    <cfRule type="expression" dxfId="28" priority="10" stopIfTrue="1">
      <formula>ISERROR(K7)</formula>
    </cfRule>
  </conditionalFormatting>
  <conditionalFormatting sqref="L7">
    <cfRule type="expression" dxfId="27" priority="9" stopIfTrue="1">
      <formula>ISERROR(L7)</formula>
    </cfRule>
  </conditionalFormatting>
  <conditionalFormatting sqref="L7">
    <cfRule type="expression" dxfId="26" priority="8" stopIfTrue="1">
      <formula>ISERROR(L7)</formula>
    </cfRule>
  </conditionalFormatting>
  <conditionalFormatting sqref="L7">
    <cfRule type="expression" dxfId="25" priority="7" stopIfTrue="1">
      <formula>ISERROR(L7)</formula>
    </cfRule>
  </conditionalFormatting>
  <conditionalFormatting sqref="N7">
    <cfRule type="expression" dxfId="24" priority="6" stopIfTrue="1">
      <formula>ISERROR(N7)</formula>
    </cfRule>
  </conditionalFormatting>
  <conditionalFormatting sqref="N7">
    <cfRule type="expression" dxfId="23" priority="5" stopIfTrue="1">
      <formula>ISERROR(N7)</formula>
    </cfRule>
  </conditionalFormatting>
  <conditionalFormatting sqref="N7">
    <cfRule type="expression" dxfId="22" priority="4" stopIfTrue="1">
      <formula>ISERROR(N7)</formula>
    </cfRule>
  </conditionalFormatting>
  <conditionalFormatting sqref="O7">
    <cfRule type="expression" dxfId="21" priority="3" stopIfTrue="1">
      <formula>ISERROR(O7)</formula>
    </cfRule>
  </conditionalFormatting>
  <conditionalFormatting sqref="O7">
    <cfRule type="expression" dxfId="20" priority="2" stopIfTrue="1">
      <formula>ISERROR(O7)</formula>
    </cfRule>
  </conditionalFormatting>
  <conditionalFormatting sqref="O7">
    <cfRule type="expression" dxfId="19"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4" customFormat="1" ht="15" customHeight="1" x14ac:dyDescent="0.2">
      <c r="A1" s="25"/>
      <c r="B1" s="26"/>
      <c r="C1" s="80">
        <v>2</v>
      </c>
      <c r="D1" s="80">
        <v>3</v>
      </c>
      <c r="E1" s="81">
        <v>4</v>
      </c>
      <c r="F1" s="81">
        <v>5</v>
      </c>
      <c r="G1" s="81"/>
      <c r="H1" s="81">
        <v>6</v>
      </c>
      <c r="I1" s="81">
        <v>7</v>
      </c>
      <c r="J1" s="81"/>
      <c r="K1" s="81">
        <v>8</v>
      </c>
      <c r="L1" s="81">
        <v>9</v>
      </c>
      <c r="M1" s="81"/>
      <c r="N1" s="81">
        <v>10</v>
      </c>
      <c r="O1" s="81">
        <v>11</v>
      </c>
      <c r="P1" s="81"/>
      <c r="Q1" s="81">
        <v>12</v>
      </c>
      <c r="R1" s="81">
        <v>13</v>
      </c>
      <c r="S1" s="81">
        <v>2</v>
      </c>
      <c r="T1" s="28"/>
    </row>
    <row r="2" spans="1:20" s="124" customFormat="1" ht="26.25" x14ac:dyDescent="0.4">
      <c r="A2" s="25"/>
      <c r="B2" s="26"/>
      <c r="C2" s="436" t="str">
        <f>UPPER("INVENTORY BY STATE "&amp;Transformation!B4)</f>
        <v>INVENTORY BY STATE AS OF: JULY 11, 2015</v>
      </c>
      <c r="D2" s="437"/>
      <c r="E2" s="437"/>
      <c r="F2" s="437"/>
      <c r="G2" s="437"/>
      <c r="H2" s="437"/>
      <c r="I2" s="437"/>
      <c r="J2" s="437"/>
      <c r="K2" s="437"/>
      <c r="L2" s="437"/>
      <c r="M2" s="437"/>
      <c r="N2" s="437"/>
      <c r="O2" s="437"/>
      <c r="P2" s="437"/>
      <c r="Q2" s="437"/>
      <c r="R2" s="437"/>
      <c r="S2" s="438"/>
      <c r="T2" s="28"/>
    </row>
    <row r="3" spans="1:20" s="124" customFormat="1" x14ac:dyDescent="0.2">
      <c r="A3" s="25"/>
      <c r="B3" s="26"/>
      <c r="C3" s="444" t="s">
        <v>233</v>
      </c>
      <c r="D3" s="444"/>
      <c r="E3" s="441" t="s">
        <v>213</v>
      </c>
      <c r="F3" s="442"/>
      <c r="G3" s="443"/>
      <c r="H3" s="441" t="s">
        <v>7</v>
      </c>
      <c r="I3" s="442"/>
      <c r="J3" s="443"/>
      <c r="K3" s="441" t="s">
        <v>33</v>
      </c>
      <c r="L3" s="442"/>
      <c r="M3" s="443"/>
      <c r="N3" s="441" t="s">
        <v>8</v>
      </c>
      <c r="O3" s="442"/>
      <c r="P3" s="443"/>
      <c r="Q3" s="82" t="s">
        <v>9</v>
      </c>
      <c r="R3" s="83" t="s">
        <v>10</v>
      </c>
      <c r="S3" s="83" t="s">
        <v>11</v>
      </c>
      <c r="T3" s="28"/>
    </row>
    <row r="4" spans="1:20" s="124" customFormat="1" ht="38.25" x14ac:dyDescent="0.2">
      <c r="A4" s="84"/>
      <c r="B4" s="55"/>
      <c r="C4" s="85" t="s">
        <v>12</v>
      </c>
      <c r="D4" s="86" t="s">
        <v>140</v>
      </c>
      <c r="E4" s="87" t="s">
        <v>12</v>
      </c>
      <c r="F4" s="88" t="s">
        <v>3</v>
      </c>
      <c r="G4" s="89" t="s">
        <v>4</v>
      </c>
      <c r="H4" s="87" t="s">
        <v>12</v>
      </c>
      <c r="I4" s="88" t="s">
        <v>3</v>
      </c>
      <c r="J4" s="89" t="s">
        <v>4</v>
      </c>
      <c r="K4" s="87" t="s">
        <v>12</v>
      </c>
      <c r="L4" s="88" t="s">
        <v>3</v>
      </c>
      <c r="M4" s="89" t="s">
        <v>4</v>
      </c>
      <c r="N4" s="87" t="s">
        <v>12</v>
      </c>
      <c r="O4" s="88" t="s">
        <v>3</v>
      </c>
      <c r="P4" s="89" t="s">
        <v>4</v>
      </c>
      <c r="Q4" s="90" t="s">
        <v>12</v>
      </c>
      <c r="R4" s="90" t="s">
        <v>12</v>
      </c>
      <c r="S4" s="90" t="s">
        <v>498</v>
      </c>
      <c r="T4" s="28"/>
    </row>
    <row r="5" spans="1:20" s="124" customFormat="1" ht="26.25" x14ac:dyDescent="0.4">
      <c r="A5" s="25"/>
      <c r="B5" s="125"/>
      <c r="C5" s="436" t="s">
        <v>496</v>
      </c>
      <c r="D5" s="437"/>
      <c r="E5" s="437"/>
      <c r="F5" s="437"/>
      <c r="G5" s="437"/>
      <c r="H5" s="437"/>
      <c r="I5" s="437"/>
      <c r="J5" s="437"/>
      <c r="K5" s="437"/>
      <c r="L5" s="437"/>
      <c r="M5" s="437"/>
      <c r="N5" s="437"/>
      <c r="O5" s="437"/>
      <c r="P5" s="437"/>
      <c r="Q5" s="437"/>
      <c r="R5" s="437"/>
      <c r="S5" s="438"/>
      <c r="T5" s="28"/>
    </row>
    <row r="6" spans="1:20" s="124" customFormat="1" x14ac:dyDescent="0.2">
      <c r="A6" s="93"/>
      <c r="B6" s="126" t="s">
        <v>471</v>
      </c>
      <c r="C6" s="95">
        <f>IFERROR(VLOOKUP($B6,MMWR_TRAD_AGG_ST_DISTRICT_COMP[],C$1,0),"ERROR")</f>
        <v>366498</v>
      </c>
      <c r="D6" s="96">
        <f>IFERROR(VLOOKUP($B6,MMWR_TRAD_AGG_ST_DISTRICT_COMP[],D$1,0),"ERROR")</f>
        <v>362.9702017473</v>
      </c>
      <c r="E6" s="97">
        <f>IFERROR(VLOOKUP($B6,MMWR_TRAD_AGG_ST_DISTRICT_COMP[],E$1,0),"ERROR")</f>
        <v>357456</v>
      </c>
      <c r="F6" s="98">
        <f>IFERROR(VLOOKUP($B6,MMWR_TRAD_AGG_ST_DISTRICT_COMP[],F$1,0),"ERROR")</f>
        <v>120881</v>
      </c>
      <c r="G6" s="99">
        <f t="shared" ref="G6:G37" si="0">IFERROR(F6/E6,"0%")</f>
        <v>0.33817029228772211</v>
      </c>
      <c r="H6" s="97">
        <f>IFERROR(VLOOKUP($B6,MMWR_TRAD_AGG_ST_DISTRICT_COMP[],H$1,0),"ERROR")</f>
        <v>504355</v>
      </c>
      <c r="I6" s="98">
        <f>IFERROR(VLOOKUP($B6,MMWR_TRAD_AGG_ST_DISTRICT_COMP[],I$1,0),"ERROR")</f>
        <v>318450</v>
      </c>
      <c r="J6" s="100">
        <f t="shared" ref="J6:J37" si="1">IFERROR(I6/H6,"0%")</f>
        <v>0.63140050163079575</v>
      </c>
      <c r="K6" s="97">
        <f>IFERROR(VLOOKUP($B6,MMWR_TRAD_AGG_ST_DISTRICT_COMP[],K$1,0),"ERROR")</f>
        <v>76457</v>
      </c>
      <c r="L6" s="98">
        <f>IFERROR(VLOOKUP($B6,MMWR_TRAD_AGG_ST_DISTRICT_COMP[],L$1,0),"ERROR")</f>
        <v>61028</v>
      </c>
      <c r="M6" s="100">
        <f t="shared" ref="M6:M37" si="2">IFERROR(L6/K6,"0%")</f>
        <v>0.79820029559098582</v>
      </c>
      <c r="N6" s="97">
        <f>IFERROR(VLOOKUP($B6,MMWR_TRAD_AGG_ST_DISTRICT_COMP[],N$1,0),"ERROR")</f>
        <v>157619</v>
      </c>
      <c r="O6" s="98">
        <f>IFERROR(VLOOKUP($B6,MMWR_TRAD_AGG_ST_DISTRICT_COMP[],O$1,0),"ERROR")</f>
        <v>107533</v>
      </c>
      <c r="P6" s="100">
        <f t="shared" ref="P6:P37" si="3">IFERROR(O6/N6,"0%")</f>
        <v>0.6822337408561151</v>
      </c>
      <c r="Q6" s="101">
        <f>IFERROR(VLOOKUP($B6,MMWR_TRAD_AGG_ST_DISTRICT_COMP[],Q$1,0),"ERROR")</f>
        <v>7977</v>
      </c>
      <c r="R6" s="101">
        <f>IFERROR(VLOOKUP($B6,MMWR_TRAD_AGG_ST_DISTRICT_COMP[],R$1,0),"ERROR")</f>
        <v>4360</v>
      </c>
      <c r="S6" s="101">
        <f>S7+S23+S36+S46+S56+S64</f>
        <v>297027</v>
      </c>
      <c r="T6" s="28"/>
    </row>
    <row r="7" spans="1:20" s="124" customFormat="1" x14ac:dyDescent="0.2">
      <c r="A7" s="93"/>
      <c r="B7" s="127" t="s">
        <v>379</v>
      </c>
      <c r="C7" s="103">
        <f>IF(SUM(C8:C22)&lt;&gt;VLOOKUP($B7,MMWR_TRAD_AGG_ST_DISTRICT_COMP[],C$1,0),"ERROR",
VLOOKUP($B7,MMWR_TRAD_AGG_ST_DISTRICT_COMP[],C$1,0))</f>
        <v>74824</v>
      </c>
      <c r="D7" s="104">
        <f>IFERROR(VLOOKUP($B7,MMWR_TRAD_AGG_ST_DISTRICT_COMP[],D$1,0),"ERROR")</f>
        <v>377.22198759759999</v>
      </c>
      <c r="E7" s="103">
        <f>IF(SUM(E8:E22)&lt;&gt;VLOOKUP($B7,MMWR_TRAD_AGG_ST_DISTRICT_COMP[],E$1,0),"ERROR",
VLOOKUP($B7,MMWR_TRAD_AGG_ST_DISTRICT_COMP[],E$1,0))</f>
        <v>77491</v>
      </c>
      <c r="F7" s="103">
        <f>IFERROR(VLOOKUP($B7,MMWR_TRAD_AGG_ST_DISTRICT_COMP[],F$1,0),"ERROR")</f>
        <v>26458</v>
      </c>
      <c r="G7" s="105">
        <f t="shared" si="0"/>
        <v>0.34143319869404187</v>
      </c>
      <c r="H7" s="103">
        <f>IF(SUM(H8:H22)&lt;&gt;VLOOKUP($B7,MMWR_TRAD_AGG_ST_DISTRICT_COMP[],H$1,0),"ERROR",
VLOOKUP($B7,MMWR_TRAD_AGG_ST_DISTRICT_COMP[],H$1,0))</f>
        <v>103112</v>
      </c>
      <c r="I7" s="103">
        <f>IF(SUM(I8:I22)&lt;&gt;VLOOKUP($B7,MMWR_TRAD_AGG_ST_DISTRICT_COMP[],I$1,0),"ERROR",
VLOOKUP($B7,MMWR_TRAD_AGG_ST_DISTRICT_COMP[],I$1,0))</f>
        <v>65189</v>
      </c>
      <c r="J7" s="106">
        <f t="shared" si="1"/>
        <v>0.63221545503918075</v>
      </c>
      <c r="K7" s="103">
        <f>IF(SUM(K8:K22)&lt;&gt;VLOOKUP($B7,MMWR_TRAD_AGG_ST_DISTRICT_COMP[],K$1,0),"ERROR",
VLOOKUP($B7,MMWR_TRAD_AGG_ST_DISTRICT_COMP[],K$1,0))</f>
        <v>16686</v>
      </c>
      <c r="L7" s="103">
        <f>IF(SUM(L8:L22)&lt;&gt;VLOOKUP($B7,MMWR_TRAD_AGG_ST_DISTRICT_COMP[],L$1,0),"ERROR",
VLOOKUP($B7,MMWR_TRAD_AGG_ST_DISTRICT_COMP[],L$1,0))</f>
        <v>12534</v>
      </c>
      <c r="M7" s="106">
        <f t="shared" si="2"/>
        <v>0.75116864437252784</v>
      </c>
      <c r="N7" s="103">
        <f>IF(SUM(N8:N22)&lt;&gt;VLOOKUP($B7,MMWR_TRAD_AGG_ST_DISTRICT_COMP[],N$1,0),"ERROR",
VLOOKUP($B7,MMWR_TRAD_AGG_ST_DISTRICT_COMP[],N$1,0))</f>
        <v>34153</v>
      </c>
      <c r="O7" s="103">
        <f>IF(SUM(O8:O22)&lt;&gt;VLOOKUP($B7,MMWR_TRAD_AGG_ST_DISTRICT_COMP[],O$1,0),"ERROR",
VLOOKUP($B7,MMWR_TRAD_AGG_ST_DISTRICT_COMP[],O$1,0))</f>
        <v>22849</v>
      </c>
      <c r="P7" s="106">
        <f t="shared" si="3"/>
        <v>0.6690188270430123</v>
      </c>
      <c r="Q7" s="103">
        <f>IF(SUM(Q8:Q22)&lt;&gt;VLOOKUP($B7,MMWR_TRAD_AGG_ST_DISTRICT_COMP[],Q$1,0),"ERROR",
VLOOKUP($B7,MMWR_TRAD_AGG_ST_DISTRICT_COMP[],Q$1,0))</f>
        <v>4959</v>
      </c>
      <c r="R7" s="107">
        <f>IFERROR(VLOOKUP($B7,MMWR_TRAD_AGG_ST_DISTRICT_COMP[],R$1,0),"ERROR")</f>
        <v>169</v>
      </c>
      <c r="S7" s="107">
        <f>SUM(S8:S22)</f>
        <v>53799</v>
      </c>
      <c r="T7" s="28"/>
    </row>
    <row r="8" spans="1:20" s="124" customFormat="1" x14ac:dyDescent="0.2">
      <c r="A8" s="108"/>
      <c r="B8" s="128" t="s">
        <v>383</v>
      </c>
      <c r="C8" s="110">
        <f>IFERROR(VLOOKUP($B8,MMWR_TRAD_AGG_STATE_COMP[],C$1,0),"ERROR")</f>
        <v>2155</v>
      </c>
      <c r="D8" s="111">
        <f>IFERROR(VLOOKUP($B8,MMWR_TRAD_AGG_STATE_COMP[],D$1,0),"ERROR")</f>
        <v>234.8863109049</v>
      </c>
      <c r="E8" s="112">
        <f>IFERROR(VLOOKUP($B8,MMWR_TRAD_AGG_STATE_COMP[],E$1,0),"ERROR")</f>
        <v>2075</v>
      </c>
      <c r="F8" s="113">
        <f>IFERROR(VLOOKUP($B8,MMWR_TRAD_AGG_STATE_COMP[],F$1,0),"ERROR")</f>
        <v>570</v>
      </c>
      <c r="G8" s="114">
        <f t="shared" si="0"/>
        <v>0.27469879518072288</v>
      </c>
      <c r="H8" s="112">
        <f>IFERROR(VLOOKUP($B8,MMWR_TRAD_AGG_STATE_COMP[],H$1,0),"ERROR")</f>
        <v>3538</v>
      </c>
      <c r="I8" s="113">
        <f>IFERROR(VLOOKUP($B8,MMWR_TRAD_AGG_STATE_COMP[],I$1,0),"ERROR")</f>
        <v>1880</v>
      </c>
      <c r="J8" s="115">
        <f t="shared" si="1"/>
        <v>0.53137365743357834</v>
      </c>
      <c r="K8" s="112">
        <f>IFERROR(VLOOKUP($B8,MMWR_TRAD_AGG_STATE_COMP[],K$1,0),"ERROR")</f>
        <v>344</v>
      </c>
      <c r="L8" s="113">
        <f>IFERROR(VLOOKUP($B8,MMWR_TRAD_AGG_STATE_COMP[],L$1,0),"ERROR")</f>
        <v>255</v>
      </c>
      <c r="M8" s="115">
        <f t="shared" si="2"/>
        <v>0.74127906976744184</v>
      </c>
      <c r="N8" s="112">
        <f>IFERROR(VLOOKUP($B8,MMWR_TRAD_AGG_STATE_COMP[],N$1,0),"ERROR")</f>
        <v>724</v>
      </c>
      <c r="O8" s="113">
        <f>IFERROR(VLOOKUP($B8,MMWR_TRAD_AGG_STATE_COMP[],O$1,0),"ERROR")</f>
        <v>480</v>
      </c>
      <c r="P8" s="115">
        <f t="shared" si="3"/>
        <v>0.66298342541436461</v>
      </c>
      <c r="Q8" s="116">
        <f>IFERROR(VLOOKUP($B8,MMWR_TRAD_AGG_STATE_COMP[],Q$1,0),"ERROR")</f>
        <v>152</v>
      </c>
      <c r="R8" s="116">
        <f>IFERROR(VLOOKUP($B8,MMWR_TRAD_AGG_STATE_COMP[],R$1,0),"ERROR")</f>
        <v>3</v>
      </c>
      <c r="S8" s="116">
        <f>IFERROR(VLOOKUP($B8,MMWR_APP_STATE_COMP[],S$1,0),"ERROR")</f>
        <v>1066</v>
      </c>
      <c r="T8" s="28"/>
    </row>
    <row r="9" spans="1:20" s="124" customFormat="1" x14ac:dyDescent="0.2">
      <c r="A9" s="108"/>
      <c r="B9" s="128" t="s">
        <v>433</v>
      </c>
      <c r="C9" s="110">
        <f>IFERROR(VLOOKUP($B9,MMWR_TRAD_AGG_STATE_COMP[],C$1,0),"ERROR")</f>
        <v>1072</v>
      </c>
      <c r="D9" s="111">
        <f>IFERROR(VLOOKUP($B9,MMWR_TRAD_AGG_STATE_COMP[],D$1,0),"ERROR")</f>
        <v>341.56996268659998</v>
      </c>
      <c r="E9" s="112">
        <f>IFERROR(VLOOKUP($B9,MMWR_TRAD_AGG_STATE_COMP[],E$1,0),"ERROR")</f>
        <v>1004</v>
      </c>
      <c r="F9" s="113">
        <f>IFERROR(VLOOKUP($B9,MMWR_TRAD_AGG_STATE_COMP[],F$1,0),"ERROR")</f>
        <v>377</v>
      </c>
      <c r="G9" s="114">
        <f t="shared" si="0"/>
        <v>0.37549800796812749</v>
      </c>
      <c r="H9" s="112">
        <f>IFERROR(VLOOKUP($B9,MMWR_TRAD_AGG_STATE_COMP[],H$1,0),"ERROR")</f>
        <v>1308</v>
      </c>
      <c r="I9" s="113">
        <f>IFERROR(VLOOKUP($B9,MMWR_TRAD_AGG_STATE_COMP[],I$1,0),"ERROR")</f>
        <v>713</v>
      </c>
      <c r="J9" s="115">
        <f t="shared" si="1"/>
        <v>0.5451070336391437</v>
      </c>
      <c r="K9" s="112">
        <f>IFERROR(VLOOKUP($B9,MMWR_TRAD_AGG_STATE_COMP[],K$1,0),"ERROR")</f>
        <v>70</v>
      </c>
      <c r="L9" s="113">
        <f>IFERROR(VLOOKUP($B9,MMWR_TRAD_AGG_STATE_COMP[],L$1,0),"ERROR")</f>
        <v>48</v>
      </c>
      <c r="M9" s="115">
        <f t="shared" si="2"/>
        <v>0.68571428571428572</v>
      </c>
      <c r="N9" s="112">
        <f>IFERROR(VLOOKUP($B9,MMWR_TRAD_AGG_STATE_COMP[],N$1,0),"ERROR")</f>
        <v>476</v>
      </c>
      <c r="O9" s="113">
        <f>IFERROR(VLOOKUP($B9,MMWR_TRAD_AGG_STATE_COMP[],O$1,0),"ERROR")</f>
        <v>208</v>
      </c>
      <c r="P9" s="115">
        <f t="shared" si="3"/>
        <v>0.43697478991596639</v>
      </c>
      <c r="Q9" s="116">
        <f>IFERROR(VLOOKUP($B9,MMWR_TRAD_AGG_STATE_COMP[],Q$1,0),"ERROR")</f>
        <v>47</v>
      </c>
      <c r="R9" s="116">
        <f>IFERROR(VLOOKUP($B9,MMWR_TRAD_AGG_STATE_COMP[],R$1,0),"ERROR")</f>
        <v>1</v>
      </c>
      <c r="S9" s="116">
        <f>IFERROR(VLOOKUP($B9,MMWR_APP_STATE_COMP[],S$1,0),"ERROR")</f>
        <v>474</v>
      </c>
      <c r="T9" s="28"/>
    </row>
    <row r="10" spans="1:20" s="124" customFormat="1" x14ac:dyDescent="0.2">
      <c r="A10" s="108"/>
      <c r="B10" s="128" t="s">
        <v>424</v>
      </c>
      <c r="C10" s="110">
        <f>IFERROR(VLOOKUP($B10,MMWR_TRAD_AGG_STATE_COMP[],C$1,0),"ERROR")</f>
        <v>511</v>
      </c>
      <c r="D10" s="111">
        <f>IFERROR(VLOOKUP($B10,MMWR_TRAD_AGG_STATE_COMP[],D$1,0),"ERROR")</f>
        <v>442.23874755380001</v>
      </c>
      <c r="E10" s="112">
        <f>IFERROR(VLOOKUP($B10,MMWR_TRAD_AGG_STATE_COMP[],E$1,0),"ERROR")</f>
        <v>575</v>
      </c>
      <c r="F10" s="113">
        <f>IFERROR(VLOOKUP($B10,MMWR_TRAD_AGG_STATE_COMP[],F$1,0),"ERROR")</f>
        <v>206</v>
      </c>
      <c r="G10" s="114">
        <f t="shared" si="0"/>
        <v>0.35826086956521741</v>
      </c>
      <c r="H10" s="112">
        <f>IFERROR(VLOOKUP($B10,MMWR_TRAD_AGG_STATE_COMP[],H$1,0),"ERROR")</f>
        <v>685</v>
      </c>
      <c r="I10" s="113">
        <f>IFERROR(VLOOKUP($B10,MMWR_TRAD_AGG_STATE_COMP[],I$1,0),"ERROR")</f>
        <v>468</v>
      </c>
      <c r="J10" s="115">
        <f t="shared" si="1"/>
        <v>0.68321167883211675</v>
      </c>
      <c r="K10" s="112">
        <f>IFERROR(VLOOKUP($B10,MMWR_TRAD_AGG_STATE_COMP[],K$1,0),"ERROR")</f>
        <v>97</v>
      </c>
      <c r="L10" s="113">
        <f>IFERROR(VLOOKUP($B10,MMWR_TRAD_AGG_STATE_COMP[],L$1,0),"ERROR")</f>
        <v>81</v>
      </c>
      <c r="M10" s="115">
        <f t="shared" si="2"/>
        <v>0.83505154639175261</v>
      </c>
      <c r="N10" s="112">
        <f>IFERROR(VLOOKUP($B10,MMWR_TRAD_AGG_STATE_COMP[],N$1,0),"ERROR")</f>
        <v>325</v>
      </c>
      <c r="O10" s="113">
        <f>IFERROR(VLOOKUP($B10,MMWR_TRAD_AGG_STATE_COMP[],O$1,0),"ERROR")</f>
        <v>249</v>
      </c>
      <c r="P10" s="115">
        <f t="shared" si="3"/>
        <v>0.76615384615384619</v>
      </c>
      <c r="Q10" s="116">
        <f>IFERROR(VLOOKUP($B10,MMWR_TRAD_AGG_STATE_COMP[],Q$1,0),"ERROR")</f>
        <v>14</v>
      </c>
      <c r="R10" s="116">
        <f>IFERROR(VLOOKUP($B10,MMWR_TRAD_AGG_STATE_COMP[],R$1,0),"ERROR")</f>
        <v>1</v>
      </c>
      <c r="S10" s="116">
        <f>IFERROR(VLOOKUP($B10,MMWR_APP_STATE_COMP[],S$1,0),"ERROR")</f>
        <v>525</v>
      </c>
      <c r="T10" s="28"/>
    </row>
    <row r="11" spans="1:20" s="124" customFormat="1" x14ac:dyDescent="0.2">
      <c r="A11" s="108"/>
      <c r="B11" s="128" t="s">
        <v>426</v>
      </c>
      <c r="C11" s="110">
        <f>IFERROR(VLOOKUP($B11,MMWR_TRAD_AGG_STATE_COMP[],C$1,0),"ERROR")</f>
        <v>1274</v>
      </c>
      <c r="D11" s="111">
        <f>IFERROR(VLOOKUP($B11,MMWR_TRAD_AGG_STATE_COMP[],D$1,0),"ERROR")</f>
        <v>299.67739403450003</v>
      </c>
      <c r="E11" s="112">
        <f>IFERROR(VLOOKUP($B11,MMWR_TRAD_AGG_STATE_COMP[],E$1,0),"ERROR")</f>
        <v>1245</v>
      </c>
      <c r="F11" s="113">
        <f>IFERROR(VLOOKUP($B11,MMWR_TRAD_AGG_STATE_COMP[],F$1,0),"ERROR")</f>
        <v>242</v>
      </c>
      <c r="G11" s="114">
        <f t="shared" si="0"/>
        <v>0.19437751004016066</v>
      </c>
      <c r="H11" s="112">
        <f>IFERROR(VLOOKUP($B11,MMWR_TRAD_AGG_STATE_COMP[],H$1,0),"ERROR")</f>
        <v>1718</v>
      </c>
      <c r="I11" s="113">
        <f>IFERROR(VLOOKUP($B11,MMWR_TRAD_AGG_STATE_COMP[],I$1,0),"ERROR")</f>
        <v>1061</v>
      </c>
      <c r="J11" s="115">
        <f t="shared" si="1"/>
        <v>0.61757857974388819</v>
      </c>
      <c r="K11" s="112">
        <f>IFERROR(VLOOKUP($B11,MMWR_TRAD_AGG_STATE_COMP[],K$1,0),"ERROR")</f>
        <v>604</v>
      </c>
      <c r="L11" s="113">
        <f>IFERROR(VLOOKUP($B11,MMWR_TRAD_AGG_STATE_COMP[],L$1,0),"ERROR")</f>
        <v>493</v>
      </c>
      <c r="M11" s="115">
        <f t="shared" si="2"/>
        <v>0.81622516556291391</v>
      </c>
      <c r="N11" s="112">
        <f>IFERROR(VLOOKUP($B11,MMWR_TRAD_AGG_STATE_COMP[],N$1,0),"ERROR")</f>
        <v>322</v>
      </c>
      <c r="O11" s="113">
        <f>IFERROR(VLOOKUP($B11,MMWR_TRAD_AGG_STATE_COMP[],O$1,0),"ERROR")</f>
        <v>171</v>
      </c>
      <c r="P11" s="115">
        <f t="shared" si="3"/>
        <v>0.53105590062111796</v>
      </c>
      <c r="Q11" s="116">
        <f>IFERROR(VLOOKUP($B11,MMWR_TRAD_AGG_STATE_COMP[],Q$1,0),"ERROR")</f>
        <v>215</v>
      </c>
      <c r="R11" s="116">
        <f>IFERROR(VLOOKUP($B11,MMWR_TRAD_AGG_STATE_COMP[],R$1,0),"ERROR")</f>
        <v>3</v>
      </c>
      <c r="S11" s="116">
        <f>IFERROR(VLOOKUP($B11,MMWR_APP_STATE_COMP[],S$1,0),"ERROR")</f>
        <v>445</v>
      </c>
      <c r="T11" s="28"/>
    </row>
    <row r="12" spans="1:20" s="124" customFormat="1" x14ac:dyDescent="0.2">
      <c r="A12" s="108"/>
      <c r="B12" s="128" t="s">
        <v>386</v>
      </c>
      <c r="C12" s="110">
        <f>IFERROR(VLOOKUP($B12,MMWR_TRAD_AGG_STATE_COMP[],C$1,0),"ERROR")</f>
        <v>7732</v>
      </c>
      <c r="D12" s="111">
        <f>IFERROR(VLOOKUP($B12,MMWR_TRAD_AGG_STATE_COMP[],D$1,0),"ERROR")</f>
        <v>544.37881531300002</v>
      </c>
      <c r="E12" s="112">
        <f>IFERROR(VLOOKUP($B12,MMWR_TRAD_AGG_STATE_COMP[],E$1,0),"ERROR")</f>
        <v>6438</v>
      </c>
      <c r="F12" s="113">
        <f>IFERROR(VLOOKUP($B12,MMWR_TRAD_AGG_STATE_COMP[],F$1,0),"ERROR")</f>
        <v>2403</v>
      </c>
      <c r="G12" s="114">
        <f t="shared" si="0"/>
        <v>0.37325256290773534</v>
      </c>
      <c r="H12" s="112">
        <f>IFERROR(VLOOKUP($B12,MMWR_TRAD_AGG_STATE_COMP[],H$1,0),"ERROR")</f>
        <v>9734</v>
      </c>
      <c r="I12" s="113">
        <f>IFERROR(VLOOKUP($B12,MMWR_TRAD_AGG_STATE_COMP[],I$1,0),"ERROR")</f>
        <v>7218</v>
      </c>
      <c r="J12" s="115">
        <f t="shared" si="1"/>
        <v>0.74152455311280052</v>
      </c>
      <c r="K12" s="112">
        <f>IFERROR(VLOOKUP($B12,MMWR_TRAD_AGG_STATE_COMP[],K$1,0),"ERROR")</f>
        <v>1249</v>
      </c>
      <c r="L12" s="113">
        <f>IFERROR(VLOOKUP($B12,MMWR_TRAD_AGG_STATE_COMP[],L$1,0),"ERROR")</f>
        <v>1033</v>
      </c>
      <c r="M12" s="115">
        <f t="shared" si="2"/>
        <v>0.82706164931945558</v>
      </c>
      <c r="N12" s="112">
        <f>IFERROR(VLOOKUP($B12,MMWR_TRAD_AGG_STATE_COMP[],N$1,0),"ERROR")</f>
        <v>6541</v>
      </c>
      <c r="O12" s="113">
        <f>IFERROR(VLOOKUP($B12,MMWR_TRAD_AGG_STATE_COMP[],O$1,0),"ERROR")</f>
        <v>5556</v>
      </c>
      <c r="P12" s="115">
        <f t="shared" si="3"/>
        <v>0.8494114049839474</v>
      </c>
      <c r="Q12" s="116">
        <f>IFERROR(VLOOKUP($B12,MMWR_TRAD_AGG_STATE_COMP[],Q$1,0),"ERROR")</f>
        <v>262</v>
      </c>
      <c r="R12" s="116">
        <f>IFERROR(VLOOKUP($B12,MMWR_TRAD_AGG_STATE_COMP[],R$1,0),"ERROR")</f>
        <v>9</v>
      </c>
      <c r="S12" s="116">
        <f>IFERROR(VLOOKUP($B12,MMWR_APP_STATE_COMP[],S$1,0),"ERROR")</f>
        <v>5197</v>
      </c>
      <c r="T12" s="28"/>
    </row>
    <row r="13" spans="1:20" s="124" customFormat="1" x14ac:dyDescent="0.2">
      <c r="A13" s="108"/>
      <c r="B13" s="128" t="s">
        <v>381</v>
      </c>
      <c r="C13" s="110">
        <f>IFERROR(VLOOKUP($B13,MMWR_TRAD_AGG_STATE_COMP[],C$1,0),"ERROR")</f>
        <v>5626</v>
      </c>
      <c r="D13" s="111">
        <f>IFERROR(VLOOKUP($B13,MMWR_TRAD_AGG_STATE_COMP[],D$1,0),"ERROR")</f>
        <v>432.87344472090001</v>
      </c>
      <c r="E13" s="112">
        <f>IFERROR(VLOOKUP($B13,MMWR_TRAD_AGG_STATE_COMP[],E$1,0),"ERROR")</f>
        <v>4540</v>
      </c>
      <c r="F13" s="113">
        <f>IFERROR(VLOOKUP($B13,MMWR_TRAD_AGG_STATE_COMP[],F$1,0),"ERROR")</f>
        <v>1403</v>
      </c>
      <c r="G13" s="114">
        <f t="shared" si="0"/>
        <v>0.30903083700440531</v>
      </c>
      <c r="H13" s="112">
        <f>IFERROR(VLOOKUP($B13,MMWR_TRAD_AGG_STATE_COMP[],H$1,0),"ERROR")</f>
        <v>8163</v>
      </c>
      <c r="I13" s="113">
        <f>IFERROR(VLOOKUP($B13,MMWR_TRAD_AGG_STATE_COMP[],I$1,0),"ERROR")</f>
        <v>5096</v>
      </c>
      <c r="J13" s="115">
        <f t="shared" si="1"/>
        <v>0.62428028910939604</v>
      </c>
      <c r="K13" s="112">
        <f>IFERROR(VLOOKUP($B13,MMWR_TRAD_AGG_STATE_COMP[],K$1,0),"ERROR")</f>
        <v>2429</v>
      </c>
      <c r="L13" s="113">
        <f>IFERROR(VLOOKUP($B13,MMWR_TRAD_AGG_STATE_COMP[],L$1,0),"ERROR")</f>
        <v>1855</v>
      </c>
      <c r="M13" s="115">
        <f t="shared" si="2"/>
        <v>0.76368876080691639</v>
      </c>
      <c r="N13" s="112">
        <f>IFERROR(VLOOKUP($B13,MMWR_TRAD_AGG_STATE_COMP[],N$1,0),"ERROR")</f>
        <v>1280</v>
      </c>
      <c r="O13" s="113">
        <f>IFERROR(VLOOKUP($B13,MMWR_TRAD_AGG_STATE_COMP[],O$1,0),"ERROR")</f>
        <v>998</v>
      </c>
      <c r="P13" s="115">
        <f t="shared" si="3"/>
        <v>0.77968749999999998</v>
      </c>
      <c r="Q13" s="116">
        <f>IFERROR(VLOOKUP($B13,MMWR_TRAD_AGG_STATE_COMP[],Q$1,0),"ERROR")</f>
        <v>456</v>
      </c>
      <c r="R13" s="116">
        <f>IFERROR(VLOOKUP($B13,MMWR_TRAD_AGG_STATE_COMP[],R$1,0),"ERROR")</f>
        <v>12</v>
      </c>
      <c r="S13" s="116">
        <f>IFERROR(VLOOKUP($B13,MMWR_APP_STATE_COMP[],S$1,0),"ERROR")</f>
        <v>3536</v>
      </c>
      <c r="T13" s="28"/>
    </row>
    <row r="14" spans="1:20" s="124" customFormat="1" x14ac:dyDescent="0.2">
      <c r="A14" s="108"/>
      <c r="B14" s="128" t="s">
        <v>425</v>
      </c>
      <c r="C14" s="110">
        <f>IFERROR(VLOOKUP($B14,MMWR_TRAD_AGG_STATE_COMP[],C$1,0),"ERROR")</f>
        <v>2148</v>
      </c>
      <c r="D14" s="111">
        <f>IFERROR(VLOOKUP($B14,MMWR_TRAD_AGG_STATE_COMP[],D$1,0),"ERROR")</f>
        <v>361.44972067039998</v>
      </c>
      <c r="E14" s="112">
        <f>IFERROR(VLOOKUP($B14,MMWR_TRAD_AGG_STATE_COMP[],E$1,0),"ERROR")</f>
        <v>1203</v>
      </c>
      <c r="F14" s="113">
        <f>IFERROR(VLOOKUP($B14,MMWR_TRAD_AGG_STATE_COMP[],F$1,0),"ERROR")</f>
        <v>345</v>
      </c>
      <c r="G14" s="114">
        <f t="shared" si="0"/>
        <v>0.28678304239401498</v>
      </c>
      <c r="H14" s="112">
        <f>IFERROR(VLOOKUP($B14,MMWR_TRAD_AGG_STATE_COMP[],H$1,0),"ERROR")</f>
        <v>2766</v>
      </c>
      <c r="I14" s="113">
        <f>IFERROR(VLOOKUP($B14,MMWR_TRAD_AGG_STATE_COMP[],I$1,0),"ERROR")</f>
        <v>1782</v>
      </c>
      <c r="J14" s="115">
        <f t="shared" si="1"/>
        <v>0.64425162689804771</v>
      </c>
      <c r="K14" s="112">
        <f>IFERROR(VLOOKUP($B14,MMWR_TRAD_AGG_STATE_COMP[],K$1,0),"ERROR")</f>
        <v>669</v>
      </c>
      <c r="L14" s="113">
        <f>IFERROR(VLOOKUP($B14,MMWR_TRAD_AGG_STATE_COMP[],L$1,0),"ERROR")</f>
        <v>585</v>
      </c>
      <c r="M14" s="115">
        <f t="shared" si="2"/>
        <v>0.87443946188340804</v>
      </c>
      <c r="N14" s="112">
        <f>IFERROR(VLOOKUP($B14,MMWR_TRAD_AGG_STATE_COMP[],N$1,0),"ERROR")</f>
        <v>157</v>
      </c>
      <c r="O14" s="113">
        <f>IFERROR(VLOOKUP($B14,MMWR_TRAD_AGG_STATE_COMP[],O$1,0),"ERROR")</f>
        <v>80</v>
      </c>
      <c r="P14" s="115">
        <f t="shared" si="3"/>
        <v>0.50955414012738853</v>
      </c>
      <c r="Q14" s="116">
        <f>IFERROR(VLOOKUP($B14,MMWR_TRAD_AGG_STATE_COMP[],Q$1,0),"ERROR")</f>
        <v>89</v>
      </c>
      <c r="R14" s="116">
        <f>IFERROR(VLOOKUP($B14,MMWR_TRAD_AGG_STATE_COMP[],R$1,0),"ERROR")</f>
        <v>3</v>
      </c>
      <c r="S14" s="116">
        <f>IFERROR(VLOOKUP($B14,MMWR_APP_STATE_COMP[],S$1,0),"ERROR")</f>
        <v>735</v>
      </c>
      <c r="T14" s="28"/>
    </row>
    <row r="15" spans="1:20" s="124" customFormat="1" x14ac:dyDescent="0.2">
      <c r="A15" s="108"/>
      <c r="B15" s="128" t="s">
        <v>384</v>
      </c>
      <c r="C15" s="110">
        <f>IFERROR(VLOOKUP($B15,MMWR_TRAD_AGG_STATE_COMP[],C$1,0),"ERROR")</f>
        <v>2522</v>
      </c>
      <c r="D15" s="111">
        <f>IFERROR(VLOOKUP($B15,MMWR_TRAD_AGG_STATE_COMP[],D$1,0),"ERROR")</f>
        <v>304.919111816</v>
      </c>
      <c r="E15" s="112">
        <f>IFERROR(VLOOKUP($B15,MMWR_TRAD_AGG_STATE_COMP[],E$1,0),"ERROR")</f>
        <v>4414</v>
      </c>
      <c r="F15" s="113">
        <f>IFERROR(VLOOKUP($B15,MMWR_TRAD_AGG_STATE_COMP[],F$1,0),"ERROR")</f>
        <v>1632</v>
      </c>
      <c r="G15" s="114">
        <f t="shared" si="0"/>
        <v>0.36973266878115091</v>
      </c>
      <c r="H15" s="112">
        <f>IFERROR(VLOOKUP($B15,MMWR_TRAD_AGG_STATE_COMP[],H$1,0),"ERROR")</f>
        <v>3934</v>
      </c>
      <c r="I15" s="113">
        <f>IFERROR(VLOOKUP($B15,MMWR_TRAD_AGG_STATE_COMP[],I$1,0),"ERROR")</f>
        <v>2065</v>
      </c>
      <c r="J15" s="115">
        <f t="shared" si="1"/>
        <v>0.52491103202846978</v>
      </c>
      <c r="K15" s="112">
        <f>IFERROR(VLOOKUP($B15,MMWR_TRAD_AGG_STATE_COMP[],K$1,0),"ERROR")</f>
        <v>483</v>
      </c>
      <c r="L15" s="113">
        <f>IFERROR(VLOOKUP($B15,MMWR_TRAD_AGG_STATE_COMP[],L$1,0),"ERROR")</f>
        <v>229</v>
      </c>
      <c r="M15" s="115">
        <f t="shared" si="2"/>
        <v>0.47412008281573498</v>
      </c>
      <c r="N15" s="112">
        <f>IFERROR(VLOOKUP($B15,MMWR_TRAD_AGG_STATE_COMP[],N$1,0),"ERROR")</f>
        <v>1956</v>
      </c>
      <c r="O15" s="113">
        <f>IFERROR(VLOOKUP($B15,MMWR_TRAD_AGG_STATE_COMP[],O$1,0),"ERROR")</f>
        <v>1186</v>
      </c>
      <c r="P15" s="115">
        <f t="shared" si="3"/>
        <v>0.6063394683026585</v>
      </c>
      <c r="Q15" s="116">
        <f>IFERROR(VLOOKUP($B15,MMWR_TRAD_AGG_STATE_COMP[],Q$1,0),"ERROR")</f>
        <v>477</v>
      </c>
      <c r="R15" s="116">
        <f>IFERROR(VLOOKUP($B15,MMWR_TRAD_AGG_STATE_COMP[],R$1,0),"ERROR")</f>
        <v>7</v>
      </c>
      <c r="S15" s="116">
        <f>IFERROR(VLOOKUP($B15,MMWR_APP_STATE_COMP[],S$1,0),"ERROR")</f>
        <v>4035</v>
      </c>
      <c r="T15" s="28"/>
    </row>
    <row r="16" spans="1:20" s="124" customFormat="1" x14ac:dyDescent="0.2">
      <c r="A16" s="108"/>
      <c r="B16" s="128" t="s">
        <v>63</v>
      </c>
      <c r="C16" s="110">
        <f>IFERROR(VLOOKUP($B16,MMWR_TRAD_AGG_STATE_COMP[],C$1,0),"ERROR")</f>
        <v>5817</v>
      </c>
      <c r="D16" s="111">
        <f>IFERROR(VLOOKUP($B16,MMWR_TRAD_AGG_STATE_COMP[],D$1,0),"ERROR")</f>
        <v>256.64019253909998</v>
      </c>
      <c r="E16" s="112">
        <f>IFERROR(VLOOKUP($B16,MMWR_TRAD_AGG_STATE_COMP[],E$1,0),"ERROR")</f>
        <v>9882</v>
      </c>
      <c r="F16" s="113">
        <f>IFERROR(VLOOKUP($B16,MMWR_TRAD_AGG_STATE_COMP[],F$1,0),"ERROR")</f>
        <v>3588</v>
      </c>
      <c r="G16" s="114">
        <f t="shared" si="0"/>
        <v>0.36308439587128111</v>
      </c>
      <c r="H16" s="112">
        <f>IFERROR(VLOOKUP($B16,MMWR_TRAD_AGG_STATE_COMP[],H$1,0),"ERROR")</f>
        <v>9146</v>
      </c>
      <c r="I16" s="113">
        <f>IFERROR(VLOOKUP($B16,MMWR_TRAD_AGG_STATE_COMP[],I$1,0),"ERROR")</f>
        <v>4645</v>
      </c>
      <c r="J16" s="115">
        <f t="shared" si="1"/>
        <v>0.50787229389897226</v>
      </c>
      <c r="K16" s="112">
        <f>IFERROR(VLOOKUP($B16,MMWR_TRAD_AGG_STATE_COMP[],K$1,0),"ERROR")</f>
        <v>1641</v>
      </c>
      <c r="L16" s="113">
        <f>IFERROR(VLOOKUP($B16,MMWR_TRAD_AGG_STATE_COMP[],L$1,0),"ERROR")</f>
        <v>937</v>
      </c>
      <c r="M16" s="115">
        <f t="shared" si="2"/>
        <v>0.570993296770262</v>
      </c>
      <c r="N16" s="112">
        <f>IFERROR(VLOOKUP($B16,MMWR_TRAD_AGG_STATE_COMP[],N$1,0),"ERROR")</f>
        <v>1492</v>
      </c>
      <c r="O16" s="113">
        <f>IFERROR(VLOOKUP($B16,MMWR_TRAD_AGG_STATE_COMP[],O$1,0),"ERROR")</f>
        <v>817</v>
      </c>
      <c r="P16" s="115">
        <f t="shared" si="3"/>
        <v>0.5475871313672922</v>
      </c>
      <c r="Q16" s="116">
        <f>IFERROR(VLOOKUP($B16,MMWR_TRAD_AGG_STATE_COMP[],Q$1,0),"ERROR")</f>
        <v>856</v>
      </c>
      <c r="R16" s="116">
        <f>IFERROR(VLOOKUP($B16,MMWR_TRAD_AGG_STATE_COMP[],R$1,0),"ERROR")</f>
        <v>17</v>
      </c>
      <c r="S16" s="116">
        <f>IFERROR(VLOOKUP($B16,MMWR_APP_STATE_COMP[],S$1,0),"ERROR")</f>
        <v>5338</v>
      </c>
      <c r="T16" s="28"/>
    </row>
    <row r="17" spans="1:20" s="124" customFormat="1" x14ac:dyDescent="0.2">
      <c r="A17" s="108"/>
      <c r="B17" s="128" t="s">
        <v>392</v>
      </c>
      <c r="C17" s="110">
        <f>IFERROR(VLOOKUP($B17,MMWR_TRAD_AGG_STATE_COMP[],C$1,0),"ERROR")</f>
        <v>16062</v>
      </c>
      <c r="D17" s="111">
        <f>IFERROR(VLOOKUP($B17,MMWR_TRAD_AGG_STATE_COMP[],D$1,0),"ERROR")</f>
        <v>349.79292740630001</v>
      </c>
      <c r="E17" s="112">
        <f>IFERROR(VLOOKUP($B17,MMWR_TRAD_AGG_STATE_COMP[],E$1,0),"ERROR")</f>
        <v>19335</v>
      </c>
      <c r="F17" s="113">
        <f>IFERROR(VLOOKUP($B17,MMWR_TRAD_AGG_STATE_COMP[],F$1,0),"ERROR")</f>
        <v>6998</v>
      </c>
      <c r="G17" s="114">
        <f t="shared" si="0"/>
        <v>0.36193431600724074</v>
      </c>
      <c r="H17" s="112">
        <f>IFERROR(VLOOKUP($B17,MMWR_TRAD_AGG_STATE_COMP[],H$1,0),"ERROR")</f>
        <v>21649</v>
      </c>
      <c r="I17" s="113">
        <f>IFERROR(VLOOKUP($B17,MMWR_TRAD_AGG_STATE_COMP[],I$1,0),"ERROR")</f>
        <v>13991</v>
      </c>
      <c r="J17" s="115">
        <f t="shared" si="1"/>
        <v>0.64626541641646262</v>
      </c>
      <c r="K17" s="112">
        <f>IFERROR(VLOOKUP($B17,MMWR_TRAD_AGG_STATE_COMP[],K$1,0),"ERROR")</f>
        <v>4227</v>
      </c>
      <c r="L17" s="113">
        <f>IFERROR(VLOOKUP($B17,MMWR_TRAD_AGG_STATE_COMP[],L$1,0),"ERROR")</f>
        <v>3403</v>
      </c>
      <c r="M17" s="115">
        <f t="shared" si="2"/>
        <v>0.80506269221670212</v>
      </c>
      <c r="N17" s="112">
        <f>IFERROR(VLOOKUP($B17,MMWR_TRAD_AGG_STATE_COMP[],N$1,0),"ERROR")</f>
        <v>7884</v>
      </c>
      <c r="O17" s="113">
        <f>IFERROR(VLOOKUP($B17,MMWR_TRAD_AGG_STATE_COMP[],O$1,0),"ERROR")</f>
        <v>4387</v>
      </c>
      <c r="P17" s="115">
        <f t="shared" si="3"/>
        <v>0.55644342973110095</v>
      </c>
      <c r="Q17" s="116">
        <f>IFERROR(VLOOKUP($B17,MMWR_TRAD_AGG_STATE_COMP[],Q$1,0),"ERROR")</f>
        <v>694</v>
      </c>
      <c r="R17" s="116">
        <f>IFERROR(VLOOKUP($B17,MMWR_TRAD_AGG_STATE_COMP[],R$1,0),"ERROR")</f>
        <v>40</v>
      </c>
      <c r="S17" s="116">
        <f>IFERROR(VLOOKUP($B17,MMWR_APP_STATE_COMP[],S$1,0),"ERROR")</f>
        <v>9929</v>
      </c>
      <c r="T17" s="28"/>
    </row>
    <row r="18" spans="1:20" s="124" customFormat="1" x14ac:dyDescent="0.2">
      <c r="A18" s="108"/>
      <c r="B18" s="128" t="s">
        <v>385</v>
      </c>
      <c r="C18" s="110">
        <f>IFERROR(VLOOKUP($B18,MMWR_TRAD_AGG_STATE_COMP[],C$1,0),"ERROR")</f>
        <v>8256</v>
      </c>
      <c r="D18" s="111">
        <f>IFERROR(VLOOKUP($B18,MMWR_TRAD_AGG_STATE_COMP[],D$1,0),"ERROR")</f>
        <v>398.71547965119998</v>
      </c>
      <c r="E18" s="112">
        <f>IFERROR(VLOOKUP($B18,MMWR_TRAD_AGG_STATE_COMP[],E$1,0),"ERROR")</f>
        <v>9757</v>
      </c>
      <c r="F18" s="113">
        <f>IFERROR(VLOOKUP($B18,MMWR_TRAD_AGG_STATE_COMP[],F$1,0),"ERROR")</f>
        <v>3470</v>
      </c>
      <c r="G18" s="114">
        <f t="shared" si="0"/>
        <v>0.35564210310546274</v>
      </c>
      <c r="H18" s="112">
        <f>IFERROR(VLOOKUP($B18,MMWR_TRAD_AGG_STATE_COMP[],H$1,0),"ERROR")</f>
        <v>11947</v>
      </c>
      <c r="I18" s="113">
        <f>IFERROR(VLOOKUP($B18,MMWR_TRAD_AGG_STATE_COMP[],I$1,0),"ERROR")</f>
        <v>7776</v>
      </c>
      <c r="J18" s="115">
        <f t="shared" si="1"/>
        <v>0.6508746965765464</v>
      </c>
      <c r="K18" s="112">
        <f>IFERROR(VLOOKUP($B18,MMWR_TRAD_AGG_STATE_COMP[],K$1,0),"ERROR")</f>
        <v>984</v>
      </c>
      <c r="L18" s="113">
        <f>IFERROR(VLOOKUP($B18,MMWR_TRAD_AGG_STATE_COMP[],L$1,0),"ERROR")</f>
        <v>661</v>
      </c>
      <c r="M18" s="115">
        <f t="shared" si="2"/>
        <v>0.6717479674796748</v>
      </c>
      <c r="N18" s="112">
        <f>IFERROR(VLOOKUP($B18,MMWR_TRAD_AGG_STATE_COMP[],N$1,0),"ERROR")</f>
        <v>6125</v>
      </c>
      <c r="O18" s="113">
        <f>IFERROR(VLOOKUP($B18,MMWR_TRAD_AGG_STATE_COMP[],O$1,0),"ERROR")</f>
        <v>3517</v>
      </c>
      <c r="P18" s="115">
        <f t="shared" si="3"/>
        <v>0.57420408163265302</v>
      </c>
      <c r="Q18" s="116">
        <f>IFERROR(VLOOKUP($B18,MMWR_TRAD_AGG_STATE_COMP[],Q$1,0),"ERROR")</f>
        <v>779</v>
      </c>
      <c r="R18" s="116">
        <f>IFERROR(VLOOKUP($B18,MMWR_TRAD_AGG_STATE_COMP[],R$1,0),"ERROR")</f>
        <v>12</v>
      </c>
      <c r="S18" s="116">
        <f>IFERROR(VLOOKUP($B18,MMWR_APP_STATE_COMP[],S$1,0),"ERROR")</f>
        <v>6319</v>
      </c>
      <c r="T18" s="28"/>
    </row>
    <row r="19" spans="1:20" s="124" customFormat="1" x14ac:dyDescent="0.2">
      <c r="A19" s="108"/>
      <c r="B19" s="128" t="s">
        <v>382</v>
      </c>
      <c r="C19" s="110">
        <f>IFERROR(VLOOKUP($B19,MMWR_TRAD_AGG_STATE_COMP[],C$1,0),"ERROR")</f>
        <v>463</v>
      </c>
      <c r="D19" s="111">
        <f>IFERROR(VLOOKUP($B19,MMWR_TRAD_AGG_STATE_COMP[],D$1,0),"ERROR")</f>
        <v>233.47732181430001</v>
      </c>
      <c r="E19" s="112">
        <f>IFERROR(VLOOKUP($B19,MMWR_TRAD_AGG_STATE_COMP[],E$1,0),"ERROR")</f>
        <v>851</v>
      </c>
      <c r="F19" s="113">
        <f>IFERROR(VLOOKUP($B19,MMWR_TRAD_AGG_STATE_COMP[],F$1,0),"ERROR")</f>
        <v>232</v>
      </c>
      <c r="G19" s="114">
        <f t="shared" si="0"/>
        <v>0.27262044653348999</v>
      </c>
      <c r="H19" s="112">
        <f>IFERROR(VLOOKUP($B19,MMWR_TRAD_AGG_STATE_COMP[],H$1,0),"ERROR")</f>
        <v>1182</v>
      </c>
      <c r="I19" s="113">
        <f>IFERROR(VLOOKUP($B19,MMWR_TRAD_AGG_STATE_COMP[],I$1,0),"ERROR")</f>
        <v>464</v>
      </c>
      <c r="J19" s="115">
        <f t="shared" si="1"/>
        <v>0.39255499153976309</v>
      </c>
      <c r="K19" s="112">
        <f>IFERROR(VLOOKUP($B19,MMWR_TRAD_AGG_STATE_COMP[],K$1,0),"ERROR")</f>
        <v>361</v>
      </c>
      <c r="L19" s="113">
        <f>IFERROR(VLOOKUP($B19,MMWR_TRAD_AGG_STATE_COMP[],L$1,0),"ERROR")</f>
        <v>140</v>
      </c>
      <c r="M19" s="115">
        <f t="shared" si="2"/>
        <v>0.38781163434903049</v>
      </c>
      <c r="N19" s="112">
        <f>IFERROR(VLOOKUP($B19,MMWR_TRAD_AGG_STATE_COMP[],N$1,0),"ERROR")</f>
        <v>94</v>
      </c>
      <c r="O19" s="113">
        <f>IFERROR(VLOOKUP($B19,MMWR_TRAD_AGG_STATE_COMP[],O$1,0),"ERROR")</f>
        <v>50</v>
      </c>
      <c r="P19" s="115">
        <f t="shared" si="3"/>
        <v>0.53191489361702127</v>
      </c>
      <c r="Q19" s="116">
        <f>IFERROR(VLOOKUP($B19,MMWR_TRAD_AGG_STATE_COMP[],Q$1,0),"ERROR")</f>
        <v>93</v>
      </c>
      <c r="R19" s="116">
        <f>IFERROR(VLOOKUP($B19,MMWR_TRAD_AGG_STATE_COMP[],R$1,0),"ERROR")</f>
        <v>2</v>
      </c>
      <c r="S19" s="116">
        <f>IFERROR(VLOOKUP($B19,MMWR_APP_STATE_COMP[],S$1,0),"ERROR")</f>
        <v>315</v>
      </c>
      <c r="T19" s="28"/>
    </row>
    <row r="20" spans="1:20" s="124" customFormat="1" x14ac:dyDescent="0.2">
      <c r="A20" s="108"/>
      <c r="B20" s="128" t="s">
        <v>427</v>
      </c>
      <c r="C20" s="110">
        <f>IFERROR(VLOOKUP($B20,MMWR_TRAD_AGG_STATE_COMP[],C$1,0),"ERROR")</f>
        <v>536</v>
      </c>
      <c r="D20" s="111">
        <f>IFERROR(VLOOKUP($B20,MMWR_TRAD_AGG_STATE_COMP[],D$1,0),"ERROR")</f>
        <v>333.71455223880002</v>
      </c>
      <c r="E20" s="112">
        <f>IFERROR(VLOOKUP($B20,MMWR_TRAD_AGG_STATE_COMP[],E$1,0),"ERROR")</f>
        <v>441</v>
      </c>
      <c r="F20" s="113">
        <f>IFERROR(VLOOKUP($B20,MMWR_TRAD_AGG_STATE_COMP[],F$1,0),"ERROR")</f>
        <v>114</v>
      </c>
      <c r="G20" s="114">
        <f t="shared" si="0"/>
        <v>0.25850340136054423</v>
      </c>
      <c r="H20" s="112">
        <f>IFERROR(VLOOKUP($B20,MMWR_TRAD_AGG_STATE_COMP[],H$1,0),"ERROR")</f>
        <v>884</v>
      </c>
      <c r="I20" s="113">
        <f>IFERROR(VLOOKUP($B20,MMWR_TRAD_AGG_STATE_COMP[],I$1,0),"ERROR")</f>
        <v>485</v>
      </c>
      <c r="J20" s="115">
        <f t="shared" si="1"/>
        <v>0.54864253393665163</v>
      </c>
      <c r="K20" s="112">
        <f>IFERROR(VLOOKUP($B20,MMWR_TRAD_AGG_STATE_COMP[],K$1,0),"ERROR")</f>
        <v>155</v>
      </c>
      <c r="L20" s="113">
        <f>IFERROR(VLOOKUP($B20,MMWR_TRAD_AGG_STATE_COMP[],L$1,0),"ERROR")</f>
        <v>102</v>
      </c>
      <c r="M20" s="115">
        <f t="shared" si="2"/>
        <v>0.65806451612903227</v>
      </c>
      <c r="N20" s="112">
        <f>IFERROR(VLOOKUP($B20,MMWR_TRAD_AGG_STATE_COMP[],N$1,0),"ERROR")</f>
        <v>96</v>
      </c>
      <c r="O20" s="113">
        <f>IFERROR(VLOOKUP($B20,MMWR_TRAD_AGG_STATE_COMP[],O$1,0),"ERROR")</f>
        <v>64</v>
      </c>
      <c r="P20" s="115">
        <f t="shared" si="3"/>
        <v>0.66666666666666663</v>
      </c>
      <c r="Q20" s="116">
        <f>IFERROR(VLOOKUP($B20,MMWR_TRAD_AGG_STATE_COMP[],Q$1,0),"ERROR")</f>
        <v>30</v>
      </c>
      <c r="R20" s="116">
        <f>IFERROR(VLOOKUP($B20,MMWR_TRAD_AGG_STATE_COMP[],R$1,0),"ERROR")</f>
        <v>1</v>
      </c>
      <c r="S20" s="116">
        <f>IFERROR(VLOOKUP($B20,MMWR_APP_STATE_COMP[],S$1,0),"ERROR")</f>
        <v>184</v>
      </c>
      <c r="T20" s="28"/>
    </row>
    <row r="21" spans="1:20" s="124" customFormat="1" x14ac:dyDescent="0.2">
      <c r="A21" s="108"/>
      <c r="B21" s="128" t="s">
        <v>388</v>
      </c>
      <c r="C21" s="110">
        <f>IFERROR(VLOOKUP($B21,MMWR_TRAD_AGG_STATE_COMP[],C$1,0),"ERROR")</f>
        <v>18248</v>
      </c>
      <c r="D21" s="111">
        <f>IFERROR(VLOOKUP($B21,MMWR_TRAD_AGG_STATE_COMP[],D$1,0),"ERROR")</f>
        <v>398.6184239369</v>
      </c>
      <c r="E21" s="112">
        <f>IFERROR(VLOOKUP($B21,MMWR_TRAD_AGG_STATE_COMP[],E$1,0),"ERROR")</f>
        <v>13058</v>
      </c>
      <c r="F21" s="113">
        <f>IFERROR(VLOOKUP($B21,MMWR_TRAD_AGG_STATE_COMP[],F$1,0),"ERROR")</f>
        <v>4149</v>
      </c>
      <c r="G21" s="114">
        <f t="shared" si="0"/>
        <v>0.31773625363761676</v>
      </c>
      <c r="H21" s="112">
        <f>IFERROR(VLOOKUP($B21,MMWR_TRAD_AGG_STATE_COMP[],H$1,0),"ERROR")</f>
        <v>22829</v>
      </c>
      <c r="I21" s="113">
        <f>IFERROR(VLOOKUP($B21,MMWR_TRAD_AGG_STATE_COMP[],I$1,0),"ERROR")</f>
        <v>15578</v>
      </c>
      <c r="J21" s="115">
        <f t="shared" si="1"/>
        <v>0.68237767751544087</v>
      </c>
      <c r="K21" s="112">
        <f>IFERROR(VLOOKUP($B21,MMWR_TRAD_AGG_STATE_COMP[],K$1,0),"ERROR")</f>
        <v>3057</v>
      </c>
      <c r="L21" s="113">
        <f>IFERROR(VLOOKUP($B21,MMWR_TRAD_AGG_STATE_COMP[],L$1,0),"ERROR")</f>
        <v>2454</v>
      </c>
      <c r="M21" s="115">
        <f t="shared" si="2"/>
        <v>0.80274779195289503</v>
      </c>
      <c r="N21" s="112">
        <f>IFERROR(VLOOKUP($B21,MMWR_TRAD_AGG_STATE_COMP[],N$1,0),"ERROR")</f>
        <v>5623</v>
      </c>
      <c r="O21" s="113">
        <f>IFERROR(VLOOKUP($B21,MMWR_TRAD_AGG_STATE_COMP[],O$1,0),"ERROR")</f>
        <v>4347</v>
      </c>
      <c r="P21" s="115">
        <f t="shared" si="3"/>
        <v>0.77307487106526762</v>
      </c>
      <c r="Q21" s="116">
        <f>IFERROR(VLOOKUP($B21,MMWR_TRAD_AGG_STATE_COMP[],Q$1,0),"ERROR")</f>
        <v>561</v>
      </c>
      <c r="R21" s="116">
        <f>IFERROR(VLOOKUP($B21,MMWR_TRAD_AGG_STATE_COMP[],R$1,0),"ERROR")</f>
        <v>38</v>
      </c>
      <c r="S21" s="116">
        <f>IFERROR(VLOOKUP($B21,MMWR_APP_STATE_COMP[],S$1,0),"ERROR")</f>
        <v>13337</v>
      </c>
      <c r="T21" s="28"/>
    </row>
    <row r="22" spans="1:20" s="124" customFormat="1" x14ac:dyDescent="0.2">
      <c r="A22" s="108"/>
      <c r="B22" s="128" t="s">
        <v>389</v>
      </c>
      <c r="C22" s="110">
        <f>IFERROR(VLOOKUP($B22,MMWR_TRAD_AGG_STATE_COMP[],C$1,0),"ERROR")</f>
        <v>2402</v>
      </c>
      <c r="D22" s="111">
        <f>IFERROR(VLOOKUP($B22,MMWR_TRAD_AGG_STATE_COMP[],D$1,0),"ERROR")</f>
        <v>246.15070774349999</v>
      </c>
      <c r="E22" s="112">
        <f>IFERROR(VLOOKUP($B22,MMWR_TRAD_AGG_STATE_COMP[],E$1,0),"ERROR")</f>
        <v>2673</v>
      </c>
      <c r="F22" s="113">
        <f>IFERROR(VLOOKUP($B22,MMWR_TRAD_AGG_STATE_COMP[],F$1,0),"ERROR")</f>
        <v>729</v>
      </c>
      <c r="G22" s="114">
        <f t="shared" si="0"/>
        <v>0.27272727272727271</v>
      </c>
      <c r="H22" s="112">
        <f>IFERROR(VLOOKUP($B22,MMWR_TRAD_AGG_STATE_COMP[],H$1,0),"ERROR")</f>
        <v>3629</v>
      </c>
      <c r="I22" s="113">
        <f>IFERROR(VLOOKUP($B22,MMWR_TRAD_AGG_STATE_COMP[],I$1,0),"ERROR")</f>
        <v>1967</v>
      </c>
      <c r="J22" s="115">
        <f t="shared" si="1"/>
        <v>0.54202259575640677</v>
      </c>
      <c r="K22" s="112">
        <f>IFERROR(VLOOKUP($B22,MMWR_TRAD_AGG_STATE_COMP[],K$1,0),"ERROR")</f>
        <v>316</v>
      </c>
      <c r="L22" s="113">
        <f>IFERROR(VLOOKUP($B22,MMWR_TRAD_AGG_STATE_COMP[],L$1,0),"ERROR")</f>
        <v>258</v>
      </c>
      <c r="M22" s="115">
        <f t="shared" si="2"/>
        <v>0.81645569620253167</v>
      </c>
      <c r="N22" s="112">
        <f>IFERROR(VLOOKUP($B22,MMWR_TRAD_AGG_STATE_COMP[],N$1,0),"ERROR")</f>
        <v>1058</v>
      </c>
      <c r="O22" s="113">
        <f>IFERROR(VLOOKUP($B22,MMWR_TRAD_AGG_STATE_COMP[],O$1,0),"ERROR")</f>
        <v>739</v>
      </c>
      <c r="P22" s="115">
        <f t="shared" si="3"/>
        <v>0.69848771266540643</v>
      </c>
      <c r="Q22" s="116">
        <f>IFERROR(VLOOKUP($B22,MMWR_TRAD_AGG_STATE_COMP[],Q$1,0),"ERROR")</f>
        <v>234</v>
      </c>
      <c r="R22" s="116">
        <f>IFERROR(VLOOKUP($B22,MMWR_TRAD_AGG_STATE_COMP[],R$1,0),"ERROR")</f>
        <v>20</v>
      </c>
      <c r="S22" s="116">
        <f>IFERROR(VLOOKUP($B22,MMWR_APP_STATE_COMP[],S$1,0),"ERROR")</f>
        <v>2364</v>
      </c>
      <c r="T22" s="28"/>
    </row>
    <row r="23" spans="1:20" s="124" customFormat="1" x14ac:dyDescent="0.2">
      <c r="A23" s="108"/>
      <c r="B23" s="127" t="s">
        <v>400</v>
      </c>
      <c r="C23" s="103">
        <f>IF(SUM(C24:C35)&lt;&gt;VLOOKUP($B23,MMWR_TRAD_AGG_ST_DISTRICT_COMP[],C$1,0),"ERROR",
VLOOKUP($B23,MMWR_TRAD_AGG_ST_DISTRICT_COMP[],C$1,0))</f>
        <v>52114</v>
      </c>
      <c r="D23" s="104">
        <f>IFERROR(VLOOKUP($B23,MMWR_TRAD_AGG_ST_DISTRICT_COMP[],D$1,0),"ERROR")</f>
        <v>368.12543654299998</v>
      </c>
      <c r="E23" s="103">
        <f>IF(SUM(E24:E35)&lt;&gt;VLOOKUP($B23,MMWR_TRAD_AGG_ST_DISTRICT_COMP[],E$1,0),"ERROR",
VLOOKUP($B23,MMWR_TRAD_AGG_ST_DISTRICT_COMP[],E$1,0))</f>
        <v>54935</v>
      </c>
      <c r="F23" s="103">
        <f>IF(SUM(F24:F35)&lt;&gt;VLOOKUP($B23,MMWR_TRAD_AGG_ST_DISTRICT_COMP[],F$1,0),"ERROR",
VLOOKUP($B23,MMWR_TRAD_AGG_ST_DISTRICT_COMP[],F$1,0))</f>
        <v>16509</v>
      </c>
      <c r="G23" s="105">
        <f t="shared" si="0"/>
        <v>0.30051879493947392</v>
      </c>
      <c r="H23" s="103">
        <f>IF(SUM(H24:H35)&lt;&gt;VLOOKUP($B23,MMWR_TRAD_AGG_ST_DISTRICT_COMP[],H$1,0),"ERROR",
VLOOKUP($B23,MMWR_TRAD_AGG_ST_DISTRICT_COMP[],H$1,0))</f>
        <v>76280</v>
      </c>
      <c r="I23" s="103">
        <f>IF(SUM(I24:I35)&lt;&gt;VLOOKUP($B23,MMWR_TRAD_AGG_ST_DISTRICT_COMP[],I$1,0),"ERROR",
VLOOKUP($B23,MMWR_TRAD_AGG_ST_DISTRICT_COMP[],I$1,0))</f>
        <v>44246</v>
      </c>
      <c r="J23" s="106">
        <f t="shared" si="1"/>
        <v>0.58004719454640796</v>
      </c>
      <c r="K23" s="103">
        <f>IF(SUM(K24:K35)&lt;&gt;VLOOKUP($B23,MMWR_TRAD_AGG_ST_DISTRICT_COMP[],K$1,0),"ERROR",
VLOOKUP($B23,MMWR_TRAD_AGG_ST_DISTRICT_COMP[],K$1,0))</f>
        <v>10207</v>
      </c>
      <c r="L23" s="103">
        <f>IF(SUM(L24:L35)&lt;&gt;VLOOKUP($B23,MMWR_TRAD_AGG_ST_DISTRICT_COMP[],L$1,0),"ERROR",
VLOOKUP($B23,MMWR_TRAD_AGG_ST_DISTRICT_COMP[],L$1,0))</f>
        <v>8437</v>
      </c>
      <c r="M23" s="106">
        <f t="shared" si="2"/>
        <v>0.82658959537572252</v>
      </c>
      <c r="N23" s="103">
        <f>IF(SUM(N24:N35)&lt;&gt;VLOOKUP($B23,MMWR_TRAD_AGG_ST_DISTRICT_COMP[],N$1,0),"ERROR",
VLOOKUP($B23,MMWR_TRAD_AGG_ST_DISTRICT_COMP[],N$1,0))</f>
        <v>21188</v>
      </c>
      <c r="O23" s="103">
        <f>IF(SUM(O24:O35)&lt;&gt;VLOOKUP($B23,MMWR_TRAD_AGG_ST_DISTRICT_COMP[],O$1,0),"ERROR",
VLOOKUP($B23,MMWR_TRAD_AGG_ST_DISTRICT_COMP[],O$1,0))</f>
        <v>15064</v>
      </c>
      <c r="P23" s="106">
        <f t="shared" si="3"/>
        <v>0.71096847272040775</v>
      </c>
      <c r="Q23" s="103">
        <f>IF(SUM(Q24:Q35)&lt;&gt;VLOOKUP($B23,MMWR_TRAD_AGG_ST_DISTRICT_COMP[],Q$1,0),"ERROR",
VLOOKUP($B23,MMWR_TRAD_AGG_ST_DISTRICT_COMP[],Q$1,0))</f>
        <v>160</v>
      </c>
      <c r="R23" s="103">
        <f>IF(SUM(R24:R35)&lt;&gt;VLOOKUP($B23,MMWR_TRAD_AGG_ST_DISTRICT_COMP[],R$1,0),"ERROR",
VLOOKUP($B23,MMWR_TRAD_AGG_ST_DISTRICT_COMP[],R$1,0))</f>
        <v>1205</v>
      </c>
      <c r="S23" s="107">
        <f>SUM(S24:S35)</f>
        <v>52627</v>
      </c>
      <c r="T23" s="28"/>
    </row>
    <row r="24" spans="1:20" s="124" customFormat="1" x14ac:dyDescent="0.2">
      <c r="A24" s="93"/>
      <c r="B24" s="128" t="s">
        <v>404</v>
      </c>
      <c r="C24" s="110">
        <f>IFERROR(VLOOKUP($B24,MMWR_TRAD_AGG_STATE_COMP[],C$1,0),"ERROR")</f>
        <v>8099</v>
      </c>
      <c r="D24" s="111">
        <f>IFERROR(VLOOKUP($B24,MMWR_TRAD_AGG_STATE_COMP[],D$1,0),"ERROR")</f>
        <v>468.23891838499998</v>
      </c>
      <c r="E24" s="112">
        <f>IFERROR(VLOOKUP($B24,MMWR_TRAD_AGG_STATE_COMP[],E$1,0),"ERROR")</f>
        <v>8012</v>
      </c>
      <c r="F24" s="113">
        <f>IFERROR(VLOOKUP($B24,MMWR_TRAD_AGG_STATE_COMP[],F$1,0),"ERROR")</f>
        <v>2899</v>
      </c>
      <c r="G24" s="114">
        <f t="shared" si="0"/>
        <v>0.36183225162256616</v>
      </c>
      <c r="H24" s="112">
        <f>IFERROR(VLOOKUP($B24,MMWR_TRAD_AGG_STATE_COMP[],H$1,0),"ERROR")</f>
        <v>10531</v>
      </c>
      <c r="I24" s="113">
        <f>IFERROR(VLOOKUP($B24,MMWR_TRAD_AGG_STATE_COMP[],I$1,0),"ERROR")</f>
        <v>7457</v>
      </c>
      <c r="J24" s="115">
        <f t="shared" si="1"/>
        <v>0.70809989554648178</v>
      </c>
      <c r="K24" s="112">
        <f>IFERROR(VLOOKUP($B24,MMWR_TRAD_AGG_STATE_COMP[],K$1,0),"ERROR")</f>
        <v>1517</v>
      </c>
      <c r="L24" s="113">
        <f>IFERROR(VLOOKUP($B24,MMWR_TRAD_AGG_STATE_COMP[],L$1,0),"ERROR")</f>
        <v>1371</v>
      </c>
      <c r="M24" s="115">
        <f t="shared" si="2"/>
        <v>0.90375741595253789</v>
      </c>
      <c r="N24" s="112">
        <f>IFERROR(VLOOKUP($B24,MMWR_TRAD_AGG_STATE_COMP[],N$1,0),"ERROR")</f>
        <v>3194</v>
      </c>
      <c r="O24" s="113">
        <f>IFERROR(VLOOKUP($B24,MMWR_TRAD_AGG_STATE_COMP[],O$1,0),"ERROR")</f>
        <v>2477</v>
      </c>
      <c r="P24" s="115">
        <f t="shared" si="3"/>
        <v>0.77551659361302439</v>
      </c>
      <c r="Q24" s="116">
        <f>IFERROR(VLOOKUP($B24,MMWR_TRAD_AGG_STATE_COMP[],Q$1,0),"ERROR")</f>
        <v>29</v>
      </c>
      <c r="R24" s="116">
        <f>IFERROR(VLOOKUP($B24,MMWR_TRAD_AGG_STATE_COMP[],R$1,0),"ERROR")</f>
        <v>281</v>
      </c>
      <c r="S24" s="116">
        <f>IFERROR(VLOOKUP($B24,MMWR_APP_STATE_COMP[],S$1,0),"ERROR")</f>
        <v>7565</v>
      </c>
      <c r="T24" s="28"/>
    </row>
    <row r="25" spans="1:20" s="124" customFormat="1" x14ac:dyDescent="0.2">
      <c r="A25" s="108"/>
      <c r="B25" s="128" t="s">
        <v>402</v>
      </c>
      <c r="C25" s="110">
        <f>IFERROR(VLOOKUP($B25,MMWR_TRAD_AGG_STATE_COMP[],C$1,0),"ERROR")</f>
        <v>7409</v>
      </c>
      <c r="D25" s="111">
        <f>IFERROR(VLOOKUP($B25,MMWR_TRAD_AGG_STATE_COMP[],D$1,0),"ERROR")</f>
        <v>609.19246861919999</v>
      </c>
      <c r="E25" s="112">
        <f>IFERROR(VLOOKUP($B25,MMWR_TRAD_AGG_STATE_COMP[],E$1,0),"ERROR")</f>
        <v>5356</v>
      </c>
      <c r="F25" s="113">
        <f>IFERROR(VLOOKUP($B25,MMWR_TRAD_AGG_STATE_COMP[],F$1,0),"ERROR")</f>
        <v>1846</v>
      </c>
      <c r="G25" s="114">
        <f t="shared" si="0"/>
        <v>0.3446601941747573</v>
      </c>
      <c r="H25" s="112">
        <f>IFERROR(VLOOKUP($B25,MMWR_TRAD_AGG_STATE_COMP[],H$1,0),"ERROR")</f>
        <v>9674</v>
      </c>
      <c r="I25" s="113">
        <f>IFERROR(VLOOKUP($B25,MMWR_TRAD_AGG_STATE_COMP[],I$1,0),"ERROR")</f>
        <v>7204</v>
      </c>
      <c r="J25" s="115">
        <f t="shared" si="1"/>
        <v>0.74467645234649571</v>
      </c>
      <c r="K25" s="112">
        <f>IFERROR(VLOOKUP($B25,MMWR_TRAD_AGG_STATE_COMP[],K$1,0),"ERROR")</f>
        <v>1172</v>
      </c>
      <c r="L25" s="113">
        <f>IFERROR(VLOOKUP($B25,MMWR_TRAD_AGG_STATE_COMP[],L$1,0),"ERROR")</f>
        <v>1020</v>
      </c>
      <c r="M25" s="115">
        <f t="shared" si="2"/>
        <v>0.87030716723549484</v>
      </c>
      <c r="N25" s="112">
        <f>IFERROR(VLOOKUP($B25,MMWR_TRAD_AGG_STATE_COMP[],N$1,0),"ERROR")</f>
        <v>2222</v>
      </c>
      <c r="O25" s="113">
        <f>IFERROR(VLOOKUP($B25,MMWR_TRAD_AGG_STATE_COMP[],O$1,0),"ERROR")</f>
        <v>1584</v>
      </c>
      <c r="P25" s="115">
        <f t="shared" si="3"/>
        <v>0.71287128712871284</v>
      </c>
      <c r="Q25" s="116">
        <f>IFERROR(VLOOKUP($B25,MMWR_TRAD_AGG_STATE_COMP[],Q$1,0),"ERROR")</f>
        <v>17</v>
      </c>
      <c r="R25" s="116">
        <f>IFERROR(VLOOKUP($B25,MMWR_TRAD_AGG_STATE_COMP[],R$1,0),"ERROR")</f>
        <v>198</v>
      </c>
      <c r="S25" s="116">
        <f>IFERROR(VLOOKUP($B25,MMWR_APP_STATE_COMP[],S$1,0),"ERROR")</f>
        <v>7921</v>
      </c>
      <c r="T25" s="28"/>
    </row>
    <row r="26" spans="1:20" s="124" customFormat="1" x14ac:dyDescent="0.2">
      <c r="A26" s="108"/>
      <c r="B26" s="128" t="s">
        <v>409</v>
      </c>
      <c r="C26" s="110">
        <f>IFERROR(VLOOKUP($B26,MMWR_TRAD_AGG_STATE_COMP[],C$1,0),"ERROR")</f>
        <v>1912</v>
      </c>
      <c r="D26" s="111">
        <f>IFERROR(VLOOKUP($B26,MMWR_TRAD_AGG_STATE_COMP[],D$1,0),"ERROR")</f>
        <v>168.55805439330001</v>
      </c>
      <c r="E26" s="112">
        <f>IFERROR(VLOOKUP($B26,MMWR_TRAD_AGG_STATE_COMP[],E$1,0),"ERROR")</f>
        <v>2669</v>
      </c>
      <c r="F26" s="113">
        <f>IFERROR(VLOOKUP($B26,MMWR_TRAD_AGG_STATE_COMP[],F$1,0),"ERROR")</f>
        <v>674</v>
      </c>
      <c r="G26" s="114">
        <f t="shared" si="0"/>
        <v>0.25252903709254404</v>
      </c>
      <c r="H26" s="112">
        <f>IFERROR(VLOOKUP($B26,MMWR_TRAD_AGG_STATE_COMP[],H$1,0),"ERROR")</f>
        <v>3412</v>
      </c>
      <c r="I26" s="113">
        <f>IFERROR(VLOOKUP($B26,MMWR_TRAD_AGG_STATE_COMP[],I$1,0),"ERROR")</f>
        <v>1434</v>
      </c>
      <c r="J26" s="115">
        <f t="shared" si="1"/>
        <v>0.42028135990621335</v>
      </c>
      <c r="K26" s="112">
        <f>IFERROR(VLOOKUP($B26,MMWR_TRAD_AGG_STATE_COMP[],K$1,0),"ERROR")</f>
        <v>274</v>
      </c>
      <c r="L26" s="113">
        <f>IFERROR(VLOOKUP($B26,MMWR_TRAD_AGG_STATE_COMP[],L$1,0),"ERROR")</f>
        <v>220</v>
      </c>
      <c r="M26" s="115">
        <f t="shared" si="2"/>
        <v>0.8029197080291971</v>
      </c>
      <c r="N26" s="112">
        <f>IFERROR(VLOOKUP($B26,MMWR_TRAD_AGG_STATE_COMP[],N$1,0),"ERROR")</f>
        <v>1232</v>
      </c>
      <c r="O26" s="113">
        <f>IFERROR(VLOOKUP($B26,MMWR_TRAD_AGG_STATE_COMP[],O$1,0),"ERROR")</f>
        <v>1045</v>
      </c>
      <c r="P26" s="115">
        <f t="shared" si="3"/>
        <v>0.8482142857142857</v>
      </c>
      <c r="Q26" s="116">
        <f>IFERROR(VLOOKUP($B26,MMWR_TRAD_AGG_STATE_COMP[],Q$1,0),"ERROR")</f>
        <v>2</v>
      </c>
      <c r="R26" s="116">
        <f>IFERROR(VLOOKUP($B26,MMWR_TRAD_AGG_STATE_COMP[],R$1,0),"ERROR")</f>
        <v>12</v>
      </c>
      <c r="S26" s="116">
        <f>IFERROR(VLOOKUP($B26,MMWR_APP_STATE_COMP[],S$1,0),"ERROR")</f>
        <v>1261</v>
      </c>
      <c r="T26" s="28"/>
    </row>
    <row r="27" spans="1:20" s="124" customFormat="1" x14ac:dyDescent="0.2">
      <c r="A27" s="108"/>
      <c r="B27" s="128" t="s">
        <v>432</v>
      </c>
      <c r="C27" s="110">
        <f>IFERROR(VLOOKUP($B27,MMWR_TRAD_AGG_STATE_COMP[],C$1,0),"ERROR")</f>
        <v>2474</v>
      </c>
      <c r="D27" s="111">
        <f>IFERROR(VLOOKUP($B27,MMWR_TRAD_AGG_STATE_COMP[],D$1,0),"ERROR")</f>
        <v>208.1160064673</v>
      </c>
      <c r="E27" s="112">
        <f>IFERROR(VLOOKUP($B27,MMWR_TRAD_AGG_STATE_COMP[],E$1,0),"ERROR")</f>
        <v>2821</v>
      </c>
      <c r="F27" s="113">
        <f>IFERROR(VLOOKUP($B27,MMWR_TRAD_AGG_STATE_COMP[],F$1,0),"ERROR")</f>
        <v>813</v>
      </c>
      <c r="G27" s="114">
        <f t="shared" si="0"/>
        <v>0.28819567529244949</v>
      </c>
      <c r="H27" s="112">
        <f>IFERROR(VLOOKUP($B27,MMWR_TRAD_AGG_STATE_COMP[],H$1,0),"ERROR")</f>
        <v>3729</v>
      </c>
      <c r="I27" s="113">
        <f>IFERROR(VLOOKUP($B27,MMWR_TRAD_AGG_STATE_COMP[],I$1,0),"ERROR")</f>
        <v>1576</v>
      </c>
      <c r="J27" s="115">
        <f t="shared" si="1"/>
        <v>0.42263341378385627</v>
      </c>
      <c r="K27" s="112">
        <f>IFERROR(VLOOKUP($B27,MMWR_TRAD_AGG_STATE_COMP[],K$1,0),"ERROR")</f>
        <v>399</v>
      </c>
      <c r="L27" s="113">
        <f>IFERROR(VLOOKUP($B27,MMWR_TRAD_AGG_STATE_COMP[],L$1,0),"ERROR")</f>
        <v>256</v>
      </c>
      <c r="M27" s="115">
        <f t="shared" si="2"/>
        <v>0.64160401002506262</v>
      </c>
      <c r="N27" s="112">
        <f>IFERROR(VLOOKUP($B27,MMWR_TRAD_AGG_STATE_COMP[],N$1,0),"ERROR")</f>
        <v>410</v>
      </c>
      <c r="O27" s="113">
        <f>IFERROR(VLOOKUP($B27,MMWR_TRAD_AGG_STATE_COMP[],O$1,0),"ERROR")</f>
        <v>228</v>
      </c>
      <c r="P27" s="115">
        <f t="shared" si="3"/>
        <v>0.55609756097560981</v>
      </c>
      <c r="Q27" s="116">
        <f>IFERROR(VLOOKUP($B27,MMWR_TRAD_AGG_STATE_COMP[],Q$1,0),"ERROR")</f>
        <v>2</v>
      </c>
      <c r="R27" s="116">
        <f>IFERROR(VLOOKUP($B27,MMWR_TRAD_AGG_STATE_COMP[],R$1,0),"ERROR")</f>
        <v>14</v>
      </c>
      <c r="S27" s="116">
        <f>IFERROR(VLOOKUP($B27,MMWR_APP_STATE_COMP[],S$1,0),"ERROR")</f>
        <v>1464</v>
      </c>
      <c r="T27" s="28"/>
    </row>
    <row r="28" spans="1:20" s="124" customFormat="1" x14ac:dyDescent="0.2">
      <c r="A28" s="108"/>
      <c r="B28" s="128" t="s">
        <v>405</v>
      </c>
      <c r="C28" s="110">
        <f>IFERROR(VLOOKUP($B28,MMWR_TRAD_AGG_STATE_COMP[],C$1,0),"ERROR")</f>
        <v>4007</v>
      </c>
      <c r="D28" s="111">
        <f>IFERROR(VLOOKUP($B28,MMWR_TRAD_AGG_STATE_COMP[],D$1,0),"ERROR")</f>
        <v>256.66059396060001</v>
      </c>
      <c r="E28" s="112">
        <f>IFERROR(VLOOKUP($B28,MMWR_TRAD_AGG_STATE_COMP[],E$1,0),"ERROR")</f>
        <v>8215</v>
      </c>
      <c r="F28" s="113">
        <f>IFERROR(VLOOKUP($B28,MMWR_TRAD_AGG_STATE_COMP[],F$1,0),"ERROR")</f>
        <v>2497</v>
      </c>
      <c r="G28" s="114">
        <f t="shared" si="0"/>
        <v>0.30395617772367622</v>
      </c>
      <c r="H28" s="112">
        <f>IFERROR(VLOOKUP($B28,MMWR_TRAD_AGG_STATE_COMP[],H$1,0),"ERROR")</f>
        <v>7393</v>
      </c>
      <c r="I28" s="113">
        <f>IFERROR(VLOOKUP($B28,MMWR_TRAD_AGG_STATE_COMP[],I$1,0),"ERROR")</f>
        <v>3607</v>
      </c>
      <c r="J28" s="115">
        <f t="shared" si="1"/>
        <v>0.48789395374002437</v>
      </c>
      <c r="K28" s="112">
        <f>IFERROR(VLOOKUP($B28,MMWR_TRAD_AGG_STATE_COMP[],K$1,0),"ERROR")</f>
        <v>936</v>
      </c>
      <c r="L28" s="113">
        <f>IFERROR(VLOOKUP($B28,MMWR_TRAD_AGG_STATE_COMP[],L$1,0),"ERROR")</f>
        <v>799</v>
      </c>
      <c r="M28" s="115">
        <f t="shared" si="2"/>
        <v>0.8536324786324786</v>
      </c>
      <c r="N28" s="112">
        <f>IFERROR(VLOOKUP($B28,MMWR_TRAD_AGG_STATE_COMP[],N$1,0),"ERROR")</f>
        <v>1267</v>
      </c>
      <c r="O28" s="113">
        <f>IFERROR(VLOOKUP($B28,MMWR_TRAD_AGG_STATE_COMP[],O$1,0),"ERROR")</f>
        <v>785</v>
      </c>
      <c r="P28" s="115">
        <f t="shared" si="3"/>
        <v>0.61957379636937648</v>
      </c>
      <c r="Q28" s="116">
        <f>IFERROR(VLOOKUP($B28,MMWR_TRAD_AGG_STATE_COMP[],Q$1,0),"ERROR")</f>
        <v>29</v>
      </c>
      <c r="R28" s="116">
        <f>IFERROR(VLOOKUP($B28,MMWR_TRAD_AGG_STATE_COMP[],R$1,0),"ERROR")</f>
        <v>205</v>
      </c>
      <c r="S28" s="116">
        <f>IFERROR(VLOOKUP($B28,MMWR_APP_STATE_COMP[],S$1,0),"ERROR")</f>
        <v>6479</v>
      </c>
      <c r="T28" s="28"/>
    </row>
    <row r="29" spans="1:20" s="124" customFormat="1" x14ac:dyDescent="0.2">
      <c r="A29" s="108"/>
      <c r="B29" s="128" t="s">
        <v>411</v>
      </c>
      <c r="C29" s="110">
        <f>IFERROR(VLOOKUP($B29,MMWR_TRAD_AGG_STATE_COMP[],C$1,0),"ERROR")</f>
        <v>3084</v>
      </c>
      <c r="D29" s="111">
        <f>IFERROR(VLOOKUP($B29,MMWR_TRAD_AGG_STATE_COMP[],D$1,0),"ERROR")</f>
        <v>123.40953307389999</v>
      </c>
      <c r="E29" s="112">
        <f>IFERROR(VLOOKUP($B29,MMWR_TRAD_AGG_STATE_COMP[],E$1,0),"ERROR")</f>
        <v>5618</v>
      </c>
      <c r="F29" s="113">
        <f>IFERROR(VLOOKUP($B29,MMWR_TRAD_AGG_STATE_COMP[],F$1,0),"ERROR")</f>
        <v>1407</v>
      </c>
      <c r="G29" s="114">
        <f t="shared" si="0"/>
        <v>0.2504449982200071</v>
      </c>
      <c r="H29" s="112">
        <f>IFERROR(VLOOKUP($B29,MMWR_TRAD_AGG_STATE_COMP[],H$1,0),"ERROR")</f>
        <v>6264</v>
      </c>
      <c r="I29" s="113">
        <f>IFERROR(VLOOKUP($B29,MMWR_TRAD_AGG_STATE_COMP[],I$1,0),"ERROR")</f>
        <v>1508</v>
      </c>
      <c r="J29" s="115">
        <f t="shared" si="1"/>
        <v>0.24074074074074073</v>
      </c>
      <c r="K29" s="112">
        <f>IFERROR(VLOOKUP($B29,MMWR_TRAD_AGG_STATE_COMP[],K$1,0),"ERROR")</f>
        <v>369</v>
      </c>
      <c r="L29" s="113">
        <f>IFERROR(VLOOKUP($B29,MMWR_TRAD_AGG_STATE_COMP[],L$1,0),"ERROR")</f>
        <v>270</v>
      </c>
      <c r="M29" s="115">
        <f t="shared" si="2"/>
        <v>0.73170731707317072</v>
      </c>
      <c r="N29" s="112">
        <f>IFERROR(VLOOKUP($B29,MMWR_TRAD_AGG_STATE_COMP[],N$1,0),"ERROR")</f>
        <v>1071</v>
      </c>
      <c r="O29" s="113">
        <f>IFERROR(VLOOKUP($B29,MMWR_TRAD_AGG_STATE_COMP[],O$1,0),"ERROR")</f>
        <v>396</v>
      </c>
      <c r="P29" s="115">
        <f t="shared" si="3"/>
        <v>0.36974789915966388</v>
      </c>
      <c r="Q29" s="116">
        <f>IFERROR(VLOOKUP($B29,MMWR_TRAD_AGG_STATE_COMP[],Q$1,0),"ERROR")</f>
        <v>6</v>
      </c>
      <c r="R29" s="116">
        <f>IFERROR(VLOOKUP($B29,MMWR_TRAD_AGG_STATE_COMP[],R$1,0),"ERROR")</f>
        <v>3</v>
      </c>
      <c r="S29" s="116">
        <f>IFERROR(VLOOKUP($B29,MMWR_APP_STATE_COMP[],S$1,0),"ERROR")</f>
        <v>2213</v>
      </c>
      <c r="T29" s="28"/>
    </row>
    <row r="30" spans="1:20" s="124" customFormat="1" x14ac:dyDescent="0.2">
      <c r="A30" s="108"/>
      <c r="B30" s="128" t="s">
        <v>407</v>
      </c>
      <c r="C30" s="110">
        <f>IFERROR(VLOOKUP($B30,MMWR_TRAD_AGG_STATE_COMP[],C$1,0),"ERROR")</f>
        <v>6103</v>
      </c>
      <c r="D30" s="111">
        <f>IFERROR(VLOOKUP($B30,MMWR_TRAD_AGG_STATE_COMP[],D$1,0),"ERROR")</f>
        <v>277.94871374730002</v>
      </c>
      <c r="E30" s="112">
        <f>IFERROR(VLOOKUP($B30,MMWR_TRAD_AGG_STATE_COMP[],E$1,0),"ERROR")</f>
        <v>5555</v>
      </c>
      <c r="F30" s="113">
        <f>IFERROR(VLOOKUP($B30,MMWR_TRAD_AGG_STATE_COMP[],F$1,0),"ERROR")</f>
        <v>1666</v>
      </c>
      <c r="G30" s="114">
        <f t="shared" si="0"/>
        <v>0.29990999099909993</v>
      </c>
      <c r="H30" s="112">
        <f>IFERROR(VLOOKUP($B30,MMWR_TRAD_AGG_STATE_COMP[],H$1,0),"ERROR")</f>
        <v>9116</v>
      </c>
      <c r="I30" s="113">
        <f>IFERROR(VLOOKUP($B30,MMWR_TRAD_AGG_STATE_COMP[],I$1,0),"ERROR")</f>
        <v>5546</v>
      </c>
      <c r="J30" s="115">
        <f t="shared" si="1"/>
        <v>0.60838086880210618</v>
      </c>
      <c r="K30" s="112">
        <f>IFERROR(VLOOKUP($B30,MMWR_TRAD_AGG_STATE_COMP[],K$1,0),"ERROR")</f>
        <v>2220</v>
      </c>
      <c r="L30" s="113">
        <f>IFERROR(VLOOKUP($B30,MMWR_TRAD_AGG_STATE_COMP[],L$1,0),"ERROR")</f>
        <v>2069</v>
      </c>
      <c r="M30" s="115">
        <f t="shared" si="2"/>
        <v>0.93198198198198201</v>
      </c>
      <c r="N30" s="112">
        <f>IFERROR(VLOOKUP($B30,MMWR_TRAD_AGG_STATE_COMP[],N$1,0),"ERROR")</f>
        <v>6049</v>
      </c>
      <c r="O30" s="113">
        <f>IFERROR(VLOOKUP($B30,MMWR_TRAD_AGG_STATE_COMP[],O$1,0),"ERROR")</f>
        <v>4545</v>
      </c>
      <c r="P30" s="115">
        <f t="shared" si="3"/>
        <v>0.75136386179533809</v>
      </c>
      <c r="Q30" s="116">
        <f>IFERROR(VLOOKUP($B30,MMWR_TRAD_AGG_STATE_COMP[],Q$1,0),"ERROR")</f>
        <v>16</v>
      </c>
      <c r="R30" s="116">
        <f>IFERROR(VLOOKUP($B30,MMWR_TRAD_AGG_STATE_COMP[],R$1,0),"ERROR")</f>
        <v>125</v>
      </c>
      <c r="S30" s="116">
        <f>IFERROR(VLOOKUP($B30,MMWR_APP_STATE_COMP[],S$1,0),"ERROR")</f>
        <v>6815</v>
      </c>
      <c r="T30" s="28"/>
    </row>
    <row r="31" spans="1:20" s="124" customFormat="1" x14ac:dyDescent="0.2">
      <c r="A31" s="108"/>
      <c r="B31" s="128" t="s">
        <v>410</v>
      </c>
      <c r="C31" s="110">
        <f>IFERROR(VLOOKUP($B31,MMWR_TRAD_AGG_STATE_COMP[],C$1,0),"ERROR")</f>
        <v>1746</v>
      </c>
      <c r="D31" s="111">
        <f>IFERROR(VLOOKUP($B31,MMWR_TRAD_AGG_STATE_COMP[],D$1,0),"ERROR")</f>
        <v>172.69873997709999</v>
      </c>
      <c r="E31" s="112">
        <f>IFERROR(VLOOKUP($B31,MMWR_TRAD_AGG_STATE_COMP[],E$1,0),"ERROR")</f>
        <v>2399</v>
      </c>
      <c r="F31" s="113">
        <f>IFERROR(VLOOKUP($B31,MMWR_TRAD_AGG_STATE_COMP[],F$1,0),"ERROR")</f>
        <v>465</v>
      </c>
      <c r="G31" s="114">
        <f t="shared" si="0"/>
        <v>0.19383076281784076</v>
      </c>
      <c r="H31" s="112">
        <f>IFERROR(VLOOKUP($B31,MMWR_TRAD_AGG_STATE_COMP[],H$1,0),"ERROR")</f>
        <v>2693</v>
      </c>
      <c r="I31" s="113">
        <f>IFERROR(VLOOKUP($B31,MMWR_TRAD_AGG_STATE_COMP[],I$1,0),"ERROR")</f>
        <v>856</v>
      </c>
      <c r="J31" s="115">
        <f t="shared" si="1"/>
        <v>0.31786112142591905</v>
      </c>
      <c r="K31" s="112">
        <f>IFERROR(VLOOKUP($B31,MMWR_TRAD_AGG_STATE_COMP[],K$1,0),"ERROR")</f>
        <v>591</v>
      </c>
      <c r="L31" s="113">
        <f>IFERROR(VLOOKUP($B31,MMWR_TRAD_AGG_STATE_COMP[],L$1,0),"ERROR")</f>
        <v>462</v>
      </c>
      <c r="M31" s="115">
        <f t="shared" si="2"/>
        <v>0.78172588832487311</v>
      </c>
      <c r="N31" s="112">
        <f>IFERROR(VLOOKUP($B31,MMWR_TRAD_AGG_STATE_COMP[],N$1,0),"ERROR")</f>
        <v>314</v>
      </c>
      <c r="O31" s="113">
        <f>IFERROR(VLOOKUP($B31,MMWR_TRAD_AGG_STATE_COMP[],O$1,0),"ERROR")</f>
        <v>145</v>
      </c>
      <c r="P31" s="115">
        <f t="shared" si="3"/>
        <v>0.46178343949044587</v>
      </c>
      <c r="Q31" s="116">
        <f>IFERROR(VLOOKUP($B31,MMWR_TRAD_AGG_STATE_COMP[],Q$1,0),"ERROR")</f>
        <v>0</v>
      </c>
      <c r="R31" s="116">
        <f>IFERROR(VLOOKUP($B31,MMWR_TRAD_AGG_STATE_COMP[],R$1,0),"ERROR")</f>
        <v>14</v>
      </c>
      <c r="S31" s="116">
        <f>IFERROR(VLOOKUP($B31,MMWR_APP_STATE_COMP[],S$1,0),"ERROR")</f>
        <v>1596</v>
      </c>
      <c r="T31" s="28"/>
    </row>
    <row r="32" spans="1:20" s="124" customFormat="1" x14ac:dyDescent="0.2">
      <c r="A32" s="108"/>
      <c r="B32" s="128" t="s">
        <v>429</v>
      </c>
      <c r="C32" s="110">
        <f>IFERROR(VLOOKUP($B32,MMWR_TRAD_AGG_STATE_COMP[],C$1,0),"ERROR")</f>
        <v>286</v>
      </c>
      <c r="D32" s="111">
        <f>IFERROR(VLOOKUP($B32,MMWR_TRAD_AGG_STATE_COMP[],D$1,0),"ERROR")</f>
        <v>209.89860139859999</v>
      </c>
      <c r="E32" s="112">
        <f>IFERROR(VLOOKUP($B32,MMWR_TRAD_AGG_STATE_COMP[],E$1,0),"ERROR")</f>
        <v>716</v>
      </c>
      <c r="F32" s="113">
        <f>IFERROR(VLOOKUP($B32,MMWR_TRAD_AGG_STATE_COMP[],F$1,0),"ERROR")</f>
        <v>185</v>
      </c>
      <c r="G32" s="114">
        <f t="shared" si="0"/>
        <v>0.25837988826815644</v>
      </c>
      <c r="H32" s="112">
        <f>IFERROR(VLOOKUP($B32,MMWR_TRAD_AGG_STATE_COMP[],H$1,0),"ERROR")</f>
        <v>832</v>
      </c>
      <c r="I32" s="113">
        <f>IFERROR(VLOOKUP($B32,MMWR_TRAD_AGG_STATE_COMP[],I$1,0),"ERROR")</f>
        <v>171</v>
      </c>
      <c r="J32" s="115">
        <f t="shared" si="1"/>
        <v>0.20552884615384615</v>
      </c>
      <c r="K32" s="112">
        <f>IFERROR(VLOOKUP($B32,MMWR_TRAD_AGG_STATE_COMP[],K$1,0),"ERROR")</f>
        <v>72</v>
      </c>
      <c r="L32" s="113">
        <f>IFERROR(VLOOKUP($B32,MMWR_TRAD_AGG_STATE_COMP[],L$1,0),"ERROR")</f>
        <v>44</v>
      </c>
      <c r="M32" s="115">
        <f t="shared" si="2"/>
        <v>0.61111111111111116</v>
      </c>
      <c r="N32" s="112">
        <f>IFERROR(VLOOKUP($B32,MMWR_TRAD_AGG_STATE_COMP[],N$1,0),"ERROR")</f>
        <v>85</v>
      </c>
      <c r="O32" s="113">
        <f>IFERROR(VLOOKUP($B32,MMWR_TRAD_AGG_STATE_COMP[],O$1,0),"ERROR")</f>
        <v>33</v>
      </c>
      <c r="P32" s="115">
        <f t="shared" si="3"/>
        <v>0.38823529411764707</v>
      </c>
      <c r="Q32" s="116">
        <f>IFERROR(VLOOKUP($B32,MMWR_TRAD_AGG_STATE_COMP[],Q$1,0),"ERROR")</f>
        <v>0</v>
      </c>
      <c r="R32" s="116">
        <f>IFERROR(VLOOKUP($B32,MMWR_TRAD_AGG_STATE_COMP[],R$1,0),"ERROR")</f>
        <v>1</v>
      </c>
      <c r="S32" s="116">
        <f>IFERROR(VLOOKUP($B32,MMWR_APP_STATE_COMP[],S$1,0),"ERROR")</f>
        <v>366</v>
      </c>
      <c r="T32" s="28"/>
    </row>
    <row r="33" spans="1:20" s="124" customFormat="1" x14ac:dyDescent="0.2">
      <c r="A33" s="108"/>
      <c r="B33" s="128" t="s">
        <v>401</v>
      </c>
      <c r="C33" s="110">
        <f>IFERROR(VLOOKUP($B33,MMWR_TRAD_AGG_STATE_COMP[],C$1,0),"ERROR")</f>
        <v>10453</v>
      </c>
      <c r="D33" s="111">
        <f>IFERROR(VLOOKUP($B33,MMWR_TRAD_AGG_STATE_COMP[],D$1,0),"ERROR")</f>
        <v>499.80914569980001</v>
      </c>
      <c r="E33" s="112">
        <f>IFERROR(VLOOKUP($B33,MMWR_TRAD_AGG_STATE_COMP[],E$1,0),"ERROR")</f>
        <v>8548</v>
      </c>
      <c r="F33" s="113">
        <f>IFERROR(VLOOKUP($B33,MMWR_TRAD_AGG_STATE_COMP[],F$1,0),"ERROR")</f>
        <v>2590</v>
      </c>
      <c r="G33" s="114">
        <f t="shared" si="0"/>
        <v>0.30299485259709874</v>
      </c>
      <c r="H33" s="112">
        <f>IFERROR(VLOOKUP($B33,MMWR_TRAD_AGG_STATE_COMP[],H$1,0),"ERROR")</f>
        <v>13868</v>
      </c>
      <c r="I33" s="113">
        <f>IFERROR(VLOOKUP($B33,MMWR_TRAD_AGG_STATE_COMP[],I$1,0),"ERROR")</f>
        <v>10713</v>
      </c>
      <c r="J33" s="115">
        <f t="shared" si="1"/>
        <v>0.77249783674646666</v>
      </c>
      <c r="K33" s="112">
        <f>IFERROR(VLOOKUP($B33,MMWR_TRAD_AGG_STATE_COMP[],K$1,0),"ERROR")</f>
        <v>1634</v>
      </c>
      <c r="L33" s="113">
        <f>IFERROR(VLOOKUP($B33,MMWR_TRAD_AGG_STATE_COMP[],L$1,0),"ERROR")</f>
        <v>1551</v>
      </c>
      <c r="M33" s="115">
        <f t="shared" si="2"/>
        <v>0.94920440636474912</v>
      </c>
      <c r="N33" s="112">
        <f>IFERROR(VLOOKUP($B33,MMWR_TRAD_AGG_STATE_COMP[],N$1,0),"ERROR")</f>
        <v>4563</v>
      </c>
      <c r="O33" s="113">
        <f>IFERROR(VLOOKUP($B33,MMWR_TRAD_AGG_STATE_COMP[],O$1,0),"ERROR")</f>
        <v>3495</v>
      </c>
      <c r="P33" s="115">
        <f t="shared" si="3"/>
        <v>0.76594345825115051</v>
      </c>
      <c r="Q33" s="116">
        <f>IFERROR(VLOOKUP($B33,MMWR_TRAD_AGG_STATE_COMP[],Q$1,0),"ERROR")</f>
        <v>49</v>
      </c>
      <c r="R33" s="116">
        <f>IFERROR(VLOOKUP($B33,MMWR_TRAD_AGG_STATE_COMP[],R$1,0),"ERROR")</f>
        <v>343</v>
      </c>
      <c r="S33" s="116">
        <f>IFERROR(VLOOKUP($B33,MMWR_APP_STATE_COMP[],S$1,0),"ERROR")</f>
        <v>13670</v>
      </c>
      <c r="T33" s="28"/>
    </row>
    <row r="34" spans="1:20" s="124" customFormat="1" x14ac:dyDescent="0.2">
      <c r="A34" s="108"/>
      <c r="B34" s="128" t="s">
        <v>430</v>
      </c>
      <c r="C34" s="110">
        <f>IFERROR(VLOOKUP($B34,MMWR_TRAD_AGG_STATE_COMP[],C$1,0),"ERROR")</f>
        <v>999</v>
      </c>
      <c r="D34" s="111">
        <f>IFERROR(VLOOKUP($B34,MMWR_TRAD_AGG_STATE_COMP[],D$1,0),"ERROR")</f>
        <v>123.84684684680001</v>
      </c>
      <c r="E34" s="112">
        <f>IFERROR(VLOOKUP($B34,MMWR_TRAD_AGG_STATE_COMP[],E$1,0),"ERROR")</f>
        <v>955</v>
      </c>
      <c r="F34" s="113">
        <f>IFERROR(VLOOKUP($B34,MMWR_TRAD_AGG_STATE_COMP[],F$1,0),"ERROR")</f>
        <v>263</v>
      </c>
      <c r="G34" s="114">
        <f t="shared" si="0"/>
        <v>0.27539267015706809</v>
      </c>
      <c r="H34" s="112">
        <f>IFERROR(VLOOKUP($B34,MMWR_TRAD_AGG_STATE_COMP[],H$1,0),"ERROR")</f>
        <v>1349</v>
      </c>
      <c r="I34" s="113">
        <f>IFERROR(VLOOKUP($B34,MMWR_TRAD_AGG_STATE_COMP[],I$1,0),"ERROR")</f>
        <v>304</v>
      </c>
      <c r="J34" s="115">
        <f t="shared" si="1"/>
        <v>0.22535211267605634</v>
      </c>
      <c r="K34" s="112">
        <f>IFERROR(VLOOKUP($B34,MMWR_TRAD_AGG_STATE_COMP[],K$1,0),"ERROR")</f>
        <v>697</v>
      </c>
      <c r="L34" s="113">
        <f>IFERROR(VLOOKUP($B34,MMWR_TRAD_AGG_STATE_COMP[],L$1,0),"ERROR")</f>
        <v>119</v>
      </c>
      <c r="M34" s="115">
        <f t="shared" si="2"/>
        <v>0.17073170731707318</v>
      </c>
      <c r="N34" s="112">
        <f>IFERROR(VLOOKUP($B34,MMWR_TRAD_AGG_STATE_COMP[],N$1,0),"ERROR")</f>
        <v>113</v>
      </c>
      <c r="O34" s="113">
        <f>IFERROR(VLOOKUP($B34,MMWR_TRAD_AGG_STATE_COMP[],O$1,0),"ERROR")</f>
        <v>44</v>
      </c>
      <c r="P34" s="115">
        <f t="shared" si="3"/>
        <v>0.38938053097345132</v>
      </c>
      <c r="Q34" s="116">
        <f>IFERROR(VLOOKUP($B34,MMWR_TRAD_AGG_STATE_COMP[],Q$1,0),"ERROR")</f>
        <v>1</v>
      </c>
      <c r="R34" s="116">
        <f>IFERROR(VLOOKUP($B34,MMWR_TRAD_AGG_STATE_COMP[],R$1,0),"ERROR")</f>
        <v>1</v>
      </c>
      <c r="S34" s="116">
        <f>IFERROR(VLOOKUP($B34,MMWR_APP_STATE_COMP[],S$1,0),"ERROR")</f>
        <v>206</v>
      </c>
      <c r="T34" s="28"/>
    </row>
    <row r="35" spans="1:20" s="124" customFormat="1" x14ac:dyDescent="0.2">
      <c r="A35" s="108"/>
      <c r="B35" s="128" t="s">
        <v>406</v>
      </c>
      <c r="C35" s="110">
        <f>IFERROR(VLOOKUP($B35,MMWR_TRAD_AGG_STATE_COMP[],C$1,0),"ERROR")</f>
        <v>5542</v>
      </c>
      <c r="D35" s="111">
        <f>IFERROR(VLOOKUP($B35,MMWR_TRAD_AGG_STATE_COMP[],D$1,0),"ERROR")</f>
        <v>221.29321544570001</v>
      </c>
      <c r="E35" s="112">
        <f>IFERROR(VLOOKUP($B35,MMWR_TRAD_AGG_STATE_COMP[],E$1,0),"ERROR")</f>
        <v>4071</v>
      </c>
      <c r="F35" s="113">
        <f>IFERROR(VLOOKUP($B35,MMWR_TRAD_AGG_STATE_COMP[],F$1,0),"ERROR")</f>
        <v>1204</v>
      </c>
      <c r="G35" s="114">
        <f t="shared" si="0"/>
        <v>0.29575042986981087</v>
      </c>
      <c r="H35" s="112">
        <f>IFERROR(VLOOKUP($B35,MMWR_TRAD_AGG_STATE_COMP[],H$1,0),"ERROR")</f>
        <v>7419</v>
      </c>
      <c r="I35" s="113">
        <f>IFERROR(VLOOKUP($B35,MMWR_TRAD_AGG_STATE_COMP[],I$1,0),"ERROR")</f>
        <v>3870</v>
      </c>
      <c r="J35" s="115">
        <f t="shared" si="1"/>
        <v>0.52163364334816009</v>
      </c>
      <c r="K35" s="112">
        <f>IFERROR(VLOOKUP($B35,MMWR_TRAD_AGG_STATE_COMP[],K$1,0),"ERROR")</f>
        <v>326</v>
      </c>
      <c r="L35" s="113">
        <f>IFERROR(VLOOKUP($B35,MMWR_TRAD_AGG_STATE_COMP[],L$1,0),"ERROR")</f>
        <v>256</v>
      </c>
      <c r="M35" s="115">
        <f t="shared" si="2"/>
        <v>0.78527607361963192</v>
      </c>
      <c r="N35" s="112">
        <f>IFERROR(VLOOKUP($B35,MMWR_TRAD_AGG_STATE_COMP[],N$1,0),"ERROR")</f>
        <v>668</v>
      </c>
      <c r="O35" s="113">
        <f>IFERROR(VLOOKUP($B35,MMWR_TRAD_AGG_STATE_COMP[],O$1,0),"ERROR")</f>
        <v>287</v>
      </c>
      <c r="P35" s="115">
        <f t="shared" si="3"/>
        <v>0.42964071856287422</v>
      </c>
      <c r="Q35" s="116">
        <f>IFERROR(VLOOKUP($B35,MMWR_TRAD_AGG_STATE_COMP[],Q$1,0),"ERROR")</f>
        <v>9</v>
      </c>
      <c r="R35" s="116">
        <f>IFERROR(VLOOKUP($B35,MMWR_TRAD_AGG_STATE_COMP[],R$1,0),"ERROR")</f>
        <v>8</v>
      </c>
      <c r="S35" s="116">
        <f>IFERROR(VLOOKUP($B35,MMWR_APP_STATE_COMP[],S$1,0),"ERROR")</f>
        <v>3071</v>
      </c>
      <c r="T35" s="28"/>
    </row>
    <row r="36" spans="1:20" s="124" customFormat="1" x14ac:dyDescent="0.2">
      <c r="A36" s="28"/>
      <c r="B36" s="127" t="s">
        <v>395</v>
      </c>
      <c r="C36" s="103">
        <f>IF(SUM(C37:C45)&lt;&gt;VLOOKUP($B36,MMWR_TRAD_AGG_ST_DISTRICT_COMP[],C$1,0),"ERROR",
VLOOKUP($B36,MMWR_TRAD_AGG_ST_DISTRICT_COMP[],C$1,0))</f>
        <v>70458</v>
      </c>
      <c r="D36" s="104">
        <f>IFERROR(VLOOKUP($B36,MMWR_TRAD_AGG_ST_DISTRICT_COMP[],D$1,0),"ERROR")</f>
        <v>338.33913820999999</v>
      </c>
      <c r="E36" s="103">
        <f>IFERROR(VLOOKUP($B36,MMWR_TRAD_AGG_ST_DISTRICT_COMP[],E$1,0),"ERROR")</f>
        <v>72451</v>
      </c>
      <c r="F36" s="103">
        <f>IFERROR(VLOOKUP($B36,MMWR_TRAD_AGG_ST_DISTRICT_COMP[],F$1,0),"ERROR")</f>
        <v>24868</v>
      </c>
      <c r="G36" s="105">
        <f t="shared" si="0"/>
        <v>0.34323887869042524</v>
      </c>
      <c r="H36" s="103">
        <f>IFERROR(VLOOKUP($B36,MMWR_TRAD_AGG_ST_DISTRICT_COMP[],H$1,0),"ERROR")</f>
        <v>97177</v>
      </c>
      <c r="I36" s="103">
        <f>IFERROR(VLOOKUP($B36,MMWR_TRAD_AGG_ST_DISTRICT_COMP[],I$1,0),"ERROR")</f>
        <v>57621</v>
      </c>
      <c r="J36" s="106">
        <f t="shared" si="1"/>
        <v>0.59294894882533933</v>
      </c>
      <c r="K36" s="103">
        <f>IFERROR(VLOOKUP($B36,MMWR_TRAD_AGG_ST_DISTRICT_COMP[],K$1,0),"ERROR")</f>
        <v>12764</v>
      </c>
      <c r="L36" s="103">
        <f>IFERROR(VLOOKUP($B36,MMWR_TRAD_AGG_ST_DISTRICT_COMP[],L$1,0),"ERROR")</f>
        <v>9378</v>
      </c>
      <c r="M36" s="106">
        <f t="shared" si="2"/>
        <v>0.734722657474146</v>
      </c>
      <c r="N36" s="103">
        <f>IFERROR(VLOOKUP($B36,MMWR_TRAD_AGG_ST_DISTRICT_COMP[],N$1,0),"ERROR")</f>
        <v>26822</v>
      </c>
      <c r="O36" s="103">
        <f>IFERROR(VLOOKUP($B36,MMWR_TRAD_AGG_ST_DISTRICT_COMP[],O$1,0),"ERROR")</f>
        <v>18701</v>
      </c>
      <c r="P36" s="106">
        <f t="shared" si="3"/>
        <v>0.69722615763179474</v>
      </c>
      <c r="Q36" s="103">
        <f>IFERROR(VLOOKUP($B36,MMWR_TRAD_AGG_ST_DISTRICT_COMP[],Q$1,0),"ERROR")</f>
        <v>93</v>
      </c>
      <c r="R36" s="107">
        <f>IFERROR(VLOOKUP($B36,MMWR_TRAD_AGG_ST_DISTRICT_COMP[],R$1,0),"ERROR")</f>
        <v>1198</v>
      </c>
      <c r="S36" s="107">
        <f>SUM(S37:S45)</f>
        <v>66040</v>
      </c>
      <c r="T36" s="28"/>
    </row>
    <row r="37" spans="1:20" s="124" customFormat="1" x14ac:dyDescent="0.2">
      <c r="A37" s="28"/>
      <c r="B37" s="128" t="s">
        <v>421</v>
      </c>
      <c r="C37" s="110">
        <f>IFERROR(VLOOKUP($B37,MMWR_TRAD_AGG_STATE_COMP[],C$1,0),"ERROR")</f>
        <v>5716</v>
      </c>
      <c r="D37" s="111">
        <f>IFERROR(VLOOKUP($B37,MMWR_TRAD_AGG_STATE_COMP[],D$1,0),"ERROR")</f>
        <v>328.03026592020001</v>
      </c>
      <c r="E37" s="112">
        <f>IFERROR(VLOOKUP($B37,MMWR_TRAD_AGG_STATE_COMP[],E$1,0),"ERROR")</f>
        <v>3537</v>
      </c>
      <c r="F37" s="113">
        <f>IFERROR(VLOOKUP($B37,MMWR_TRAD_AGG_STATE_COMP[],F$1,0),"ERROR")</f>
        <v>982</v>
      </c>
      <c r="G37" s="114">
        <f t="shared" si="0"/>
        <v>0.27763641504099518</v>
      </c>
      <c r="H37" s="112">
        <f>IFERROR(VLOOKUP($B37,MMWR_TRAD_AGG_STATE_COMP[],H$1,0),"ERROR")</f>
        <v>8084</v>
      </c>
      <c r="I37" s="113">
        <f>IFERROR(VLOOKUP($B37,MMWR_TRAD_AGG_STATE_COMP[],I$1,0),"ERROR")</f>
        <v>4624</v>
      </c>
      <c r="J37" s="115">
        <f t="shared" si="1"/>
        <v>0.57199406234537353</v>
      </c>
      <c r="K37" s="112">
        <f>IFERROR(VLOOKUP($B37,MMWR_TRAD_AGG_STATE_COMP[],K$1,0),"ERROR")</f>
        <v>2473</v>
      </c>
      <c r="L37" s="113">
        <f>IFERROR(VLOOKUP($B37,MMWR_TRAD_AGG_STATE_COMP[],L$1,0),"ERROR")</f>
        <v>1551</v>
      </c>
      <c r="M37" s="115">
        <f t="shared" si="2"/>
        <v>0.6271734735139507</v>
      </c>
      <c r="N37" s="112">
        <f>IFERROR(VLOOKUP($B37,MMWR_TRAD_AGG_STATE_COMP[],N$1,0),"ERROR")</f>
        <v>6981</v>
      </c>
      <c r="O37" s="113">
        <f>IFERROR(VLOOKUP($B37,MMWR_TRAD_AGG_STATE_COMP[],O$1,0),"ERROR")</f>
        <v>6075</v>
      </c>
      <c r="P37" s="115">
        <f t="shared" si="3"/>
        <v>0.87021916630855178</v>
      </c>
      <c r="Q37" s="116">
        <f>IFERROR(VLOOKUP($B37,MMWR_TRAD_AGG_STATE_COMP[],Q$1,0),"ERROR")</f>
        <v>8</v>
      </c>
      <c r="R37" s="116">
        <f>IFERROR(VLOOKUP($B37,MMWR_TRAD_AGG_STATE_COMP[],R$1,0),"ERROR")</f>
        <v>157</v>
      </c>
      <c r="S37" s="116">
        <f>IFERROR(VLOOKUP($B37,MMWR_APP_STATE_COMP[],S$1,0),"ERROR")</f>
        <v>5260</v>
      </c>
      <c r="T37" s="28"/>
    </row>
    <row r="38" spans="1:20" s="124" customFormat="1" x14ac:dyDescent="0.2">
      <c r="A38" s="28"/>
      <c r="B38" s="128" t="s">
        <v>413</v>
      </c>
      <c r="C38" s="110">
        <f>IFERROR(VLOOKUP($B38,MMWR_TRAD_AGG_STATE_COMP[],C$1,0),"ERROR")</f>
        <v>8379</v>
      </c>
      <c r="D38" s="111">
        <f>IFERROR(VLOOKUP($B38,MMWR_TRAD_AGG_STATE_COMP[],D$1,0),"ERROR")</f>
        <v>405.09165771570002</v>
      </c>
      <c r="E38" s="112">
        <f>IFERROR(VLOOKUP($B38,MMWR_TRAD_AGG_STATE_COMP[],E$1,0),"ERROR")</f>
        <v>7812</v>
      </c>
      <c r="F38" s="113">
        <f>IFERROR(VLOOKUP($B38,MMWR_TRAD_AGG_STATE_COMP[],F$1,0),"ERROR")</f>
        <v>3056</v>
      </c>
      <c r="G38" s="114">
        <f t="shared" ref="G38:G64" si="4">IFERROR(F38/E38,"0%")</f>
        <v>0.39119303635432667</v>
      </c>
      <c r="H38" s="112">
        <f>IFERROR(VLOOKUP($B38,MMWR_TRAD_AGG_STATE_COMP[],H$1,0),"ERROR")</f>
        <v>11073</v>
      </c>
      <c r="I38" s="113">
        <f>IFERROR(VLOOKUP($B38,MMWR_TRAD_AGG_STATE_COMP[],I$1,0),"ERROR")</f>
        <v>7334</v>
      </c>
      <c r="J38" s="115">
        <f t="shared" ref="J38:J64" si="5">IFERROR(I38/H38,"0%")</f>
        <v>0.66233179806737108</v>
      </c>
      <c r="K38" s="112">
        <f>IFERROR(VLOOKUP($B38,MMWR_TRAD_AGG_STATE_COMP[],K$1,0),"ERROR")</f>
        <v>2007</v>
      </c>
      <c r="L38" s="113">
        <f>IFERROR(VLOOKUP($B38,MMWR_TRAD_AGG_STATE_COMP[],L$1,0),"ERROR")</f>
        <v>1724</v>
      </c>
      <c r="M38" s="115">
        <f t="shared" ref="M38:M64" si="6">IFERROR(L38/K38,"0%")</f>
        <v>0.85899352267065276</v>
      </c>
      <c r="N38" s="112">
        <f>IFERROR(VLOOKUP($B38,MMWR_TRAD_AGG_STATE_COMP[],N$1,0),"ERROR")</f>
        <v>4861</v>
      </c>
      <c r="O38" s="113">
        <f>IFERROR(VLOOKUP($B38,MMWR_TRAD_AGG_STATE_COMP[],O$1,0),"ERROR")</f>
        <v>3061</v>
      </c>
      <c r="P38" s="115">
        <f t="shared" ref="P38:P64" si="7">IFERROR(O38/N38,"0%")</f>
        <v>0.62970582184735646</v>
      </c>
      <c r="Q38" s="116">
        <f>IFERROR(VLOOKUP($B38,MMWR_TRAD_AGG_STATE_COMP[],Q$1,0),"ERROR")</f>
        <v>7</v>
      </c>
      <c r="R38" s="116">
        <f>IFERROR(VLOOKUP($B38,MMWR_TRAD_AGG_STATE_COMP[],R$1,0),"ERROR")</f>
        <v>57</v>
      </c>
      <c r="S38" s="116">
        <f>IFERROR(VLOOKUP($B38,MMWR_APP_STATE_COMP[],S$1,0),"ERROR")</f>
        <v>5792</v>
      </c>
      <c r="T38" s="28"/>
    </row>
    <row r="39" spans="1:20" s="124" customFormat="1" x14ac:dyDescent="0.2">
      <c r="A39" s="28"/>
      <c r="B39" s="128" t="s">
        <v>397</v>
      </c>
      <c r="C39" s="110">
        <f>IFERROR(VLOOKUP($B39,MMWR_TRAD_AGG_STATE_COMP[],C$1,0),"ERROR")</f>
        <v>7300</v>
      </c>
      <c r="D39" s="111">
        <f>IFERROR(VLOOKUP($B39,MMWR_TRAD_AGG_STATE_COMP[],D$1,0),"ERROR")</f>
        <v>394.62</v>
      </c>
      <c r="E39" s="112">
        <f>IFERROR(VLOOKUP($B39,MMWR_TRAD_AGG_STATE_COMP[],E$1,0),"ERROR")</f>
        <v>6202</v>
      </c>
      <c r="F39" s="113">
        <f>IFERROR(VLOOKUP($B39,MMWR_TRAD_AGG_STATE_COMP[],F$1,0),"ERROR")</f>
        <v>2035</v>
      </c>
      <c r="G39" s="114">
        <f t="shared" si="4"/>
        <v>0.32811996130280557</v>
      </c>
      <c r="H39" s="112">
        <f>IFERROR(VLOOKUP($B39,MMWR_TRAD_AGG_STATE_COMP[],H$1,0),"ERROR")</f>
        <v>9784</v>
      </c>
      <c r="I39" s="113">
        <f>IFERROR(VLOOKUP($B39,MMWR_TRAD_AGG_STATE_COMP[],I$1,0),"ERROR")</f>
        <v>6099</v>
      </c>
      <c r="J39" s="115">
        <f t="shared" si="5"/>
        <v>0.62336467702371223</v>
      </c>
      <c r="K39" s="112">
        <f>IFERROR(VLOOKUP($B39,MMWR_TRAD_AGG_STATE_COMP[],K$1,0),"ERROR")</f>
        <v>670</v>
      </c>
      <c r="L39" s="113">
        <f>IFERROR(VLOOKUP($B39,MMWR_TRAD_AGG_STATE_COMP[],L$1,0),"ERROR")</f>
        <v>564</v>
      </c>
      <c r="M39" s="115">
        <f t="shared" si="6"/>
        <v>0.84179104477611943</v>
      </c>
      <c r="N39" s="112">
        <f>IFERROR(VLOOKUP($B39,MMWR_TRAD_AGG_STATE_COMP[],N$1,0),"ERROR")</f>
        <v>1086</v>
      </c>
      <c r="O39" s="113">
        <f>IFERROR(VLOOKUP($B39,MMWR_TRAD_AGG_STATE_COMP[],O$1,0),"ERROR")</f>
        <v>564</v>
      </c>
      <c r="P39" s="115">
        <f t="shared" si="7"/>
        <v>0.51933701657458564</v>
      </c>
      <c r="Q39" s="116">
        <f>IFERROR(VLOOKUP($B39,MMWR_TRAD_AGG_STATE_COMP[],Q$1,0),"ERROR")</f>
        <v>8</v>
      </c>
      <c r="R39" s="116">
        <f>IFERROR(VLOOKUP($B39,MMWR_TRAD_AGG_STATE_COMP[],R$1,0),"ERROR")</f>
        <v>311</v>
      </c>
      <c r="S39" s="116">
        <f>IFERROR(VLOOKUP($B39,MMWR_APP_STATE_COMP[],S$1,0),"ERROR")</f>
        <v>5936</v>
      </c>
      <c r="T39" s="28"/>
    </row>
    <row r="40" spans="1:20" s="124" customFormat="1" x14ac:dyDescent="0.2">
      <c r="A40" s="28"/>
      <c r="B40" s="128" t="s">
        <v>399</v>
      </c>
      <c r="C40" s="110">
        <f>IFERROR(VLOOKUP($B40,MMWR_TRAD_AGG_STATE_COMP[],C$1,0),"ERROR")</f>
        <v>5161</v>
      </c>
      <c r="D40" s="111">
        <f>IFERROR(VLOOKUP($B40,MMWR_TRAD_AGG_STATE_COMP[],D$1,0),"ERROR")</f>
        <v>366.37434605700003</v>
      </c>
      <c r="E40" s="112">
        <f>IFERROR(VLOOKUP($B40,MMWR_TRAD_AGG_STATE_COMP[],E$1,0),"ERROR")</f>
        <v>4160</v>
      </c>
      <c r="F40" s="113">
        <f>IFERROR(VLOOKUP($B40,MMWR_TRAD_AGG_STATE_COMP[],F$1,0),"ERROR")</f>
        <v>1758</v>
      </c>
      <c r="G40" s="114">
        <f t="shared" si="4"/>
        <v>0.42259615384615384</v>
      </c>
      <c r="H40" s="112">
        <f>IFERROR(VLOOKUP($B40,MMWR_TRAD_AGG_STATE_COMP[],H$1,0),"ERROR")</f>
        <v>6895</v>
      </c>
      <c r="I40" s="113">
        <f>IFERROR(VLOOKUP($B40,MMWR_TRAD_AGG_STATE_COMP[],I$1,0),"ERROR")</f>
        <v>4847</v>
      </c>
      <c r="J40" s="115">
        <f t="shared" si="5"/>
        <v>0.70297316896301665</v>
      </c>
      <c r="K40" s="112">
        <f>IFERROR(VLOOKUP($B40,MMWR_TRAD_AGG_STATE_COMP[],K$1,0),"ERROR")</f>
        <v>862</v>
      </c>
      <c r="L40" s="113">
        <f>IFERROR(VLOOKUP($B40,MMWR_TRAD_AGG_STATE_COMP[],L$1,0),"ERROR")</f>
        <v>735</v>
      </c>
      <c r="M40" s="115">
        <f t="shared" si="6"/>
        <v>0.85266821345707655</v>
      </c>
      <c r="N40" s="112">
        <f>IFERROR(VLOOKUP($B40,MMWR_TRAD_AGG_STATE_COMP[],N$1,0),"ERROR")</f>
        <v>2399</v>
      </c>
      <c r="O40" s="113">
        <f>IFERROR(VLOOKUP($B40,MMWR_TRAD_AGG_STATE_COMP[],O$1,0),"ERROR")</f>
        <v>1927</v>
      </c>
      <c r="P40" s="115">
        <f t="shared" si="7"/>
        <v>0.80325135473113796</v>
      </c>
      <c r="Q40" s="116">
        <f>IFERROR(VLOOKUP($B40,MMWR_TRAD_AGG_STATE_COMP[],Q$1,0),"ERROR")</f>
        <v>11</v>
      </c>
      <c r="R40" s="116">
        <f>IFERROR(VLOOKUP($B40,MMWR_TRAD_AGG_STATE_COMP[],R$1,0),"ERROR")</f>
        <v>144</v>
      </c>
      <c r="S40" s="116">
        <f>IFERROR(VLOOKUP($B40,MMWR_APP_STATE_COMP[],S$1,0),"ERROR")</f>
        <v>4544</v>
      </c>
      <c r="T40" s="28"/>
    </row>
    <row r="41" spans="1:20" s="124" customFormat="1" x14ac:dyDescent="0.2">
      <c r="A41" s="28"/>
      <c r="B41" s="128" t="s">
        <v>428</v>
      </c>
      <c r="C41" s="110">
        <f>IFERROR(VLOOKUP($B41,MMWR_TRAD_AGG_STATE_COMP[],C$1,0),"ERROR")</f>
        <v>1344</v>
      </c>
      <c r="D41" s="111">
        <f>IFERROR(VLOOKUP($B41,MMWR_TRAD_AGG_STATE_COMP[],D$1,0),"ERROR")</f>
        <v>216.16889880950001</v>
      </c>
      <c r="E41" s="112">
        <f>IFERROR(VLOOKUP($B41,MMWR_TRAD_AGG_STATE_COMP[],E$1,0),"ERROR")</f>
        <v>987</v>
      </c>
      <c r="F41" s="113">
        <f>IFERROR(VLOOKUP($B41,MMWR_TRAD_AGG_STATE_COMP[],F$1,0),"ERROR")</f>
        <v>143</v>
      </c>
      <c r="G41" s="114">
        <f t="shared" si="4"/>
        <v>0.14488348530901723</v>
      </c>
      <c r="H41" s="112">
        <f>IFERROR(VLOOKUP($B41,MMWR_TRAD_AGG_STATE_COMP[],H$1,0),"ERROR")</f>
        <v>1861</v>
      </c>
      <c r="I41" s="113">
        <f>IFERROR(VLOOKUP($B41,MMWR_TRAD_AGG_STATE_COMP[],I$1,0),"ERROR")</f>
        <v>811</v>
      </c>
      <c r="J41" s="115">
        <f t="shared" si="5"/>
        <v>0.43578721117678665</v>
      </c>
      <c r="K41" s="112">
        <f>IFERROR(VLOOKUP($B41,MMWR_TRAD_AGG_STATE_COMP[],K$1,0),"ERROR")</f>
        <v>394</v>
      </c>
      <c r="L41" s="113">
        <f>IFERROR(VLOOKUP($B41,MMWR_TRAD_AGG_STATE_COMP[],L$1,0),"ERROR")</f>
        <v>244</v>
      </c>
      <c r="M41" s="115">
        <f t="shared" si="6"/>
        <v>0.61928934010152281</v>
      </c>
      <c r="N41" s="112">
        <f>IFERROR(VLOOKUP($B41,MMWR_TRAD_AGG_STATE_COMP[],N$1,0),"ERROR")</f>
        <v>190</v>
      </c>
      <c r="O41" s="113">
        <f>IFERROR(VLOOKUP($B41,MMWR_TRAD_AGG_STATE_COMP[],O$1,0),"ERROR")</f>
        <v>95</v>
      </c>
      <c r="P41" s="115">
        <f t="shared" si="7"/>
        <v>0.5</v>
      </c>
      <c r="Q41" s="116">
        <f>IFERROR(VLOOKUP($B41,MMWR_TRAD_AGG_STATE_COMP[],Q$1,0),"ERROR")</f>
        <v>1</v>
      </c>
      <c r="R41" s="116">
        <f>IFERROR(VLOOKUP($B41,MMWR_TRAD_AGG_STATE_COMP[],R$1,0),"ERROR")</f>
        <v>7</v>
      </c>
      <c r="S41" s="116">
        <f>IFERROR(VLOOKUP($B41,MMWR_APP_STATE_COMP[],S$1,0),"ERROR")</f>
        <v>342</v>
      </c>
      <c r="T41" s="28"/>
    </row>
    <row r="42" spans="1:20" s="124" customFormat="1" x14ac:dyDescent="0.2">
      <c r="A42" s="28"/>
      <c r="B42" s="128" t="s">
        <v>422</v>
      </c>
      <c r="C42" s="110">
        <f>IFERROR(VLOOKUP($B42,MMWR_TRAD_AGG_STATE_COMP[],C$1,0),"ERROR")</f>
        <v>5319</v>
      </c>
      <c r="D42" s="111">
        <f>IFERROR(VLOOKUP($B42,MMWR_TRAD_AGG_STATE_COMP[],D$1,0),"ERROR")</f>
        <v>263.89847715740001</v>
      </c>
      <c r="E42" s="112">
        <f>IFERROR(VLOOKUP($B42,MMWR_TRAD_AGG_STATE_COMP[],E$1,0),"ERROR")</f>
        <v>7660</v>
      </c>
      <c r="F42" s="113">
        <f>IFERROR(VLOOKUP($B42,MMWR_TRAD_AGG_STATE_COMP[],F$1,0),"ERROR")</f>
        <v>2164</v>
      </c>
      <c r="G42" s="114">
        <f t="shared" si="4"/>
        <v>0.28250652741514359</v>
      </c>
      <c r="H42" s="112">
        <f>IFERROR(VLOOKUP($B42,MMWR_TRAD_AGG_STATE_COMP[],H$1,0),"ERROR")</f>
        <v>8145</v>
      </c>
      <c r="I42" s="113">
        <f>IFERROR(VLOOKUP($B42,MMWR_TRAD_AGG_STATE_COMP[],I$1,0),"ERROR")</f>
        <v>3662</v>
      </c>
      <c r="J42" s="115">
        <f t="shared" si="5"/>
        <v>0.44960098219766725</v>
      </c>
      <c r="K42" s="112">
        <f>IFERROR(VLOOKUP($B42,MMWR_TRAD_AGG_STATE_COMP[],K$1,0),"ERROR")</f>
        <v>1275</v>
      </c>
      <c r="L42" s="113">
        <f>IFERROR(VLOOKUP($B42,MMWR_TRAD_AGG_STATE_COMP[],L$1,0),"ERROR")</f>
        <v>612</v>
      </c>
      <c r="M42" s="115">
        <f t="shared" si="6"/>
        <v>0.48</v>
      </c>
      <c r="N42" s="112">
        <f>IFERROR(VLOOKUP($B42,MMWR_TRAD_AGG_STATE_COMP[],N$1,0),"ERROR")</f>
        <v>1030</v>
      </c>
      <c r="O42" s="113">
        <f>IFERROR(VLOOKUP($B42,MMWR_TRAD_AGG_STATE_COMP[],O$1,0),"ERROR")</f>
        <v>424</v>
      </c>
      <c r="P42" s="115">
        <f t="shared" si="7"/>
        <v>0.4116504854368932</v>
      </c>
      <c r="Q42" s="116">
        <f>IFERROR(VLOOKUP($B42,MMWR_TRAD_AGG_STATE_COMP[],Q$1,0),"ERROR")</f>
        <v>8</v>
      </c>
      <c r="R42" s="116">
        <f>IFERROR(VLOOKUP($B42,MMWR_TRAD_AGG_STATE_COMP[],R$1,0),"ERROR")</f>
        <v>66</v>
      </c>
      <c r="S42" s="116">
        <f>IFERROR(VLOOKUP($B42,MMWR_APP_STATE_COMP[],S$1,0),"ERROR")</f>
        <v>4178</v>
      </c>
      <c r="T42" s="28"/>
    </row>
    <row r="43" spans="1:20" s="124" customFormat="1" x14ac:dyDescent="0.2">
      <c r="A43" s="28"/>
      <c r="B43" s="128" t="s">
        <v>420</v>
      </c>
      <c r="C43" s="110">
        <f>IFERROR(VLOOKUP($B43,MMWR_TRAD_AGG_STATE_COMP[],C$1,0),"ERROR")</f>
        <v>33959</v>
      </c>
      <c r="D43" s="111">
        <f>IFERROR(VLOOKUP($B43,MMWR_TRAD_AGG_STATE_COMP[],D$1,0),"ERROR")</f>
        <v>327.36994611149998</v>
      </c>
      <c r="E43" s="112">
        <f>IFERROR(VLOOKUP($B43,MMWR_TRAD_AGG_STATE_COMP[],E$1,0),"ERROR")</f>
        <v>39148</v>
      </c>
      <c r="F43" s="113">
        <f>IFERROR(VLOOKUP($B43,MMWR_TRAD_AGG_STATE_COMP[],F$1,0),"ERROR")</f>
        <v>13927</v>
      </c>
      <c r="G43" s="114">
        <f t="shared" si="4"/>
        <v>0.35575252886482067</v>
      </c>
      <c r="H43" s="112">
        <f>IFERROR(VLOOKUP($B43,MMWR_TRAD_AGG_STATE_COMP[],H$1,0),"ERROR")</f>
        <v>46160</v>
      </c>
      <c r="I43" s="113">
        <f>IFERROR(VLOOKUP($B43,MMWR_TRAD_AGG_STATE_COMP[],I$1,0),"ERROR")</f>
        <v>27572</v>
      </c>
      <c r="J43" s="115">
        <f t="shared" si="5"/>
        <v>0.59731369150779901</v>
      </c>
      <c r="K43" s="112">
        <f>IFERROR(VLOOKUP($B43,MMWR_TRAD_AGG_STATE_COMP[],K$1,0),"ERROR")</f>
        <v>4259</v>
      </c>
      <c r="L43" s="113">
        <f>IFERROR(VLOOKUP($B43,MMWR_TRAD_AGG_STATE_COMP[],L$1,0),"ERROR")</f>
        <v>3326</v>
      </c>
      <c r="M43" s="115">
        <f t="shared" si="6"/>
        <v>0.78093449166471007</v>
      </c>
      <c r="N43" s="112">
        <f>IFERROR(VLOOKUP($B43,MMWR_TRAD_AGG_STATE_COMP[],N$1,0),"ERROR")</f>
        <v>9892</v>
      </c>
      <c r="O43" s="113">
        <f>IFERROR(VLOOKUP($B43,MMWR_TRAD_AGG_STATE_COMP[],O$1,0),"ERROR")</f>
        <v>6345</v>
      </c>
      <c r="P43" s="115">
        <f t="shared" si="7"/>
        <v>0.64142741609381315</v>
      </c>
      <c r="Q43" s="116">
        <f>IFERROR(VLOOKUP($B43,MMWR_TRAD_AGG_STATE_COMP[],Q$1,0),"ERROR")</f>
        <v>25</v>
      </c>
      <c r="R43" s="116">
        <f>IFERROR(VLOOKUP($B43,MMWR_TRAD_AGG_STATE_COMP[],R$1,0),"ERROR")</f>
        <v>445</v>
      </c>
      <c r="S43" s="116">
        <f>IFERROR(VLOOKUP($B43,MMWR_APP_STATE_COMP[],S$1,0),"ERROR")</f>
        <v>39060</v>
      </c>
      <c r="T43" s="28"/>
    </row>
    <row r="44" spans="1:20" s="124" customFormat="1" x14ac:dyDescent="0.2">
      <c r="A44" s="28"/>
      <c r="B44" s="128" t="s">
        <v>416</v>
      </c>
      <c r="C44" s="110">
        <f>IFERROR(VLOOKUP($B44,MMWR_TRAD_AGG_STATE_COMP[],C$1,0),"ERROR")</f>
        <v>2501</v>
      </c>
      <c r="D44" s="111">
        <f>IFERROR(VLOOKUP($B44,MMWR_TRAD_AGG_STATE_COMP[],D$1,0),"ERROR")</f>
        <v>313.70611755300001</v>
      </c>
      <c r="E44" s="112">
        <f>IFERROR(VLOOKUP($B44,MMWR_TRAD_AGG_STATE_COMP[],E$1,0),"ERROR")</f>
        <v>1987</v>
      </c>
      <c r="F44" s="113">
        <f>IFERROR(VLOOKUP($B44,MMWR_TRAD_AGG_STATE_COMP[],F$1,0),"ERROR")</f>
        <v>556</v>
      </c>
      <c r="G44" s="114">
        <f t="shared" si="4"/>
        <v>0.27981882234524408</v>
      </c>
      <c r="H44" s="112">
        <f>IFERROR(VLOOKUP($B44,MMWR_TRAD_AGG_STATE_COMP[],H$1,0),"ERROR")</f>
        <v>4020</v>
      </c>
      <c r="I44" s="113">
        <f>IFERROR(VLOOKUP($B44,MMWR_TRAD_AGG_STATE_COMP[],I$1,0),"ERROR")</f>
        <v>2138</v>
      </c>
      <c r="J44" s="115">
        <f t="shared" si="5"/>
        <v>0.53184079601990053</v>
      </c>
      <c r="K44" s="112">
        <f>IFERROR(VLOOKUP($B44,MMWR_TRAD_AGG_STATE_COMP[],K$1,0),"ERROR")</f>
        <v>620</v>
      </c>
      <c r="L44" s="113">
        <f>IFERROR(VLOOKUP($B44,MMWR_TRAD_AGG_STATE_COMP[],L$1,0),"ERROR")</f>
        <v>453</v>
      </c>
      <c r="M44" s="115">
        <f t="shared" si="6"/>
        <v>0.73064516129032253</v>
      </c>
      <c r="N44" s="112">
        <f>IFERROR(VLOOKUP($B44,MMWR_TRAD_AGG_STATE_COMP[],N$1,0),"ERROR")</f>
        <v>229</v>
      </c>
      <c r="O44" s="113">
        <f>IFERROR(VLOOKUP($B44,MMWR_TRAD_AGG_STATE_COMP[],O$1,0),"ERROR")</f>
        <v>129</v>
      </c>
      <c r="P44" s="115">
        <f t="shared" si="7"/>
        <v>0.5633187772925764</v>
      </c>
      <c r="Q44" s="116">
        <f>IFERROR(VLOOKUP($B44,MMWR_TRAD_AGG_STATE_COMP[],Q$1,0),"ERROR")</f>
        <v>0</v>
      </c>
      <c r="R44" s="116">
        <f>IFERROR(VLOOKUP($B44,MMWR_TRAD_AGG_STATE_COMP[],R$1,0),"ERROR")</f>
        <v>4</v>
      </c>
      <c r="S44" s="116">
        <f>IFERROR(VLOOKUP($B44,MMWR_APP_STATE_COMP[],S$1,0),"ERROR")</f>
        <v>561</v>
      </c>
      <c r="T44" s="28"/>
    </row>
    <row r="45" spans="1:20" s="124" customFormat="1" x14ac:dyDescent="0.2">
      <c r="A45" s="28"/>
      <c r="B45" s="128" t="s">
        <v>431</v>
      </c>
      <c r="C45" s="110">
        <f>IFERROR(VLOOKUP($B45,MMWR_TRAD_AGG_STATE_COMP[],C$1,0),"ERROR")</f>
        <v>779</v>
      </c>
      <c r="D45" s="111">
        <f>IFERROR(VLOOKUP($B45,MMWR_TRAD_AGG_STATE_COMP[],D$1,0),"ERROR")</f>
        <v>259.16431322210002</v>
      </c>
      <c r="E45" s="112">
        <f>IFERROR(VLOOKUP($B45,MMWR_TRAD_AGG_STATE_COMP[],E$1,0),"ERROR")</f>
        <v>958</v>
      </c>
      <c r="F45" s="113">
        <f>IFERROR(VLOOKUP($B45,MMWR_TRAD_AGG_STATE_COMP[],F$1,0),"ERROR")</f>
        <v>247</v>
      </c>
      <c r="G45" s="114">
        <f t="shared" si="4"/>
        <v>0.25782881002087682</v>
      </c>
      <c r="H45" s="112">
        <f>IFERROR(VLOOKUP($B45,MMWR_TRAD_AGG_STATE_COMP[],H$1,0),"ERROR")</f>
        <v>1155</v>
      </c>
      <c r="I45" s="113">
        <f>IFERROR(VLOOKUP($B45,MMWR_TRAD_AGG_STATE_COMP[],I$1,0),"ERROR")</f>
        <v>534</v>
      </c>
      <c r="J45" s="115">
        <f t="shared" si="5"/>
        <v>0.46233766233766233</v>
      </c>
      <c r="K45" s="112">
        <f>IFERROR(VLOOKUP($B45,MMWR_TRAD_AGG_STATE_COMP[],K$1,0),"ERROR")</f>
        <v>204</v>
      </c>
      <c r="L45" s="113">
        <f>IFERROR(VLOOKUP($B45,MMWR_TRAD_AGG_STATE_COMP[],L$1,0),"ERROR")</f>
        <v>169</v>
      </c>
      <c r="M45" s="115">
        <f t="shared" si="6"/>
        <v>0.82843137254901966</v>
      </c>
      <c r="N45" s="112">
        <f>IFERROR(VLOOKUP($B45,MMWR_TRAD_AGG_STATE_COMP[],N$1,0),"ERROR")</f>
        <v>154</v>
      </c>
      <c r="O45" s="113">
        <f>IFERROR(VLOOKUP($B45,MMWR_TRAD_AGG_STATE_COMP[],O$1,0),"ERROR")</f>
        <v>81</v>
      </c>
      <c r="P45" s="115">
        <f t="shared" si="7"/>
        <v>0.52597402597402598</v>
      </c>
      <c r="Q45" s="116">
        <f>IFERROR(VLOOKUP($B45,MMWR_TRAD_AGG_STATE_COMP[],Q$1,0),"ERROR")</f>
        <v>25</v>
      </c>
      <c r="R45" s="116">
        <f>IFERROR(VLOOKUP($B45,MMWR_TRAD_AGG_STATE_COMP[],R$1,0),"ERROR")</f>
        <v>7</v>
      </c>
      <c r="S45" s="116">
        <f>IFERROR(VLOOKUP($B45,MMWR_APP_STATE_COMP[],S$1,0),"ERROR")</f>
        <v>367</v>
      </c>
      <c r="T45" s="28"/>
    </row>
    <row r="46" spans="1:20" s="124" customFormat="1" x14ac:dyDescent="0.2">
      <c r="A46" s="28"/>
      <c r="B46" s="127" t="s">
        <v>414</v>
      </c>
      <c r="C46" s="103">
        <f>IFERROR(VLOOKUP($B46,MMWR_TRAD_AGG_ST_DISTRICT_COMP[],C$1,0),"ERROR")</f>
        <v>79112</v>
      </c>
      <c r="D46" s="104">
        <f>IFERROR(VLOOKUP($B46,MMWR_TRAD_AGG_ST_DISTRICT_COMP[],D$1,0),"ERROR")</f>
        <v>368.61707452730002</v>
      </c>
      <c r="E46" s="103">
        <f>IFERROR(VLOOKUP($B46,MMWR_TRAD_AGG_ST_DISTRICT_COMP[],E$1,0),"ERROR")</f>
        <v>68043</v>
      </c>
      <c r="F46" s="103">
        <f>IFERROR(VLOOKUP($B46,MMWR_TRAD_AGG_ST_DISTRICT_COMP[],F$1,0),"ERROR")</f>
        <v>22408</v>
      </c>
      <c r="G46" s="105">
        <f t="shared" si="4"/>
        <v>0.32932116455770616</v>
      </c>
      <c r="H46" s="103">
        <f>IFERROR(VLOOKUP($B46,MMWR_TRAD_AGG_ST_DISTRICT_COMP[],H$1,0),"ERROR")</f>
        <v>106297</v>
      </c>
      <c r="I46" s="103">
        <f>IFERROR(VLOOKUP($B46,MMWR_TRAD_AGG_ST_DISTRICT_COMP[],I$1,0),"ERROR")</f>
        <v>70077</v>
      </c>
      <c r="J46" s="106">
        <f t="shared" si="5"/>
        <v>0.65925661119316636</v>
      </c>
      <c r="K46" s="103">
        <f>IFERROR(VLOOKUP($B46,MMWR_TRAD_AGG_ST_DISTRICT_COMP[],K$1,0),"ERROR")</f>
        <v>16952</v>
      </c>
      <c r="L46" s="103">
        <f>IFERROR(VLOOKUP($B46,MMWR_TRAD_AGG_ST_DISTRICT_COMP[],L$1,0),"ERROR")</f>
        <v>14328</v>
      </c>
      <c r="M46" s="106">
        <f t="shared" si="6"/>
        <v>0.84521000471920715</v>
      </c>
      <c r="N46" s="103">
        <f>IFERROR(VLOOKUP($B46,MMWR_TRAD_AGG_ST_DISTRICT_COMP[],N$1,0),"ERROR")</f>
        <v>25939</v>
      </c>
      <c r="O46" s="103">
        <f>IFERROR(VLOOKUP($B46,MMWR_TRAD_AGG_ST_DISTRICT_COMP[],O$1,0),"ERROR")</f>
        <v>18276</v>
      </c>
      <c r="P46" s="106">
        <f t="shared" si="7"/>
        <v>0.70457612089903232</v>
      </c>
      <c r="Q46" s="103">
        <f>IFERROR(VLOOKUP($B46,MMWR_TRAD_AGG_ST_DISTRICT_COMP[],Q$1,0),"ERROR")</f>
        <v>85</v>
      </c>
      <c r="R46" s="107">
        <f>IFERROR(VLOOKUP($B46,MMWR_TRAD_AGG_ST_DISTRICT_COMP[],R$1,0),"ERROR")</f>
        <v>591</v>
      </c>
      <c r="S46" s="107">
        <f>SUM(S47:S55)</f>
        <v>41718</v>
      </c>
      <c r="T46" s="28"/>
    </row>
    <row r="47" spans="1:20" s="124" customFormat="1" x14ac:dyDescent="0.2">
      <c r="A47" s="28"/>
      <c r="B47" s="128" t="s">
        <v>434</v>
      </c>
      <c r="C47" s="110">
        <f>IFERROR(VLOOKUP($B47,MMWR_TRAD_AGG_STATE_COMP[],C$1,0),"ERROR")</f>
        <v>2354</v>
      </c>
      <c r="D47" s="111">
        <f>IFERROR(VLOOKUP($B47,MMWR_TRAD_AGG_STATE_COMP[],D$1,0),"ERROR")</f>
        <v>487.08241291420001</v>
      </c>
      <c r="E47" s="112">
        <f>IFERROR(VLOOKUP($B47,MMWR_TRAD_AGG_STATE_COMP[],E$1,0),"ERROR")</f>
        <v>1106</v>
      </c>
      <c r="F47" s="113">
        <f>IFERROR(VLOOKUP($B47,MMWR_TRAD_AGG_STATE_COMP[],F$1,0),"ERROR")</f>
        <v>211</v>
      </c>
      <c r="G47" s="114">
        <f t="shared" si="4"/>
        <v>0.19077757685352623</v>
      </c>
      <c r="H47" s="112">
        <f>IFERROR(VLOOKUP($B47,MMWR_TRAD_AGG_STATE_COMP[],H$1,0),"ERROR")</f>
        <v>3061</v>
      </c>
      <c r="I47" s="113">
        <f>IFERROR(VLOOKUP($B47,MMWR_TRAD_AGG_STATE_COMP[],I$1,0),"ERROR")</f>
        <v>2200</v>
      </c>
      <c r="J47" s="115">
        <f t="shared" si="5"/>
        <v>0.71871937275400199</v>
      </c>
      <c r="K47" s="112">
        <f>IFERROR(VLOOKUP($B47,MMWR_TRAD_AGG_STATE_COMP[],K$1,0),"ERROR")</f>
        <v>1605</v>
      </c>
      <c r="L47" s="113">
        <f>IFERROR(VLOOKUP($B47,MMWR_TRAD_AGG_STATE_COMP[],L$1,0),"ERROR")</f>
        <v>1435</v>
      </c>
      <c r="M47" s="115">
        <f t="shared" si="6"/>
        <v>0.89408099688473519</v>
      </c>
      <c r="N47" s="112">
        <f>IFERROR(VLOOKUP($B47,MMWR_TRAD_AGG_STATE_COMP[],N$1,0),"ERROR")</f>
        <v>273</v>
      </c>
      <c r="O47" s="113">
        <f>IFERROR(VLOOKUP($B47,MMWR_TRAD_AGG_STATE_COMP[],O$1,0),"ERROR")</f>
        <v>168</v>
      </c>
      <c r="P47" s="115">
        <f t="shared" si="7"/>
        <v>0.61538461538461542</v>
      </c>
      <c r="Q47" s="116">
        <f>IFERROR(VLOOKUP($B47,MMWR_TRAD_AGG_STATE_COMP[],Q$1,0),"ERROR")</f>
        <v>0</v>
      </c>
      <c r="R47" s="116">
        <f>IFERROR(VLOOKUP($B47,MMWR_TRAD_AGG_STATE_COMP[],R$1,0),"ERROR")</f>
        <v>2</v>
      </c>
      <c r="S47" s="116">
        <f>IFERROR(VLOOKUP($B47,MMWR_APP_STATE_COMP[],S$1,0),"ERROR")</f>
        <v>339</v>
      </c>
      <c r="T47" s="28"/>
    </row>
    <row r="48" spans="1:20" s="124" customFormat="1" x14ac:dyDescent="0.2">
      <c r="A48" s="28"/>
      <c r="B48" s="128" t="s">
        <v>436</v>
      </c>
      <c r="C48" s="110">
        <f>IFERROR(VLOOKUP($B48,MMWR_TRAD_AGG_STATE_COMP[],C$1,0),"ERROR")</f>
        <v>8236</v>
      </c>
      <c r="D48" s="111">
        <f>IFERROR(VLOOKUP($B48,MMWR_TRAD_AGG_STATE_COMP[],D$1,0),"ERROR")</f>
        <v>301.9881010199</v>
      </c>
      <c r="E48" s="112">
        <f>IFERROR(VLOOKUP($B48,MMWR_TRAD_AGG_STATE_COMP[],E$1,0),"ERROR")</f>
        <v>6703</v>
      </c>
      <c r="F48" s="113">
        <f>IFERROR(VLOOKUP($B48,MMWR_TRAD_AGG_STATE_COMP[],F$1,0),"ERROR")</f>
        <v>2047</v>
      </c>
      <c r="G48" s="114">
        <f t="shared" si="4"/>
        <v>0.3053856482172162</v>
      </c>
      <c r="H48" s="112">
        <f>IFERROR(VLOOKUP($B48,MMWR_TRAD_AGG_STATE_COMP[],H$1,0),"ERROR")</f>
        <v>10398</v>
      </c>
      <c r="I48" s="113">
        <f>IFERROR(VLOOKUP($B48,MMWR_TRAD_AGG_STATE_COMP[],I$1,0),"ERROR")</f>
        <v>6326</v>
      </c>
      <c r="J48" s="115">
        <f t="shared" si="5"/>
        <v>0.60838622812079246</v>
      </c>
      <c r="K48" s="112">
        <f>IFERROR(VLOOKUP($B48,MMWR_TRAD_AGG_STATE_COMP[],K$1,0),"ERROR")</f>
        <v>594</v>
      </c>
      <c r="L48" s="113">
        <f>IFERROR(VLOOKUP($B48,MMWR_TRAD_AGG_STATE_COMP[],L$1,0),"ERROR")</f>
        <v>479</v>
      </c>
      <c r="M48" s="115">
        <f t="shared" si="6"/>
        <v>0.80639730639730645</v>
      </c>
      <c r="N48" s="112">
        <f>IFERROR(VLOOKUP($B48,MMWR_TRAD_AGG_STATE_COMP[],N$1,0),"ERROR")</f>
        <v>3326</v>
      </c>
      <c r="O48" s="113">
        <f>IFERROR(VLOOKUP($B48,MMWR_TRAD_AGG_STATE_COMP[],O$1,0),"ERROR")</f>
        <v>2554</v>
      </c>
      <c r="P48" s="115">
        <f t="shared" si="7"/>
        <v>0.76788935658448587</v>
      </c>
      <c r="Q48" s="116">
        <f>IFERROR(VLOOKUP($B48,MMWR_TRAD_AGG_STATE_COMP[],Q$1,0),"ERROR")</f>
        <v>7</v>
      </c>
      <c r="R48" s="116">
        <f>IFERROR(VLOOKUP($B48,MMWR_TRAD_AGG_STATE_COMP[],R$1,0),"ERROR")</f>
        <v>75</v>
      </c>
      <c r="S48" s="116">
        <f>IFERROR(VLOOKUP($B48,MMWR_APP_STATE_COMP[],S$1,0),"ERROR")</f>
        <v>6951</v>
      </c>
      <c r="T48" s="28"/>
    </row>
    <row r="49" spans="1:20" s="124" customFormat="1" x14ac:dyDescent="0.2">
      <c r="A49" s="28"/>
      <c r="B49" s="128" t="s">
        <v>417</v>
      </c>
      <c r="C49" s="110">
        <f>IFERROR(VLOOKUP($B49,MMWR_TRAD_AGG_STATE_COMP[],C$1,0),"ERROR")</f>
        <v>32564</v>
      </c>
      <c r="D49" s="111">
        <f>IFERROR(VLOOKUP($B49,MMWR_TRAD_AGG_STATE_COMP[],D$1,0),"ERROR")</f>
        <v>367.6521926053</v>
      </c>
      <c r="E49" s="112">
        <f>IFERROR(VLOOKUP($B49,MMWR_TRAD_AGG_STATE_COMP[],E$1,0),"ERROR")</f>
        <v>34506</v>
      </c>
      <c r="F49" s="113">
        <f>IFERROR(VLOOKUP($B49,MMWR_TRAD_AGG_STATE_COMP[],F$1,0),"ERROR")</f>
        <v>11263</v>
      </c>
      <c r="G49" s="114">
        <f t="shared" si="4"/>
        <v>0.32640700168086711</v>
      </c>
      <c r="H49" s="112">
        <f>IFERROR(VLOOKUP($B49,MMWR_TRAD_AGG_STATE_COMP[],H$1,0),"ERROR")</f>
        <v>45243</v>
      </c>
      <c r="I49" s="113">
        <f>IFERROR(VLOOKUP($B49,MMWR_TRAD_AGG_STATE_COMP[],I$1,0),"ERROR")</f>
        <v>29936</v>
      </c>
      <c r="J49" s="115">
        <f t="shared" si="5"/>
        <v>0.66167141878301616</v>
      </c>
      <c r="K49" s="112">
        <f>IFERROR(VLOOKUP($B49,MMWR_TRAD_AGG_STATE_COMP[],K$1,0),"ERROR")</f>
        <v>6168</v>
      </c>
      <c r="L49" s="113">
        <f>IFERROR(VLOOKUP($B49,MMWR_TRAD_AGG_STATE_COMP[],L$1,0),"ERROR")</f>
        <v>4966</v>
      </c>
      <c r="M49" s="115">
        <f t="shared" si="6"/>
        <v>0.80512321660181585</v>
      </c>
      <c r="N49" s="112">
        <f>IFERROR(VLOOKUP($B49,MMWR_TRAD_AGG_STATE_COMP[],N$1,0),"ERROR")</f>
        <v>11483</v>
      </c>
      <c r="O49" s="113">
        <f>IFERROR(VLOOKUP($B49,MMWR_TRAD_AGG_STATE_COMP[],O$1,0),"ERROR")</f>
        <v>8091</v>
      </c>
      <c r="P49" s="115">
        <f t="shared" si="7"/>
        <v>0.70460681006705561</v>
      </c>
      <c r="Q49" s="116">
        <f>IFERROR(VLOOKUP($B49,MMWR_TRAD_AGG_STATE_COMP[],Q$1,0),"ERROR")</f>
        <v>49</v>
      </c>
      <c r="R49" s="116">
        <f>IFERROR(VLOOKUP($B49,MMWR_TRAD_AGG_STATE_COMP[],R$1,0),"ERROR")</f>
        <v>165</v>
      </c>
      <c r="S49" s="116">
        <f>IFERROR(VLOOKUP($B49,MMWR_APP_STATE_COMP[],S$1,0),"ERROR")</f>
        <v>17785</v>
      </c>
      <c r="T49" s="28"/>
    </row>
    <row r="50" spans="1:20" s="124" customFormat="1" x14ac:dyDescent="0.2">
      <c r="A50" s="28"/>
      <c r="B50" s="128" t="s">
        <v>438</v>
      </c>
      <c r="C50" s="110">
        <f>IFERROR(VLOOKUP($B50,MMWR_TRAD_AGG_STATE_COMP[],C$1,0),"ERROR")</f>
        <v>2094</v>
      </c>
      <c r="D50" s="111">
        <f>IFERROR(VLOOKUP($B50,MMWR_TRAD_AGG_STATE_COMP[],D$1,0),"ERROR")</f>
        <v>269.5830945559</v>
      </c>
      <c r="E50" s="112">
        <f>IFERROR(VLOOKUP($B50,MMWR_TRAD_AGG_STATE_COMP[],E$1,0),"ERROR")</f>
        <v>2182</v>
      </c>
      <c r="F50" s="113">
        <f>IFERROR(VLOOKUP($B50,MMWR_TRAD_AGG_STATE_COMP[],F$1,0),"ERROR")</f>
        <v>738</v>
      </c>
      <c r="G50" s="114">
        <f t="shared" si="4"/>
        <v>0.33822181484876263</v>
      </c>
      <c r="H50" s="112">
        <f>IFERROR(VLOOKUP($B50,MMWR_TRAD_AGG_STATE_COMP[],H$1,0),"ERROR")</f>
        <v>2753</v>
      </c>
      <c r="I50" s="113">
        <f>IFERROR(VLOOKUP($B50,MMWR_TRAD_AGG_STATE_COMP[],I$1,0),"ERROR")</f>
        <v>1576</v>
      </c>
      <c r="J50" s="115">
        <f t="shared" si="5"/>
        <v>0.57246640029059204</v>
      </c>
      <c r="K50" s="112">
        <f>IFERROR(VLOOKUP($B50,MMWR_TRAD_AGG_STATE_COMP[],K$1,0),"ERROR")</f>
        <v>373</v>
      </c>
      <c r="L50" s="113">
        <f>IFERROR(VLOOKUP($B50,MMWR_TRAD_AGG_STATE_COMP[],L$1,0),"ERROR")</f>
        <v>331</v>
      </c>
      <c r="M50" s="115">
        <f t="shared" si="6"/>
        <v>0.88739946380697055</v>
      </c>
      <c r="N50" s="112">
        <f>IFERROR(VLOOKUP($B50,MMWR_TRAD_AGG_STATE_COMP[],N$1,0),"ERROR")</f>
        <v>519</v>
      </c>
      <c r="O50" s="113">
        <f>IFERROR(VLOOKUP($B50,MMWR_TRAD_AGG_STATE_COMP[],O$1,0),"ERROR")</f>
        <v>329</v>
      </c>
      <c r="P50" s="115">
        <f t="shared" si="7"/>
        <v>0.63391136801541426</v>
      </c>
      <c r="Q50" s="116">
        <f>IFERROR(VLOOKUP($B50,MMWR_TRAD_AGG_STATE_COMP[],Q$1,0),"ERROR")</f>
        <v>7</v>
      </c>
      <c r="R50" s="116">
        <f>IFERROR(VLOOKUP($B50,MMWR_TRAD_AGG_STATE_COMP[],R$1,0),"ERROR")</f>
        <v>3</v>
      </c>
      <c r="S50" s="116">
        <f>IFERROR(VLOOKUP($B50,MMWR_APP_STATE_COMP[],S$1,0),"ERROR")</f>
        <v>997</v>
      </c>
      <c r="T50" s="28"/>
    </row>
    <row r="51" spans="1:20" s="124" customFormat="1" x14ac:dyDescent="0.2">
      <c r="A51" s="28"/>
      <c r="B51" s="128" t="s">
        <v>418</v>
      </c>
      <c r="C51" s="110">
        <f>IFERROR(VLOOKUP($B51,MMWR_TRAD_AGG_STATE_COMP[],C$1,0),"ERROR")</f>
        <v>1045</v>
      </c>
      <c r="D51" s="111">
        <f>IFERROR(VLOOKUP($B51,MMWR_TRAD_AGG_STATE_COMP[],D$1,0),"ERROR")</f>
        <v>254.51578947370001</v>
      </c>
      <c r="E51" s="112">
        <f>IFERROR(VLOOKUP($B51,MMWR_TRAD_AGG_STATE_COMP[],E$1,0),"ERROR")</f>
        <v>1725</v>
      </c>
      <c r="F51" s="113">
        <f>IFERROR(VLOOKUP($B51,MMWR_TRAD_AGG_STATE_COMP[],F$1,0),"ERROR")</f>
        <v>503</v>
      </c>
      <c r="G51" s="114">
        <f t="shared" si="4"/>
        <v>0.2915942028985507</v>
      </c>
      <c r="H51" s="112">
        <f>IFERROR(VLOOKUP($B51,MMWR_TRAD_AGG_STATE_COMP[],H$1,0),"ERROR")</f>
        <v>1806</v>
      </c>
      <c r="I51" s="113">
        <f>IFERROR(VLOOKUP($B51,MMWR_TRAD_AGG_STATE_COMP[],I$1,0),"ERROR")</f>
        <v>714</v>
      </c>
      <c r="J51" s="115">
        <f t="shared" si="5"/>
        <v>0.39534883720930231</v>
      </c>
      <c r="K51" s="112">
        <f>IFERROR(VLOOKUP($B51,MMWR_TRAD_AGG_STATE_COMP[],K$1,0),"ERROR")</f>
        <v>228</v>
      </c>
      <c r="L51" s="113">
        <f>IFERROR(VLOOKUP($B51,MMWR_TRAD_AGG_STATE_COMP[],L$1,0),"ERROR")</f>
        <v>148</v>
      </c>
      <c r="M51" s="115">
        <f t="shared" si="6"/>
        <v>0.64912280701754388</v>
      </c>
      <c r="N51" s="112">
        <f>IFERROR(VLOOKUP($B51,MMWR_TRAD_AGG_STATE_COMP[],N$1,0),"ERROR")</f>
        <v>252</v>
      </c>
      <c r="O51" s="113">
        <f>IFERROR(VLOOKUP($B51,MMWR_TRAD_AGG_STATE_COMP[],O$1,0),"ERROR")</f>
        <v>133</v>
      </c>
      <c r="P51" s="115">
        <f t="shared" si="7"/>
        <v>0.52777777777777779</v>
      </c>
      <c r="Q51" s="116">
        <f>IFERROR(VLOOKUP($B51,MMWR_TRAD_AGG_STATE_COMP[],Q$1,0),"ERROR")</f>
        <v>1</v>
      </c>
      <c r="R51" s="116">
        <f>IFERROR(VLOOKUP($B51,MMWR_TRAD_AGG_STATE_COMP[],R$1,0),"ERROR")</f>
        <v>10</v>
      </c>
      <c r="S51" s="116">
        <f>IFERROR(VLOOKUP($B51,MMWR_APP_STATE_COMP[],S$1,0),"ERROR")</f>
        <v>1060</v>
      </c>
      <c r="T51" s="28"/>
    </row>
    <row r="52" spans="1:20" s="124" customFormat="1" x14ac:dyDescent="0.2">
      <c r="A52" s="28"/>
      <c r="B52" s="128" t="s">
        <v>423</v>
      </c>
      <c r="C52" s="110">
        <f>IFERROR(VLOOKUP($B52,MMWR_TRAD_AGG_STATE_COMP[],C$1,0),"ERROR")</f>
        <v>4484</v>
      </c>
      <c r="D52" s="111">
        <f>IFERROR(VLOOKUP($B52,MMWR_TRAD_AGG_STATE_COMP[],D$1,0),"ERROR")</f>
        <v>445.82114183760001</v>
      </c>
      <c r="E52" s="112">
        <f>IFERROR(VLOOKUP($B52,MMWR_TRAD_AGG_STATE_COMP[],E$1,0),"ERROR")</f>
        <v>4168</v>
      </c>
      <c r="F52" s="113">
        <f>IFERROR(VLOOKUP($B52,MMWR_TRAD_AGG_STATE_COMP[],F$1,0),"ERROR")</f>
        <v>1475</v>
      </c>
      <c r="G52" s="114">
        <f t="shared" si="4"/>
        <v>0.35388675623800386</v>
      </c>
      <c r="H52" s="112">
        <f>IFERROR(VLOOKUP($B52,MMWR_TRAD_AGG_STATE_COMP[],H$1,0),"ERROR")</f>
        <v>5783</v>
      </c>
      <c r="I52" s="113">
        <f>IFERROR(VLOOKUP($B52,MMWR_TRAD_AGG_STATE_COMP[],I$1,0),"ERROR")</f>
        <v>4037</v>
      </c>
      <c r="J52" s="115">
        <f t="shared" si="5"/>
        <v>0.69808058101331494</v>
      </c>
      <c r="K52" s="112">
        <f>IFERROR(VLOOKUP($B52,MMWR_TRAD_AGG_STATE_COMP[],K$1,0),"ERROR")</f>
        <v>512</v>
      </c>
      <c r="L52" s="113">
        <f>IFERROR(VLOOKUP($B52,MMWR_TRAD_AGG_STATE_COMP[],L$1,0),"ERROR")</f>
        <v>449</v>
      </c>
      <c r="M52" s="115">
        <f t="shared" si="6"/>
        <v>0.876953125</v>
      </c>
      <c r="N52" s="112">
        <f>IFERROR(VLOOKUP($B52,MMWR_TRAD_AGG_STATE_COMP[],N$1,0),"ERROR")</f>
        <v>1458</v>
      </c>
      <c r="O52" s="113">
        <f>IFERROR(VLOOKUP($B52,MMWR_TRAD_AGG_STATE_COMP[],O$1,0),"ERROR")</f>
        <v>941</v>
      </c>
      <c r="P52" s="115">
        <f t="shared" si="7"/>
        <v>0.64540466392318241</v>
      </c>
      <c r="Q52" s="116">
        <f>IFERROR(VLOOKUP($B52,MMWR_TRAD_AGG_STATE_COMP[],Q$1,0),"ERROR")</f>
        <v>8</v>
      </c>
      <c r="R52" s="116">
        <f>IFERROR(VLOOKUP($B52,MMWR_TRAD_AGG_STATE_COMP[],R$1,0),"ERROR")</f>
        <v>100</v>
      </c>
      <c r="S52" s="116">
        <f>IFERROR(VLOOKUP($B52,MMWR_APP_STATE_COMP[],S$1,0),"ERROR")</f>
        <v>2647</v>
      </c>
      <c r="T52" s="28"/>
    </row>
    <row r="53" spans="1:20" s="124" customFormat="1" x14ac:dyDescent="0.2">
      <c r="A53" s="28"/>
      <c r="B53" s="128" t="s">
        <v>415</v>
      </c>
      <c r="C53" s="110">
        <f>IFERROR(VLOOKUP($B53,MMWR_TRAD_AGG_STATE_COMP[],C$1,0),"ERROR")</f>
        <v>2040</v>
      </c>
      <c r="D53" s="111">
        <f>IFERROR(VLOOKUP($B53,MMWR_TRAD_AGG_STATE_COMP[],D$1,0),"ERROR")</f>
        <v>213.29509803920001</v>
      </c>
      <c r="E53" s="112">
        <f>IFERROR(VLOOKUP($B53,MMWR_TRAD_AGG_STATE_COMP[],E$1,0),"ERROR")</f>
        <v>3378</v>
      </c>
      <c r="F53" s="113">
        <f>IFERROR(VLOOKUP($B53,MMWR_TRAD_AGG_STATE_COMP[],F$1,0),"ERROR")</f>
        <v>1118</v>
      </c>
      <c r="G53" s="114">
        <f t="shared" si="4"/>
        <v>0.33096506808762582</v>
      </c>
      <c r="H53" s="112">
        <f>IFERROR(VLOOKUP($B53,MMWR_TRAD_AGG_STATE_COMP[],H$1,0),"ERROR")</f>
        <v>2831</v>
      </c>
      <c r="I53" s="113">
        <f>IFERROR(VLOOKUP($B53,MMWR_TRAD_AGG_STATE_COMP[],I$1,0),"ERROR")</f>
        <v>1316</v>
      </c>
      <c r="J53" s="115">
        <f t="shared" si="5"/>
        <v>0.46485340868950903</v>
      </c>
      <c r="K53" s="112">
        <f>IFERROR(VLOOKUP($B53,MMWR_TRAD_AGG_STATE_COMP[],K$1,0),"ERROR")</f>
        <v>234</v>
      </c>
      <c r="L53" s="113">
        <f>IFERROR(VLOOKUP($B53,MMWR_TRAD_AGG_STATE_COMP[],L$1,0),"ERROR")</f>
        <v>156</v>
      </c>
      <c r="M53" s="115">
        <f t="shared" si="6"/>
        <v>0.66666666666666663</v>
      </c>
      <c r="N53" s="112">
        <f>IFERROR(VLOOKUP($B53,MMWR_TRAD_AGG_STATE_COMP[],N$1,0),"ERROR")</f>
        <v>631</v>
      </c>
      <c r="O53" s="113">
        <f>IFERROR(VLOOKUP($B53,MMWR_TRAD_AGG_STATE_COMP[],O$1,0),"ERROR")</f>
        <v>322</v>
      </c>
      <c r="P53" s="115">
        <f t="shared" si="7"/>
        <v>0.51030110935023776</v>
      </c>
      <c r="Q53" s="116">
        <f>IFERROR(VLOOKUP($B53,MMWR_TRAD_AGG_STATE_COMP[],Q$1,0),"ERROR")</f>
        <v>3</v>
      </c>
      <c r="R53" s="116">
        <f>IFERROR(VLOOKUP($B53,MMWR_TRAD_AGG_STATE_COMP[],R$1,0),"ERROR")</f>
        <v>17</v>
      </c>
      <c r="S53" s="116">
        <f>IFERROR(VLOOKUP($B53,MMWR_APP_STATE_COMP[],S$1,0),"ERROR")</f>
        <v>1885</v>
      </c>
      <c r="T53" s="28"/>
    </row>
    <row r="54" spans="1:20" s="124" customFormat="1" x14ac:dyDescent="0.2">
      <c r="A54" s="28"/>
      <c r="B54" s="128" t="s">
        <v>419</v>
      </c>
      <c r="C54" s="110">
        <f>IFERROR(VLOOKUP($B54,MMWR_TRAD_AGG_STATE_COMP[],C$1,0),"ERROR")</f>
        <v>10164</v>
      </c>
      <c r="D54" s="111">
        <f>IFERROR(VLOOKUP($B54,MMWR_TRAD_AGG_STATE_COMP[],D$1,0),"ERROR")</f>
        <v>384.4966548603</v>
      </c>
      <c r="E54" s="112">
        <f>IFERROR(VLOOKUP($B54,MMWR_TRAD_AGG_STATE_COMP[],E$1,0),"ERROR")</f>
        <v>5853</v>
      </c>
      <c r="F54" s="113">
        <f>IFERROR(VLOOKUP($B54,MMWR_TRAD_AGG_STATE_COMP[],F$1,0),"ERROR")</f>
        <v>2211</v>
      </c>
      <c r="G54" s="114">
        <f t="shared" si="4"/>
        <v>0.37775499743721169</v>
      </c>
      <c r="H54" s="112">
        <f>IFERROR(VLOOKUP($B54,MMWR_TRAD_AGG_STATE_COMP[],H$1,0),"ERROR")</f>
        <v>12905</v>
      </c>
      <c r="I54" s="113">
        <f>IFERROR(VLOOKUP($B54,MMWR_TRAD_AGG_STATE_COMP[],I$1,0),"ERROR")</f>
        <v>8677</v>
      </c>
      <c r="J54" s="115">
        <f t="shared" si="5"/>
        <v>0.67237504843084073</v>
      </c>
      <c r="K54" s="112">
        <f>IFERROR(VLOOKUP($B54,MMWR_TRAD_AGG_STATE_COMP[],K$1,0),"ERROR")</f>
        <v>3568</v>
      </c>
      <c r="L54" s="113">
        <f>IFERROR(VLOOKUP($B54,MMWR_TRAD_AGG_STATE_COMP[],L$1,0),"ERROR")</f>
        <v>3033</v>
      </c>
      <c r="M54" s="115">
        <f t="shared" si="6"/>
        <v>0.85005605381165916</v>
      </c>
      <c r="N54" s="112">
        <f>IFERROR(VLOOKUP($B54,MMWR_TRAD_AGG_STATE_COMP[],N$1,0),"ERROR")</f>
        <v>1434</v>
      </c>
      <c r="O54" s="113">
        <f>IFERROR(VLOOKUP($B54,MMWR_TRAD_AGG_STATE_COMP[],O$1,0),"ERROR")</f>
        <v>691</v>
      </c>
      <c r="P54" s="115">
        <f t="shared" si="7"/>
        <v>0.48186889818688983</v>
      </c>
      <c r="Q54" s="116">
        <f>IFERROR(VLOOKUP($B54,MMWR_TRAD_AGG_STATE_COMP[],Q$1,0),"ERROR")</f>
        <v>2</v>
      </c>
      <c r="R54" s="116">
        <f>IFERROR(VLOOKUP($B54,MMWR_TRAD_AGG_STATE_COMP[],R$1,0),"ERROR")</f>
        <v>77</v>
      </c>
      <c r="S54" s="116">
        <f>IFERROR(VLOOKUP($B54,MMWR_APP_STATE_COMP[],S$1,0),"ERROR")</f>
        <v>5385</v>
      </c>
      <c r="T54" s="28"/>
    </row>
    <row r="55" spans="1:20" s="124" customFormat="1" x14ac:dyDescent="0.2">
      <c r="A55" s="28"/>
      <c r="B55" s="128" t="s">
        <v>83</v>
      </c>
      <c r="C55" s="110">
        <f>IFERROR(VLOOKUP($B55,MMWR_TRAD_AGG_STATE_COMP[],C$1,0),"ERROR")</f>
        <v>16131</v>
      </c>
      <c r="D55" s="111">
        <f>IFERROR(VLOOKUP($B55,MMWR_TRAD_AGG_STATE_COMP[],D$1,0),"ERROR")</f>
        <v>395.71991817000003</v>
      </c>
      <c r="E55" s="112">
        <f>IFERROR(VLOOKUP($B55,MMWR_TRAD_AGG_STATE_COMP[],E$1,0),"ERROR")</f>
        <v>8422</v>
      </c>
      <c r="F55" s="113">
        <f>IFERROR(VLOOKUP($B55,MMWR_TRAD_AGG_STATE_COMP[],F$1,0),"ERROR")</f>
        <v>2842</v>
      </c>
      <c r="G55" s="114">
        <f t="shared" si="4"/>
        <v>0.33744953692709573</v>
      </c>
      <c r="H55" s="112">
        <f>IFERROR(VLOOKUP($B55,MMWR_TRAD_AGG_STATE_COMP[],H$1,0),"ERROR")</f>
        <v>21517</v>
      </c>
      <c r="I55" s="113">
        <f>IFERROR(VLOOKUP($B55,MMWR_TRAD_AGG_STATE_COMP[],I$1,0),"ERROR")</f>
        <v>15295</v>
      </c>
      <c r="J55" s="115">
        <f t="shared" si="5"/>
        <v>0.71083329460426636</v>
      </c>
      <c r="K55" s="112">
        <f>IFERROR(VLOOKUP($B55,MMWR_TRAD_AGG_STATE_COMP[],K$1,0),"ERROR")</f>
        <v>3670</v>
      </c>
      <c r="L55" s="113">
        <f>IFERROR(VLOOKUP($B55,MMWR_TRAD_AGG_STATE_COMP[],L$1,0),"ERROR")</f>
        <v>3331</v>
      </c>
      <c r="M55" s="115">
        <f t="shared" si="6"/>
        <v>0.90762942779291556</v>
      </c>
      <c r="N55" s="112">
        <f>IFERROR(VLOOKUP($B55,MMWR_TRAD_AGG_STATE_COMP[],N$1,0),"ERROR")</f>
        <v>6563</v>
      </c>
      <c r="O55" s="113">
        <f>IFERROR(VLOOKUP($B55,MMWR_TRAD_AGG_STATE_COMP[],O$1,0),"ERROR")</f>
        <v>5047</v>
      </c>
      <c r="P55" s="115">
        <f t="shared" si="7"/>
        <v>0.76900807557519424</v>
      </c>
      <c r="Q55" s="116">
        <f>IFERROR(VLOOKUP($B55,MMWR_TRAD_AGG_STATE_COMP[],Q$1,0),"ERROR")</f>
        <v>8</v>
      </c>
      <c r="R55" s="116">
        <f>IFERROR(VLOOKUP($B55,MMWR_TRAD_AGG_STATE_COMP[],R$1,0),"ERROR")</f>
        <v>142</v>
      </c>
      <c r="S55" s="116">
        <f>IFERROR(VLOOKUP($B55,MMWR_APP_STATE_COMP[],S$1,0),"ERROR")</f>
        <v>4669</v>
      </c>
      <c r="T55" s="28"/>
    </row>
    <row r="56" spans="1:20" s="124" customFormat="1" x14ac:dyDescent="0.2">
      <c r="A56" s="28"/>
      <c r="B56" s="127" t="s">
        <v>390</v>
      </c>
      <c r="C56" s="103">
        <f>IFERROR(VLOOKUP($B56,MMWR_TRAD_AGG_ST_DISTRICT_COMP[],C$1,0),"ERROR")</f>
        <v>80953</v>
      </c>
      <c r="D56" s="104">
        <f>IFERROR(VLOOKUP($B56,MMWR_TRAD_AGG_ST_DISTRICT_COMP[],D$1,0),"ERROR")</f>
        <v>357.52262423880001</v>
      </c>
      <c r="E56" s="103">
        <f>IFERROR(VLOOKUP($B56,MMWR_TRAD_AGG_ST_DISTRICT_COMP[],E$1,0),"ERROR")</f>
        <v>80096</v>
      </c>
      <c r="F56" s="103">
        <f>IFERROR(VLOOKUP($B56,MMWR_TRAD_AGG_ST_DISTRICT_COMP[],F$1,0),"ERROR")</f>
        <v>28532</v>
      </c>
      <c r="G56" s="105">
        <f t="shared" si="4"/>
        <v>0.35622253296044748</v>
      </c>
      <c r="H56" s="103">
        <f>IFERROR(VLOOKUP($B56,MMWR_TRAD_AGG_ST_DISTRICT_COMP[],H$1,0),"ERROR")</f>
        <v>110562</v>
      </c>
      <c r="I56" s="103">
        <f>IFERROR(VLOOKUP($B56,MMWR_TRAD_AGG_ST_DISTRICT_COMP[],I$1,0),"ERROR")</f>
        <v>73200</v>
      </c>
      <c r="J56" s="106">
        <f t="shared" si="5"/>
        <v>0.66207195962446408</v>
      </c>
      <c r="K56" s="103">
        <f>IFERROR(VLOOKUP($B56,MMWR_TRAD_AGG_ST_DISTRICT_COMP[],K$1,0),"ERROR")</f>
        <v>18519</v>
      </c>
      <c r="L56" s="103">
        <f>IFERROR(VLOOKUP($B56,MMWR_TRAD_AGG_ST_DISTRICT_COMP[],L$1,0),"ERROR")</f>
        <v>15211</v>
      </c>
      <c r="M56" s="106">
        <f t="shared" si="6"/>
        <v>0.8213726443112479</v>
      </c>
      <c r="N56" s="103">
        <f>IFERROR(VLOOKUP($B56,MMWR_TRAD_AGG_ST_DISTRICT_COMP[],N$1,0),"ERROR")</f>
        <v>33289</v>
      </c>
      <c r="O56" s="103">
        <f>IFERROR(VLOOKUP($B56,MMWR_TRAD_AGG_ST_DISTRICT_COMP[],O$1,0),"ERROR")</f>
        <v>22206</v>
      </c>
      <c r="P56" s="106">
        <f t="shared" si="7"/>
        <v>0.66706719937516901</v>
      </c>
      <c r="Q56" s="103">
        <f>IFERROR(VLOOKUP($B56,MMWR_TRAD_AGG_ST_DISTRICT_COMP[],Q$1,0),"ERROR")</f>
        <v>2302</v>
      </c>
      <c r="R56" s="107">
        <f>IFERROR(VLOOKUP($B56,MMWR_TRAD_AGG_ST_DISTRICT_COMP[],R$1,0),"ERROR")</f>
        <v>1057</v>
      </c>
      <c r="S56" s="107">
        <f>SUM(S57:S63)</f>
        <v>82482</v>
      </c>
      <c r="T56" s="28"/>
    </row>
    <row r="57" spans="1:20" s="124" customFormat="1" x14ac:dyDescent="0.2">
      <c r="A57" s="28"/>
      <c r="B57" s="128" t="s">
        <v>398</v>
      </c>
      <c r="C57" s="110">
        <f>IFERROR(VLOOKUP($B57,MMWR_TRAD_AGG_STATE_COMP[],C$1,0),"ERROR")</f>
        <v>14522</v>
      </c>
      <c r="D57" s="111">
        <f>IFERROR(VLOOKUP($B57,MMWR_TRAD_AGG_STATE_COMP[],D$1,0),"ERROR")</f>
        <v>367.07072028649998</v>
      </c>
      <c r="E57" s="112">
        <f>IFERROR(VLOOKUP($B57,MMWR_TRAD_AGG_STATE_COMP[],E$1,0),"ERROR")</f>
        <v>8651</v>
      </c>
      <c r="F57" s="113">
        <f>IFERROR(VLOOKUP($B57,MMWR_TRAD_AGG_STATE_COMP[],F$1,0),"ERROR")</f>
        <v>3178</v>
      </c>
      <c r="G57" s="114">
        <f t="shared" si="4"/>
        <v>0.36735637498555079</v>
      </c>
      <c r="H57" s="112">
        <f>IFERROR(VLOOKUP($B57,MMWR_TRAD_AGG_STATE_COMP[],H$1,0),"ERROR")</f>
        <v>16953</v>
      </c>
      <c r="I57" s="113">
        <f>IFERROR(VLOOKUP($B57,MMWR_TRAD_AGG_STATE_COMP[],I$1,0),"ERROR")</f>
        <v>12142</v>
      </c>
      <c r="J57" s="115">
        <f t="shared" si="5"/>
        <v>0.7162154190998643</v>
      </c>
      <c r="K57" s="112">
        <f>IFERROR(VLOOKUP($B57,MMWR_TRAD_AGG_STATE_COMP[],K$1,0),"ERROR")</f>
        <v>4410</v>
      </c>
      <c r="L57" s="113">
        <f>IFERROR(VLOOKUP($B57,MMWR_TRAD_AGG_STATE_COMP[],L$1,0),"ERROR")</f>
        <v>4010</v>
      </c>
      <c r="M57" s="115">
        <f t="shared" si="6"/>
        <v>0.90929705215419498</v>
      </c>
      <c r="N57" s="112">
        <f>IFERROR(VLOOKUP($B57,MMWR_TRAD_AGG_STATE_COMP[],N$1,0),"ERROR")</f>
        <v>3256</v>
      </c>
      <c r="O57" s="113">
        <f>IFERROR(VLOOKUP($B57,MMWR_TRAD_AGG_STATE_COMP[],O$1,0),"ERROR")</f>
        <v>2217</v>
      </c>
      <c r="P57" s="115">
        <f t="shared" si="7"/>
        <v>0.6808968058968059</v>
      </c>
      <c r="Q57" s="116">
        <f>IFERROR(VLOOKUP($B57,MMWR_TRAD_AGG_STATE_COMP[],Q$1,0),"ERROR")</f>
        <v>23</v>
      </c>
      <c r="R57" s="116">
        <f>IFERROR(VLOOKUP($B57,MMWR_TRAD_AGG_STATE_COMP[],R$1,0),"ERROR")</f>
        <v>342</v>
      </c>
      <c r="S57" s="116">
        <f>IFERROR(VLOOKUP($B57,MMWR_APP_STATE_COMP[],S$1,0),"ERROR")</f>
        <v>10777</v>
      </c>
      <c r="T57" s="28"/>
    </row>
    <row r="58" spans="1:20" s="124" customFormat="1" x14ac:dyDescent="0.2">
      <c r="A58" s="28"/>
      <c r="B58" s="128" t="s">
        <v>435</v>
      </c>
      <c r="C58" s="110">
        <f>IFERROR(VLOOKUP($B58,MMWR_TRAD_AGG_STATE_COMP[],C$1,0),"ERROR")</f>
        <v>20754</v>
      </c>
      <c r="D58" s="111">
        <f>IFERROR(VLOOKUP($B58,MMWR_TRAD_AGG_STATE_COMP[],D$1,0),"ERROR")</f>
        <v>329.44275802250002</v>
      </c>
      <c r="E58" s="112">
        <f>IFERROR(VLOOKUP($B58,MMWR_TRAD_AGG_STATE_COMP[],E$1,0),"ERROR")</f>
        <v>26777</v>
      </c>
      <c r="F58" s="113">
        <f>IFERROR(VLOOKUP($B58,MMWR_TRAD_AGG_STATE_COMP[],F$1,0),"ERROR")</f>
        <v>10659</v>
      </c>
      <c r="G58" s="114">
        <f t="shared" si="4"/>
        <v>0.39806550397729396</v>
      </c>
      <c r="H58" s="112">
        <f>IFERROR(VLOOKUP($B58,MMWR_TRAD_AGG_STATE_COMP[],H$1,0),"ERROR")</f>
        <v>28773</v>
      </c>
      <c r="I58" s="113">
        <f>IFERROR(VLOOKUP($B58,MMWR_TRAD_AGG_STATE_COMP[],I$1,0),"ERROR")</f>
        <v>17568</v>
      </c>
      <c r="J58" s="115">
        <f t="shared" si="5"/>
        <v>0.6105724116359087</v>
      </c>
      <c r="K58" s="112">
        <f>IFERROR(VLOOKUP($B58,MMWR_TRAD_AGG_STATE_COMP[],K$1,0),"ERROR")</f>
        <v>3524</v>
      </c>
      <c r="L58" s="113">
        <f>IFERROR(VLOOKUP($B58,MMWR_TRAD_AGG_STATE_COMP[],L$1,0),"ERROR")</f>
        <v>2456</v>
      </c>
      <c r="M58" s="115">
        <f t="shared" si="6"/>
        <v>0.69693530079455168</v>
      </c>
      <c r="N58" s="112">
        <f>IFERROR(VLOOKUP($B58,MMWR_TRAD_AGG_STATE_COMP[],N$1,0),"ERROR")</f>
        <v>10477</v>
      </c>
      <c r="O58" s="113">
        <f>IFERROR(VLOOKUP($B58,MMWR_TRAD_AGG_STATE_COMP[],O$1,0),"ERROR")</f>
        <v>6736</v>
      </c>
      <c r="P58" s="115">
        <f t="shared" si="7"/>
        <v>0.64293213706213614</v>
      </c>
      <c r="Q58" s="116">
        <f>IFERROR(VLOOKUP($B58,MMWR_TRAD_AGG_STATE_COMP[],Q$1,0),"ERROR")</f>
        <v>1074</v>
      </c>
      <c r="R58" s="116">
        <f>IFERROR(VLOOKUP($B58,MMWR_TRAD_AGG_STATE_COMP[],R$1,0),"ERROR")</f>
        <v>246</v>
      </c>
      <c r="S58" s="116">
        <f>IFERROR(VLOOKUP($B58,MMWR_APP_STATE_COMP[],S$1,0),"ERROR")</f>
        <v>27800</v>
      </c>
      <c r="T58" s="28"/>
    </row>
    <row r="59" spans="1:20" s="124" customFormat="1" x14ac:dyDescent="0.2">
      <c r="A59" s="28"/>
      <c r="B59" s="128" t="s">
        <v>391</v>
      </c>
      <c r="C59" s="110">
        <f>IFERROR(VLOOKUP($B59,MMWR_TRAD_AGG_STATE_COMP[],C$1,0),"ERROR")</f>
        <v>16550</v>
      </c>
      <c r="D59" s="111">
        <f>IFERROR(VLOOKUP($B59,MMWR_TRAD_AGG_STATE_COMP[],D$1,0),"ERROR")</f>
        <v>373.49486404829997</v>
      </c>
      <c r="E59" s="112">
        <f>IFERROR(VLOOKUP($B59,MMWR_TRAD_AGG_STATE_COMP[],E$1,0),"ERROR")</f>
        <v>17284</v>
      </c>
      <c r="F59" s="113">
        <f>IFERROR(VLOOKUP($B59,MMWR_TRAD_AGG_STATE_COMP[],F$1,0),"ERROR")</f>
        <v>6076</v>
      </c>
      <c r="G59" s="114">
        <f t="shared" si="4"/>
        <v>0.35153899560286972</v>
      </c>
      <c r="H59" s="112">
        <f>IFERROR(VLOOKUP($B59,MMWR_TRAD_AGG_STATE_COMP[],H$1,0),"ERROR")</f>
        <v>23250</v>
      </c>
      <c r="I59" s="113">
        <f>IFERROR(VLOOKUP($B59,MMWR_TRAD_AGG_STATE_COMP[],I$1,0),"ERROR")</f>
        <v>15685</v>
      </c>
      <c r="J59" s="115">
        <f t="shared" si="5"/>
        <v>0.67462365591397855</v>
      </c>
      <c r="K59" s="112">
        <f>IFERROR(VLOOKUP($B59,MMWR_TRAD_AGG_STATE_COMP[],K$1,0),"ERROR")</f>
        <v>4942</v>
      </c>
      <c r="L59" s="113">
        <f>IFERROR(VLOOKUP($B59,MMWR_TRAD_AGG_STATE_COMP[],L$1,0),"ERROR")</f>
        <v>4193</v>
      </c>
      <c r="M59" s="115">
        <f t="shared" si="6"/>
        <v>0.84844192634560911</v>
      </c>
      <c r="N59" s="112">
        <f>IFERROR(VLOOKUP($B59,MMWR_TRAD_AGG_STATE_COMP[],N$1,0),"ERROR")</f>
        <v>12357</v>
      </c>
      <c r="O59" s="113">
        <f>IFERROR(VLOOKUP($B59,MMWR_TRAD_AGG_STATE_COMP[],O$1,0),"ERROR")</f>
        <v>8762</v>
      </c>
      <c r="P59" s="115">
        <f t="shared" si="7"/>
        <v>0.70907178117666103</v>
      </c>
      <c r="Q59" s="116">
        <f>IFERROR(VLOOKUP($B59,MMWR_TRAD_AGG_STATE_COMP[],Q$1,0),"ERROR")</f>
        <v>574</v>
      </c>
      <c r="R59" s="116">
        <f>IFERROR(VLOOKUP($B59,MMWR_TRAD_AGG_STATE_COMP[],R$1,0),"ERROR")</f>
        <v>40</v>
      </c>
      <c r="S59" s="116">
        <f>IFERROR(VLOOKUP($B59,MMWR_APP_STATE_COMP[],S$1,0),"ERROR")</f>
        <v>16218</v>
      </c>
      <c r="T59" s="28"/>
    </row>
    <row r="60" spans="1:20" s="124" customFormat="1" x14ac:dyDescent="0.2">
      <c r="A60" s="28"/>
      <c r="B60" s="128" t="s">
        <v>403</v>
      </c>
      <c r="C60" s="110">
        <f>IFERROR(VLOOKUP($B60,MMWR_TRAD_AGG_STATE_COMP[],C$1,0),"ERROR")</f>
        <v>7482</v>
      </c>
      <c r="D60" s="111">
        <f>IFERROR(VLOOKUP($B60,MMWR_TRAD_AGG_STATE_COMP[],D$1,0),"ERROR")</f>
        <v>525.9875701684</v>
      </c>
      <c r="E60" s="112">
        <f>IFERROR(VLOOKUP($B60,MMWR_TRAD_AGG_STATE_COMP[],E$1,0),"ERROR")</f>
        <v>4595</v>
      </c>
      <c r="F60" s="113">
        <f>IFERROR(VLOOKUP($B60,MMWR_TRAD_AGG_STATE_COMP[],F$1,0),"ERROR")</f>
        <v>1657</v>
      </c>
      <c r="G60" s="114">
        <f t="shared" si="4"/>
        <v>0.36060935799782373</v>
      </c>
      <c r="H60" s="112">
        <f>IFERROR(VLOOKUP($B60,MMWR_TRAD_AGG_STATE_COMP[],H$1,0),"ERROR")</f>
        <v>10045</v>
      </c>
      <c r="I60" s="113">
        <f>IFERROR(VLOOKUP($B60,MMWR_TRAD_AGG_STATE_COMP[],I$1,0),"ERROR")</f>
        <v>7433</v>
      </c>
      <c r="J60" s="115">
        <f t="shared" si="5"/>
        <v>0.73997013439522152</v>
      </c>
      <c r="K60" s="112">
        <f>IFERROR(VLOOKUP($B60,MMWR_TRAD_AGG_STATE_COMP[],K$1,0),"ERROR")</f>
        <v>1972</v>
      </c>
      <c r="L60" s="113">
        <f>IFERROR(VLOOKUP($B60,MMWR_TRAD_AGG_STATE_COMP[],L$1,0),"ERROR")</f>
        <v>1790</v>
      </c>
      <c r="M60" s="115">
        <f t="shared" si="6"/>
        <v>0.90770791075050705</v>
      </c>
      <c r="N60" s="112">
        <f>IFERROR(VLOOKUP($B60,MMWR_TRAD_AGG_STATE_COMP[],N$1,0),"ERROR")</f>
        <v>1038</v>
      </c>
      <c r="O60" s="113">
        <f>IFERROR(VLOOKUP($B60,MMWR_TRAD_AGG_STATE_COMP[],O$1,0),"ERROR")</f>
        <v>612</v>
      </c>
      <c r="P60" s="115">
        <f t="shared" si="7"/>
        <v>0.58959537572254339</v>
      </c>
      <c r="Q60" s="116">
        <f>IFERROR(VLOOKUP($B60,MMWR_TRAD_AGG_STATE_COMP[],Q$1,0),"ERROR")</f>
        <v>51</v>
      </c>
      <c r="R60" s="116">
        <f>IFERROR(VLOOKUP($B60,MMWR_TRAD_AGG_STATE_COMP[],R$1,0),"ERROR")</f>
        <v>154</v>
      </c>
      <c r="S60" s="116">
        <f>IFERROR(VLOOKUP($B60,MMWR_APP_STATE_COMP[],S$1,0),"ERROR")</f>
        <v>3310</v>
      </c>
      <c r="T60" s="28"/>
    </row>
    <row r="61" spans="1:20" s="124" customFormat="1" x14ac:dyDescent="0.2">
      <c r="A61" s="28"/>
      <c r="B61" s="128" t="s">
        <v>437</v>
      </c>
      <c r="C61" s="110">
        <f>IFERROR(VLOOKUP($B61,MMWR_TRAD_AGG_STATE_COMP[],C$1,0),"ERROR")</f>
        <v>2830</v>
      </c>
      <c r="D61" s="111">
        <f>IFERROR(VLOOKUP($B61,MMWR_TRAD_AGG_STATE_COMP[],D$1,0),"ERROR")</f>
        <v>285.19858657240002</v>
      </c>
      <c r="E61" s="112">
        <f>IFERROR(VLOOKUP($B61,MMWR_TRAD_AGG_STATE_COMP[],E$1,0),"ERROR")</f>
        <v>2829</v>
      </c>
      <c r="F61" s="113">
        <f>IFERROR(VLOOKUP($B61,MMWR_TRAD_AGG_STATE_COMP[],F$1,0),"ERROR")</f>
        <v>966</v>
      </c>
      <c r="G61" s="114">
        <f t="shared" si="4"/>
        <v>0.34146341463414637</v>
      </c>
      <c r="H61" s="112">
        <f>IFERROR(VLOOKUP($B61,MMWR_TRAD_AGG_STATE_COMP[],H$1,0),"ERROR")</f>
        <v>4799</v>
      </c>
      <c r="I61" s="113">
        <f>IFERROR(VLOOKUP($B61,MMWR_TRAD_AGG_STATE_COMP[],I$1,0),"ERROR")</f>
        <v>3128</v>
      </c>
      <c r="J61" s="115">
        <f t="shared" si="5"/>
        <v>0.65180245884559285</v>
      </c>
      <c r="K61" s="112">
        <f>IFERROR(VLOOKUP($B61,MMWR_TRAD_AGG_STATE_COMP[],K$1,0),"ERROR")</f>
        <v>727</v>
      </c>
      <c r="L61" s="113">
        <f>IFERROR(VLOOKUP($B61,MMWR_TRAD_AGG_STATE_COMP[],L$1,0),"ERROR")</f>
        <v>627</v>
      </c>
      <c r="M61" s="115">
        <f t="shared" si="6"/>
        <v>0.86244841815680884</v>
      </c>
      <c r="N61" s="112">
        <f>IFERROR(VLOOKUP($B61,MMWR_TRAD_AGG_STATE_COMP[],N$1,0),"ERROR")</f>
        <v>1803</v>
      </c>
      <c r="O61" s="113">
        <f>IFERROR(VLOOKUP($B61,MMWR_TRAD_AGG_STATE_COMP[],O$1,0),"ERROR")</f>
        <v>1282</v>
      </c>
      <c r="P61" s="115">
        <f t="shared" si="7"/>
        <v>0.71103716028840824</v>
      </c>
      <c r="Q61" s="116">
        <f>IFERROR(VLOOKUP($B61,MMWR_TRAD_AGG_STATE_COMP[],Q$1,0),"ERROR")</f>
        <v>180</v>
      </c>
      <c r="R61" s="116">
        <f>IFERROR(VLOOKUP($B61,MMWR_TRAD_AGG_STATE_COMP[],R$1,0),"ERROR")</f>
        <v>4</v>
      </c>
      <c r="S61" s="116">
        <f>IFERROR(VLOOKUP($B61,MMWR_APP_STATE_COMP[],S$1,0),"ERROR")</f>
        <v>5850</v>
      </c>
      <c r="T61" s="28"/>
    </row>
    <row r="62" spans="1:20" s="124" customFormat="1" x14ac:dyDescent="0.2">
      <c r="A62" s="28"/>
      <c r="B62" s="128" t="s">
        <v>393</v>
      </c>
      <c r="C62" s="110">
        <f>IFERROR(VLOOKUP($B62,MMWR_TRAD_AGG_STATE_COMP[],C$1,0),"ERROR")</f>
        <v>11404</v>
      </c>
      <c r="D62" s="111">
        <f>IFERROR(VLOOKUP($B62,MMWR_TRAD_AGG_STATE_COMP[],D$1,0),"ERROR")</f>
        <v>338.79822869169999</v>
      </c>
      <c r="E62" s="112">
        <f>IFERROR(VLOOKUP($B62,MMWR_TRAD_AGG_STATE_COMP[],E$1,0),"ERROR")</f>
        <v>10071</v>
      </c>
      <c r="F62" s="113">
        <f>IFERROR(VLOOKUP($B62,MMWR_TRAD_AGG_STATE_COMP[],F$1,0),"ERROR")</f>
        <v>3170</v>
      </c>
      <c r="G62" s="114">
        <f t="shared" si="4"/>
        <v>0.3147651673120842</v>
      </c>
      <c r="H62" s="112">
        <f>IFERROR(VLOOKUP($B62,MMWR_TRAD_AGG_STATE_COMP[],H$1,0),"ERROR")</f>
        <v>16295</v>
      </c>
      <c r="I62" s="113">
        <f>IFERROR(VLOOKUP($B62,MMWR_TRAD_AGG_STATE_COMP[],I$1,0),"ERROR")</f>
        <v>11402</v>
      </c>
      <c r="J62" s="115">
        <f t="shared" si="5"/>
        <v>0.69972384166922363</v>
      </c>
      <c r="K62" s="112">
        <f>IFERROR(VLOOKUP($B62,MMWR_TRAD_AGG_STATE_COMP[],K$1,0),"ERROR")</f>
        <v>1689</v>
      </c>
      <c r="L62" s="113">
        <f>IFERROR(VLOOKUP($B62,MMWR_TRAD_AGG_STATE_COMP[],L$1,0),"ERROR")</f>
        <v>1082</v>
      </c>
      <c r="M62" s="115">
        <f t="shared" si="6"/>
        <v>0.64061574896388396</v>
      </c>
      <c r="N62" s="112">
        <f>IFERROR(VLOOKUP($B62,MMWR_TRAD_AGG_STATE_COMP[],N$1,0),"ERROR")</f>
        <v>2649</v>
      </c>
      <c r="O62" s="113">
        <f>IFERROR(VLOOKUP($B62,MMWR_TRAD_AGG_STATE_COMP[],O$1,0),"ERROR")</f>
        <v>1605</v>
      </c>
      <c r="P62" s="115">
        <f t="shared" si="7"/>
        <v>0.60588901472253676</v>
      </c>
      <c r="Q62" s="116">
        <f>IFERROR(VLOOKUP($B62,MMWR_TRAD_AGG_STATE_COMP[],Q$1,0),"ERROR")</f>
        <v>362</v>
      </c>
      <c r="R62" s="116">
        <f>IFERROR(VLOOKUP($B62,MMWR_TRAD_AGG_STATE_COMP[],R$1,0),"ERROR")</f>
        <v>60</v>
      </c>
      <c r="S62" s="116">
        <f>IFERROR(VLOOKUP($B62,MMWR_APP_STATE_COMP[],S$1,0),"ERROR")</f>
        <v>11590</v>
      </c>
      <c r="T62" s="28"/>
    </row>
    <row r="63" spans="1:20" s="124" customFormat="1" x14ac:dyDescent="0.2">
      <c r="A63" s="28"/>
      <c r="B63" s="128" t="s">
        <v>394</v>
      </c>
      <c r="C63" s="110">
        <f>IFERROR(VLOOKUP($B63,MMWR_TRAD_AGG_STATE_COMP[],C$1,0),"ERROR")</f>
        <v>7411</v>
      </c>
      <c r="D63" s="111">
        <f>IFERROR(VLOOKUP($B63,MMWR_TRAD_AGG_STATE_COMP[],D$1,0),"ERROR")</f>
        <v>268.13210093100002</v>
      </c>
      <c r="E63" s="112">
        <f>IFERROR(VLOOKUP($B63,MMWR_TRAD_AGG_STATE_COMP[],E$1,0),"ERROR")</f>
        <v>9889</v>
      </c>
      <c r="F63" s="113">
        <f>IFERROR(VLOOKUP($B63,MMWR_TRAD_AGG_STATE_COMP[],F$1,0),"ERROR")</f>
        <v>2826</v>
      </c>
      <c r="G63" s="114">
        <f t="shared" si="4"/>
        <v>0.28577206997674182</v>
      </c>
      <c r="H63" s="112">
        <f>IFERROR(VLOOKUP($B63,MMWR_TRAD_AGG_STATE_COMP[],H$1,0),"ERROR")</f>
        <v>10447</v>
      </c>
      <c r="I63" s="113">
        <f>IFERROR(VLOOKUP($B63,MMWR_TRAD_AGG_STATE_COMP[],I$1,0),"ERROR")</f>
        <v>5842</v>
      </c>
      <c r="J63" s="115">
        <f t="shared" si="5"/>
        <v>0.55920359911936446</v>
      </c>
      <c r="K63" s="112">
        <f>IFERROR(VLOOKUP($B63,MMWR_TRAD_AGG_STATE_COMP[],K$1,0),"ERROR")</f>
        <v>1255</v>
      </c>
      <c r="L63" s="113">
        <f>IFERROR(VLOOKUP($B63,MMWR_TRAD_AGG_STATE_COMP[],L$1,0),"ERROR")</f>
        <v>1053</v>
      </c>
      <c r="M63" s="115">
        <f t="shared" si="6"/>
        <v>0.83904382470119521</v>
      </c>
      <c r="N63" s="112">
        <f>IFERROR(VLOOKUP($B63,MMWR_TRAD_AGG_STATE_COMP[],N$1,0),"ERROR")</f>
        <v>1709</v>
      </c>
      <c r="O63" s="113">
        <f>IFERROR(VLOOKUP($B63,MMWR_TRAD_AGG_STATE_COMP[],O$1,0),"ERROR")</f>
        <v>992</v>
      </c>
      <c r="P63" s="115">
        <f t="shared" si="7"/>
        <v>0.58045640725570513</v>
      </c>
      <c r="Q63" s="116">
        <f>IFERROR(VLOOKUP($B63,MMWR_TRAD_AGG_STATE_COMP[],Q$1,0),"ERROR")</f>
        <v>38</v>
      </c>
      <c r="R63" s="116">
        <f>IFERROR(VLOOKUP($B63,MMWR_TRAD_AGG_STATE_COMP[],R$1,0),"ERROR")</f>
        <v>211</v>
      </c>
      <c r="S63" s="116">
        <f>IFERROR(VLOOKUP($B63,MMWR_APP_STATE_COMP[],S$1,0),"ERROR")</f>
        <v>6937</v>
      </c>
      <c r="T63" s="28"/>
    </row>
    <row r="64" spans="1:20" s="124" customFormat="1" x14ac:dyDescent="0.2">
      <c r="A64" s="28"/>
      <c r="B64" s="129" t="s">
        <v>8</v>
      </c>
      <c r="C64" s="103">
        <f>IFERROR(VLOOKUP($B64,MMWR_TRAD_AGG_ST_DISTRICT_COMP[],C$1,0),"ERROR")</f>
        <v>9037</v>
      </c>
      <c r="D64" s="104">
        <f>IFERROR(VLOOKUP($B64,MMWR_TRAD_AGG_ST_DISTRICT_COMP[],D$1,0),"ERROR")</f>
        <v>406.64424034519999</v>
      </c>
      <c r="E64" s="103">
        <f>IFERROR(VLOOKUP($B64,MMWR_TRAD_AGG_ST_DISTRICT_COMP[],E$1,0),"ERROR")</f>
        <v>4440</v>
      </c>
      <c r="F64" s="103">
        <f>IFERROR(VLOOKUP($B64,MMWR_TRAD_AGG_ST_DISTRICT_COMP[],F$1,0),"ERROR")</f>
        <v>2106</v>
      </c>
      <c r="G64" s="105">
        <f t="shared" si="4"/>
        <v>0.47432432432432431</v>
      </c>
      <c r="H64" s="103">
        <f>IFERROR(VLOOKUP($B64,MMWR_TRAD_AGG_ST_DISTRICT_COMP[],H$1,0),"ERROR")</f>
        <v>10927</v>
      </c>
      <c r="I64" s="103">
        <f>IFERROR(VLOOKUP($B64,MMWR_TRAD_AGG_ST_DISTRICT_COMP[],I$1,0),"ERROR")</f>
        <v>8117</v>
      </c>
      <c r="J64" s="106">
        <f t="shared" si="5"/>
        <v>0.74283883957170316</v>
      </c>
      <c r="K64" s="103">
        <f>IFERROR(VLOOKUP($B64,MMWR_TRAD_AGG_ST_DISTRICT_COMP[],K$1,0),"ERROR")</f>
        <v>1329</v>
      </c>
      <c r="L64" s="103">
        <f>IFERROR(VLOOKUP($B64,MMWR_TRAD_AGG_ST_DISTRICT_COMP[],L$1,0),"ERROR")</f>
        <v>1140</v>
      </c>
      <c r="M64" s="106">
        <f t="shared" si="6"/>
        <v>0.85778781038374718</v>
      </c>
      <c r="N64" s="103">
        <f>IFERROR(VLOOKUP($B64,MMWR_TRAD_AGG_ST_DISTRICT_COMP[],N$1,0),"ERROR")</f>
        <v>16228</v>
      </c>
      <c r="O64" s="103">
        <f>IFERROR(VLOOKUP($B64,MMWR_TRAD_AGG_ST_DISTRICT_COMP[],O$1,0),"ERROR")</f>
        <v>10437</v>
      </c>
      <c r="P64" s="106">
        <f t="shared" si="7"/>
        <v>0.64314764604387475</v>
      </c>
      <c r="Q64" s="103">
        <f>IFERROR(VLOOKUP($B64,MMWR_TRAD_AGG_ST_DISTRICT_COMP[],Q$1,0),"ERROR")</f>
        <v>378</v>
      </c>
      <c r="R64" s="107">
        <f>IFERROR(VLOOKUP($B64,MMWR_TRAD_AGG_ST_DISTRICT_COMP[],R$1,0),"ERROR")</f>
        <v>140</v>
      </c>
      <c r="S64" s="107">
        <f>IFERROR(VLOOKUP($B64,MMWR_APP_STATE_COMP[],S$1,0),"ERROR")</f>
        <v>361</v>
      </c>
      <c r="T64" s="28"/>
    </row>
    <row r="65" spans="1:20" s="124" customFormat="1" x14ac:dyDescent="0.2">
      <c r="A65" s="28"/>
      <c r="B65" s="28"/>
      <c r="C65" s="28"/>
      <c r="D65" s="28"/>
      <c r="E65" s="28"/>
      <c r="F65" s="28"/>
      <c r="G65" s="28"/>
      <c r="H65" s="28"/>
      <c r="I65" s="28"/>
      <c r="J65" s="28"/>
      <c r="K65" s="28"/>
      <c r="L65" s="28"/>
      <c r="M65" s="28"/>
      <c r="N65" s="28"/>
      <c r="O65" s="28"/>
      <c r="P65" s="28"/>
      <c r="Q65" s="28"/>
      <c r="R65" s="28"/>
      <c r="S65" s="28"/>
      <c r="T65" s="28"/>
    </row>
    <row r="66" spans="1:20" s="124" customFormat="1" ht="26.25" x14ac:dyDescent="0.4">
      <c r="A66" s="28"/>
      <c r="B66" s="26"/>
      <c r="C66" s="436" t="s">
        <v>497</v>
      </c>
      <c r="D66" s="437"/>
      <c r="E66" s="437"/>
      <c r="F66" s="437"/>
      <c r="G66" s="437"/>
      <c r="H66" s="437"/>
      <c r="I66" s="437"/>
      <c r="J66" s="437"/>
      <c r="K66" s="437"/>
      <c r="L66" s="437"/>
      <c r="M66" s="437"/>
      <c r="N66" s="437"/>
      <c r="O66" s="437"/>
      <c r="P66" s="437"/>
      <c r="Q66" s="437"/>
      <c r="R66" s="437"/>
      <c r="S66" s="438"/>
      <c r="T66" s="28"/>
    </row>
    <row r="67" spans="1:20" s="124" customFormat="1" x14ac:dyDescent="0.2">
      <c r="A67" s="28"/>
      <c r="B67" s="26"/>
      <c r="C67" s="444" t="s">
        <v>233</v>
      </c>
      <c r="D67" s="444"/>
      <c r="E67" s="441" t="s">
        <v>213</v>
      </c>
      <c r="F67" s="442"/>
      <c r="G67" s="443"/>
      <c r="H67" s="441" t="s">
        <v>7</v>
      </c>
      <c r="I67" s="442"/>
      <c r="J67" s="443"/>
      <c r="K67" s="441" t="s">
        <v>33</v>
      </c>
      <c r="L67" s="442"/>
      <c r="M67" s="443"/>
      <c r="N67" s="441" t="s">
        <v>8</v>
      </c>
      <c r="O67" s="442"/>
      <c r="P67" s="443"/>
      <c r="Q67" s="82" t="s">
        <v>9</v>
      </c>
      <c r="R67" s="83" t="s">
        <v>10</v>
      </c>
      <c r="S67" s="83" t="s">
        <v>11</v>
      </c>
      <c r="T67" s="28"/>
    </row>
    <row r="68" spans="1:20" s="124" customFormat="1" ht="38.25" x14ac:dyDescent="0.2">
      <c r="A68" s="28"/>
      <c r="B68" s="55"/>
      <c r="C68" s="85" t="s">
        <v>12</v>
      </c>
      <c r="D68" s="86" t="s">
        <v>140</v>
      </c>
      <c r="E68" s="87" t="s">
        <v>12</v>
      </c>
      <c r="F68" s="88" t="s">
        <v>3</v>
      </c>
      <c r="G68" s="89" t="s">
        <v>4</v>
      </c>
      <c r="H68" s="87" t="s">
        <v>12</v>
      </c>
      <c r="I68" s="88" t="s">
        <v>3</v>
      </c>
      <c r="J68" s="89" t="s">
        <v>4</v>
      </c>
      <c r="K68" s="87" t="s">
        <v>12</v>
      </c>
      <c r="L68" s="88" t="s">
        <v>3</v>
      </c>
      <c r="M68" s="89" t="s">
        <v>4</v>
      </c>
      <c r="N68" s="87" t="s">
        <v>12</v>
      </c>
      <c r="O68" s="88" t="s">
        <v>3</v>
      </c>
      <c r="P68" s="89" t="s">
        <v>4</v>
      </c>
      <c r="Q68" s="90" t="s">
        <v>12</v>
      </c>
      <c r="R68" s="90" t="s">
        <v>12</v>
      </c>
      <c r="S68" s="90" t="s">
        <v>498</v>
      </c>
      <c r="T68" s="28"/>
    </row>
    <row r="69" spans="1:20" s="124" customFormat="1" x14ac:dyDescent="0.2">
      <c r="A69" s="28"/>
      <c r="B69" s="130" t="s">
        <v>472</v>
      </c>
      <c r="C69" s="120">
        <f>IFERROR(VLOOKUP($B69,MMWR_TRAD_AGG_RO_PEN[],C$1,0),"ERROR")</f>
        <v>19366</v>
      </c>
      <c r="D69" s="121">
        <f>IFERROR(VLOOKUP($B69,MMWR_TRAD_AGG_RO_PEN[],D$1,0),"ERROR")</f>
        <v>78.092016936899995</v>
      </c>
      <c r="E69" s="120">
        <f>IFERROR(VLOOKUP($B69,MMWR_TRAD_AGG_RO_PEN[],E$1,0),"ERROR")</f>
        <v>23855</v>
      </c>
      <c r="F69" s="120">
        <f>IFERROR(VLOOKUP($B69,MMWR_TRAD_AGG_RO_PEN[],F$1,0),"ERROR")</f>
        <v>2758</v>
      </c>
      <c r="G69" s="99">
        <f t="shared" ref="G69:G100" si="8">IFERROR(F69/E69,"0%")</f>
        <v>0.11561517501571998</v>
      </c>
      <c r="H69" s="120">
        <f>IFERROR(VLOOKUP($B69,MMWR_TRAD_AGG_RO_PEN[],H$1,0),"ERROR")</f>
        <v>31371</v>
      </c>
      <c r="I69" s="120">
        <f>IFERROR(VLOOKUP($B69,MMWR_TRAD_AGG_RO_PEN[],I$1,0),"ERROR")</f>
        <v>5995</v>
      </c>
      <c r="J69" s="99">
        <f t="shared" ref="J69:J100" si="9">IFERROR(I69/H69,"0%")</f>
        <v>0.19110006056549042</v>
      </c>
      <c r="K69" s="120">
        <f>IFERROR(VLOOKUP($B69,MMWR_TRAD_AGG_RO_PEN[],K$1,0),"ERROR")</f>
        <v>858</v>
      </c>
      <c r="L69" s="120">
        <f>IFERROR(VLOOKUP($B69,MMWR_TRAD_AGG_RO_PEN[],L$1,0),"ERROR")</f>
        <v>832</v>
      </c>
      <c r="M69" s="99">
        <f t="shared" ref="M69:M100" si="10">IFERROR(L69/K69,"0%")</f>
        <v>0.96969696969696972</v>
      </c>
      <c r="N69" s="120">
        <f>IFERROR(VLOOKUP($B69,MMWR_TRAD_AGG_RO_PEN[],N$1,0),"ERROR")</f>
        <v>5725</v>
      </c>
      <c r="O69" s="120">
        <f>IFERROR(VLOOKUP($B69,MMWR_TRAD_AGG_RO_PEN[],O$1,0),"ERROR")</f>
        <v>956</v>
      </c>
      <c r="P69" s="99">
        <f t="shared" ref="P69:P100" si="11">IFERROR(O69/N69,"0%")</f>
        <v>0.16698689956331877</v>
      </c>
      <c r="Q69" s="120">
        <f>IFERROR(VLOOKUP($B69,MMWR_TRAD_AGG_RO_PEN[],Q$1,0),"ERROR")</f>
        <v>10925</v>
      </c>
      <c r="R69" s="122">
        <f>IFERROR(VLOOKUP($B69,MMWR_TRAD_AGG_RO_PEN[],R$1,0),"ERROR")</f>
        <v>4805</v>
      </c>
      <c r="S69" s="122">
        <f>S70+S86+S99+S109+S119+S127</f>
        <v>5972</v>
      </c>
      <c r="T69" s="28"/>
    </row>
    <row r="70" spans="1:20" s="124" customFormat="1" x14ac:dyDescent="0.2">
      <c r="A70" s="28"/>
      <c r="B70" s="127" t="s">
        <v>379</v>
      </c>
      <c r="C70" s="103">
        <f>IFERROR(VLOOKUP($B70,MMWR_TRAD_AGG_ST_DISTRICT_PEN[],C$1,0),"ERROR")</f>
        <v>6021</v>
      </c>
      <c r="D70" s="104">
        <f>IFERROR(VLOOKUP($B70,MMWR_TRAD_AGG_ST_DISTRICT_PEN[],D$1,0),"ERROR")</f>
        <v>91.130709184500006</v>
      </c>
      <c r="E70" s="103">
        <f>IFERROR(VLOOKUP($B70,MMWR_TRAD_AGG_ST_DISTRICT_PEN[],E$1,0),"ERROR")</f>
        <v>6762</v>
      </c>
      <c r="F70" s="103">
        <f>IFERROR(VLOOKUP($B70,MMWR_TRAD_AGG_ST_DISTRICT_PEN[],F$1,0),"ERROR")</f>
        <v>1160</v>
      </c>
      <c r="G70" s="105">
        <f t="shared" si="8"/>
        <v>0.17154687962141379</v>
      </c>
      <c r="H70" s="103">
        <f>IFERROR(VLOOKUP($B70,MMWR_TRAD_AGG_ST_DISTRICT_PEN[],H$1,0),"ERROR")</f>
        <v>9738</v>
      </c>
      <c r="I70" s="103">
        <f>IFERROR(VLOOKUP($B70,MMWR_TRAD_AGG_ST_DISTRICT_PEN[],I$1,0),"ERROR")</f>
        <v>2427</v>
      </c>
      <c r="J70" s="105">
        <f t="shared" si="9"/>
        <v>0.2492298213185459</v>
      </c>
      <c r="K70" s="103">
        <f>IFERROR(VLOOKUP($B70,MMWR_TRAD_AGG_ST_DISTRICT_PEN[],K$1,0),"ERROR")</f>
        <v>458</v>
      </c>
      <c r="L70" s="103">
        <f>IFERROR(VLOOKUP($B70,MMWR_TRAD_AGG_ST_DISTRICT_PEN[],L$1,0),"ERROR")</f>
        <v>451</v>
      </c>
      <c r="M70" s="105">
        <f t="shared" si="10"/>
        <v>0.98471615720524019</v>
      </c>
      <c r="N70" s="103">
        <f>IFERROR(VLOOKUP($B70,MMWR_TRAD_AGG_ST_DISTRICT_PEN[],N$1,0),"ERROR")</f>
        <v>2995</v>
      </c>
      <c r="O70" s="103">
        <f>IFERROR(VLOOKUP($B70,MMWR_TRAD_AGG_ST_DISTRICT_PEN[],O$1,0),"ERROR")</f>
        <v>423</v>
      </c>
      <c r="P70" s="105">
        <f t="shared" si="11"/>
        <v>0.14123539232053423</v>
      </c>
      <c r="Q70" s="103">
        <f>IFERROR(VLOOKUP($B70,MMWR_TRAD_AGG_ST_DISTRICT_PEN[],Q$1,0),"ERROR")</f>
        <v>971</v>
      </c>
      <c r="R70" s="107">
        <f>IFERROR(VLOOKUP($B70,MMWR_TRAD_AGG_ST_DISTRICT_PEN[],R$1,0),"ERROR")</f>
        <v>1856</v>
      </c>
      <c r="S70" s="107">
        <f>IFERROR(VLOOKUP($B70,MMWR_APP_STATE_PEN[],S$1,0),"ERROR")</f>
        <v>1500</v>
      </c>
      <c r="T70" s="28"/>
    </row>
    <row r="71" spans="1:20" s="124" customFormat="1" x14ac:dyDescent="0.2">
      <c r="A71" s="28"/>
      <c r="B71" s="128" t="s">
        <v>383</v>
      </c>
      <c r="C71" s="110">
        <f>IFERROR(VLOOKUP($B71,MMWR_TRAD_AGG_STATE_PEN[],C$1,0),"ERROR")</f>
        <v>134</v>
      </c>
      <c r="D71" s="111">
        <f>IFERROR(VLOOKUP($B71,MMWR_TRAD_AGG_STATE_PEN[],D$1,0),"ERROR")</f>
        <v>87.738805970100003</v>
      </c>
      <c r="E71" s="112">
        <f>IFERROR(VLOOKUP($B71,MMWR_TRAD_AGG_STATE_PEN[],E$1,0),"ERROR")</f>
        <v>258</v>
      </c>
      <c r="F71" s="113">
        <f>IFERROR(VLOOKUP($B71,MMWR_TRAD_AGG_STATE_PEN[],F$1,0),"ERROR")</f>
        <v>45</v>
      </c>
      <c r="G71" s="114">
        <f t="shared" si="8"/>
        <v>0.1744186046511628</v>
      </c>
      <c r="H71" s="112">
        <f>IFERROR(VLOOKUP($B71,MMWR_TRAD_AGG_STATE_PEN[],H$1,0),"ERROR")</f>
        <v>209</v>
      </c>
      <c r="I71" s="113">
        <f>IFERROR(VLOOKUP($B71,MMWR_TRAD_AGG_STATE_PEN[],I$1,0),"ERROR")</f>
        <v>55</v>
      </c>
      <c r="J71" s="115">
        <f t="shared" si="9"/>
        <v>0.26315789473684209</v>
      </c>
      <c r="K71" s="112">
        <f>IFERROR(VLOOKUP($B71,MMWR_TRAD_AGG_STATE_PEN[],K$1,0),"ERROR")</f>
        <v>8</v>
      </c>
      <c r="L71" s="113">
        <f>IFERROR(VLOOKUP($B71,MMWR_TRAD_AGG_STATE_PEN[],L$1,0),"ERROR")</f>
        <v>8</v>
      </c>
      <c r="M71" s="115">
        <f t="shared" si="10"/>
        <v>1</v>
      </c>
      <c r="N71" s="112">
        <f>IFERROR(VLOOKUP($B71,MMWR_TRAD_AGG_STATE_PEN[],N$1,0),"ERROR")</f>
        <v>89</v>
      </c>
      <c r="O71" s="113">
        <f>IFERROR(VLOOKUP($B71,MMWR_TRAD_AGG_STATE_PEN[],O$1,0),"ERROR")</f>
        <v>9</v>
      </c>
      <c r="P71" s="115">
        <f t="shared" si="11"/>
        <v>0.10112359550561797</v>
      </c>
      <c r="Q71" s="116">
        <f>IFERROR(VLOOKUP($B71,MMWR_TRAD_AGG_STATE_PEN[],Q$1,0),"ERROR")</f>
        <v>19</v>
      </c>
      <c r="R71" s="116">
        <f>IFERROR(VLOOKUP($B71,MMWR_TRAD_AGG_STATE_PEN[],R$1,0),"ERROR")</f>
        <v>60</v>
      </c>
      <c r="S71" s="116">
        <f>IFERROR(VLOOKUP($B71,MMWR_APP_STATE_PEN[],S$1,0),"ERROR")</f>
        <v>56</v>
      </c>
      <c r="T71" s="28"/>
    </row>
    <row r="72" spans="1:20" s="124" customFormat="1" x14ac:dyDescent="0.2">
      <c r="A72" s="28"/>
      <c r="B72" s="128" t="s">
        <v>433</v>
      </c>
      <c r="C72" s="110">
        <f>IFERROR(VLOOKUP($B72,MMWR_TRAD_AGG_STATE_PEN[],C$1,0),"ERROR")</f>
        <v>52</v>
      </c>
      <c r="D72" s="111">
        <f>IFERROR(VLOOKUP($B72,MMWR_TRAD_AGG_STATE_PEN[],D$1,0),"ERROR")</f>
        <v>95.769230769200007</v>
      </c>
      <c r="E72" s="112">
        <f>IFERROR(VLOOKUP($B72,MMWR_TRAD_AGG_STATE_PEN[],E$1,0),"ERROR")</f>
        <v>64</v>
      </c>
      <c r="F72" s="113">
        <f>IFERROR(VLOOKUP($B72,MMWR_TRAD_AGG_STATE_PEN[],F$1,0),"ERROR")</f>
        <v>12</v>
      </c>
      <c r="G72" s="114">
        <f t="shared" si="8"/>
        <v>0.1875</v>
      </c>
      <c r="H72" s="112">
        <f>IFERROR(VLOOKUP($B72,MMWR_TRAD_AGG_STATE_PEN[],H$1,0),"ERROR")</f>
        <v>77</v>
      </c>
      <c r="I72" s="113">
        <f>IFERROR(VLOOKUP($B72,MMWR_TRAD_AGG_STATE_PEN[],I$1,0),"ERROR")</f>
        <v>24</v>
      </c>
      <c r="J72" s="115">
        <f t="shared" si="9"/>
        <v>0.31168831168831168</v>
      </c>
      <c r="K72" s="112">
        <f>IFERROR(VLOOKUP($B72,MMWR_TRAD_AGG_STATE_PEN[],K$1,0),"ERROR")</f>
        <v>6</v>
      </c>
      <c r="L72" s="113">
        <f>IFERROR(VLOOKUP($B72,MMWR_TRAD_AGG_STATE_PEN[],L$1,0),"ERROR")</f>
        <v>6</v>
      </c>
      <c r="M72" s="115">
        <f t="shared" si="10"/>
        <v>1</v>
      </c>
      <c r="N72" s="112">
        <f>IFERROR(VLOOKUP($B72,MMWR_TRAD_AGG_STATE_PEN[],N$1,0),"ERROR")</f>
        <v>53</v>
      </c>
      <c r="O72" s="113">
        <f>IFERROR(VLOOKUP($B72,MMWR_TRAD_AGG_STATE_PEN[],O$1,0),"ERROR")</f>
        <v>9</v>
      </c>
      <c r="P72" s="115">
        <f t="shared" si="11"/>
        <v>0.16981132075471697</v>
      </c>
      <c r="Q72" s="116">
        <f>IFERROR(VLOOKUP($B72,MMWR_TRAD_AGG_STATE_PEN[],Q$1,0),"ERROR")</f>
        <v>11</v>
      </c>
      <c r="R72" s="116">
        <f>IFERROR(VLOOKUP($B72,MMWR_TRAD_AGG_STATE_PEN[],R$1,0),"ERROR")</f>
        <v>19</v>
      </c>
      <c r="S72" s="116">
        <f>IFERROR(VLOOKUP($B72,MMWR_APP_STATE_PEN[],S$1,0),"ERROR")</f>
        <v>17</v>
      </c>
      <c r="T72" s="28"/>
    </row>
    <row r="73" spans="1:20" s="124" customFormat="1" x14ac:dyDescent="0.2">
      <c r="A73" s="28"/>
      <c r="B73" s="128" t="s">
        <v>424</v>
      </c>
      <c r="C73" s="110">
        <f>IFERROR(VLOOKUP($B73,MMWR_TRAD_AGG_STATE_PEN[],C$1,0),"ERROR")</f>
        <v>31</v>
      </c>
      <c r="D73" s="111">
        <f>IFERROR(VLOOKUP($B73,MMWR_TRAD_AGG_STATE_PEN[],D$1,0),"ERROR")</f>
        <v>86.161290322599996</v>
      </c>
      <c r="E73" s="112">
        <f>IFERROR(VLOOKUP($B73,MMWR_TRAD_AGG_STATE_PEN[],E$1,0),"ERROR")</f>
        <v>30</v>
      </c>
      <c r="F73" s="113">
        <f>IFERROR(VLOOKUP($B73,MMWR_TRAD_AGG_STATE_PEN[],F$1,0),"ERROR")</f>
        <v>8</v>
      </c>
      <c r="G73" s="114">
        <f t="shared" si="8"/>
        <v>0.26666666666666666</v>
      </c>
      <c r="H73" s="112">
        <f>IFERROR(VLOOKUP($B73,MMWR_TRAD_AGG_STATE_PEN[],H$1,0),"ERROR")</f>
        <v>50</v>
      </c>
      <c r="I73" s="113">
        <f>IFERROR(VLOOKUP($B73,MMWR_TRAD_AGG_STATE_PEN[],I$1,0),"ERROR")</f>
        <v>10</v>
      </c>
      <c r="J73" s="115">
        <f t="shared" si="9"/>
        <v>0.2</v>
      </c>
      <c r="K73" s="112">
        <f>IFERROR(VLOOKUP($B73,MMWR_TRAD_AGG_STATE_PEN[],K$1,0),"ERROR")</f>
        <v>5</v>
      </c>
      <c r="L73" s="113">
        <f>IFERROR(VLOOKUP($B73,MMWR_TRAD_AGG_STATE_PEN[],L$1,0),"ERROR")</f>
        <v>5</v>
      </c>
      <c r="M73" s="115">
        <f t="shared" si="10"/>
        <v>1</v>
      </c>
      <c r="N73" s="112">
        <f>IFERROR(VLOOKUP($B73,MMWR_TRAD_AGG_STATE_PEN[],N$1,0),"ERROR")</f>
        <v>16</v>
      </c>
      <c r="O73" s="113">
        <f>IFERROR(VLOOKUP($B73,MMWR_TRAD_AGG_STATE_PEN[],O$1,0),"ERROR")</f>
        <v>1</v>
      </c>
      <c r="P73" s="115">
        <f t="shared" si="11"/>
        <v>6.25E-2</v>
      </c>
      <c r="Q73" s="116">
        <f>IFERROR(VLOOKUP($B73,MMWR_TRAD_AGG_STATE_PEN[],Q$1,0),"ERROR")</f>
        <v>7</v>
      </c>
      <c r="R73" s="116">
        <f>IFERROR(VLOOKUP($B73,MMWR_TRAD_AGG_STATE_PEN[],R$1,0),"ERROR")</f>
        <v>11</v>
      </c>
      <c r="S73" s="116">
        <f>IFERROR(VLOOKUP($B73,MMWR_APP_STATE_PEN[],S$1,0),"ERROR")</f>
        <v>11</v>
      </c>
      <c r="T73" s="28"/>
    </row>
    <row r="74" spans="1:20" s="124" customFormat="1" x14ac:dyDescent="0.2">
      <c r="A74" s="28"/>
      <c r="B74" s="128" t="s">
        <v>426</v>
      </c>
      <c r="C74" s="110">
        <f>IFERROR(VLOOKUP($B74,MMWR_TRAD_AGG_STATE_PEN[],C$1,0),"ERROR")</f>
        <v>107</v>
      </c>
      <c r="D74" s="111">
        <f>IFERROR(VLOOKUP($B74,MMWR_TRAD_AGG_STATE_PEN[],D$1,0),"ERROR")</f>
        <v>88.523364486000006</v>
      </c>
      <c r="E74" s="112">
        <f>IFERROR(VLOOKUP($B74,MMWR_TRAD_AGG_STATE_PEN[],E$1,0),"ERROR")</f>
        <v>68</v>
      </c>
      <c r="F74" s="113">
        <f>IFERROR(VLOOKUP($B74,MMWR_TRAD_AGG_STATE_PEN[],F$1,0),"ERROR")</f>
        <v>8</v>
      </c>
      <c r="G74" s="114">
        <f t="shared" si="8"/>
        <v>0.11764705882352941</v>
      </c>
      <c r="H74" s="112">
        <f>IFERROR(VLOOKUP($B74,MMWR_TRAD_AGG_STATE_PEN[],H$1,0),"ERROR")</f>
        <v>171</v>
      </c>
      <c r="I74" s="113">
        <f>IFERROR(VLOOKUP($B74,MMWR_TRAD_AGG_STATE_PEN[],I$1,0),"ERROR")</f>
        <v>49</v>
      </c>
      <c r="J74" s="115">
        <f t="shared" si="9"/>
        <v>0.28654970760233917</v>
      </c>
      <c r="K74" s="112">
        <f>IFERROR(VLOOKUP($B74,MMWR_TRAD_AGG_STATE_PEN[],K$1,0),"ERROR")</f>
        <v>5</v>
      </c>
      <c r="L74" s="113">
        <f>IFERROR(VLOOKUP($B74,MMWR_TRAD_AGG_STATE_PEN[],L$1,0),"ERROR")</f>
        <v>5</v>
      </c>
      <c r="M74" s="115">
        <f t="shared" si="10"/>
        <v>1</v>
      </c>
      <c r="N74" s="112">
        <f>IFERROR(VLOOKUP($B74,MMWR_TRAD_AGG_STATE_PEN[],N$1,0),"ERROR")</f>
        <v>52</v>
      </c>
      <c r="O74" s="113">
        <f>IFERROR(VLOOKUP($B74,MMWR_TRAD_AGG_STATE_PEN[],O$1,0),"ERROR")</f>
        <v>9</v>
      </c>
      <c r="P74" s="115">
        <f t="shared" si="11"/>
        <v>0.17307692307692307</v>
      </c>
      <c r="Q74" s="116">
        <f>IFERROR(VLOOKUP($B74,MMWR_TRAD_AGG_STATE_PEN[],Q$1,0),"ERROR")</f>
        <v>12</v>
      </c>
      <c r="R74" s="116">
        <f>IFERROR(VLOOKUP($B74,MMWR_TRAD_AGG_STATE_PEN[],R$1,0),"ERROR")</f>
        <v>23</v>
      </c>
      <c r="S74" s="116">
        <f>IFERROR(VLOOKUP($B74,MMWR_APP_STATE_PEN[],S$1,0),"ERROR")</f>
        <v>26</v>
      </c>
      <c r="T74" s="28"/>
    </row>
    <row r="75" spans="1:20" s="124" customFormat="1" x14ac:dyDescent="0.2">
      <c r="A75" s="28"/>
      <c r="B75" s="128" t="s">
        <v>386</v>
      </c>
      <c r="C75" s="110">
        <f>IFERROR(VLOOKUP($B75,MMWR_TRAD_AGG_STATE_PEN[],C$1,0),"ERROR")</f>
        <v>326</v>
      </c>
      <c r="D75" s="111">
        <f>IFERROR(VLOOKUP($B75,MMWR_TRAD_AGG_STATE_PEN[],D$1,0),"ERROR")</f>
        <v>90.426380368099998</v>
      </c>
      <c r="E75" s="112">
        <f>IFERROR(VLOOKUP($B75,MMWR_TRAD_AGG_STATE_PEN[],E$1,0),"ERROR")</f>
        <v>395</v>
      </c>
      <c r="F75" s="113">
        <f>IFERROR(VLOOKUP($B75,MMWR_TRAD_AGG_STATE_PEN[],F$1,0),"ERROR")</f>
        <v>55</v>
      </c>
      <c r="G75" s="114">
        <f t="shared" si="8"/>
        <v>0.13924050632911392</v>
      </c>
      <c r="H75" s="112">
        <f>IFERROR(VLOOKUP($B75,MMWR_TRAD_AGG_STATE_PEN[],H$1,0),"ERROR")</f>
        <v>516</v>
      </c>
      <c r="I75" s="113">
        <f>IFERROR(VLOOKUP($B75,MMWR_TRAD_AGG_STATE_PEN[],I$1,0),"ERROR")</f>
        <v>129</v>
      </c>
      <c r="J75" s="115">
        <f t="shared" si="9"/>
        <v>0.25</v>
      </c>
      <c r="K75" s="112">
        <f>IFERROR(VLOOKUP($B75,MMWR_TRAD_AGG_STATE_PEN[],K$1,0),"ERROR")</f>
        <v>25</v>
      </c>
      <c r="L75" s="113">
        <f>IFERROR(VLOOKUP($B75,MMWR_TRAD_AGG_STATE_PEN[],L$1,0),"ERROR")</f>
        <v>24</v>
      </c>
      <c r="M75" s="115">
        <f t="shared" si="10"/>
        <v>0.96</v>
      </c>
      <c r="N75" s="112">
        <f>IFERROR(VLOOKUP($B75,MMWR_TRAD_AGG_STATE_PEN[],N$1,0),"ERROR")</f>
        <v>166</v>
      </c>
      <c r="O75" s="113">
        <f>IFERROR(VLOOKUP($B75,MMWR_TRAD_AGG_STATE_PEN[],O$1,0),"ERROR")</f>
        <v>28</v>
      </c>
      <c r="P75" s="115">
        <f t="shared" si="11"/>
        <v>0.16867469879518071</v>
      </c>
      <c r="Q75" s="116">
        <f>IFERROR(VLOOKUP($B75,MMWR_TRAD_AGG_STATE_PEN[],Q$1,0),"ERROR")</f>
        <v>67</v>
      </c>
      <c r="R75" s="116">
        <f>IFERROR(VLOOKUP($B75,MMWR_TRAD_AGG_STATE_PEN[],R$1,0),"ERROR")</f>
        <v>136</v>
      </c>
      <c r="S75" s="116">
        <f>IFERROR(VLOOKUP($B75,MMWR_APP_STATE_PEN[],S$1,0),"ERROR")</f>
        <v>80</v>
      </c>
      <c r="T75" s="28"/>
    </row>
    <row r="76" spans="1:20" s="124" customFormat="1" x14ac:dyDescent="0.2">
      <c r="A76" s="28"/>
      <c r="B76" s="128" t="s">
        <v>381</v>
      </c>
      <c r="C76" s="110">
        <f>IFERROR(VLOOKUP($B76,MMWR_TRAD_AGG_STATE_PEN[],C$1,0),"ERROR")</f>
        <v>307</v>
      </c>
      <c r="D76" s="111">
        <f>IFERROR(VLOOKUP($B76,MMWR_TRAD_AGG_STATE_PEN[],D$1,0),"ERROR")</f>
        <v>88.990228013000007</v>
      </c>
      <c r="E76" s="112">
        <f>IFERROR(VLOOKUP($B76,MMWR_TRAD_AGG_STATE_PEN[],E$1,0),"ERROR")</f>
        <v>360</v>
      </c>
      <c r="F76" s="113">
        <f>IFERROR(VLOOKUP($B76,MMWR_TRAD_AGG_STATE_PEN[],F$1,0),"ERROR")</f>
        <v>61</v>
      </c>
      <c r="G76" s="114">
        <f t="shared" si="8"/>
        <v>0.16944444444444445</v>
      </c>
      <c r="H76" s="112">
        <f>IFERROR(VLOOKUP($B76,MMWR_TRAD_AGG_STATE_PEN[],H$1,0),"ERROR")</f>
        <v>504</v>
      </c>
      <c r="I76" s="113">
        <f>IFERROR(VLOOKUP($B76,MMWR_TRAD_AGG_STATE_PEN[],I$1,0),"ERROR")</f>
        <v>140</v>
      </c>
      <c r="J76" s="115">
        <f t="shared" si="9"/>
        <v>0.27777777777777779</v>
      </c>
      <c r="K76" s="112">
        <f>IFERROR(VLOOKUP($B76,MMWR_TRAD_AGG_STATE_PEN[],K$1,0),"ERROR")</f>
        <v>18</v>
      </c>
      <c r="L76" s="113">
        <f>IFERROR(VLOOKUP($B76,MMWR_TRAD_AGG_STATE_PEN[],L$1,0),"ERROR")</f>
        <v>17</v>
      </c>
      <c r="M76" s="115">
        <f t="shared" si="10"/>
        <v>0.94444444444444442</v>
      </c>
      <c r="N76" s="112">
        <f>IFERROR(VLOOKUP($B76,MMWR_TRAD_AGG_STATE_PEN[],N$1,0),"ERROR")</f>
        <v>179</v>
      </c>
      <c r="O76" s="113">
        <f>IFERROR(VLOOKUP($B76,MMWR_TRAD_AGG_STATE_PEN[],O$1,0),"ERROR")</f>
        <v>22</v>
      </c>
      <c r="P76" s="115">
        <f t="shared" si="11"/>
        <v>0.12290502793296089</v>
      </c>
      <c r="Q76" s="116">
        <f>IFERROR(VLOOKUP($B76,MMWR_TRAD_AGG_STATE_PEN[],Q$1,0),"ERROR")</f>
        <v>59</v>
      </c>
      <c r="R76" s="116">
        <f>IFERROR(VLOOKUP($B76,MMWR_TRAD_AGG_STATE_PEN[],R$1,0),"ERROR")</f>
        <v>129</v>
      </c>
      <c r="S76" s="116">
        <f>IFERROR(VLOOKUP($B76,MMWR_APP_STATE_PEN[],S$1,0),"ERROR")</f>
        <v>117</v>
      </c>
      <c r="T76" s="28"/>
    </row>
    <row r="77" spans="1:20" s="124" customFormat="1" x14ac:dyDescent="0.2">
      <c r="A77" s="28"/>
      <c r="B77" s="128" t="s">
        <v>425</v>
      </c>
      <c r="C77" s="110">
        <f>IFERROR(VLOOKUP($B77,MMWR_TRAD_AGG_STATE_PEN[],C$1,0),"ERROR")</f>
        <v>79</v>
      </c>
      <c r="D77" s="111">
        <f>IFERROR(VLOOKUP($B77,MMWR_TRAD_AGG_STATE_PEN[],D$1,0),"ERROR")</f>
        <v>96.7594936709</v>
      </c>
      <c r="E77" s="112">
        <f>IFERROR(VLOOKUP($B77,MMWR_TRAD_AGG_STATE_PEN[],E$1,0),"ERROR")</f>
        <v>96</v>
      </c>
      <c r="F77" s="113">
        <f>IFERROR(VLOOKUP($B77,MMWR_TRAD_AGG_STATE_PEN[],F$1,0),"ERROR")</f>
        <v>14</v>
      </c>
      <c r="G77" s="114">
        <f t="shared" si="8"/>
        <v>0.14583333333333334</v>
      </c>
      <c r="H77" s="112">
        <f>IFERROR(VLOOKUP($B77,MMWR_TRAD_AGG_STATE_PEN[],H$1,0),"ERROR")</f>
        <v>117</v>
      </c>
      <c r="I77" s="113">
        <f>IFERROR(VLOOKUP($B77,MMWR_TRAD_AGG_STATE_PEN[],I$1,0),"ERROR")</f>
        <v>36</v>
      </c>
      <c r="J77" s="115">
        <f t="shared" si="9"/>
        <v>0.30769230769230771</v>
      </c>
      <c r="K77" s="112">
        <f>IFERROR(VLOOKUP($B77,MMWR_TRAD_AGG_STATE_PEN[],K$1,0),"ERROR")</f>
        <v>2</v>
      </c>
      <c r="L77" s="113">
        <f>IFERROR(VLOOKUP($B77,MMWR_TRAD_AGG_STATE_PEN[],L$1,0),"ERROR")</f>
        <v>2</v>
      </c>
      <c r="M77" s="115">
        <f t="shared" si="10"/>
        <v>1</v>
      </c>
      <c r="N77" s="112">
        <f>IFERROR(VLOOKUP($B77,MMWR_TRAD_AGG_STATE_PEN[],N$1,0),"ERROR")</f>
        <v>49</v>
      </c>
      <c r="O77" s="113">
        <f>IFERROR(VLOOKUP($B77,MMWR_TRAD_AGG_STATE_PEN[],O$1,0),"ERROR")</f>
        <v>7</v>
      </c>
      <c r="P77" s="115">
        <f t="shared" si="11"/>
        <v>0.14285714285714285</v>
      </c>
      <c r="Q77" s="116">
        <f>IFERROR(VLOOKUP($B77,MMWR_TRAD_AGG_STATE_PEN[],Q$1,0),"ERROR")</f>
        <v>16</v>
      </c>
      <c r="R77" s="116">
        <f>IFERROR(VLOOKUP($B77,MMWR_TRAD_AGG_STATE_PEN[],R$1,0),"ERROR")</f>
        <v>25</v>
      </c>
      <c r="S77" s="116">
        <f>IFERROR(VLOOKUP($B77,MMWR_APP_STATE_PEN[],S$1,0),"ERROR")</f>
        <v>22</v>
      </c>
      <c r="T77" s="28"/>
    </row>
    <row r="78" spans="1:20" s="124" customFormat="1" x14ac:dyDescent="0.2">
      <c r="A78" s="28"/>
      <c r="B78" s="128" t="s">
        <v>384</v>
      </c>
      <c r="C78" s="110">
        <f>IFERROR(VLOOKUP($B78,MMWR_TRAD_AGG_STATE_PEN[],C$1,0),"ERROR")</f>
        <v>393</v>
      </c>
      <c r="D78" s="111">
        <f>IFERROR(VLOOKUP($B78,MMWR_TRAD_AGG_STATE_PEN[],D$1,0),"ERROR")</f>
        <v>92.022900763400003</v>
      </c>
      <c r="E78" s="112">
        <f>IFERROR(VLOOKUP($B78,MMWR_TRAD_AGG_STATE_PEN[],E$1,0),"ERROR")</f>
        <v>493</v>
      </c>
      <c r="F78" s="113">
        <f>IFERROR(VLOOKUP($B78,MMWR_TRAD_AGG_STATE_PEN[],F$1,0),"ERROR")</f>
        <v>91</v>
      </c>
      <c r="G78" s="114">
        <f t="shared" si="8"/>
        <v>0.18458417849898581</v>
      </c>
      <c r="H78" s="112">
        <f>IFERROR(VLOOKUP($B78,MMWR_TRAD_AGG_STATE_PEN[],H$1,0),"ERROR")</f>
        <v>593</v>
      </c>
      <c r="I78" s="113">
        <f>IFERROR(VLOOKUP($B78,MMWR_TRAD_AGG_STATE_PEN[],I$1,0),"ERROR")</f>
        <v>157</v>
      </c>
      <c r="J78" s="115">
        <f t="shared" si="9"/>
        <v>0.26475548060708265</v>
      </c>
      <c r="K78" s="112">
        <f>IFERROR(VLOOKUP($B78,MMWR_TRAD_AGG_STATE_PEN[],K$1,0),"ERROR")</f>
        <v>16</v>
      </c>
      <c r="L78" s="113">
        <f>IFERROR(VLOOKUP($B78,MMWR_TRAD_AGG_STATE_PEN[],L$1,0),"ERROR")</f>
        <v>16</v>
      </c>
      <c r="M78" s="115">
        <f t="shared" si="10"/>
        <v>1</v>
      </c>
      <c r="N78" s="112">
        <f>IFERROR(VLOOKUP($B78,MMWR_TRAD_AGG_STATE_PEN[],N$1,0),"ERROR")</f>
        <v>224</v>
      </c>
      <c r="O78" s="113">
        <f>IFERROR(VLOOKUP($B78,MMWR_TRAD_AGG_STATE_PEN[],O$1,0),"ERROR")</f>
        <v>32</v>
      </c>
      <c r="P78" s="115">
        <f t="shared" si="11"/>
        <v>0.14285714285714285</v>
      </c>
      <c r="Q78" s="116">
        <f>IFERROR(VLOOKUP($B78,MMWR_TRAD_AGG_STATE_PEN[],Q$1,0),"ERROR")</f>
        <v>80</v>
      </c>
      <c r="R78" s="116">
        <f>IFERROR(VLOOKUP($B78,MMWR_TRAD_AGG_STATE_PEN[],R$1,0),"ERROR")</f>
        <v>158</v>
      </c>
      <c r="S78" s="116">
        <f>IFERROR(VLOOKUP($B78,MMWR_APP_STATE_PEN[],S$1,0),"ERROR")</f>
        <v>175</v>
      </c>
      <c r="T78" s="28"/>
    </row>
    <row r="79" spans="1:20" s="124" customFormat="1" x14ac:dyDescent="0.2">
      <c r="A79" s="28"/>
      <c r="B79" s="128" t="s">
        <v>63</v>
      </c>
      <c r="C79" s="110">
        <f>IFERROR(VLOOKUP($B79,MMWR_TRAD_AGG_STATE_PEN[],C$1,0),"ERROR")</f>
        <v>1019</v>
      </c>
      <c r="D79" s="111">
        <f>IFERROR(VLOOKUP($B79,MMWR_TRAD_AGG_STATE_PEN[],D$1,0),"ERROR")</f>
        <v>88.271835132500001</v>
      </c>
      <c r="E79" s="112">
        <f>IFERROR(VLOOKUP($B79,MMWR_TRAD_AGG_STATE_PEN[],E$1,0),"ERROR")</f>
        <v>1421</v>
      </c>
      <c r="F79" s="113">
        <f>IFERROR(VLOOKUP($B79,MMWR_TRAD_AGG_STATE_PEN[],F$1,0),"ERROR")</f>
        <v>250</v>
      </c>
      <c r="G79" s="114">
        <f t="shared" si="8"/>
        <v>0.17593244194229415</v>
      </c>
      <c r="H79" s="112">
        <f>IFERROR(VLOOKUP($B79,MMWR_TRAD_AGG_STATE_PEN[],H$1,0),"ERROR")</f>
        <v>1704</v>
      </c>
      <c r="I79" s="113">
        <f>IFERROR(VLOOKUP($B79,MMWR_TRAD_AGG_STATE_PEN[],I$1,0),"ERROR")</f>
        <v>455</v>
      </c>
      <c r="J79" s="115">
        <f t="shared" si="9"/>
        <v>0.267018779342723</v>
      </c>
      <c r="K79" s="112">
        <f>IFERROR(VLOOKUP($B79,MMWR_TRAD_AGG_STATE_PEN[],K$1,0),"ERROR")</f>
        <v>63</v>
      </c>
      <c r="L79" s="113">
        <f>IFERROR(VLOOKUP($B79,MMWR_TRAD_AGG_STATE_PEN[],L$1,0),"ERROR")</f>
        <v>62</v>
      </c>
      <c r="M79" s="115">
        <f t="shared" si="10"/>
        <v>0.98412698412698407</v>
      </c>
      <c r="N79" s="112">
        <f>IFERROR(VLOOKUP($B79,MMWR_TRAD_AGG_STATE_PEN[],N$1,0),"ERROR")</f>
        <v>523</v>
      </c>
      <c r="O79" s="113">
        <f>IFERROR(VLOOKUP($B79,MMWR_TRAD_AGG_STATE_PEN[],O$1,0),"ERROR")</f>
        <v>82</v>
      </c>
      <c r="P79" s="115">
        <f t="shared" si="11"/>
        <v>0.15678776290630975</v>
      </c>
      <c r="Q79" s="116">
        <f>IFERROR(VLOOKUP($B79,MMWR_TRAD_AGG_STATE_PEN[],Q$1,0),"ERROR")</f>
        <v>135</v>
      </c>
      <c r="R79" s="116">
        <f>IFERROR(VLOOKUP($B79,MMWR_TRAD_AGG_STATE_PEN[],R$1,0),"ERROR")</f>
        <v>306</v>
      </c>
      <c r="S79" s="116">
        <f>IFERROR(VLOOKUP($B79,MMWR_APP_STATE_PEN[],S$1,0),"ERROR")</f>
        <v>255</v>
      </c>
      <c r="T79" s="28"/>
    </row>
    <row r="80" spans="1:20" s="124" customFormat="1" x14ac:dyDescent="0.2">
      <c r="A80" s="28"/>
      <c r="B80" s="128" t="s">
        <v>392</v>
      </c>
      <c r="C80" s="110">
        <f>IFERROR(VLOOKUP($B80,MMWR_TRAD_AGG_STATE_PEN[],C$1,0),"ERROR")</f>
        <v>1221</v>
      </c>
      <c r="D80" s="111">
        <f>IFERROR(VLOOKUP($B80,MMWR_TRAD_AGG_STATE_PEN[],D$1,0),"ERROR")</f>
        <v>95.995904995900005</v>
      </c>
      <c r="E80" s="112">
        <f>IFERROR(VLOOKUP($B80,MMWR_TRAD_AGG_STATE_PEN[],E$1,0),"ERROR")</f>
        <v>960</v>
      </c>
      <c r="F80" s="113">
        <f>IFERROR(VLOOKUP($B80,MMWR_TRAD_AGG_STATE_PEN[],F$1,0),"ERROR")</f>
        <v>149</v>
      </c>
      <c r="G80" s="114">
        <f t="shared" si="8"/>
        <v>0.15520833333333334</v>
      </c>
      <c r="H80" s="112">
        <f>IFERROR(VLOOKUP($B80,MMWR_TRAD_AGG_STATE_PEN[],H$1,0),"ERROR")</f>
        <v>2137</v>
      </c>
      <c r="I80" s="113">
        <f>IFERROR(VLOOKUP($B80,MMWR_TRAD_AGG_STATE_PEN[],I$1,0),"ERROR")</f>
        <v>502</v>
      </c>
      <c r="J80" s="115">
        <f t="shared" si="9"/>
        <v>0.23490875058493216</v>
      </c>
      <c r="K80" s="112">
        <f>IFERROR(VLOOKUP($B80,MMWR_TRAD_AGG_STATE_PEN[],K$1,0),"ERROR")</f>
        <v>68</v>
      </c>
      <c r="L80" s="113">
        <f>IFERROR(VLOOKUP($B80,MMWR_TRAD_AGG_STATE_PEN[],L$1,0),"ERROR")</f>
        <v>65</v>
      </c>
      <c r="M80" s="115">
        <f t="shared" si="10"/>
        <v>0.95588235294117652</v>
      </c>
      <c r="N80" s="112">
        <f>IFERROR(VLOOKUP($B80,MMWR_TRAD_AGG_STATE_PEN[],N$1,0),"ERROR")</f>
        <v>562</v>
      </c>
      <c r="O80" s="113">
        <f>IFERROR(VLOOKUP($B80,MMWR_TRAD_AGG_STATE_PEN[],O$1,0),"ERROR")</f>
        <v>85</v>
      </c>
      <c r="P80" s="115">
        <f t="shared" si="11"/>
        <v>0.1512455516014235</v>
      </c>
      <c r="Q80" s="116">
        <f>IFERROR(VLOOKUP($B80,MMWR_TRAD_AGG_STATE_PEN[],Q$1,0),"ERROR")</f>
        <v>196</v>
      </c>
      <c r="R80" s="116">
        <f>IFERROR(VLOOKUP($B80,MMWR_TRAD_AGG_STATE_PEN[],R$1,0),"ERROR")</f>
        <v>319</v>
      </c>
      <c r="S80" s="116">
        <f>IFERROR(VLOOKUP($B80,MMWR_APP_STATE_PEN[],S$1,0),"ERROR")</f>
        <v>233</v>
      </c>
      <c r="T80" s="28"/>
    </row>
    <row r="81" spans="1:20" s="124" customFormat="1" x14ac:dyDescent="0.2">
      <c r="A81" s="28"/>
      <c r="B81" s="128" t="s">
        <v>385</v>
      </c>
      <c r="C81" s="110">
        <f>IFERROR(VLOOKUP($B81,MMWR_TRAD_AGG_STATE_PEN[],C$1,0),"ERROR")</f>
        <v>1367</v>
      </c>
      <c r="D81" s="111">
        <f>IFERROR(VLOOKUP($B81,MMWR_TRAD_AGG_STATE_PEN[],D$1,0),"ERROR")</f>
        <v>89.3767373811</v>
      </c>
      <c r="E81" s="112">
        <f>IFERROR(VLOOKUP($B81,MMWR_TRAD_AGG_STATE_PEN[],E$1,0),"ERROR")</f>
        <v>1689</v>
      </c>
      <c r="F81" s="113">
        <f>IFERROR(VLOOKUP($B81,MMWR_TRAD_AGG_STATE_PEN[],F$1,0),"ERROR")</f>
        <v>297</v>
      </c>
      <c r="G81" s="114">
        <f t="shared" si="8"/>
        <v>0.17584369449378331</v>
      </c>
      <c r="H81" s="112">
        <f>IFERROR(VLOOKUP($B81,MMWR_TRAD_AGG_STATE_PEN[],H$1,0),"ERROR")</f>
        <v>2146</v>
      </c>
      <c r="I81" s="113">
        <f>IFERROR(VLOOKUP($B81,MMWR_TRAD_AGG_STATE_PEN[],I$1,0),"ERROR")</f>
        <v>527</v>
      </c>
      <c r="J81" s="115">
        <f t="shared" si="9"/>
        <v>0.24557315936626281</v>
      </c>
      <c r="K81" s="112">
        <f>IFERROR(VLOOKUP($B81,MMWR_TRAD_AGG_STATE_PEN[],K$1,0),"ERROR")</f>
        <v>57</v>
      </c>
      <c r="L81" s="113">
        <f>IFERROR(VLOOKUP($B81,MMWR_TRAD_AGG_STATE_PEN[],L$1,0),"ERROR")</f>
        <v>57</v>
      </c>
      <c r="M81" s="115">
        <f t="shared" si="10"/>
        <v>1</v>
      </c>
      <c r="N81" s="112">
        <f>IFERROR(VLOOKUP($B81,MMWR_TRAD_AGG_STATE_PEN[],N$1,0),"ERROR")</f>
        <v>616</v>
      </c>
      <c r="O81" s="113">
        <f>IFERROR(VLOOKUP($B81,MMWR_TRAD_AGG_STATE_PEN[],O$1,0),"ERROR")</f>
        <v>85</v>
      </c>
      <c r="P81" s="115">
        <f t="shared" si="11"/>
        <v>0.13798701298701299</v>
      </c>
      <c r="Q81" s="116">
        <f>IFERROR(VLOOKUP($B81,MMWR_TRAD_AGG_STATE_PEN[],Q$1,0),"ERROR")</f>
        <v>147</v>
      </c>
      <c r="R81" s="116">
        <f>IFERROR(VLOOKUP($B81,MMWR_TRAD_AGG_STATE_PEN[],R$1,0),"ERROR")</f>
        <v>353</v>
      </c>
      <c r="S81" s="116">
        <f>IFERROR(VLOOKUP($B81,MMWR_APP_STATE_PEN[],S$1,0),"ERROR")</f>
        <v>276</v>
      </c>
      <c r="T81" s="28"/>
    </row>
    <row r="82" spans="1:20" s="124" customFormat="1" x14ac:dyDescent="0.2">
      <c r="A82" s="28"/>
      <c r="B82" s="128" t="s">
        <v>382</v>
      </c>
      <c r="C82" s="110">
        <f>IFERROR(VLOOKUP($B82,MMWR_TRAD_AGG_STATE_PEN[],C$1,0),"ERROR")</f>
        <v>52</v>
      </c>
      <c r="D82" s="111">
        <f>IFERROR(VLOOKUP($B82,MMWR_TRAD_AGG_STATE_PEN[],D$1,0),"ERROR")</f>
        <v>83.461538461499998</v>
      </c>
      <c r="E82" s="112">
        <f>IFERROR(VLOOKUP($B82,MMWR_TRAD_AGG_STATE_PEN[],E$1,0),"ERROR")</f>
        <v>122</v>
      </c>
      <c r="F82" s="113">
        <f>IFERROR(VLOOKUP($B82,MMWR_TRAD_AGG_STATE_PEN[],F$1,0),"ERROR")</f>
        <v>20</v>
      </c>
      <c r="G82" s="114">
        <f t="shared" si="8"/>
        <v>0.16393442622950818</v>
      </c>
      <c r="H82" s="112">
        <f>IFERROR(VLOOKUP($B82,MMWR_TRAD_AGG_STATE_PEN[],H$1,0),"ERROR")</f>
        <v>91</v>
      </c>
      <c r="I82" s="113">
        <f>IFERROR(VLOOKUP($B82,MMWR_TRAD_AGG_STATE_PEN[],I$1,0),"ERROR")</f>
        <v>17</v>
      </c>
      <c r="J82" s="115">
        <f t="shared" si="9"/>
        <v>0.18681318681318682</v>
      </c>
      <c r="K82" s="112">
        <f>IFERROR(VLOOKUP($B82,MMWR_TRAD_AGG_STATE_PEN[],K$1,0),"ERROR")</f>
        <v>6</v>
      </c>
      <c r="L82" s="113">
        <f>IFERROR(VLOOKUP($B82,MMWR_TRAD_AGG_STATE_PEN[],L$1,0),"ERROR")</f>
        <v>6</v>
      </c>
      <c r="M82" s="115">
        <f t="shared" si="10"/>
        <v>1</v>
      </c>
      <c r="N82" s="112">
        <f>IFERROR(VLOOKUP($B82,MMWR_TRAD_AGG_STATE_PEN[],N$1,0),"ERROR")</f>
        <v>36</v>
      </c>
      <c r="O82" s="113">
        <f>IFERROR(VLOOKUP($B82,MMWR_TRAD_AGG_STATE_PEN[],O$1,0),"ERROR")</f>
        <v>1</v>
      </c>
      <c r="P82" s="115">
        <f t="shared" si="11"/>
        <v>2.7777777777777776E-2</v>
      </c>
      <c r="Q82" s="116">
        <f>IFERROR(VLOOKUP($B82,MMWR_TRAD_AGG_STATE_PEN[],Q$1,0),"ERROR")</f>
        <v>22</v>
      </c>
      <c r="R82" s="116">
        <f>IFERROR(VLOOKUP($B82,MMWR_TRAD_AGG_STATE_PEN[],R$1,0),"ERROR")</f>
        <v>24</v>
      </c>
      <c r="S82" s="116">
        <f>IFERROR(VLOOKUP($B82,MMWR_APP_STATE_PEN[],S$1,0),"ERROR")</f>
        <v>23</v>
      </c>
      <c r="T82" s="28"/>
    </row>
    <row r="83" spans="1:20" s="124" customFormat="1" x14ac:dyDescent="0.2">
      <c r="A83" s="28"/>
      <c r="B83" s="128" t="s">
        <v>427</v>
      </c>
      <c r="C83" s="110">
        <f>IFERROR(VLOOKUP($B83,MMWR_TRAD_AGG_STATE_PEN[],C$1,0),"ERROR")</f>
        <v>27</v>
      </c>
      <c r="D83" s="111">
        <f>IFERROR(VLOOKUP($B83,MMWR_TRAD_AGG_STATE_PEN[],D$1,0),"ERROR")</f>
        <v>102.55555555559999</v>
      </c>
      <c r="E83" s="112">
        <f>IFERROR(VLOOKUP($B83,MMWR_TRAD_AGG_STATE_PEN[],E$1,0),"ERROR")</f>
        <v>28</v>
      </c>
      <c r="F83" s="113">
        <f>IFERROR(VLOOKUP($B83,MMWR_TRAD_AGG_STATE_PEN[],F$1,0),"ERROR")</f>
        <v>7</v>
      </c>
      <c r="G83" s="114">
        <f t="shared" si="8"/>
        <v>0.25</v>
      </c>
      <c r="H83" s="112">
        <f>IFERROR(VLOOKUP($B83,MMWR_TRAD_AGG_STATE_PEN[],H$1,0),"ERROR")</f>
        <v>37</v>
      </c>
      <c r="I83" s="113">
        <f>IFERROR(VLOOKUP($B83,MMWR_TRAD_AGG_STATE_PEN[],I$1,0),"ERROR")</f>
        <v>13</v>
      </c>
      <c r="J83" s="115">
        <f t="shared" si="9"/>
        <v>0.35135135135135137</v>
      </c>
      <c r="K83" s="112">
        <f>IFERROR(VLOOKUP($B83,MMWR_TRAD_AGG_STATE_PEN[],K$1,0),"ERROR")</f>
        <v>2</v>
      </c>
      <c r="L83" s="113">
        <f>IFERROR(VLOOKUP($B83,MMWR_TRAD_AGG_STATE_PEN[],L$1,0),"ERROR")</f>
        <v>2</v>
      </c>
      <c r="M83" s="115">
        <f t="shared" si="10"/>
        <v>1</v>
      </c>
      <c r="N83" s="112">
        <f>IFERROR(VLOOKUP($B83,MMWR_TRAD_AGG_STATE_PEN[],N$1,0),"ERROR")</f>
        <v>15</v>
      </c>
      <c r="O83" s="113">
        <f>IFERROR(VLOOKUP($B83,MMWR_TRAD_AGG_STATE_PEN[],O$1,0),"ERROR")</f>
        <v>1</v>
      </c>
      <c r="P83" s="115">
        <f t="shared" si="11"/>
        <v>6.6666666666666666E-2</v>
      </c>
      <c r="Q83" s="116">
        <f>IFERROR(VLOOKUP($B83,MMWR_TRAD_AGG_STATE_PEN[],Q$1,0),"ERROR")</f>
        <v>10</v>
      </c>
      <c r="R83" s="116">
        <f>IFERROR(VLOOKUP($B83,MMWR_TRAD_AGG_STATE_PEN[],R$1,0),"ERROR")</f>
        <v>5</v>
      </c>
      <c r="S83" s="116">
        <f>IFERROR(VLOOKUP($B83,MMWR_APP_STATE_PEN[],S$1,0),"ERROR")</f>
        <v>5</v>
      </c>
      <c r="T83" s="28"/>
    </row>
    <row r="84" spans="1:20" s="124" customFormat="1" x14ac:dyDescent="0.2">
      <c r="A84" s="28"/>
      <c r="B84" s="128" t="s">
        <v>388</v>
      </c>
      <c r="C84" s="110">
        <f>IFERROR(VLOOKUP($B84,MMWR_TRAD_AGG_STATE_PEN[],C$1,0),"ERROR")</f>
        <v>667</v>
      </c>
      <c r="D84" s="111">
        <f>IFERROR(VLOOKUP($B84,MMWR_TRAD_AGG_STATE_PEN[],D$1,0),"ERROR")</f>
        <v>89.977511244400006</v>
      </c>
      <c r="E84" s="112">
        <f>IFERROR(VLOOKUP($B84,MMWR_TRAD_AGG_STATE_PEN[],E$1,0),"ERROR")</f>
        <v>586</v>
      </c>
      <c r="F84" s="113">
        <f>IFERROR(VLOOKUP($B84,MMWR_TRAD_AGG_STATE_PEN[],F$1,0),"ERROR")</f>
        <v>108</v>
      </c>
      <c r="G84" s="114">
        <f t="shared" si="8"/>
        <v>0.18430034129692832</v>
      </c>
      <c r="H84" s="112">
        <f>IFERROR(VLOOKUP($B84,MMWR_TRAD_AGG_STATE_PEN[],H$1,0),"ERROR")</f>
        <v>1054</v>
      </c>
      <c r="I84" s="113">
        <f>IFERROR(VLOOKUP($B84,MMWR_TRAD_AGG_STATE_PEN[],I$1,0),"ERROR")</f>
        <v>236</v>
      </c>
      <c r="J84" s="115">
        <f t="shared" si="9"/>
        <v>0.2239089184060721</v>
      </c>
      <c r="K84" s="112">
        <f>IFERROR(VLOOKUP($B84,MMWR_TRAD_AGG_STATE_PEN[],K$1,0),"ERROR")</f>
        <v>161</v>
      </c>
      <c r="L84" s="113">
        <f>IFERROR(VLOOKUP($B84,MMWR_TRAD_AGG_STATE_PEN[],L$1,0),"ERROR")</f>
        <v>161</v>
      </c>
      <c r="M84" s="115">
        <f t="shared" si="10"/>
        <v>1</v>
      </c>
      <c r="N84" s="112">
        <f>IFERROR(VLOOKUP($B84,MMWR_TRAD_AGG_STATE_PEN[],N$1,0),"ERROR")</f>
        <v>313</v>
      </c>
      <c r="O84" s="113">
        <f>IFERROR(VLOOKUP($B84,MMWR_TRAD_AGG_STATE_PEN[],O$1,0),"ERROR")</f>
        <v>43</v>
      </c>
      <c r="P84" s="115">
        <f t="shared" si="11"/>
        <v>0.13738019169329074</v>
      </c>
      <c r="Q84" s="116">
        <f>IFERROR(VLOOKUP($B84,MMWR_TRAD_AGG_STATE_PEN[],Q$1,0),"ERROR")</f>
        <v>144</v>
      </c>
      <c r="R84" s="116">
        <f>IFERROR(VLOOKUP($B84,MMWR_TRAD_AGG_STATE_PEN[],R$1,0),"ERROR")</f>
        <v>225</v>
      </c>
      <c r="S84" s="116">
        <f>IFERROR(VLOOKUP($B84,MMWR_APP_STATE_PEN[],S$1,0),"ERROR")</f>
        <v>160</v>
      </c>
      <c r="T84" s="28"/>
    </row>
    <row r="85" spans="1:20" s="124" customFormat="1" x14ac:dyDescent="0.2">
      <c r="A85" s="28"/>
      <c r="B85" s="128" t="s">
        <v>389</v>
      </c>
      <c r="C85" s="110">
        <f>IFERROR(VLOOKUP($B85,MMWR_TRAD_AGG_STATE_PEN[],C$1,0),"ERROR")</f>
        <v>239</v>
      </c>
      <c r="D85" s="111">
        <f>IFERROR(VLOOKUP($B85,MMWR_TRAD_AGG_STATE_PEN[],D$1,0),"ERROR")</f>
        <v>95.179916317999997</v>
      </c>
      <c r="E85" s="112">
        <f>IFERROR(VLOOKUP($B85,MMWR_TRAD_AGG_STATE_PEN[],E$1,0),"ERROR")</f>
        <v>192</v>
      </c>
      <c r="F85" s="113">
        <f>IFERROR(VLOOKUP($B85,MMWR_TRAD_AGG_STATE_PEN[],F$1,0),"ERROR")</f>
        <v>35</v>
      </c>
      <c r="G85" s="114">
        <f t="shared" si="8"/>
        <v>0.18229166666666666</v>
      </c>
      <c r="H85" s="112">
        <f>IFERROR(VLOOKUP($B85,MMWR_TRAD_AGG_STATE_PEN[],H$1,0),"ERROR")</f>
        <v>332</v>
      </c>
      <c r="I85" s="113">
        <f>IFERROR(VLOOKUP($B85,MMWR_TRAD_AGG_STATE_PEN[],I$1,0),"ERROR")</f>
        <v>77</v>
      </c>
      <c r="J85" s="115">
        <f t="shared" si="9"/>
        <v>0.23192771084337349</v>
      </c>
      <c r="K85" s="112">
        <f>IFERROR(VLOOKUP($B85,MMWR_TRAD_AGG_STATE_PEN[],K$1,0),"ERROR")</f>
        <v>16</v>
      </c>
      <c r="L85" s="113">
        <f>IFERROR(VLOOKUP($B85,MMWR_TRAD_AGG_STATE_PEN[],L$1,0),"ERROR")</f>
        <v>15</v>
      </c>
      <c r="M85" s="115">
        <f t="shared" si="10"/>
        <v>0.9375</v>
      </c>
      <c r="N85" s="112">
        <f>IFERROR(VLOOKUP($B85,MMWR_TRAD_AGG_STATE_PEN[],N$1,0),"ERROR")</f>
        <v>102</v>
      </c>
      <c r="O85" s="113">
        <f>IFERROR(VLOOKUP($B85,MMWR_TRAD_AGG_STATE_PEN[],O$1,0),"ERROR")</f>
        <v>9</v>
      </c>
      <c r="P85" s="115">
        <f t="shared" si="11"/>
        <v>8.8235294117647065E-2</v>
      </c>
      <c r="Q85" s="116">
        <f>IFERROR(VLOOKUP($B85,MMWR_TRAD_AGG_STATE_PEN[],Q$1,0),"ERROR")</f>
        <v>46</v>
      </c>
      <c r="R85" s="116">
        <f>IFERROR(VLOOKUP($B85,MMWR_TRAD_AGG_STATE_PEN[],R$1,0),"ERROR")</f>
        <v>63</v>
      </c>
      <c r="S85" s="116">
        <f>IFERROR(VLOOKUP($B85,MMWR_APP_STATE_PEN[],S$1,0),"ERROR")</f>
        <v>44</v>
      </c>
      <c r="T85" s="28"/>
    </row>
    <row r="86" spans="1:20" s="124" customFormat="1" x14ac:dyDescent="0.2">
      <c r="A86" s="28"/>
      <c r="B86" s="127" t="s">
        <v>400</v>
      </c>
      <c r="C86" s="103">
        <f>IFERROR(VLOOKUP($B86,MMWR_TRAD_AGG_ST_DISTRICT_PEN[],C$1,0),"ERROR")</f>
        <v>3183</v>
      </c>
      <c r="D86" s="104">
        <f>IFERROR(VLOOKUP($B86,MMWR_TRAD_AGG_ST_DISTRICT_PEN[],D$1,0),"ERROR")</f>
        <v>59.548853283100001</v>
      </c>
      <c r="E86" s="103">
        <f>IFERROR(VLOOKUP($B86,MMWR_TRAD_AGG_ST_DISTRICT_PEN[],E$1,0),"ERROR")</f>
        <v>4594</v>
      </c>
      <c r="F86" s="103">
        <f>IFERROR(VLOOKUP($B86,MMWR_TRAD_AGG_ST_DISTRICT_PEN[],F$1,0),"ERROR")</f>
        <v>326</v>
      </c>
      <c r="G86" s="105">
        <f t="shared" si="8"/>
        <v>7.0962124510230734E-2</v>
      </c>
      <c r="H86" s="103">
        <f>IFERROR(VLOOKUP($B86,MMWR_TRAD_AGG_ST_DISTRICT_PEN[],H$1,0),"ERROR")</f>
        <v>5028</v>
      </c>
      <c r="I86" s="103">
        <f>IFERROR(VLOOKUP($B86,MMWR_TRAD_AGG_ST_DISTRICT_PEN[],I$1,0),"ERROR")</f>
        <v>481</v>
      </c>
      <c r="J86" s="105">
        <f t="shared" si="9"/>
        <v>9.56642800318218E-2</v>
      </c>
      <c r="K86" s="103">
        <f>IFERROR(VLOOKUP($B86,MMWR_TRAD_AGG_ST_DISTRICT_PEN[],K$1,0),"ERROR")</f>
        <v>41</v>
      </c>
      <c r="L86" s="103">
        <f>IFERROR(VLOOKUP($B86,MMWR_TRAD_AGG_ST_DISTRICT_PEN[],L$1,0),"ERROR")</f>
        <v>40</v>
      </c>
      <c r="M86" s="105">
        <f t="shared" si="10"/>
        <v>0.97560975609756095</v>
      </c>
      <c r="N86" s="103">
        <f>IFERROR(VLOOKUP($B86,MMWR_TRAD_AGG_ST_DISTRICT_PEN[],N$1,0),"ERROR")</f>
        <v>308</v>
      </c>
      <c r="O86" s="103">
        <f>IFERROR(VLOOKUP($B86,MMWR_TRAD_AGG_ST_DISTRICT_PEN[],O$1,0),"ERROR")</f>
        <v>86</v>
      </c>
      <c r="P86" s="105">
        <f t="shared" si="11"/>
        <v>0.2792207792207792</v>
      </c>
      <c r="Q86" s="103">
        <f>IFERROR(VLOOKUP($B86,MMWR_TRAD_AGG_ST_DISTRICT_PEN[],Q$1,0),"ERROR")</f>
        <v>3591</v>
      </c>
      <c r="R86" s="107">
        <f>IFERROR(VLOOKUP($B86,MMWR_TRAD_AGG_ST_DISTRICT_PEN[],R$1,0),"ERROR")</f>
        <v>447</v>
      </c>
      <c r="S86" s="107">
        <f>IFERROR(VLOOKUP($B86,MMWR_APP_STATE_PEN[],S$1,0),"ERROR")</f>
        <v>1299</v>
      </c>
      <c r="T86" s="28"/>
    </row>
    <row r="87" spans="1:20" s="124" customFormat="1" x14ac:dyDescent="0.2">
      <c r="A87" s="28"/>
      <c r="B87" s="128" t="s">
        <v>404</v>
      </c>
      <c r="C87" s="110">
        <f>IFERROR(VLOOKUP($B87,MMWR_TRAD_AGG_STATE_PEN[],C$1,0),"ERROR")</f>
        <v>454</v>
      </c>
      <c r="D87" s="111">
        <f>IFERROR(VLOOKUP($B87,MMWR_TRAD_AGG_STATE_PEN[],D$1,0),"ERROR")</f>
        <v>59.085903083700003</v>
      </c>
      <c r="E87" s="112">
        <f>IFERROR(VLOOKUP($B87,MMWR_TRAD_AGG_STATE_PEN[],E$1,0),"ERROR")</f>
        <v>625</v>
      </c>
      <c r="F87" s="113">
        <f>IFERROR(VLOOKUP($B87,MMWR_TRAD_AGG_STATE_PEN[],F$1,0),"ERROR")</f>
        <v>47</v>
      </c>
      <c r="G87" s="114">
        <f t="shared" si="8"/>
        <v>7.5200000000000003E-2</v>
      </c>
      <c r="H87" s="112">
        <f>IFERROR(VLOOKUP($B87,MMWR_TRAD_AGG_STATE_PEN[],H$1,0),"ERROR")</f>
        <v>641</v>
      </c>
      <c r="I87" s="113">
        <f>IFERROR(VLOOKUP($B87,MMWR_TRAD_AGG_STATE_PEN[],I$1,0),"ERROR")</f>
        <v>64</v>
      </c>
      <c r="J87" s="115">
        <f t="shared" si="9"/>
        <v>9.9843993759750393E-2</v>
      </c>
      <c r="K87" s="112">
        <f>IFERROR(VLOOKUP($B87,MMWR_TRAD_AGG_STATE_PEN[],K$1,0),"ERROR")</f>
        <v>5</v>
      </c>
      <c r="L87" s="113">
        <f>IFERROR(VLOOKUP($B87,MMWR_TRAD_AGG_STATE_PEN[],L$1,0),"ERROR")</f>
        <v>4</v>
      </c>
      <c r="M87" s="115">
        <f t="shared" si="10"/>
        <v>0.8</v>
      </c>
      <c r="N87" s="112">
        <f>IFERROR(VLOOKUP($B87,MMWR_TRAD_AGG_STATE_PEN[],N$1,0),"ERROR")</f>
        <v>63</v>
      </c>
      <c r="O87" s="113">
        <f>IFERROR(VLOOKUP($B87,MMWR_TRAD_AGG_STATE_PEN[],O$1,0),"ERROR")</f>
        <v>21</v>
      </c>
      <c r="P87" s="115">
        <f t="shared" si="11"/>
        <v>0.33333333333333331</v>
      </c>
      <c r="Q87" s="116">
        <f>IFERROR(VLOOKUP($B87,MMWR_TRAD_AGG_STATE_PEN[],Q$1,0),"ERROR")</f>
        <v>538</v>
      </c>
      <c r="R87" s="116">
        <f>IFERROR(VLOOKUP($B87,MMWR_TRAD_AGG_STATE_PEN[],R$1,0),"ERROR")</f>
        <v>51</v>
      </c>
      <c r="S87" s="116">
        <f>IFERROR(VLOOKUP($B87,MMWR_APP_STATE_PEN[],S$1,0),"ERROR")</f>
        <v>323</v>
      </c>
      <c r="T87" s="28"/>
    </row>
    <row r="88" spans="1:20" s="124" customFormat="1" x14ac:dyDescent="0.2">
      <c r="A88" s="28"/>
      <c r="B88" s="128" t="s">
        <v>402</v>
      </c>
      <c r="C88" s="110">
        <f>IFERROR(VLOOKUP($B88,MMWR_TRAD_AGG_STATE_PEN[],C$1,0),"ERROR")</f>
        <v>299</v>
      </c>
      <c r="D88" s="111">
        <f>IFERROR(VLOOKUP($B88,MMWR_TRAD_AGG_STATE_PEN[],D$1,0),"ERROR")</f>
        <v>65.953177257500002</v>
      </c>
      <c r="E88" s="112">
        <f>IFERROR(VLOOKUP($B88,MMWR_TRAD_AGG_STATE_PEN[],E$1,0),"ERROR")</f>
        <v>495</v>
      </c>
      <c r="F88" s="113">
        <f>IFERROR(VLOOKUP($B88,MMWR_TRAD_AGG_STATE_PEN[],F$1,0),"ERROR")</f>
        <v>37</v>
      </c>
      <c r="G88" s="114">
        <f t="shared" si="8"/>
        <v>7.4747474747474743E-2</v>
      </c>
      <c r="H88" s="112">
        <f>IFERROR(VLOOKUP($B88,MMWR_TRAD_AGG_STATE_PEN[],H$1,0),"ERROR")</f>
        <v>518</v>
      </c>
      <c r="I88" s="113">
        <f>IFERROR(VLOOKUP($B88,MMWR_TRAD_AGG_STATE_PEN[],I$1,0),"ERROR")</f>
        <v>56</v>
      </c>
      <c r="J88" s="115">
        <f t="shared" si="9"/>
        <v>0.10810810810810811</v>
      </c>
      <c r="K88" s="112">
        <f>IFERROR(VLOOKUP($B88,MMWR_TRAD_AGG_STATE_PEN[],K$1,0),"ERROR")</f>
        <v>6</v>
      </c>
      <c r="L88" s="113">
        <f>IFERROR(VLOOKUP($B88,MMWR_TRAD_AGG_STATE_PEN[],L$1,0),"ERROR")</f>
        <v>6</v>
      </c>
      <c r="M88" s="115">
        <f t="shared" si="10"/>
        <v>1</v>
      </c>
      <c r="N88" s="112">
        <f>IFERROR(VLOOKUP($B88,MMWR_TRAD_AGG_STATE_PEN[],N$1,0),"ERROR")</f>
        <v>35</v>
      </c>
      <c r="O88" s="113">
        <f>IFERROR(VLOOKUP($B88,MMWR_TRAD_AGG_STATE_PEN[],O$1,0),"ERROR")</f>
        <v>15</v>
      </c>
      <c r="P88" s="115">
        <f t="shared" si="11"/>
        <v>0.42857142857142855</v>
      </c>
      <c r="Q88" s="116">
        <f>IFERROR(VLOOKUP($B88,MMWR_TRAD_AGG_STATE_PEN[],Q$1,0),"ERROR")</f>
        <v>329</v>
      </c>
      <c r="R88" s="116">
        <f>IFERROR(VLOOKUP($B88,MMWR_TRAD_AGG_STATE_PEN[],R$1,0),"ERROR")</f>
        <v>37</v>
      </c>
      <c r="S88" s="116">
        <f>IFERROR(VLOOKUP($B88,MMWR_APP_STATE_PEN[],S$1,0),"ERROR")</f>
        <v>116</v>
      </c>
      <c r="T88" s="28"/>
    </row>
    <row r="89" spans="1:20" s="124" customFormat="1" x14ac:dyDescent="0.2">
      <c r="A89" s="28"/>
      <c r="B89" s="128" t="s">
        <v>409</v>
      </c>
      <c r="C89" s="110">
        <f>IFERROR(VLOOKUP($B89,MMWR_TRAD_AGG_STATE_PEN[],C$1,0),"ERROR")</f>
        <v>118</v>
      </c>
      <c r="D89" s="111">
        <f>IFERROR(VLOOKUP($B89,MMWR_TRAD_AGG_STATE_PEN[],D$1,0),"ERROR")</f>
        <v>43.627118644100001</v>
      </c>
      <c r="E89" s="112">
        <f>IFERROR(VLOOKUP($B89,MMWR_TRAD_AGG_STATE_PEN[],E$1,0),"ERROR")</f>
        <v>298</v>
      </c>
      <c r="F89" s="113">
        <f>IFERROR(VLOOKUP($B89,MMWR_TRAD_AGG_STATE_PEN[],F$1,0),"ERROR")</f>
        <v>6</v>
      </c>
      <c r="G89" s="114">
        <f t="shared" si="8"/>
        <v>2.0134228187919462E-2</v>
      </c>
      <c r="H89" s="112">
        <f>IFERROR(VLOOKUP($B89,MMWR_TRAD_AGG_STATE_PEN[],H$1,0),"ERROR")</f>
        <v>206</v>
      </c>
      <c r="I89" s="113">
        <f>IFERROR(VLOOKUP($B89,MMWR_TRAD_AGG_STATE_PEN[],I$1,0),"ERROR")</f>
        <v>8</v>
      </c>
      <c r="J89" s="115">
        <f t="shared" si="9"/>
        <v>3.8834951456310676E-2</v>
      </c>
      <c r="K89" s="112">
        <f>IFERROR(VLOOKUP($B89,MMWR_TRAD_AGG_STATE_PEN[],K$1,0),"ERROR")</f>
        <v>1</v>
      </c>
      <c r="L89" s="113">
        <f>IFERROR(VLOOKUP($B89,MMWR_TRAD_AGG_STATE_PEN[],L$1,0),"ERROR")</f>
        <v>1</v>
      </c>
      <c r="M89" s="115">
        <f t="shared" si="10"/>
        <v>1</v>
      </c>
      <c r="N89" s="112">
        <f>IFERROR(VLOOKUP($B89,MMWR_TRAD_AGG_STATE_PEN[],N$1,0),"ERROR")</f>
        <v>1</v>
      </c>
      <c r="O89" s="113">
        <f>IFERROR(VLOOKUP($B89,MMWR_TRAD_AGG_STATE_PEN[],O$1,0),"ERROR")</f>
        <v>0</v>
      </c>
      <c r="P89" s="115">
        <f t="shared" si="11"/>
        <v>0</v>
      </c>
      <c r="Q89" s="116">
        <f>IFERROR(VLOOKUP($B89,MMWR_TRAD_AGG_STATE_PEN[],Q$1,0),"ERROR")</f>
        <v>198</v>
      </c>
      <c r="R89" s="116">
        <f>IFERROR(VLOOKUP($B89,MMWR_TRAD_AGG_STATE_PEN[],R$1,0),"ERROR")</f>
        <v>25</v>
      </c>
      <c r="S89" s="116">
        <f>IFERROR(VLOOKUP($B89,MMWR_APP_STATE_PEN[],S$1,0),"ERROR")</f>
        <v>37</v>
      </c>
      <c r="T89" s="28"/>
    </row>
    <row r="90" spans="1:20" s="124" customFormat="1" x14ac:dyDescent="0.2">
      <c r="A90" s="28"/>
      <c r="B90" s="128" t="s">
        <v>432</v>
      </c>
      <c r="C90" s="110">
        <f>IFERROR(VLOOKUP($B90,MMWR_TRAD_AGG_STATE_PEN[],C$1,0),"ERROR")</f>
        <v>99</v>
      </c>
      <c r="D90" s="111">
        <f>IFERROR(VLOOKUP($B90,MMWR_TRAD_AGG_STATE_PEN[],D$1,0),"ERROR")</f>
        <v>39.464646464600001</v>
      </c>
      <c r="E90" s="112">
        <f>IFERROR(VLOOKUP($B90,MMWR_TRAD_AGG_STATE_PEN[],E$1,0),"ERROR")</f>
        <v>241</v>
      </c>
      <c r="F90" s="113">
        <f>IFERROR(VLOOKUP($B90,MMWR_TRAD_AGG_STATE_PEN[],F$1,0),"ERROR")</f>
        <v>11</v>
      </c>
      <c r="G90" s="114">
        <f t="shared" si="8"/>
        <v>4.5643153526970952E-2</v>
      </c>
      <c r="H90" s="112">
        <f>IFERROR(VLOOKUP($B90,MMWR_TRAD_AGG_STATE_PEN[],H$1,0),"ERROR")</f>
        <v>174</v>
      </c>
      <c r="I90" s="113">
        <f>IFERROR(VLOOKUP($B90,MMWR_TRAD_AGG_STATE_PEN[],I$1,0),"ERROR")</f>
        <v>7</v>
      </c>
      <c r="J90" s="115">
        <f t="shared" si="9"/>
        <v>4.0229885057471264E-2</v>
      </c>
      <c r="K90" s="112">
        <f>IFERROR(VLOOKUP($B90,MMWR_TRAD_AGG_STATE_PEN[],K$1,0),"ERROR")</f>
        <v>2</v>
      </c>
      <c r="L90" s="113">
        <f>IFERROR(VLOOKUP($B90,MMWR_TRAD_AGG_STATE_PEN[],L$1,0),"ERROR")</f>
        <v>2</v>
      </c>
      <c r="M90" s="115">
        <f t="shared" si="10"/>
        <v>1</v>
      </c>
      <c r="N90" s="112">
        <f>IFERROR(VLOOKUP($B90,MMWR_TRAD_AGG_STATE_PEN[],N$1,0),"ERROR")</f>
        <v>8</v>
      </c>
      <c r="O90" s="113">
        <f>IFERROR(VLOOKUP($B90,MMWR_TRAD_AGG_STATE_PEN[],O$1,0),"ERROR")</f>
        <v>2</v>
      </c>
      <c r="P90" s="115">
        <f t="shared" si="11"/>
        <v>0.25</v>
      </c>
      <c r="Q90" s="116">
        <f>IFERROR(VLOOKUP($B90,MMWR_TRAD_AGG_STATE_PEN[],Q$1,0),"ERROR")</f>
        <v>115</v>
      </c>
      <c r="R90" s="116">
        <f>IFERROR(VLOOKUP($B90,MMWR_TRAD_AGG_STATE_PEN[],R$1,0),"ERROR")</f>
        <v>43</v>
      </c>
      <c r="S90" s="116">
        <f>IFERROR(VLOOKUP($B90,MMWR_APP_STATE_PEN[],S$1,0),"ERROR")</f>
        <v>25</v>
      </c>
      <c r="T90" s="28"/>
    </row>
    <row r="91" spans="1:20" s="124" customFormat="1" x14ac:dyDescent="0.2">
      <c r="A91" s="28"/>
      <c r="B91" s="128" t="s">
        <v>405</v>
      </c>
      <c r="C91" s="110">
        <f>IFERROR(VLOOKUP($B91,MMWR_TRAD_AGG_STATE_PEN[],C$1,0),"ERROR")</f>
        <v>539</v>
      </c>
      <c r="D91" s="111">
        <f>IFERROR(VLOOKUP($B91,MMWR_TRAD_AGG_STATE_PEN[],D$1,0),"ERROR")</f>
        <v>64.471243042699996</v>
      </c>
      <c r="E91" s="112">
        <f>IFERROR(VLOOKUP($B91,MMWR_TRAD_AGG_STATE_PEN[],E$1,0),"ERROR")</f>
        <v>796</v>
      </c>
      <c r="F91" s="113">
        <f>IFERROR(VLOOKUP($B91,MMWR_TRAD_AGG_STATE_PEN[],F$1,0),"ERROR")</f>
        <v>78</v>
      </c>
      <c r="G91" s="114">
        <f t="shared" si="8"/>
        <v>9.7989949748743713E-2</v>
      </c>
      <c r="H91" s="112">
        <f>IFERROR(VLOOKUP($B91,MMWR_TRAD_AGG_STATE_PEN[],H$1,0),"ERROR")</f>
        <v>876</v>
      </c>
      <c r="I91" s="113">
        <f>IFERROR(VLOOKUP($B91,MMWR_TRAD_AGG_STATE_PEN[],I$1,0),"ERROR")</f>
        <v>98</v>
      </c>
      <c r="J91" s="115">
        <f t="shared" si="9"/>
        <v>0.11187214611872145</v>
      </c>
      <c r="K91" s="112">
        <f>IFERROR(VLOOKUP($B91,MMWR_TRAD_AGG_STATE_PEN[],K$1,0),"ERROR")</f>
        <v>8</v>
      </c>
      <c r="L91" s="113">
        <f>IFERROR(VLOOKUP($B91,MMWR_TRAD_AGG_STATE_PEN[],L$1,0),"ERROR")</f>
        <v>8</v>
      </c>
      <c r="M91" s="115">
        <f t="shared" si="10"/>
        <v>1</v>
      </c>
      <c r="N91" s="112">
        <f>IFERROR(VLOOKUP($B91,MMWR_TRAD_AGG_STATE_PEN[],N$1,0),"ERROR")</f>
        <v>58</v>
      </c>
      <c r="O91" s="113">
        <f>IFERROR(VLOOKUP($B91,MMWR_TRAD_AGG_STATE_PEN[],O$1,0),"ERROR")</f>
        <v>11</v>
      </c>
      <c r="P91" s="115">
        <f t="shared" si="11"/>
        <v>0.18965517241379309</v>
      </c>
      <c r="Q91" s="116">
        <f>IFERROR(VLOOKUP($B91,MMWR_TRAD_AGG_STATE_PEN[],Q$1,0),"ERROR")</f>
        <v>488</v>
      </c>
      <c r="R91" s="116">
        <f>IFERROR(VLOOKUP($B91,MMWR_TRAD_AGG_STATE_PEN[],R$1,0),"ERROR")</f>
        <v>73</v>
      </c>
      <c r="S91" s="116">
        <f>IFERROR(VLOOKUP($B91,MMWR_APP_STATE_PEN[],S$1,0),"ERROR")</f>
        <v>234</v>
      </c>
      <c r="T91" s="28"/>
    </row>
    <row r="92" spans="1:20" s="124" customFormat="1" x14ac:dyDescent="0.2">
      <c r="A92" s="28"/>
      <c r="B92" s="128" t="s">
        <v>411</v>
      </c>
      <c r="C92" s="110">
        <f>IFERROR(VLOOKUP($B92,MMWR_TRAD_AGG_STATE_PEN[],C$1,0),"ERROR")</f>
        <v>136</v>
      </c>
      <c r="D92" s="111">
        <f>IFERROR(VLOOKUP($B92,MMWR_TRAD_AGG_STATE_PEN[],D$1,0),"ERROR")</f>
        <v>36.198529411800003</v>
      </c>
      <c r="E92" s="112">
        <f>IFERROR(VLOOKUP($B92,MMWR_TRAD_AGG_STATE_PEN[],E$1,0),"ERROR")</f>
        <v>321</v>
      </c>
      <c r="F92" s="113">
        <f>IFERROR(VLOOKUP($B92,MMWR_TRAD_AGG_STATE_PEN[],F$1,0),"ERROR")</f>
        <v>14</v>
      </c>
      <c r="G92" s="114">
        <f t="shared" si="8"/>
        <v>4.3613707165109032E-2</v>
      </c>
      <c r="H92" s="112">
        <f>IFERROR(VLOOKUP($B92,MMWR_TRAD_AGG_STATE_PEN[],H$1,0),"ERROR")</f>
        <v>223</v>
      </c>
      <c r="I92" s="113">
        <f>IFERROR(VLOOKUP($B92,MMWR_TRAD_AGG_STATE_PEN[],I$1,0),"ERROR")</f>
        <v>2</v>
      </c>
      <c r="J92" s="115">
        <f t="shared" si="9"/>
        <v>8.9686098654708519E-3</v>
      </c>
      <c r="K92" s="112">
        <f>IFERROR(VLOOKUP($B92,MMWR_TRAD_AGG_STATE_PEN[],K$1,0),"ERROR")</f>
        <v>1</v>
      </c>
      <c r="L92" s="113">
        <f>IFERROR(VLOOKUP($B92,MMWR_TRAD_AGG_STATE_PEN[],L$1,0),"ERROR")</f>
        <v>1</v>
      </c>
      <c r="M92" s="115">
        <f t="shared" si="10"/>
        <v>1</v>
      </c>
      <c r="N92" s="112">
        <f>IFERROR(VLOOKUP($B92,MMWR_TRAD_AGG_STATE_PEN[],N$1,0),"ERROR")</f>
        <v>11</v>
      </c>
      <c r="O92" s="113">
        <f>IFERROR(VLOOKUP($B92,MMWR_TRAD_AGG_STATE_PEN[],O$1,0),"ERROR")</f>
        <v>2</v>
      </c>
      <c r="P92" s="115">
        <f t="shared" si="11"/>
        <v>0.18181818181818182</v>
      </c>
      <c r="Q92" s="116">
        <f>IFERROR(VLOOKUP($B92,MMWR_TRAD_AGG_STATE_PEN[],Q$1,0),"ERROR")</f>
        <v>400</v>
      </c>
      <c r="R92" s="116">
        <f>IFERROR(VLOOKUP($B92,MMWR_TRAD_AGG_STATE_PEN[],R$1,0),"ERROR")</f>
        <v>46</v>
      </c>
      <c r="S92" s="116">
        <f>IFERROR(VLOOKUP($B92,MMWR_APP_STATE_PEN[],S$1,0),"ERROR")</f>
        <v>36</v>
      </c>
      <c r="T92" s="28"/>
    </row>
    <row r="93" spans="1:20" s="124" customFormat="1" x14ac:dyDescent="0.2">
      <c r="A93" s="28"/>
      <c r="B93" s="128" t="s">
        <v>407</v>
      </c>
      <c r="C93" s="110">
        <f>IFERROR(VLOOKUP($B93,MMWR_TRAD_AGG_STATE_PEN[],C$1,0),"ERROR")</f>
        <v>459</v>
      </c>
      <c r="D93" s="111">
        <f>IFERROR(VLOOKUP($B93,MMWR_TRAD_AGG_STATE_PEN[],D$1,0),"ERROR")</f>
        <v>63.252723311499999</v>
      </c>
      <c r="E93" s="112">
        <f>IFERROR(VLOOKUP($B93,MMWR_TRAD_AGG_STATE_PEN[],E$1,0),"ERROR")</f>
        <v>448</v>
      </c>
      <c r="F93" s="113">
        <f>IFERROR(VLOOKUP($B93,MMWR_TRAD_AGG_STATE_PEN[],F$1,0),"ERROR")</f>
        <v>34</v>
      </c>
      <c r="G93" s="114">
        <f t="shared" si="8"/>
        <v>7.5892857142857137E-2</v>
      </c>
      <c r="H93" s="112">
        <f>IFERROR(VLOOKUP($B93,MMWR_TRAD_AGG_STATE_PEN[],H$1,0),"ERROR")</f>
        <v>712</v>
      </c>
      <c r="I93" s="113">
        <f>IFERROR(VLOOKUP($B93,MMWR_TRAD_AGG_STATE_PEN[],I$1,0),"ERROR")</f>
        <v>77</v>
      </c>
      <c r="J93" s="115">
        <f t="shared" si="9"/>
        <v>0.10814606741573034</v>
      </c>
      <c r="K93" s="112">
        <f>IFERROR(VLOOKUP($B93,MMWR_TRAD_AGG_STATE_PEN[],K$1,0),"ERROR")</f>
        <v>3</v>
      </c>
      <c r="L93" s="113">
        <f>IFERROR(VLOOKUP($B93,MMWR_TRAD_AGG_STATE_PEN[],L$1,0),"ERROR")</f>
        <v>3</v>
      </c>
      <c r="M93" s="115">
        <f t="shared" si="10"/>
        <v>1</v>
      </c>
      <c r="N93" s="112">
        <f>IFERROR(VLOOKUP($B93,MMWR_TRAD_AGG_STATE_PEN[],N$1,0),"ERROR")</f>
        <v>41</v>
      </c>
      <c r="O93" s="113">
        <f>IFERROR(VLOOKUP($B93,MMWR_TRAD_AGG_STATE_PEN[],O$1,0),"ERROR")</f>
        <v>13</v>
      </c>
      <c r="P93" s="115">
        <f t="shared" si="11"/>
        <v>0.31707317073170732</v>
      </c>
      <c r="Q93" s="116">
        <f>IFERROR(VLOOKUP($B93,MMWR_TRAD_AGG_STATE_PEN[],Q$1,0),"ERROR")</f>
        <v>443</v>
      </c>
      <c r="R93" s="116">
        <f>IFERROR(VLOOKUP($B93,MMWR_TRAD_AGG_STATE_PEN[],R$1,0),"ERROR")</f>
        <v>54</v>
      </c>
      <c r="S93" s="116">
        <f>IFERROR(VLOOKUP($B93,MMWR_APP_STATE_PEN[],S$1,0),"ERROR")</f>
        <v>186</v>
      </c>
      <c r="T93" s="28"/>
    </row>
    <row r="94" spans="1:20" s="124" customFormat="1" x14ac:dyDescent="0.2">
      <c r="A94" s="28"/>
      <c r="B94" s="128" t="s">
        <v>410</v>
      </c>
      <c r="C94" s="110">
        <f>IFERROR(VLOOKUP($B94,MMWR_TRAD_AGG_STATE_PEN[],C$1,0),"ERROR")</f>
        <v>45</v>
      </c>
      <c r="D94" s="111">
        <f>IFERROR(VLOOKUP($B94,MMWR_TRAD_AGG_STATE_PEN[],D$1,0),"ERROR")</f>
        <v>35.155555555600003</v>
      </c>
      <c r="E94" s="112">
        <f>IFERROR(VLOOKUP($B94,MMWR_TRAD_AGG_STATE_PEN[],E$1,0),"ERROR")</f>
        <v>95</v>
      </c>
      <c r="F94" s="113">
        <f>IFERROR(VLOOKUP($B94,MMWR_TRAD_AGG_STATE_PEN[],F$1,0),"ERROR")</f>
        <v>2</v>
      </c>
      <c r="G94" s="114">
        <f t="shared" si="8"/>
        <v>2.1052631578947368E-2</v>
      </c>
      <c r="H94" s="112">
        <f>IFERROR(VLOOKUP($B94,MMWR_TRAD_AGG_STATE_PEN[],H$1,0),"ERROR")</f>
        <v>69</v>
      </c>
      <c r="I94" s="113">
        <f>IFERROR(VLOOKUP($B94,MMWR_TRAD_AGG_STATE_PEN[],I$1,0),"ERROR")</f>
        <v>0</v>
      </c>
      <c r="J94" s="115">
        <f t="shared" si="9"/>
        <v>0</v>
      </c>
      <c r="K94" s="112">
        <f>IFERROR(VLOOKUP($B94,MMWR_TRAD_AGG_STATE_PEN[],K$1,0),"ERROR")</f>
        <v>0</v>
      </c>
      <c r="L94" s="113">
        <f>IFERROR(VLOOKUP($B94,MMWR_TRAD_AGG_STATE_PEN[],L$1,0),"ERROR")</f>
        <v>0</v>
      </c>
      <c r="M94" s="115" t="str">
        <f t="shared" si="10"/>
        <v>0%</v>
      </c>
      <c r="N94" s="112">
        <f>IFERROR(VLOOKUP($B94,MMWR_TRAD_AGG_STATE_PEN[],N$1,0),"ERROR")</f>
        <v>5</v>
      </c>
      <c r="O94" s="113">
        <f>IFERROR(VLOOKUP($B94,MMWR_TRAD_AGG_STATE_PEN[],O$1,0),"ERROR")</f>
        <v>2</v>
      </c>
      <c r="P94" s="115">
        <f t="shared" si="11"/>
        <v>0.4</v>
      </c>
      <c r="Q94" s="116">
        <f>IFERROR(VLOOKUP($B94,MMWR_TRAD_AGG_STATE_PEN[],Q$1,0),"ERROR")</f>
        <v>137</v>
      </c>
      <c r="R94" s="116">
        <f>IFERROR(VLOOKUP($B94,MMWR_TRAD_AGG_STATE_PEN[],R$1,0),"ERROR")</f>
        <v>23</v>
      </c>
      <c r="S94" s="116">
        <f>IFERROR(VLOOKUP($B94,MMWR_APP_STATE_PEN[],S$1,0),"ERROR")</f>
        <v>35</v>
      </c>
      <c r="T94" s="28"/>
    </row>
    <row r="95" spans="1:20" s="124" customFormat="1" x14ac:dyDescent="0.2">
      <c r="A95" s="28"/>
      <c r="B95" s="128" t="s">
        <v>429</v>
      </c>
      <c r="C95" s="110">
        <f>IFERROR(VLOOKUP($B95,MMWR_TRAD_AGG_STATE_PEN[],C$1,0),"ERROR")</f>
        <v>24</v>
      </c>
      <c r="D95" s="111">
        <f>IFERROR(VLOOKUP($B95,MMWR_TRAD_AGG_STATE_PEN[],D$1,0),"ERROR")</f>
        <v>39.458333333299997</v>
      </c>
      <c r="E95" s="112">
        <f>IFERROR(VLOOKUP($B95,MMWR_TRAD_AGG_STATE_PEN[],E$1,0),"ERROR")</f>
        <v>29</v>
      </c>
      <c r="F95" s="113">
        <f>IFERROR(VLOOKUP($B95,MMWR_TRAD_AGG_STATE_PEN[],F$1,0),"ERROR")</f>
        <v>0</v>
      </c>
      <c r="G95" s="114">
        <f t="shared" si="8"/>
        <v>0</v>
      </c>
      <c r="H95" s="112">
        <f>IFERROR(VLOOKUP($B95,MMWR_TRAD_AGG_STATE_PEN[],H$1,0),"ERROR")</f>
        <v>33</v>
      </c>
      <c r="I95" s="113">
        <f>IFERROR(VLOOKUP($B95,MMWR_TRAD_AGG_STATE_PEN[],I$1,0),"ERROR")</f>
        <v>0</v>
      </c>
      <c r="J95" s="115">
        <f t="shared" si="9"/>
        <v>0</v>
      </c>
      <c r="K95" s="112">
        <f>IFERROR(VLOOKUP($B95,MMWR_TRAD_AGG_STATE_PEN[],K$1,0),"ERROR")</f>
        <v>1</v>
      </c>
      <c r="L95" s="113">
        <f>IFERROR(VLOOKUP($B95,MMWR_TRAD_AGG_STATE_PEN[],L$1,0),"ERROR")</f>
        <v>1</v>
      </c>
      <c r="M95" s="115">
        <f t="shared" si="10"/>
        <v>1</v>
      </c>
      <c r="N95" s="112">
        <f>IFERROR(VLOOKUP($B95,MMWR_TRAD_AGG_STATE_PEN[],N$1,0),"ERROR")</f>
        <v>1</v>
      </c>
      <c r="O95" s="113">
        <f>IFERROR(VLOOKUP($B95,MMWR_TRAD_AGG_STATE_PEN[],O$1,0),"ERROR")</f>
        <v>1</v>
      </c>
      <c r="P95" s="115">
        <f t="shared" si="11"/>
        <v>1</v>
      </c>
      <c r="Q95" s="116">
        <f>IFERROR(VLOOKUP($B95,MMWR_TRAD_AGG_STATE_PEN[],Q$1,0),"ERROR")</f>
        <v>42</v>
      </c>
      <c r="R95" s="116">
        <f>IFERROR(VLOOKUP($B95,MMWR_TRAD_AGG_STATE_PEN[],R$1,0),"ERROR")</f>
        <v>6</v>
      </c>
      <c r="S95" s="116">
        <f>IFERROR(VLOOKUP($B95,MMWR_APP_STATE_PEN[],S$1,0),"ERROR")</f>
        <v>5</v>
      </c>
      <c r="T95" s="28"/>
    </row>
    <row r="96" spans="1:20" s="124" customFormat="1" x14ac:dyDescent="0.2">
      <c r="A96" s="28"/>
      <c r="B96" s="128" t="s">
        <v>401</v>
      </c>
      <c r="C96" s="110">
        <f>IFERROR(VLOOKUP($B96,MMWR_TRAD_AGG_STATE_PEN[],C$1,0),"ERROR")</f>
        <v>664</v>
      </c>
      <c r="D96" s="111">
        <f>IFERROR(VLOOKUP($B96,MMWR_TRAD_AGG_STATE_PEN[],D$1,0),"ERROR")</f>
        <v>65.237951807200005</v>
      </c>
      <c r="E96" s="112">
        <f>IFERROR(VLOOKUP($B96,MMWR_TRAD_AGG_STATE_PEN[],E$1,0),"ERROR")</f>
        <v>915</v>
      </c>
      <c r="F96" s="113">
        <f>IFERROR(VLOOKUP($B96,MMWR_TRAD_AGG_STATE_PEN[],F$1,0),"ERROR")</f>
        <v>80</v>
      </c>
      <c r="G96" s="114">
        <f t="shared" si="8"/>
        <v>8.7431693989071038E-2</v>
      </c>
      <c r="H96" s="112">
        <f>IFERROR(VLOOKUP($B96,MMWR_TRAD_AGG_STATE_PEN[],H$1,0),"ERROR")</f>
        <v>1078</v>
      </c>
      <c r="I96" s="113">
        <f>IFERROR(VLOOKUP($B96,MMWR_TRAD_AGG_STATE_PEN[],I$1,0),"ERROR")</f>
        <v>131</v>
      </c>
      <c r="J96" s="115">
        <f t="shared" si="9"/>
        <v>0.12152133580705009</v>
      </c>
      <c r="K96" s="112">
        <f>IFERROR(VLOOKUP($B96,MMWR_TRAD_AGG_STATE_PEN[],K$1,0),"ERROR")</f>
        <v>13</v>
      </c>
      <c r="L96" s="113">
        <f>IFERROR(VLOOKUP($B96,MMWR_TRAD_AGG_STATE_PEN[],L$1,0),"ERROR")</f>
        <v>13</v>
      </c>
      <c r="M96" s="115">
        <f t="shared" si="10"/>
        <v>1</v>
      </c>
      <c r="N96" s="112">
        <f>IFERROR(VLOOKUP($B96,MMWR_TRAD_AGG_STATE_PEN[],N$1,0),"ERROR")</f>
        <v>62</v>
      </c>
      <c r="O96" s="113">
        <f>IFERROR(VLOOKUP($B96,MMWR_TRAD_AGG_STATE_PEN[],O$1,0),"ERROR")</f>
        <v>15</v>
      </c>
      <c r="P96" s="115">
        <f t="shared" si="11"/>
        <v>0.24193548387096775</v>
      </c>
      <c r="Q96" s="116">
        <f>IFERROR(VLOOKUP($B96,MMWR_TRAD_AGG_STATE_PEN[],Q$1,0),"ERROR")</f>
        <v>488</v>
      </c>
      <c r="R96" s="116">
        <f>IFERROR(VLOOKUP($B96,MMWR_TRAD_AGG_STATE_PEN[],R$1,0),"ERROR")</f>
        <v>60</v>
      </c>
      <c r="S96" s="116">
        <f>IFERROR(VLOOKUP($B96,MMWR_APP_STATE_PEN[],S$1,0),"ERROR")</f>
        <v>228</v>
      </c>
      <c r="T96" s="28"/>
    </row>
    <row r="97" spans="1:20" s="124" customFormat="1" x14ac:dyDescent="0.2">
      <c r="A97" s="28"/>
      <c r="B97" s="128" t="s">
        <v>430</v>
      </c>
      <c r="C97" s="110">
        <f>IFERROR(VLOOKUP($B97,MMWR_TRAD_AGG_STATE_PEN[],C$1,0),"ERROR")</f>
        <v>47</v>
      </c>
      <c r="D97" s="111">
        <f>IFERROR(VLOOKUP($B97,MMWR_TRAD_AGG_STATE_PEN[],D$1,0),"ERROR")</f>
        <v>37.489361702099998</v>
      </c>
      <c r="E97" s="112">
        <f>IFERROR(VLOOKUP($B97,MMWR_TRAD_AGG_STATE_PEN[],E$1,0),"ERROR")</f>
        <v>51</v>
      </c>
      <c r="F97" s="113">
        <f>IFERROR(VLOOKUP($B97,MMWR_TRAD_AGG_STATE_PEN[],F$1,0),"ERROR")</f>
        <v>2</v>
      </c>
      <c r="G97" s="114">
        <f t="shared" si="8"/>
        <v>3.9215686274509803E-2</v>
      </c>
      <c r="H97" s="112">
        <f>IFERROR(VLOOKUP($B97,MMWR_TRAD_AGG_STATE_PEN[],H$1,0),"ERROR")</f>
        <v>59</v>
      </c>
      <c r="I97" s="113">
        <f>IFERROR(VLOOKUP($B97,MMWR_TRAD_AGG_STATE_PEN[],I$1,0),"ERROR")</f>
        <v>0</v>
      </c>
      <c r="J97" s="115">
        <f t="shared" si="9"/>
        <v>0</v>
      </c>
      <c r="K97" s="112">
        <f>IFERROR(VLOOKUP($B97,MMWR_TRAD_AGG_STATE_PEN[],K$1,0),"ERROR")</f>
        <v>0</v>
      </c>
      <c r="L97" s="113">
        <f>IFERROR(VLOOKUP($B97,MMWR_TRAD_AGG_STATE_PEN[],L$1,0),"ERROR")</f>
        <v>0</v>
      </c>
      <c r="M97" s="115" t="str">
        <f t="shared" si="10"/>
        <v>0%</v>
      </c>
      <c r="N97" s="112">
        <f>IFERROR(VLOOKUP($B97,MMWR_TRAD_AGG_STATE_PEN[],N$1,0),"ERROR")</f>
        <v>1</v>
      </c>
      <c r="O97" s="113">
        <f>IFERROR(VLOOKUP($B97,MMWR_TRAD_AGG_STATE_PEN[],O$1,0),"ERROR")</f>
        <v>0</v>
      </c>
      <c r="P97" s="115">
        <f t="shared" si="11"/>
        <v>0</v>
      </c>
      <c r="Q97" s="116">
        <f>IFERROR(VLOOKUP($B97,MMWR_TRAD_AGG_STATE_PEN[],Q$1,0),"ERROR")</f>
        <v>83</v>
      </c>
      <c r="R97" s="116">
        <f>IFERROR(VLOOKUP($B97,MMWR_TRAD_AGG_STATE_PEN[],R$1,0),"ERROR")</f>
        <v>4</v>
      </c>
      <c r="S97" s="116">
        <f>IFERROR(VLOOKUP($B97,MMWR_APP_STATE_PEN[],S$1,0),"ERROR")</f>
        <v>11</v>
      </c>
      <c r="T97" s="28"/>
    </row>
    <row r="98" spans="1:20" s="124" customFormat="1" x14ac:dyDescent="0.2">
      <c r="A98" s="28"/>
      <c r="B98" s="128" t="s">
        <v>406</v>
      </c>
      <c r="C98" s="110">
        <f>IFERROR(VLOOKUP($B98,MMWR_TRAD_AGG_STATE_PEN[],C$1,0),"ERROR")</f>
        <v>299</v>
      </c>
      <c r="D98" s="111">
        <f>IFERROR(VLOOKUP($B98,MMWR_TRAD_AGG_STATE_PEN[],D$1,0),"ERROR")</f>
        <v>58.9598662207</v>
      </c>
      <c r="E98" s="112">
        <f>IFERROR(VLOOKUP($B98,MMWR_TRAD_AGG_STATE_PEN[],E$1,0),"ERROR")</f>
        <v>280</v>
      </c>
      <c r="F98" s="113">
        <f>IFERROR(VLOOKUP($B98,MMWR_TRAD_AGG_STATE_PEN[],F$1,0),"ERROR")</f>
        <v>15</v>
      </c>
      <c r="G98" s="114">
        <f t="shared" si="8"/>
        <v>5.3571428571428568E-2</v>
      </c>
      <c r="H98" s="112">
        <f>IFERROR(VLOOKUP($B98,MMWR_TRAD_AGG_STATE_PEN[],H$1,0),"ERROR")</f>
        <v>439</v>
      </c>
      <c r="I98" s="113">
        <f>IFERROR(VLOOKUP($B98,MMWR_TRAD_AGG_STATE_PEN[],I$1,0),"ERROR")</f>
        <v>38</v>
      </c>
      <c r="J98" s="115">
        <f t="shared" si="9"/>
        <v>8.656036446469248E-2</v>
      </c>
      <c r="K98" s="112">
        <f>IFERROR(VLOOKUP($B98,MMWR_TRAD_AGG_STATE_PEN[],K$1,0),"ERROR")</f>
        <v>1</v>
      </c>
      <c r="L98" s="113">
        <f>IFERROR(VLOOKUP($B98,MMWR_TRAD_AGG_STATE_PEN[],L$1,0),"ERROR")</f>
        <v>1</v>
      </c>
      <c r="M98" s="115">
        <f t="shared" si="10"/>
        <v>1</v>
      </c>
      <c r="N98" s="112">
        <f>IFERROR(VLOOKUP($B98,MMWR_TRAD_AGG_STATE_PEN[],N$1,0),"ERROR")</f>
        <v>22</v>
      </c>
      <c r="O98" s="113">
        <f>IFERROR(VLOOKUP($B98,MMWR_TRAD_AGG_STATE_PEN[],O$1,0),"ERROR")</f>
        <v>4</v>
      </c>
      <c r="P98" s="115">
        <f t="shared" si="11"/>
        <v>0.18181818181818182</v>
      </c>
      <c r="Q98" s="116">
        <f>IFERROR(VLOOKUP($B98,MMWR_TRAD_AGG_STATE_PEN[],Q$1,0),"ERROR")</f>
        <v>330</v>
      </c>
      <c r="R98" s="116">
        <f>IFERROR(VLOOKUP($B98,MMWR_TRAD_AGG_STATE_PEN[],R$1,0),"ERROR")</f>
        <v>25</v>
      </c>
      <c r="S98" s="116">
        <f>IFERROR(VLOOKUP($B98,MMWR_APP_STATE_PEN[],S$1,0),"ERROR")</f>
        <v>63</v>
      </c>
      <c r="T98" s="28"/>
    </row>
    <row r="99" spans="1:20" s="124" customFormat="1" x14ac:dyDescent="0.2">
      <c r="A99" s="28"/>
      <c r="B99" s="127" t="s">
        <v>395</v>
      </c>
      <c r="C99" s="103">
        <f>IFERROR(VLOOKUP($B99,MMWR_TRAD_AGG_ST_DISTRICT_PEN[],C$1,0),"ERROR")</f>
        <v>1800</v>
      </c>
      <c r="D99" s="104">
        <f>IFERROR(VLOOKUP($B99,MMWR_TRAD_AGG_ST_DISTRICT_PEN[],D$1,0),"ERROR")</f>
        <v>54.0477777778</v>
      </c>
      <c r="E99" s="103">
        <f>IFERROR(VLOOKUP($B99,MMWR_TRAD_AGG_ST_DISTRICT_PEN[],E$1,0),"ERROR")</f>
        <v>2966</v>
      </c>
      <c r="F99" s="103">
        <f>IFERROR(VLOOKUP($B99,MMWR_TRAD_AGG_ST_DISTRICT_PEN[],F$1,0),"ERROR")</f>
        <v>146</v>
      </c>
      <c r="G99" s="105">
        <f t="shared" si="8"/>
        <v>4.9224544841537425E-2</v>
      </c>
      <c r="H99" s="103">
        <f>IFERROR(VLOOKUP($B99,MMWR_TRAD_AGG_ST_DISTRICT_PEN[],H$1,0),"ERROR")</f>
        <v>3122</v>
      </c>
      <c r="I99" s="103">
        <f>IFERROR(VLOOKUP($B99,MMWR_TRAD_AGG_ST_DISTRICT_PEN[],I$1,0),"ERROR")</f>
        <v>263</v>
      </c>
      <c r="J99" s="105">
        <f t="shared" si="9"/>
        <v>8.4240871236386933E-2</v>
      </c>
      <c r="K99" s="103">
        <f>IFERROR(VLOOKUP($B99,MMWR_TRAD_AGG_ST_DISTRICT_PEN[],K$1,0),"ERROR")</f>
        <v>40</v>
      </c>
      <c r="L99" s="103">
        <f>IFERROR(VLOOKUP($B99,MMWR_TRAD_AGG_ST_DISTRICT_PEN[],L$1,0),"ERROR")</f>
        <v>38</v>
      </c>
      <c r="M99" s="105">
        <f t="shared" si="10"/>
        <v>0.95</v>
      </c>
      <c r="N99" s="103">
        <f>IFERROR(VLOOKUP($B99,MMWR_TRAD_AGG_ST_DISTRICT_PEN[],N$1,0),"ERROR")</f>
        <v>188</v>
      </c>
      <c r="O99" s="103">
        <f>IFERROR(VLOOKUP($B99,MMWR_TRAD_AGG_ST_DISTRICT_PEN[],O$1,0),"ERROR")</f>
        <v>67</v>
      </c>
      <c r="P99" s="105">
        <f t="shared" si="11"/>
        <v>0.35638297872340424</v>
      </c>
      <c r="Q99" s="103">
        <f>IFERROR(VLOOKUP($B99,MMWR_TRAD_AGG_ST_DISTRICT_PEN[],Q$1,0),"ERROR")</f>
        <v>2393</v>
      </c>
      <c r="R99" s="107">
        <f>IFERROR(VLOOKUP($B99,MMWR_TRAD_AGG_ST_DISTRICT_PEN[],R$1,0),"ERROR")</f>
        <v>492</v>
      </c>
      <c r="S99" s="107">
        <f>IFERROR(VLOOKUP($B99,MMWR_APP_STATE_PEN[],S$1,0),"ERROR")</f>
        <v>919</v>
      </c>
      <c r="T99" s="28"/>
    </row>
    <row r="100" spans="1:20" s="124" customFormat="1" x14ac:dyDescent="0.2">
      <c r="A100" s="28"/>
      <c r="B100" s="128" t="s">
        <v>421</v>
      </c>
      <c r="C100" s="110">
        <f>IFERROR(VLOOKUP($B100,MMWR_TRAD_AGG_STATE_PEN[],C$1,0),"ERROR")</f>
        <v>204</v>
      </c>
      <c r="D100" s="111">
        <f>IFERROR(VLOOKUP($B100,MMWR_TRAD_AGG_STATE_PEN[],D$1,0),"ERROR")</f>
        <v>64.950980392199995</v>
      </c>
      <c r="E100" s="112">
        <f>IFERROR(VLOOKUP($B100,MMWR_TRAD_AGG_STATE_PEN[],E$1,0),"ERROR")</f>
        <v>185</v>
      </c>
      <c r="F100" s="113">
        <f>IFERROR(VLOOKUP($B100,MMWR_TRAD_AGG_STATE_PEN[],F$1,0),"ERROR")</f>
        <v>15</v>
      </c>
      <c r="G100" s="114">
        <f t="shared" si="8"/>
        <v>8.1081081081081086E-2</v>
      </c>
      <c r="H100" s="112">
        <f>IFERROR(VLOOKUP($B100,MMWR_TRAD_AGG_STATE_PEN[],H$1,0),"ERROR")</f>
        <v>328</v>
      </c>
      <c r="I100" s="113">
        <f>IFERROR(VLOOKUP($B100,MMWR_TRAD_AGG_STATE_PEN[],I$1,0),"ERROR")</f>
        <v>36</v>
      </c>
      <c r="J100" s="115">
        <f t="shared" si="9"/>
        <v>0.10975609756097561</v>
      </c>
      <c r="K100" s="112">
        <f>IFERROR(VLOOKUP($B100,MMWR_TRAD_AGG_STATE_PEN[],K$1,0),"ERROR")</f>
        <v>7</v>
      </c>
      <c r="L100" s="113">
        <f>IFERROR(VLOOKUP($B100,MMWR_TRAD_AGG_STATE_PEN[],L$1,0),"ERROR")</f>
        <v>7</v>
      </c>
      <c r="M100" s="115">
        <f t="shared" si="10"/>
        <v>1</v>
      </c>
      <c r="N100" s="112">
        <f>IFERROR(VLOOKUP($B100,MMWR_TRAD_AGG_STATE_PEN[],N$1,0),"ERROR")</f>
        <v>28</v>
      </c>
      <c r="O100" s="113">
        <f>IFERROR(VLOOKUP($B100,MMWR_TRAD_AGG_STATE_PEN[],O$1,0),"ERROR")</f>
        <v>7</v>
      </c>
      <c r="P100" s="115">
        <f t="shared" si="11"/>
        <v>0.25</v>
      </c>
      <c r="Q100" s="116">
        <f>IFERROR(VLOOKUP($B100,MMWR_TRAD_AGG_STATE_PEN[],Q$1,0),"ERROR")</f>
        <v>258</v>
      </c>
      <c r="R100" s="116">
        <f>IFERROR(VLOOKUP($B100,MMWR_TRAD_AGG_STATE_PEN[],R$1,0),"ERROR")</f>
        <v>21</v>
      </c>
      <c r="S100" s="116">
        <f>IFERROR(VLOOKUP($B100,MMWR_APP_STATE_PEN[],S$1,0),"ERROR")</f>
        <v>115</v>
      </c>
      <c r="T100" s="28"/>
    </row>
    <row r="101" spans="1:20" s="124" customFormat="1" x14ac:dyDescent="0.2">
      <c r="A101" s="28"/>
      <c r="B101" s="128" t="s">
        <v>413</v>
      </c>
      <c r="C101" s="110">
        <f>IFERROR(VLOOKUP($B101,MMWR_TRAD_AGG_STATE_PEN[],C$1,0),"ERROR")</f>
        <v>114</v>
      </c>
      <c r="D101" s="111">
        <f>IFERROR(VLOOKUP($B101,MMWR_TRAD_AGG_STATE_PEN[],D$1,0),"ERROR")</f>
        <v>51.254385964900003</v>
      </c>
      <c r="E101" s="112">
        <f>IFERROR(VLOOKUP($B101,MMWR_TRAD_AGG_STATE_PEN[],E$1,0),"ERROR")</f>
        <v>230</v>
      </c>
      <c r="F101" s="113">
        <f>IFERROR(VLOOKUP($B101,MMWR_TRAD_AGG_STATE_PEN[],F$1,0),"ERROR")</f>
        <v>10</v>
      </c>
      <c r="G101" s="114">
        <f t="shared" ref="G101:G127" si="12">IFERROR(F101/E101,"0%")</f>
        <v>4.3478260869565216E-2</v>
      </c>
      <c r="H101" s="112">
        <f>IFERROR(VLOOKUP($B101,MMWR_TRAD_AGG_STATE_PEN[],H$1,0),"ERROR")</f>
        <v>213</v>
      </c>
      <c r="I101" s="113">
        <f>IFERROR(VLOOKUP($B101,MMWR_TRAD_AGG_STATE_PEN[],I$1,0),"ERROR")</f>
        <v>21</v>
      </c>
      <c r="J101" s="115">
        <f t="shared" ref="J101:J127" si="13">IFERROR(I101/H101,"0%")</f>
        <v>9.8591549295774641E-2</v>
      </c>
      <c r="K101" s="112">
        <f>IFERROR(VLOOKUP($B101,MMWR_TRAD_AGG_STATE_PEN[],K$1,0),"ERROR")</f>
        <v>3</v>
      </c>
      <c r="L101" s="113">
        <f>IFERROR(VLOOKUP($B101,MMWR_TRAD_AGG_STATE_PEN[],L$1,0),"ERROR")</f>
        <v>3</v>
      </c>
      <c r="M101" s="115">
        <f t="shared" ref="M101:M127" si="14">IFERROR(L101/K101,"0%")</f>
        <v>1</v>
      </c>
      <c r="N101" s="112">
        <f>IFERROR(VLOOKUP($B101,MMWR_TRAD_AGG_STATE_PEN[],N$1,0),"ERROR")</f>
        <v>18</v>
      </c>
      <c r="O101" s="113">
        <f>IFERROR(VLOOKUP($B101,MMWR_TRAD_AGG_STATE_PEN[],O$1,0),"ERROR")</f>
        <v>8</v>
      </c>
      <c r="P101" s="115">
        <f t="shared" ref="P101:P127" si="15">IFERROR(O101/N101,"0%")</f>
        <v>0.44444444444444442</v>
      </c>
      <c r="Q101" s="116">
        <f>IFERROR(VLOOKUP($B101,MMWR_TRAD_AGG_STATE_PEN[],Q$1,0),"ERROR")</f>
        <v>231</v>
      </c>
      <c r="R101" s="116">
        <f>IFERROR(VLOOKUP($B101,MMWR_TRAD_AGG_STATE_PEN[],R$1,0),"ERROR")</f>
        <v>47</v>
      </c>
      <c r="S101" s="116">
        <f>IFERROR(VLOOKUP($B101,MMWR_APP_STATE_PEN[],S$1,0),"ERROR")</f>
        <v>51</v>
      </c>
      <c r="T101" s="28"/>
    </row>
    <row r="102" spans="1:20" s="124" customFormat="1" x14ac:dyDescent="0.2">
      <c r="A102" s="28"/>
      <c r="B102" s="128" t="s">
        <v>397</v>
      </c>
      <c r="C102" s="110">
        <f>IFERROR(VLOOKUP($B102,MMWR_TRAD_AGG_STATE_PEN[],C$1,0),"ERROR")</f>
        <v>377</v>
      </c>
      <c r="D102" s="111">
        <f>IFERROR(VLOOKUP($B102,MMWR_TRAD_AGG_STATE_PEN[],D$1,0),"ERROR")</f>
        <v>59.183023872699998</v>
      </c>
      <c r="E102" s="112">
        <f>IFERROR(VLOOKUP($B102,MMWR_TRAD_AGG_STATE_PEN[],E$1,0),"ERROR")</f>
        <v>344</v>
      </c>
      <c r="F102" s="113">
        <f>IFERROR(VLOOKUP($B102,MMWR_TRAD_AGG_STATE_PEN[],F$1,0),"ERROR")</f>
        <v>23</v>
      </c>
      <c r="G102" s="114">
        <f t="shared" si="12"/>
        <v>6.6860465116279064E-2</v>
      </c>
      <c r="H102" s="112">
        <f>IFERROR(VLOOKUP($B102,MMWR_TRAD_AGG_STATE_PEN[],H$1,0),"ERROR")</f>
        <v>584</v>
      </c>
      <c r="I102" s="113">
        <f>IFERROR(VLOOKUP($B102,MMWR_TRAD_AGG_STATE_PEN[],I$1,0),"ERROR")</f>
        <v>61</v>
      </c>
      <c r="J102" s="115">
        <f t="shared" si="13"/>
        <v>0.10445205479452055</v>
      </c>
      <c r="K102" s="112">
        <f>IFERROR(VLOOKUP($B102,MMWR_TRAD_AGG_STATE_PEN[],K$1,0),"ERROR")</f>
        <v>7</v>
      </c>
      <c r="L102" s="113">
        <f>IFERROR(VLOOKUP($B102,MMWR_TRAD_AGG_STATE_PEN[],L$1,0),"ERROR")</f>
        <v>7</v>
      </c>
      <c r="M102" s="115">
        <f t="shared" si="14"/>
        <v>1</v>
      </c>
      <c r="N102" s="112">
        <f>IFERROR(VLOOKUP($B102,MMWR_TRAD_AGG_STATE_PEN[],N$1,0),"ERROR")</f>
        <v>33</v>
      </c>
      <c r="O102" s="113">
        <f>IFERROR(VLOOKUP($B102,MMWR_TRAD_AGG_STATE_PEN[],O$1,0),"ERROR")</f>
        <v>10</v>
      </c>
      <c r="P102" s="115">
        <f t="shared" si="15"/>
        <v>0.30303030303030304</v>
      </c>
      <c r="Q102" s="116">
        <f>IFERROR(VLOOKUP($B102,MMWR_TRAD_AGG_STATE_PEN[],Q$1,0),"ERROR")</f>
        <v>217</v>
      </c>
      <c r="R102" s="116">
        <f>IFERROR(VLOOKUP($B102,MMWR_TRAD_AGG_STATE_PEN[],R$1,0),"ERROR")</f>
        <v>34</v>
      </c>
      <c r="S102" s="116">
        <f>IFERROR(VLOOKUP($B102,MMWR_APP_STATE_PEN[],S$1,0),"ERROR")</f>
        <v>163</v>
      </c>
      <c r="T102" s="28"/>
    </row>
    <row r="103" spans="1:20" s="124" customFormat="1" x14ac:dyDescent="0.2">
      <c r="A103" s="28"/>
      <c r="B103" s="128" t="s">
        <v>399</v>
      </c>
      <c r="C103" s="110">
        <f>IFERROR(VLOOKUP($B103,MMWR_TRAD_AGG_STATE_PEN[],C$1,0),"ERROR")</f>
        <v>250</v>
      </c>
      <c r="D103" s="111">
        <f>IFERROR(VLOOKUP($B103,MMWR_TRAD_AGG_STATE_PEN[],D$1,0),"ERROR")</f>
        <v>72.867999999999995</v>
      </c>
      <c r="E103" s="112">
        <f>IFERROR(VLOOKUP($B103,MMWR_TRAD_AGG_STATE_PEN[],E$1,0),"ERROR")</f>
        <v>204</v>
      </c>
      <c r="F103" s="113">
        <f>IFERROR(VLOOKUP($B103,MMWR_TRAD_AGG_STATE_PEN[],F$1,0),"ERROR")</f>
        <v>15</v>
      </c>
      <c r="G103" s="114">
        <f t="shared" si="12"/>
        <v>7.3529411764705885E-2</v>
      </c>
      <c r="H103" s="112">
        <f>IFERROR(VLOOKUP($B103,MMWR_TRAD_AGG_STATE_PEN[],H$1,0),"ERROR")</f>
        <v>366</v>
      </c>
      <c r="I103" s="113">
        <f>IFERROR(VLOOKUP($B103,MMWR_TRAD_AGG_STATE_PEN[],I$1,0),"ERROR")</f>
        <v>43</v>
      </c>
      <c r="J103" s="115">
        <f t="shared" si="13"/>
        <v>0.11748633879781421</v>
      </c>
      <c r="K103" s="112">
        <f>IFERROR(VLOOKUP($B103,MMWR_TRAD_AGG_STATE_PEN[],K$1,0),"ERROR")</f>
        <v>6</v>
      </c>
      <c r="L103" s="113">
        <f>IFERROR(VLOOKUP($B103,MMWR_TRAD_AGG_STATE_PEN[],L$1,0),"ERROR")</f>
        <v>6</v>
      </c>
      <c r="M103" s="115">
        <f t="shared" si="14"/>
        <v>1</v>
      </c>
      <c r="N103" s="112">
        <f>IFERROR(VLOOKUP($B103,MMWR_TRAD_AGG_STATE_PEN[],N$1,0),"ERROR")</f>
        <v>30</v>
      </c>
      <c r="O103" s="113">
        <f>IFERROR(VLOOKUP($B103,MMWR_TRAD_AGG_STATE_PEN[],O$1,0),"ERROR")</f>
        <v>4</v>
      </c>
      <c r="P103" s="115">
        <f t="shared" si="15"/>
        <v>0.13333333333333333</v>
      </c>
      <c r="Q103" s="116">
        <f>IFERROR(VLOOKUP($B103,MMWR_TRAD_AGG_STATE_PEN[],Q$1,0),"ERROR")</f>
        <v>208</v>
      </c>
      <c r="R103" s="116">
        <f>IFERROR(VLOOKUP($B103,MMWR_TRAD_AGG_STATE_PEN[],R$1,0),"ERROR")</f>
        <v>23</v>
      </c>
      <c r="S103" s="116">
        <f>IFERROR(VLOOKUP($B103,MMWR_APP_STATE_PEN[],S$1,0),"ERROR")</f>
        <v>112</v>
      </c>
      <c r="T103" s="28"/>
    </row>
    <row r="104" spans="1:20" s="124" customFormat="1" x14ac:dyDescent="0.2">
      <c r="A104" s="28"/>
      <c r="B104" s="128" t="s">
        <v>428</v>
      </c>
      <c r="C104" s="110">
        <f>IFERROR(VLOOKUP($B104,MMWR_TRAD_AGG_STATE_PEN[],C$1,0),"ERROR")</f>
        <v>26</v>
      </c>
      <c r="D104" s="111">
        <f>IFERROR(VLOOKUP($B104,MMWR_TRAD_AGG_STATE_PEN[],D$1,0),"ERROR")</f>
        <v>36.846153846199996</v>
      </c>
      <c r="E104" s="112">
        <f>IFERROR(VLOOKUP($B104,MMWR_TRAD_AGG_STATE_PEN[],E$1,0),"ERROR")</f>
        <v>74</v>
      </c>
      <c r="F104" s="113">
        <f>IFERROR(VLOOKUP($B104,MMWR_TRAD_AGG_STATE_PEN[],F$1,0),"ERROR")</f>
        <v>2</v>
      </c>
      <c r="G104" s="114">
        <f t="shared" si="12"/>
        <v>2.7027027027027029E-2</v>
      </c>
      <c r="H104" s="112">
        <f>IFERROR(VLOOKUP($B104,MMWR_TRAD_AGG_STATE_PEN[],H$1,0),"ERROR")</f>
        <v>60</v>
      </c>
      <c r="I104" s="113">
        <f>IFERROR(VLOOKUP($B104,MMWR_TRAD_AGG_STATE_PEN[],I$1,0),"ERROR")</f>
        <v>5</v>
      </c>
      <c r="J104" s="115">
        <f t="shared" si="13"/>
        <v>8.3333333333333329E-2</v>
      </c>
      <c r="K104" s="112">
        <f>IFERROR(VLOOKUP($B104,MMWR_TRAD_AGG_STATE_PEN[],K$1,0),"ERROR")</f>
        <v>0</v>
      </c>
      <c r="L104" s="113">
        <f>IFERROR(VLOOKUP($B104,MMWR_TRAD_AGG_STATE_PEN[],L$1,0),"ERROR")</f>
        <v>0</v>
      </c>
      <c r="M104" s="115" t="str">
        <f t="shared" si="14"/>
        <v>0%</v>
      </c>
      <c r="N104" s="112">
        <f>IFERROR(VLOOKUP($B104,MMWR_TRAD_AGG_STATE_PEN[],N$1,0),"ERROR")</f>
        <v>0</v>
      </c>
      <c r="O104" s="113">
        <f>IFERROR(VLOOKUP($B104,MMWR_TRAD_AGG_STATE_PEN[],O$1,0),"ERROR")</f>
        <v>0</v>
      </c>
      <c r="P104" s="115" t="str">
        <f t="shared" si="15"/>
        <v>0%</v>
      </c>
      <c r="Q104" s="116">
        <f>IFERROR(VLOOKUP($B104,MMWR_TRAD_AGG_STATE_PEN[],Q$1,0),"ERROR")</f>
        <v>79</v>
      </c>
      <c r="R104" s="116">
        <f>IFERROR(VLOOKUP($B104,MMWR_TRAD_AGG_STATE_PEN[],R$1,0),"ERROR")</f>
        <v>7</v>
      </c>
      <c r="S104" s="116">
        <f>IFERROR(VLOOKUP($B104,MMWR_APP_STATE_PEN[],S$1,0),"ERROR")</f>
        <v>6</v>
      </c>
      <c r="T104" s="28"/>
    </row>
    <row r="105" spans="1:20" s="124" customFormat="1" x14ac:dyDescent="0.2">
      <c r="A105" s="28"/>
      <c r="B105" s="128" t="s">
        <v>422</v>
      </c>
      <c r="C105" s="110">
        <f>IFERROR(VLOOKUP($B105,MMWR_TRAD_AGG_STATE_PEN[],C$1,0),"ERROR")</f>
        <v>146</v>
      </c>
      <c r="D105" s="111">
        <f>IFERROR(VLOOKUP($B105,MMWR_TRAD_AGG_STATE_PEN[],D$1,0),"ERROR")</f>
        <v>40.6369863014</v>
      </c>
      <c r="E105" s="112">
        <f>IFERROR(VLOOKUP($B105,MMWR_TRAD_AGG_STATE_PEN[],E$1,0),"ERROR")</f>
        <v>280</v>
      </c>
      <c r="F105" s="113">
        <f>IFERROR(VLOOKUP($B105,MMWR_TRAD_AGG_STATE_PEN[],F$1,0),"ERROR")</f>
        <v>7</v>
      </c>
      <c r="G105" s="114">
        <f t="shared" si="12"/>
        <v>2.5000000000000001E-2</v>
      </c>
      <c r="H105" s="112">
        <f>IFERROR(VLOOKUP($B105,MMWR_TRAD_AGG_STATE_PEN[],H$1,0),"ERROR")</f>
        <v>252</v>
      </c>
      <c r="I105" s="113">
        <f>IFERROR(VLOOKUP($B105,MMWR_TRAD_AGG_STATE_PEN[],I$1,0),"ERROR")</f>
        <v>7</v>
      </c>
      <c r="J105" s="115">
        <f t="shared" si="13"/>
        <v>2.7777777777777776E-2</v>
      </c>
      <c r="K105" s="112">
        <f>IFERROR(VLOOKUP($B105,MMWR_TRAD_AGG_STATE_PEN[],K$1,0),"ERROR")</f>
        <v>3</v>
      </c>
      <c r="L105" s="113">
        <f>IFERROR(VLOOKUP($B105,MMWR_TRAD_AGG_STATE_PEN[],L$1,0),"ERROR")</f>
        <v>2</v>
      </c>
      <c r="M105" s="115">
        <f t="shared" si="14"/>
        <v>0.66666666666666663</v>
      </c>
      <c r="N105" s="112">
        <f>IFERROR(VLOOKUP($B105,MMWR_TRAD_AGG_STATE_PEN[],N$1,0),"ERROR")</f>
        <v>9</v>
      </c>
      <c r="O105" s="113">
        <f>IFERROR(VLOOKUP($B105,MMWR_TRAD_AGG_STATE_PEN[],O$1,0),"ERROR")</f>
        <v>5</v>
      </c>
      <c r="P105" s="115">
        <f t="shared" si="15"/>
        <v>0.55555555555555558</v>
      </c>
      <c r="Q105" s="116">
        <f>IFERROR(VLOOKUP($B105,MMWR_TRAD_AGG_STATE_PEN[],Q$1,0),"ERROR")</f>
        <v>344</v>
      </c>
      <c r="R105" s="116">
        <f>IFERROR(VLOOKUP($B105,MMWR_TRAD_AGG_STATE_PEN[],R$1,0),"ERROR")</f>
        <v>52</v>
      </c>
      <c r="S105" s="116">
        <f>IFERROR(VLOOKUP($B105,MMWR_APP_STATE_PEN[],S$1,0),"ERROR")</f>
        <v>71</v>
      </c>
      <c r="T105" s="28"/>
    </row>
    <row r="106" spans="1:20" s="124" customFormat="1" x14ac:dyDescent="0.2">
      <c r="A106" s="28"/>
      <c r="B106" s="128" t="s">
        <v>420</v>
      </c>
      <c r="C106" s="110">
        <f>IFERROR(VLOOKUP($B106,MMWR_TRAD_AGG_STATE_PEN[],C$1,0),"ERROR")</f>
        <v>615</v>
      </c>
      <c r="D106" s="111">
        <f>IFERROR(VLOOKUP($B106,MMWR_TRAD_AGG_STATE_PEN[],D$1,0),"ERROR")</f>
        <v>45.3804878049</v>
      </c>
      <c r="E106" s="112">
        <f>IFERROR(VLOOKUP($B106,MMWR_TRAD_AGG_STATE_PEN[],E$1,0),"ERROR")</f>
        <v>1448</v>
      </c>
      <c r="F106" s="113">
        <f>IFERROR(VLOOKUP($B106,MMWR_TRAD_AGG_STATE_PEN[],F$1,0),"ERROR")</f>
        <v>63</v>
      </c>
      <c r="G106" s="114">
        <f t="shared" si="12"/>
        <v>4.3508287292817679E-2</v>
      </c>
      <c r="H106" s="112">
        <f>IFERROR(VLOOKUP($B106,MMWR_TRAD_AGG_STATE_PEN[],H$1,0),"ERROR")</f>
        <v>1188</v>
      </c>
      <c r="I106" s="113">
        <f>IFERROR(VLOOKUP($B106,MMWR_TRAD_AGG_STATE_PEN[],I$1,0),"ERROR")</f>
        <v>80</v>
      </c>
      <c r="J106" s="115">
        <f t="shared" si="13"/>
        <v>6.7340067340067339E-2</v>
      </c>
      <c r="K106" s="112">
        <f>IFERROR(VLOOKUP($B106,MMWR_TRAD_AGG_STATE_PEN[],K$1,0),"ERROR")</f>
        <v>14</v>
      </c>
      <c r="L106" s="113">
        <f>IFERROR(VLOOKUP($B106,MMWR_TRAD_AGG_STATE_PEN[],L$1,0),"ERROR")</f>
        <v>13</v>
      </c>
      <c r="M106" s="115">
        <f t="shared" si="14"/>
        <v>0.9285714285714286</v>
      </c>
      <c r="N106" s="112">
        <f>IFERROR(VLOOKUP($B106,MMWR_TRAD_AGG_STATE_PEN[],N$1,0),"ERROR")</f>
        <v>63</v>
      </c>
      <c r="O106" s="113">
        <f>IFERROR(VLOOKUP($B106,MMWR_TRAD_AGG_STATE_PEN[],O$1,0),"ERROR")</f>
        <v>29</v>
      </c>
      <c r="P106" s="115">
        <f t="shared" si="15"/>
        <v>0.46031746031746029</v>
      </c>
      <c r="Q106" s="116">
        <f>IFERROR(VLOOKUP($B106,MMWR_TRAD_AGG_STATE_PEN[],Q$1,0),"ERROR")</f>
        <v>943</v>
      </c>
      <c r="R106" s="116">
        <f>IFERROR(VLOOKUP($B106,MMWR_TRAD_AGG_STATE_PEN[],R$1,0),"ERROR")</f>
        <v>283</v>
      </c>
      <c r="S106" s="116">
        <f>IFERROR(VLOOKUP($B106,MMWR_APP_STATE_PEN[],S$1,0),"ERROR")</f>
        <v>376</v>
      </c>
      <c r="T106" s="28"/>
    </row>
    <row r="107" spans="1:20" s="124" customFormat="1" x14ac:dyDescent="0.2">
      <c r="A107" s="28"/>
      <c r="B107" s="128" t="s">
        <v>416</v>
      </c>
      <c r="C107" s="110">
        <f>IFERROR(VLOOKUP($B107,MMWR_TRAD_AGG_STATE_PEN[],C$1,0),"ERROR")</f>
        <v>51</v>
      </c>
      <c r="D107" s="111">
        <f>IFERROR(VLOOKUP($B107,MMWR_TRAD_AGG_STATE_PEN[],D$1,0),"ERROR")</f>
        <v>41.490196078399997</v>
      </c>
      <c r="E107" s="112">
        <f>IFERROR(VLOOKUP($B107,MMWR_TRAD_AGG_STATE_PEN[],E$1,0),"ERROR")</f>
        <v>164</v>
      </c>
      <c r="F107" s="113">
        <f>IFERROR(VLOOKUP($B107,MMWR_TRAD_AGG_STATE_PEN[],F$1,0),"ERROR")</f>
        <v>10</v>
      </c>
      <c r="G107" s="114">
        <f t="shared" si="12"/>
        <v>6.097560975609756E-2</v>
      </c>
      <c r="H107" s="112">
        <f>IFERROR(VLOOKUP($B107,MMWR_TRAD_AGG_STATE_PEN[],H$1,0),"ERROR")</f>
        <v>101</v>
      </c>
      <c r="I107" s="113">
        <f>IFERROR(VLOOKUP($B107,MMWR_TRAD_AGG_STATE_PEN[],I$1,0),"ERROR")</f>
        <v>5</v>
      </c>
      <c r="J107" s="115">
        <f t="shared" si="13"/>
        <v>4.9504950495049507E-2</v>
      </c>
      <c r="K107" s="112">
        <f>IFERROR(VLOOKUP($B107,MMWR_TRAD_AGG_STATE_PEN[],K$1,0),"ERROR")</f>
        <v>0</v>
      </c>
      <c r="L107" s="113">
        <f>IFERROR(VLOOKUP($B107,MMWR_TRAD_AGG_STATE_PEN[],L$1,0),"ERROR")</f>
        <v>0</v>
      </c>
      <c r="M107" s="115" t="str">
        <f t="shared" si="14"/>
        <v>0%</v>
      </c>
      <c r="N107" s="112">
        <f>IFERROR(VLOOKUP($B107,MMWR_TRAD_AGG_STATE_PEN[],N$1,0),"ERROR")</f>
        <v>5</v>
      </c>
      <c r="O107" s="113">
        <f>IFERROR(VLOOKUP($B107,MMWR_TRAD_AGG_STATE_PEN[],O$1,0),"ERROR")</f>
        <v>3</v>
      </c>
      <c r="P107" s="115">
        <f t="shared" si="15"/>
        <v>0.6</v>
      </c>
      <c r="Q107" s="116">
        <f>IFERROR(VLOOKUP($B107,MMWR_TRAD_AGG_STATE_PEN[],Q$1,0),"ERROR")</f>
        <v>88</v>
      </c>
      <c r="R107" s="116">
        <f>IFERROR(VLOOKUP($B107,MMWR_TRAD_AGG_STATE_PEN[],R$1,0),"ERROR")</f>
        <v>22</v>
      </c>
      <c r="S107" s="116">
        <f>IFERROR(VLOOKUP($B107,MMWR_APP_STATE_PEN[],S$1,0),"ERROR")</f>
        <v>18</v>
      </c>
      <c r="T107" s="28"/>
    </row>
    <row r="108" spans="1:20" s="124" customFormat="1" x14ac:dyDescent="0.2">
      <c r="A108" s="28"/>
      <c r="B108" s="128" t="s">
        <v>431</v>
      </c>
      <c r="C108" s="110">
        <f>IFERROR(VLOOKUP($B108,MMWR_TRAD_AGG_STATE_PEN[],C$1,0),"ERROR")</f>
        <v>17</v>
      </c>
      <c r="D108" s="111">
        <f>IFERROR(VLOOKUP($B108,MMWR_TRAD_AGG_STATE_PEN[],D$1,0),"ERROR")</f>
        <v>44</v>
      </c>
      <c r="E108" s="112">
        <f>IFERROR(VLOOKUP($B108,MMWR_TRAD_AGG_STATE_PEN[],E$1,0),"ERROR")</f>
        <v>37</v>
      </c>
      <c r="F108" s="113">
        <f>IFERROR(VLOOKUP($B108,MMWR_TRAD_AGG_STATE_PEN[],F$1,0),"ERROR")</f>
        <v>1</v>
      </c>
      <c r="G108" s="114">
        <f t="shared" si="12"/>
        <v>2.7027027027027029E-2</v>
      </c>
      <c r="H108" s="112">
        <f>IFERROR(VLOOKUP($B108,MMWR_TRAD_AGG_STATE_PEN[],H$1,0),"ERROR")</f>
        <v>30</v>
      </c>
      <c r="I108" s="113">
        <f>IFERROR(VLOOKUP($B108,MMWR_TRAD_AGG_STATE_PEN[],I$1,0),"ERROR")</f>
        <v>5</v>
      </c>
      <c r="J108" s="115">
        <f t="shared" si="13"/>
        <v>0.16666666666666666</v>
      </c>
      <c r="K108" s="112">
        <f>IFERROR(VLOOKUP($B108,MMWR_TRAD_AGG_STATE_PEN[],K$1,0),"ERROR")</f>
        <v>0</v>
      </c>
      <c r="L108" s="113">
        <f>IFERROR(VLOOKUP($B108,MMWR_TRAD_AGG_STATE_PEN[],L$1,0),"ERROR")</f>
        <v>0</v>
      </c>
      <c r="M108" s="115" t="str">
        <f t="shared" si="14"/>
        <v>0%</v>
      </c>
      <c r="N108" s="112">
        <f>IFERROR(VLOOKUP($B108,MMWR_TRAD_AGG_STATE_PEN[],N$1,0),"ERROR")</f>
        <v>2</v>
      </c>
      <c r="O108" s="113">
        <f>IFERROR(VLOOKUP($B108,MMWR_TRAD_AGG_STATE_PEN[],O$1,0),"ERROR")</f>
        <v>1</v>
      </c>
      <c r="P108" s="115">
        <f t="shared" si="15"/>
        <v>0.5</v>
      </c>
      <c r="Q108" s="116">
        <f>IFERROR(VLOOKUP($B108,MMWR_TRAD_AGG_STATE_PEN[],Q$1,0),"ERROR")</f>
        <v>25</v>
      </c>
      <c r="R108" s="116">
        <f>IFERROR(VLOOKUP($B108,MMWR_TRAD_AGG_STATE_PEN[],R$1,0),"ERROR")</f>
        <v>3</v>
      </c>
      <c r="S108" s="116">
        <f>IFERROR(VLOOKUP($B108,MMWR_APP_STATE_PEN[],S$1,0),"ERROR")</f>
        <v>7</v>
      </c>
      <c r="T108" s="28"/>
    </row>
    <row r="109" spans="1:20" s="124" customFormat="1" x14ac:dyDescent="0.2">
      <c r="A109" s="28"/>
      <c r="B109" s="127" t="s">
        <v>414</v>
      </c>
      <c r="C109" s="103">
        <f>IFERROR(VLOOKUP($B109,MMWR_TRAD_AGG_ST_DISTRICT_PEN[],C$1,0),"ERROR")</f>
        <v>1381</v>
      </c>
      <c r="D109" s="104">
        <f>IFERROR(VLOOKUP($B109,MMWR_TRAD_AGG_ST_DISTRICT_PEN[],D$1,0),"ERROR")</f>
        <v>43.4308472122</v>
      </c>
      <c r="E109" s="103">
        <f>IFERROR(VLOOKUP($B109,MMWR_TRAD_AGG_ST_DISTRICT_PEN[],E$1,0),"ERROR")</f>
        <v>3639</v>
      </c>
      <c r="F109" s="103">
        <f>IFERROR(VLOOKUP($B109,MMWR_TRAD_AGG_ST_DISTRICT_PEN[],F$1,0),"ERROR")</f>
        <v>145</v>
      </c>
      <c r="G109" s="105">
        <f t="shared" si="12"/>
        <v>3.9846111569112393E-2</v>
      </c>
      <c r="H109" s="103">
        <f>IFERROR(VLOOKUP($B109,MMWR_TRAD_AGG_ST_DISTRICT_PEN[],H$1,0),"ERROR")</f>
        <v>2371</v>
      </c>
      <c r="I109" s="103">
        <f>IFERROR(VLOOKUP($B109,MMWR_TRAD_AGG_ST_DISTRICT_PEN[],I$1,0),"ERROR")</f>
        <v>184</v>
      </c>
      <c r="J109" s="105">
        <f t="shared" si="13"/>
        <v>7.7604386334879802E-2</v>
      </c>
      <c r="K109" s="103">
        <f>IFERROR(VLOOKUP($B109,MMWR_TRAD_AGG_ST_DISTRICT_PEN[],K$1,0),"ERROR")</f>
        <v>32</v>
      </c>
      <c r="L109" s="103">
        <f>IFERROR(VLOOKUP($B109,MMWR_TRAD_AGG_ST_DISTRICT_PEN[],L$1,0),"ERROR")</f>
        <v>30</v>
      </c>
      <c r="M109" s="105">
        <f t="shared" si="14"/>
        <v>0.9375</v>
      </c>
      <c r="N109" s="103">
        <f>IFERROR(VLOOKUP($B109,MMWR_TRAD_AGG_ST_DISTRICT_PEN[],N$1,0),"ERROR")</f>
        <v>114</v>
      </c>
      <c r="O109" s="103">
        <f>IFERROR(VLOOKUP($B109,MMWR_TRAD_AGG_ST_DISTRICT_PEN[],O$1,0),"ERROR")</f>
        <v>56</v>
      </c>
      <c r="P109" s="105">
        <f t="shared" si="15"/>
        <v>0.49122807017543857</v>
      </c>
      <c r="Q109" s="103">
        <f>IFERROR(VLOOKUP($B109,MMWR_TRAD_AGG_ST_DISTRICT_PEN[],Q$1,0),"ERROR")</f>
        <v>2117</v>
      </c>
      <c r="R109" s="107">
        <f>IFERROR(VLOOKUP($B109,MMWR_TRAD_AGG_ST_DISTRICT_PEN[],R$1,0),"ERROR")</f>
        <v>629</v>
      </c>
      <c r="S109" s="107">
        <f>IFERROR(VLOOKUP($B109,MMWR_APP_STATE_PEN[],S$1,0),"ERROR")</f>
        <v>652</v>
      </c>
      <c r="T109" s="28"/>
    </row>
    <row r="110" spans="1:20" s="124" customFormat="1" x14ac:dyDescent="0.2">
      <c r="A110" s="28"/>
      <c r="B110" s="128" t="s">
        <v>434</v>
      </c>
      <c r="C110" s="110">
        <f>IFERROR(VLOOKUP($B110,MMWR_TRAD_AGG_STATE_PEN[],C$1,0),"ERROR")</f>
        <v>7</v>
      </c>
      <c r="D110" s="111">
        <f>IFERROR(VLOOKUP($B110,MMWR_TRAD_AGG_STATE_PEN[],D$1,0),"ERROR")</f>
        <v>44.857142857100001</v>
      </c>
      <c r="E110" s="112">
        <f>IFERROR(VLOOKUP($B110,MMWR_TRAD_AGG_STATE_PEN[],E$1,0),"ERROR")</f>
        <v>10</v>
      </c>
      <c r="F110" s="113">
        <f>IFERROR(VLOOKUP($B110,MMWR_TRAD_AGG_STATE_PEN[],F$1,0),"ERROR")</f>
        <v>0</v>
      </c>
      <c r="G110" s="114">
        <f t="shared" si="12"/>
        <v>0</v>
      </c>
      <c r="H110" s="112">
        <f>IFERROR(VLOOKUP($B110,MMWR_TRAD_AGG_STATE_PEN[],H$1,0),"ERROR")</f>
        <v>21</v>
      </c>
      <c r="I110" s="113">
        <f>IFERROR(VLOOKUP($B110,MMWR_TRAD_AGG_STATE_PEN[],I$1,0),"ERROR")</f>
        <v>3</v>
      </c>
      <c r="J110" s="115">
        <f t="shared" si="13"/>
        <v>0.14285714285714285</v>
      </c>
      <c r="K110" s="112">
        <f>IFERROR(VLOOKUP($B110,MMWR_TRAD_AGG_STATE_PEN[],K$1,0),"ERROR")</f>
        <v>0</v>
      </c>
      <c r="L110" s="113">
        <f>IFERROR(VLOOKUP($B110,MMWR_TRAD_AGG_STATE_PEN[],L$1,0),"ERROR")</f>
        <v>0</v>
      </c>
      <c r="M110" s="115" t="str">
        <f t="shared" si="14"/>
        <v>0%</v>
      </c>
      <c r="N110" s="112">
        <f>IFERROR(VLOOKUP($B110,MMWR_TRAD_AGG_STATE_PEN[],N$1,0),"ERROR")</f>
        <v>1</v>
      </c>
      <c r="O110" s="113">
        <f>IFERROR(VLOOKUP($B110,MMWR_TRAD_AGG_STATE_PEN[],O$1,0),"ERROR")</f>
        <v>1</v>
      </c>
      <c r="P110" s="115">
        <f t="shared" si="15"/>
        <v>1</v>
      </c>
      <c r="Q110" s="116">
        <f>IFERROR(VLOOKUP($B110,MMWR_TRAD_AGG_STATE_PEN[],Q$1,0),"ERROR")</f>
        <v>19</v>
      </c>
      <c r="R110" s="116">
        <f>IFERROR(VLOOKUP($B110,MMWR_TRAD_AGG_STATE_PEN[],R$1,0),"ERROR")</f>
        <v>6</v>
      </c>
      <c r="S110" s="116">
        <f>IFERROR(VLOOKUP($B110,MMWR_APP_STATE_PEN[],S$1,0),"ERROR")</f>
        <v>4</v>
      </c>
      <c r="T110" s="28"/>
    </row>
    <row r="111" spans="1:20" s="124" customFormat="1" x14ac:dyDescent="0.2">
      <c r="A111" s="28"/>
      <c r="B111" s="128" t="s">
        <v>436</v>
      </c>
      <c r="C111" s="110">
        <f>IFERROR(VLOOKUP($B111,MMWR_TRAD_AGG_STATE_PEN[],C$1,0),"ERROR")</f>
        <v>184</v>
      </c>
      <c r="D111" s="111">
        <f>IFERROR(VLOOKUP($B111,MMWR_TRAD_AGG_STATE_PEN[],D$1,0),"ERROR")</f>
        <v>41.918478260900002</v>
      </c>
      <c r="E111" s="112">
        <f>IFERROR(VLOOKUP($B111,MMWR_TRAD_AGG_STATE_PEN[],E$1,0),"ERROR")</f>
        <v>461</v>
      </c>
      <c r="F111" s="113">
        <f>IFERROR(VLOOKUP($B111,MMWR_TRAD_AGG_STATE_PEN[],F$1,0),"ERROR")</f>
        <v>23</v>
      </c>
      <c r="G111" s="114">
        <f t="shared" si="12"/>
        <v>4.9891540130151846E-2</v>
      </c>
      <c r="H111" s="112">
        <f>IFERROR(VLOOKUP($B111,MMWR_TRAD_AGG_STATE_PEN[],H$1,0),"ERROR")</f>
        <v>295</v>
      </c>
      <c r="I111" s="113">
        <f>IFERROR(VLOOKUP($B111,MMWR_TRAD_AGG_STATE_PEN[],I$1,0),"ERROR")</f>
        <v>17</v>
      </c>
      <c r="J111" s="115">
        <f t="shared" si="13"/>
        <v>5.7627118644067797E-2</v>
      </c>
      <c r="K111" s="112">
        <f>IFERROR(VLOOKUP($B111,MMWR_TRAD_AGG_STATE_PEN[],K$1,0),"ERROR")</f>
        <v>4</v>
      </c>
      <c r="L111" s="113">
        <f>IFERROR(VLOOKUP($B111,MMWR_TRAD_AGG_STATE_PEN[],L$1,0),"ERROR")</f>
        <v>4</v>
      </c>
      <c r="M111" s="115">
        <f t="shared" si="14"/>
        <v>1</v>
      </c>
      <c r="N111" s="112">
        <f>IFERROR(VLOOKUP($B111,MMWR_TRAD_AGG_STATE_PEN[],N$1,0),"ERROR")</f>
        <v>11</v>
      </c>
      <c r="O111" s="113">
        <f>IFERROR(VLOOKUP($B111,MMWR_TRAD_AGG_STATE_PEN[],O$1,0),"ERROR")</f>
        <v>3</v>
      </c>
      <c r="P111" s="115">
        <f t="shared" si="15"/>
        <v>0.27272727272727271</v>
      </c>
      <c r="Q111" s="116">
        <f>IFERROR(VLOOKUP($B111,MMWR_TRAD_AGG_STATE_PEN[],Q$1,0),"ERROR")</f>
        <v>284</v>
      </c>
      <c r="R111" s="116">
        <f>IFERROR(VLOOKUP($B111,MMWR_TRAD_AGG_STATE_PEN[],R$1,0),"ERROR")</f>
        <v>72</v>
      </c>
      <c r="S111" s="116">
        <f>IFERROR(VLOOKUP($B111,MMWR_APP_STATE_PEN[],S$1,0),"ERROR")</f>
        <v>81</v>
      </c>
      <c r="T111" s="28"/>
    </row>
    <row r="112" spans="1:20" s="124" customFormat="1" x14ac:dyDescent="0.2">
      <c r="A112" s="28"/>
      <c r="B112" s="128" t="s">
        <v>417</v>
      </c>
      <c r="C112" s="110">
        <f>IFERROR(VLOOKUP($B112,MMWR_TRAD_AGG_STATE_PEN[],C$1,0),"ERROR")</f>
        <v>696</v>
      </c>
      <c r="D112" s="111">
        <f>IFERROR(VLOOKUP($B112,MMWR_TRAD_AGG_STATE_PEN[],D$1,0),"ERROR")</f>
        <v>42.866379310299997</v>
      </c>
      <c r="E112" s="112">
        <f>IFERROR(VLOOKUP($B112,MMWR_TRAD_AGG_STATE_PEN[],E$1,0),"ERROR")</f>
        <v>1955</v>
      </c>
      <c r="F112" s="113">
        <f>IFERROR(VLOOKUP($B112,MMWR_TRAD_AGG_STATE_PEN[],F$1,0),"ERROR")</f>
        <v>72</v>
      </c>
      <c r="G112" s="114">
        <f t="shared" si="12"/>
        <v>3.6828644501278769E-2</v>
      </c>
      <c r="H112" s="112">
        <f>IFERROR(VLOOKUP($B112,MMWR_TRAD_AGG_STATE_PEN[],H$1,0),"ERROR")</f>
        <v>1197</v>
      </c>
      <c r="I112" s="113">
        <f>IFERROR(VLOOKUP($B112,MMWR_TRAD_AGG_STATE_PEN[],I$1,0),"ERROR")</f>
        <v>95</v>
      </c>
      <c r="J112" s="115">
        <f t="shared" si="13"/>
        <v>7.9365079365079361E-2</v>
      </c>
      <c r="K112" s="112">
        <f>IFERROR(VLOOKUP($B112,MMWR_TRAD_AGG_STATE_PEN[],K$1,0),"ERROR")</f>
        <v>20</v>
      </c>
      <c r="L112" s="113">
        <f>IFERROR(VLOOKUP($B112,MMWR_TRAD_AGG_STATE_PEN[],L$1,0),"ERROR")</f>
        <v>19</v>
      </c>
      <c r="M112" s="115">
        <f t="shared" si="14"/>
        <v>0.95</v>
      </c>
      <c r="N112" s="112">
        <f>IFERROR(VLOOKUP($B112,MMWR_TRAD_AGG_STATE_PEN[],N$1,0),"ERROR")</f>
        <v>55</v>
      </c>
      <c r="O112" s="113">
        <f>IFERROR(VLOOKUP($B112,MMWR_TRAD_AGG_STATE_PEN[],O$1,0),"ERROR")</f>
        <v>29</v>
      </c>
      <c r="P112" s="115">
        <f t="shared" si="15"/>
        <v>0.52727272727272723</v>
      </c>
      <c r="Q112" s="116">
        <f>IFERROR(VLOOKUP($B112,MMWR_TRAD_AGG_STATE_PEN[],Q$1,0),"ERROR")</f>
        <v>910</v>
      </c>
      <c r="R112" s="116">
        <f>IFERROR(VLOOKUP($B112,MMWR_TRAD_AGG_STATE_PEN[],R$1,0),"ERROR")</f>
        <v>335</v>
      </c>
      <c r="S112" s="116">
        <f>IFERROR(VLOOKUP($B112,MMWR_APP_STATE_PEN[],S$1,0),"ERROR")</f>
        <v>337</v>
      </c>
      <c r="T112" s="28"/>
    </row>
    <row r="113" spans="1:20" s="124" customFormat="1" x14ac:dyDescent="0.2">
      <c r="A113" s="28"/>
      <c r="B113" s="128" t="s">
        <v>438</v>
      </c>
      <c r="C113" s="110">
        <f>IFERROR(VLOOKUP($B113,MMWR_TRAD_AGG_STATE_PEN[],C$1,0),"ERROR")</f>
        <v>15</v>
      </c>
      <c r="D113" s="111">
        <f>IFERROR(VLOOKUP($B113,MMWR_TRAD_AGG_STATE_PEN[],D$1,0),"ERROR")</f>
        <v>54</v>
      </c>
      <c r="E113" s="112">
        <f>IFERROR(VLOOKUP($B113,MMWR_TRAD_AGG_STATE_PEN[],E$1,0),"ERROR")</f>
        <v>29</v>
      </c>
      <c r="F113" s="113">
        <f>IFERROR(VLOOKUP($B113,MMWR_TRAD_AGG_STATE_PEN[],F$1,0),"ERROR")</f>
        <v>0</v>
      </c>
      <c r="G113" s="114">
        <f t="shared" si="12"/>
        <v>0</v>
      </c>
      <c r="H113" s="112">
        <f>IFERROR(VLOOKUP($B113,MMWR_TRAD_AGG_STATE_PEN[],H$1,0),"ERROR")</f>
        <v>22</v>
      </c>
      <c r="I113" s="113">
        <f>IFERROR(VLOOKUP($B113,MMWR_TRAD_AGG_STATE_PEN[],I$1,0),"ERROR")</f>
        <v>3</v>
      </c>
      <c r="J113" s="115">
        <f t="shared" si="13"/>
        <v>0.13636363636363635</v>
      </c>
      <c r="K113" s="112">
        <f>IFERROR(VLOOKUP($B113,MMWR_TRAD_AGG_STATE_PEN[],K$1,0),"ERROR")</f>
        <v>3</v>
      </c>
      <c r="L113" s="113">
        <f>IFERROR(VLOOKUP($B113,MMWR_TRAD_AGG_STATE_PEN[],L$1,0),"ERROR")</f>
        <v>2</v>
      </c>
      <c r="M113" s="115">
        <f t="shared" si="14"/>
        <v>0.66666666666666663</v>
      </c>
      <c r="N113" s="112">
        <f>IFERROR(VLOOKUP($B113,MMWR_TRAD_AGG_STATE_PEN[],N$1,0),"ERROR")</f>
        <v>0</v>
      </c>
      <c r="O113" s="113">
        <f>IFERROR(VLOOKUP($B113,MMWR_TRAD_AGG_STATE_PEN[],O$1,0),"ERROR")</f>
        <v>0</v>
      </c>
      <c r="P113" s="115" t="str">
        <f t="shared" si="15"/>
        <v>0%</v>
      </c>
      <c r="Q113" s="116">
        <f>IFERROR(VLOOKUP($B113,MMWR_TRAD_AGG_STATE_PEN[],Q$1,0),"ERROR")</f>
        <v>35</v>
      </c>
      <c r="R113" s="116">
        <f>IFERROR(VLOOKUP($B113,MMWR_TRAD_AGG_STATE_PEN[],R$1,0),"ERROR")</f>
        <v>8</v>
      </c>
      <c r="S113" s="116">
        <f>IFERROR(VLOOKUP($B113,MMWR_APP_STATE_PEN[],S$1,0),"ERROR")</f>
        <v>14</v>
      </c>
      <c r="T113" s="28"/>
    </row>
    <row r="114" spans="1:20" s="124" customFormat="1" x14ac:dyDescent="0.2">
      <c r="A114" s="28"/>
      <c r="B114" s="128" t="s">
        <v>418</v>
      </c>
      <c r="C114" s="110">
        <f>IFERROR(VLOOKUP($B114,MMWR_TRAD_AGG_STATE_PEN[],C$1,0),"ERROR")</f>
        <v>43</v>
      </c>
      <c r="D114" s="111">
        <f>IFERROR(VLOOKUP($B114,MMWR_TRAD_AGG_STATE_PEN[],D$1,0),"ERROR")</f>
        <v>48.930232558100002</v>
      </c>
      <c r="E114" s="112">
        <f>IFERROR(VLOOKUP($B114,MMWR_TRAD_AGG_STATE_PEN[],E$1,0),"ERROR")</f>
        <v>123</v>
      </c>
      <c r="F114" s="113">
        <f>IFERROR(VLOOKUP($B114,MMWR_TRAD_AGG_STATE_PEN[],F$1,0),"ERROR")</f>
        <v>8</v>
      </c>
      <c r="G114" s="114">
        <f t="shared" si="12"/>
        <v>6.5040650406504072E-2</v>
      </c>
      <c r="H114" s="112">
        <f>IFERROR(VLOOKUP($B114,MMWR_TRAD_AGG_STATE_PEN[],H$1,0),"ERROR")</f>
        <v>73</v>
      </c>
      <c r="I114" s="113">
        <f>IFERROR(VLOOKUP($B114,MMWR_TRAD_AGG_STATE_PEN[],I$1,0),"ERROR")</f>
        <v>4</v>
      </c>
      <c r="J114" s="115">
        <f t="shared" si="13"/>
        <v>5.4794520547945202E-2</v>
      </c>
      <c r="K114" s="112">
        <f>IFERROR(VLOOKUP($B114,MMWR_TRAD_AGG_STATE_PEN[],K$1,0),"ERROR")</f>
        <v>1</v>
      </c>
      <c r="L114" s="113">
        <f>IFERROR(VLOOKUP($B114,MMWR_TRAD_AGG_STATE_PEN[],L$1,0),"ERROR")</f>
        <v>1</v>
      </c>
      <c r="M114" s="115">
        <f t="shared" si="14"/>
        <v>1</v>
      </c>
      <c r="N114" s="112">
        <f>IFERROR(VLOOKUP($B114,MMWR_TRAD_AGG_STATE_PEN[],N$1,0),"ERROR")</f>
        <v>0</v>
      </c>
      <c r="O114" s="113">
        <f>IFERROR(VLOOKUP($B114,MMWR_TRAD_AGG_STATE_PEN[],O$1,0),"ERROR")</f>
        <v>0</v>
      </c>
      <c r="P114" s="115" t="str">
        <f t="shared" si="15"/>
        <v>0%</v>
      </c>
      <c r="Q114" s="116">
        <f>IFERROR(VLOOKUP($B114,MMWR_TRAD_AGG_STATE_PEN[],Q$1,0),"ERROR")</f>
        <v>68</v>
      </c>
      <c r="R114" s="116">
        <f>IFERROR(VLOOKUP($B114,MMWR_TRAD_AGG_STATE_PEN[],R$1,0),"ERROR")</f>
        <v>17</v>
      </c>
      <c r="S114" s="116">
        <f>IFERROR(VLOOKUP($B114,MMWR_APP_STATE_PEN[],S$1,0),"ERROR")</f>
        <v>16</v>
      </c>
      <c r="T114" s="28"/>
    </row>
    <row r="115" spans="1:20" s="124" customFormat="1" x14ac:dyDescent="0.2">
      <c r="A115" s="28"/>
      <c r="B115" s="128" t="s">
        <v>423</v>
      </c>
      <c r="C115" s="110">
        <f>IFERROR(VLOOKUP($B115,MMWR_TRAD_AGG_STATE_PEN[],C$1,0),"ERROR")</f>
        <v>88</v>
      </c>
      <c r="D115" s="111">
        <f>IFERROR(VLOOKUP($B115,MMWR_TRAD_AGG_STATE_PEN[],D$1,0),"ERROR")</f>
        <v>43.977272727299997</v>
      </c>
      <c r="E115" s="112">
        <f>IFERROR(VLOOKUP($B115,MMWR_TRAD_AGG_STATE_PEN[],E$1,0),"ERROR")</f>
        <v>191</v>
      </c>
      <c r="F115" s="113">
        <f>IFERROR(VLOOKUP($B115,MMWR_TRAD_AGG_STATE_PEN[],F$1,0),"ERROR")</f>
        <v>7</v>
      </c>
      <c r="G115" s="114">
        <f t="shared" si="12"/>
        <v>3.6649214659685861E-2</v>
      </c>
      <c r="H115" s="112">
        <f>IFERROR(VLOOKUP($B115,MMWR_TRAD_AGG_STATE_PEN[],H$1,0),"ERROR")</f>
        <v>145</v>
      </c>
      <c r="I115" s="113">
        <f>IFERROR(VLOOKUP($B115,MMWR_TRAD_AGG_STATE_PEN[],I$1,0),"ERROR")</f>
        <v>8</v>
      </c>
      <c r="J115" s="115">
        <f t="shared" si="13"/>
        <v>5.5172413793103448E-2</v>
      </c>
      <c r="K115" s="112">
        <f>IFERROR(VLOOKUP($B115,MMWR_TRAD_AGG_STATE_PEN[],K$1,0),"ERROR")</f>
        <v>1</v>
      </c>
      <c r="L115" s="113">
        <f>IFERROR(VLOOKUP($B115,MMWR_TRAD_AGG_STATE_PEN[],L$1,0),"ERROR")</f>
        <v>1</v>
      </c>
      <c r="M115" s="115">
        <f t="shared" si="14"/>
        <v>1</v>
      </c>
      <c r="N115" s="112">
        <f>IFERROR(VLOOKUP($B115,MMWR_TRAD_AGG_STATE_PEN[],N$1,0),"ERROR")</f>
        <v>8</v>
      </c>
      <c r="O115" s="113">
        <f>IFERROR(VLOOKUP($B115,MMWR_TRAD_AGG_STATE_PEN[],O$1,0),"ERROR")</f>
        <v>4</v>
      </c>
      <c r="P115" s="115">
        <f t="shared" si="15"/>
        <v>0.5</v>
      </c>
      <c r="Q115" s="116">
        <f>IFERROR(VLOOKUP($B115,MMWR_TRAD_AGG_STATE_PEN[],Q$1,0),"ERROR")</f>
        <v>109</v>
      </c>
      <c r="R115" s="116">
        <f>IFERROR(VLOOKUP($B115,MMWR_TRAD_AGG_STATE_PEN[],R$1,0),"ERROR")</f>
        <v>43</v>
      </c>
      <c r="S115" s="116">
        <f>IFERROR(VLOOKUP($B115,MMWR_APP_STATE_PEN[],S$1,0),"ERROR")</f>
        <v>54</v>
      </c>
      <c r="T115" s="28"/>
    </row>
    <row r="116" spans="1:20" s="124" customFormat="1" x14ac:dyDescent="0.2">
      <c r="A116" s="28"/>
      <c r="B116" s="128" t="s">
        <v>415</v>
      </c>
      <c r="C116" s="110">
        <f>IFERROR(VLOOKUP($B116,MMWR_TRAD_AGG_STATE_PEN[],C$1,0),"ERROR")</f>
        <v>43</v>
      </c>
      <c r="D116" s="111">
        <f>IFERROR(VLOOKUP($B116,MMWR_TRAD_AGG_STATE_PEN[],D$1,0),"ERROR")</f>
        <v>53.627906976699997</v>
      </c>
      <c r="E116" s="112">
        <f>IFERROR(VLOOKUP($B116,MMWR_TRAD_AGG_STATE_PEN[],E$1,0),"ERROR")</f>
        <v>140</v>
      </c>
      <c r="F116" s="113">
        <f>IFERROR(VLOOKUP($B116,MMWR_TRAD_AGG_STATE_PEN[],F$1,0),"ERROR")</f>
        <v>6</v>
      </c>
      <c r="G116" s="114">
        <f t="shared" si="12"/>
        <v>4.2857142857142858E-2</v>
      </c>
      <c r="H116" s="112">
        <f>IFERROR(VLOOKUP($B116,MMWR_TRAD_AGG_STATE_PEN[],H$1,0),"ERROR")</f>
        <v>91</v>
      </c>
      <c r="I116" s="113">
        <f>IFERROR(VLOOKUP($B116,MMWR_TRAD_AGG_STATE_PEN[],I$1,0),"ERROR")</f>
        <v>9</v>
      </c>
      <c r="J116" s="115">
        <f t="shared" si="13"/>
        <v>9.8901098901098897E-2</v>
      </c>
      <c r="K116" s="112">
        <f>IFERROR(VLOOKUP($B116,MMWR_TRAD_AGG_STATE_PEN[],K$1,0),"ERROR")</f>
        <v>0</v>
      </c>
      <c r="L116" s="113">
        <f>IFERROR(VLOOKUP($B116,MMWR_TRAD_AGG_STATE_PEN[],L$1,0),"ERROR")</f>
        <v>0</v>
      </c>
      <c r="M116" s="115" t="str">
        <f t="shared" si="14"/>
        <v>0%</v>
      </c>
      <c r="N116" s="112">
        <f>IFERROR(VLOOKUP($B116,MMWR_TRAD_AGG_STATE_PEN[],N$1,0),"ERROR")</f>
        <v>5</v>
      </c>
      <c r="O116" s="113">
        <f>IFERROR(VLOOKUP($B116,MMWR_TRAD_AGG_STATE_PEN[],O$1,0),"ERROR")</f>
        <v>1</v>
      </c>
      <c r="P116" s="115">
        <f t="shared" si="15"/>
        <v>0.2</v>
      </c>
      <c r="Q116" s="116">
        <f>IFERROR(VLOOKUP($B116,MMWR_TRAD_AGG_STATE_PEN[],Q$1,0),"ERROR")</f>
        <v>179</v>
      </c>
      <c r="R116" s="116">
        <f>IFERROR(VLOOKUP($B116,MMWR_TRAD_AGG_STATE_PEN[],R$1,0),"ERROR")</f>
        <v>19</v>
      </c>
      <c r="S116" s="116">
        <f>IFERROR(VLOOKUP($B116,MMWR_APP_STATE_PEN[],S$1,0),"ERROR")</f>
        <v>29</v>
      </c>
      <c r="T116" s="28"/>
    </row>
    <row r="117" spans="1:20" s="124" customFormat="1" x14ac:dyDescent="0.2">
      <c r="A117" s="28"/>
      <c r="B117" s="128" t="s">
        <v>419</v>
      </c>
      <c r="C117" s="110">
        <f>IFERROR(VLOOKUP($B117,MMWR_TRAD_AGG_STATE_PEN[],C$1,0),"ERROR")</f>
        <v>142</v>
      </c>
      <c r="D117" s="111">
        <f>IFERROR(VLOOKUP($B117,MMWR_TRAD_AGG_STATE_PEN[],D$1,0),"ERROR")</f>
        <v>44.619718309900001</v>
      </c>
      <c r="E117" s="112">
        <f>IFERROR(VLOOKUP($B117,MMWR_TRAD_AGG_STATE_PEN[],E$1,0),"ERROR")</f>
        <v>272</v>
      </c>
      <c r="F117" s="113">
        <f>IFERROR(VLOOKUP($B117,MMWR_TRAD_AGG_STATE_PEN[],F$1,0),"ERROR")</f>
        <v>7</v>
      </c>
      <c r="G117" s="114">
        <f t="shared" si="12"/>
        <v>2.5735294117647058E-2</v>
      </c>
      <c r="H117" s="112">
        <f>IFERROR(VLOOKUP($B117,MMWR_TRAD_AGG_STATE_PEN[],H$1,0),"ERROR")</f>
        <v>215</v>
      </c>
      <c r="I117" s="113">
        <f>IFERROR(VLOOKUP($B117,MMWR_TRAD_AGG_STATE_PEN[],I$1,0),"ERROR")</f>
        <v>10</v>
      </c>
      <c r="J117" s="115">
        <f t="shared" si="13"/>
        <v>4.6511627906976744E-2</v>
      </c>
      <c r="K117" s="112">
        <f>IFERROR(VLOOKUP($B117,MMWR_TRAD_AGG_STATE_PEN[],K$1,0),"ERROR")</f>
        <v>2</v>
      </c>
      <c r="L117" s="113">
        <f>IFERROR(VLOOKUP($B117,MMWR_TRAD_AGG_STATE_PEN[],L$1,0),"ERROR")</f>
        <v>2</v>
      </c>
      <c r="M117" s="115">
        <f t="shared" si="14"/>
        <v>1</v>
      </c>
      <c r="N117" s="112">
        <f>IFERROR(VLOOKUP($B117,MMWR_TRAD_AGG_STATE_PEN[],N$1,0),"ERROR")</f>
        <v>12</v>
      </c>
      <c r="O117" s="113">
        <f>IFERROR(VLOOKUP($B117,MMWR_TRAD_AGG_STATE_PEN[],O$1,0),"ERROR")</f>
        <v>7</v>
      </c>
      <c r="P117" s="115">
        <f t="shared" si="15"/>
        <v>0.58333333333333337</v>
      </c>
      <c r="Q117" s="116">
        <f>IFERROR(VLOOKUP($B117,MMWR_TRAD_AGG_STATE_PEN[],Q$1,0),"ERROR")</f>
        <v>232</v>
      </c>
      <c r="R117" s="116">
        <f>IFERROR(VLOOKUP($B117,MMWR_TRAD_AGG_STATE_PEN[],R$1,0),"ERROR")</f>
        <v>50</v>
      </c>
      <c r="S117" s="116">
        <f>IFERROR(VLOOKUP($B117,MMWR_APP_STATE_PEN[],S$1,0),"ERROR")</f>
        <v>41</v>
      </c>
      <c r="T117" s="28"/>
    </row>
    <row r="118" spans="1:20" s="124" customFormat="1" x14ac:dyDescent="0.2">
      <c r="A118" s="28"/>
      <c r="B118" s="128" t="s">
        <v>83</v>
      </c>
      <c r="C118" s="110">
        <f>IFERROR(VLOOKUP($B118,MMWR_TRAD_AGG_STATE_PEN[],C$1,0),"ERROR")</f>
        <v>163</v>
      </c>
      <c r="D118" s="111">
        <f>IFERROR(VLOOKUP($B118,MMWR_TRAD_AGG_STATE_PEN[],D$1,0),"ERROR")</f>
        <v>41.042944785300001</v>
      </c>
      <c r="E118" s="112">
        <f>IFERROR(VLOOKUP($B118,MMWR_TRAD_AGG_STATE_PEN[],E$1,0),"ERROR")</f>
        <v>458</v>
      </c>
      <c r="F118" s="113">
        <f>IFERROR(VLOOKUP($B118,MMWR_TRAD_AGG_STATE_PEN[],F$1,0),"ERROR")</f>
        <v>22</v>
      </c>
      <c r="G118" s="114">
        <f t="shared" si="12"/>
        <v>4.8034934497816595E-2</v>
      </c>
      <c r="H118" s="112">
        <f>IFERROR(VLOOKUP($B118,MMWR_TRAD_AGG_STATE_PEN[],H$1,0),"ERROR")</f>
        <v>312</v>
      </c>
      <c r="I118" s="113">
        <f>IFERROR(VLOOKUP($B118,MMWR_TRAD_AGG_STATE_PEN[],I$1,0),"ERROR")</f>
        <v>35</v>
      </c>
      <c r="J118" s="115">
        <f t="shared" si="13"/>
        <v>0.11217948717948718</v>
      </c>
      <c r="K118" s="112">
        <f>IFERROR(VLOOKUP($B118,MMWR_TRAD_AGG_STATE_PEN[],K$1,0),"ERROR")</f>
        <v>1</v>
      </c>
      <c r="L118" s="113">
        <f>IFERROR(VLOOKUP($B118,MMWR_TRAD_AGG_STATE_PEN[],L$1,0),"ERROR")</f>
        <v>1</v>
      </c>
      <c r="M118" s="115">
        <f t="shared" si="14"/>
        <v>1</v>
      </c>
      <c r="N118" s="112">
        <f>IFERROR(VLOOKUP($B118,MMWR_TRAD_AGG_STATE_PEN[],N$1,0),"ERROR")</f>
        <v>22</v>
      </c>
      <c r="O118" s="113">
        <f>IFERROR(VLOOKUP($B118,MMWR_TRAD_AGG_STATE_PEN[],O$1,0),"ERROR")</f>
        <v>11</v>
      </c>
      <c r="P118" s="115">
        <f t="shared" si="15"/>
        <v>0.5</v>
      </c>
      <c r="Q118" s="116">
        <f>IFERROR(VLOOKUP($B118,MMWR_TRAD_AGG_STATE_PEN[],Q$1,0),"ERROR")</f>
        <v>281</v>
      </c>
      <c r="R118" s="116">
        <f>IFERROR(VLOOKUP($B118,MMWR_TRAD_AGG_STATE_PEN[],R$1,0),"ERROR")</f>
        <v>79</v>
      </c>
      <c r="S118" s="116">
        <f>IFERROR(VLOOKUP($B118,MMWR_APP_STATE_PEN[],S$1,0),"ERROR")</f>
        <v>76</v>
      </c>
      <c r="T118" s="28"/>
    </row>
    <row r="119" spans="1:20" s="124" customFormat="1" x14ac:dyDescent="0.2">
      <c r="A119" s="28"/>
      <c r="B119" s="127" t="s">
        <v>390</v>
      </c>
      <c r="C119" s="103">
        <f>IFERROR(VLOOKUP($B119,MMWR_TRAD_AGG_ST_DISTRICT_PEN[],C$1,0),"ERROR")</f>
        <v>6781</v>
      </c>
      <c r="D119" s="104">
        <f>IFERROR(VLOOKUP($B119,MMWR_TRAD_AGG_ST_DISTRICT_PEN[],D$1,0),"ERROR")</f>
        <v>88.655508037199994</v>
      </c>
      <c r="E119" s="103">
        <f>IFERROR(VLOOKUP($B119,MMWR_TRAD_AGG_ST_DISTRICT_PEN[],E$1,0),"ERROR")</f>
        <v>5708</v>
      </c>
      <c r="F119" s="103">
        <f>IFERROR(VLOOKUP($B119,MMWR_TRAD_AGG_ST_DISTRICT_PEN[],F$1,0),"ERROR")</f>
        <v>917</v>
      </c>
      <c r="G119" s="105">
        <f t="shared" si="12"/>
        <v>0.16065171688857743</v>
      </c>
      <c r="H119" s="103">
        <f>IFERROR(VLOOKUP($B119,MMWR_TRAD_AGG_ST_DISTRICT_PEN[],H$1,0),"ERROR")</f>
        <v>10641</v>
      </c>
      <c r="I119" s="103">
        <f>IFERROR(VLOOKUP($B119,MMWR_TRAD_AGG_ST_DISTRICT_PEN[],I$1,0),"ERROR")</f>
        <v>2474</v>
      </c>
      <c r="J119" s="105">
        <f t="shared" si="13"/>
        <v>0.23249694577577296</v>
      </c>
      <c r="K119" s="103">
        <f>IFERROR(VLOOKUP($B119,MMWR_TRAD_AGG_ST_DISTRICT_PEN[],K$1,0),"ERROR")</f>
        <v>260</v>
      </c>
      <c r="L119" s="103">
        <f>IFERROR(VLOOKUP($B119,MMWR_TRAD_AGG_ST_DISTRICT_PEN[],L$1,0),"ERROR")</f>
        <v>248</v>
      </c>
      <c r="M119" s="105">
        <f t="shared" si="14"/>
        <v>0.9538461538461539</v>
      </c>
      <c r="N119" s="103">
        <f>IFERROR(VLOOKUP($B119,MMWR_TRAD_AGG_ST_DISTRICT_PEN[],N$1,0),"ERROR")</f>
        <v>1973</v>
      </c>
      <c r="O119" s="103">
        <f>IFERROR(VLOOKUP($B119,MMWR_TRAD_AGG_ST_DISTRICT_PEN[],O$1,0),"ERROR")</f>
        <v>304</v>
      </c>
      <c r="P119" s="105">
        <f t="shared" si="15"/>
        <v>0.15408008109477953</v>
      </c>
      <c r="Q119" s="103">
        <f>IFERROR(VLOOKUP($B119,MMWR_TRAD_AGG_ST_DISTRICT_PEN[],Q$1,0),"ERROR")</f>
        <v>1793</v>
      </c>
      <c r="R119" s="107">
        <f>IFERROR(VLOOKUP($B119,MMWR_TRAD_AGG_ST_DISTRICT_PEN[],R$1,0),"ERROR")</f>
        <v>1365</v>
      </c>
      <c r="S119" s="107">
        <f>IFERROR(VLOOKUP($B119,MMWR_APP_STATE_PEN[],S$1,0),"ERROR")</f>
        <v>1598</v>
      </c>
      <c r="T119" s="28"/>
    </row>
    <row r="120" spans="1:20" s="124" customFormat="1" x14ac:dyDescent="0.2">
      <c r="A120" s="28"/>
      <c r="B120" s="128" t="s">
        <v>398</v>
      </c>
      <c r="C120" s="110">
        <f>IFERROR(VLOOKUP($B120,MMWR_TRAD_AGG_STATE_PEN[],C$1,0),"ERROR")</f>
        <v>696</v>
      </c>
      <c r="D120" s="111">
        <f>IFERROR(VLOOKUP($B120,MMWR_TRAD_AGG_STATE_PEN[],D$1,0),"ERROR")</f>
        <v>69.359195402300003</v>
      </c>
      <c r="E120" s="112">
        <f>IFERROR(VLOOKUP($B120,MMWR_TRAD_AGG_STATE_PEN[],E$1,0),"ERROR")</f>
        <v>588</v>
      </c>
      <c r="F120" s="113">
        <f>IFERROR(VLOOKUP($B120,MMWR_TRAD_AGG_STATE_PEN[],F$1,0),"ERROR")</f>
        <v>29</v>
      </c>
      <c r="G120" s="114">
        <f t="shared" si="12"/>
        <v>4.9319727891156462E-2</v>
      </c>
      <c r="H120" s="112">
        <f>IFERROR(VLOOKUP($B120,MMWR_TRAD_AGG_STATE_PEN[],H$1,0),"ERROR")</f>
        <v>1082</v>
      </c>
      <c r="I120" s="113">
        <f>IFERROR(VLOOKUP($B120,MMWR_TRAD_AGG_STATE_PEN[],I$1,0),"ERROR")</f>
        <v>141</v>
      </c>
      <c r="J120" s="115">
        <f t="shared" si="13"/>
        <v>0.13031423290203328</v>
      </c>
      <c r="K120" s="112">
        <f>IFERROR(VLOOKUP($B120,MMWR_TRAD_AGG_STATE_PEN[],K$1,0),"ERROR")</f>
        <v>11</v>
      </c>
      <c r="L120" s="113">
        <f>IFERROR(VLOOKUP($B120,MMWR_TRAD_AGG_STATE_PEN[],L$1,0),"ERROR")</f>
        <v>10</v>
      </c>
      <c r="M120" s="115">
        <f t="shared" si="14"/>
        <v>0.90909090909090906</v>
      </c>
      <c r="N120" s="112">
        <f>IFERROR(VLOOKUP($B120,MMWR_TRAD_AGG_STATE_PEN[],N$1,0),"ERROR")</f>
        <v>67</v>
      </c>
      <c r="O120" s="113">
        <f>IFERROR(VLOOKUP($B120,MMWR_TRAD_AGG_STATE_PEN[],O$1,0),"ERROR")</f>
        <v>18</v>
      </c>
      <c r="P120" s="115">
        <f t="shared" si="15"/>
        <v>0.26865671641791045</v>
      </c>
      <c r="Q120" s="116">
        <f>IFERROR(VLOOKUP($B120,MMWR_TRAD_AGG_STATE_PEN[],Q$1,0),"ERROR")</f>
        <v>343</v>
      </c>
      <c r="R120" s="116">
        <f>IFERROR(VLOOKUP($B120,MMWR_TRAD_AGG_STATE_PEN[],R$1,0),"ERROR")</f>
        <v>48</v>
      </c>
      <c r="S120" s="116">
        <f>IFERROR(VLOOKUP($B120,MMWR_APP_STATE_PEN[],S$1,0),"ERROR")</f>
        <v>175</v>
      </c>
      <c r="T120" s="28"/>
    </row>
    <row r="121" spans="1:20" s="124" customFormat="1" x14ac:dyDescent="0.2">
      <c r="A121" s="28"/>
      <c r="B121" s="128" t="s">
        <v>435</v>
      </c>
      <c r="C121" s="110">
        <f>IFERROR(VLOOKUP($B121,MMWR_TRAD_AGG_STATE_PEN[],C$1,0),"ERROR")</f>
        <v>2146</v>
      </c>
      <c r="D121" s="111">
        <f>IFERROR(VLOOKUP($B121,MMWR_TRAD_AGG_STATE_PEN[],D$1,0),"ERROR")</f>
        <v>90.940354147299999</v>
      </c>
      <c r="E121" s="112">
        <f>IFERROR(VLOOKUP($B121,MMWR_TRAD_AGG_STATE_PEN[],E$1,0),"ERROR")</f>
        <v>2230</v>
      </c>
      <c r="F121" s="113">
        <f>IFERROR(VLOOKUP($B121,MMWR_TRAD_AGG_STATE_PEN[],F$1,0),"ERROR")</f>
        <v>461</v>
      </c>
      <c r="G121" s="114">
        <f t="shared" si="12"/>
        <v>0.20672645739910314</v>
      </c>
      <c r="H121" s="112">
        <f>IFERROR(VLOOKUP($B121,MMWR_TRAD_AGG_STATE_PEN[],H$1,0),"ERROR")</f>
        <v>3399</v>
      </c>
      <c r="I121" s="113">
        <f>IFERROR(VLOOKUP($B121,MMWR_TRAD_AGG_STATE_PEN[],I$1,0),"ERROR")</f>
        <v>872</v>
      </c>
      <c r="J121" s="115">
        <f t="shared" si="13"/>
        <v>0.25654604295380995</v>
      </c>
      <c r="K121" s="112">
        <f>IFERROR(VLOOKUP($B121,MMWR_TRAD_AGG_STATE_PEN[],K$1,0),"ERROR")</f>
        <v>121</v>
      </c>
      <c r="L121" s="113">
        <f>IFERROR(VLOOKUP($B121,MMWR_TRAD_AGG_STATE_PEN[],L$1,0),"ERROR")</f>
        <v>119</v>
      </c>
      <c r="M121" s="115">
        <f t="shared" si="14"/>
        <v>0.98347107438016534</v>
      </c>
      <c r="N121" s="112">
        <f>IFERROR(VLOOKUP($B121,MMWR_TRAD_AGG_STATE_PEN[],N$1,0),"ERROR")</f>
        <v>847</v>
      </c>
      <c r="O121" s="113">
        <f>IFERROR(VLOOKUP($B121,MMWR_TRAD_AGG_STATE_PEN[],O$1,0),"ERROR")</f>
        <v>128</v>
      </c>
      <c r="P121" s="115">
        <f t="shared" si="15"/>
        <v>0.1511216056670602</v>
      </c>
      <c r="Q121" s="116">
        <f>IFERROR(VLOOKUP($B121,MMWR_TRAD_AGG_STATE_PEN[],Q$1,0),"ERROR")</f>
        <v>317</v>
      </c>
      <c r="R121" s="116">
        <f>IFERROR(VLOOKUP($B121,MMWR_TRAD_AGG_STATE_PEN[],R$1,0),"ERROR")</f>
        <v>556</v>
      </c>
      <c r="S121" s="116">
        <f>IFERROR(VLOOKUP($B121,MMWR_APP_STATE_PEN[],S$1,0),"ERROR")</f>
        <v>488</v>
      </c>
      <c r="T121" s="28"/>
    </row>
    <row r="122" spans="1:20" s="124" customFormat="1" x14ac:dyDescent="0.2">
      <c r="A122" s="28"/>
      <c r="B122" s="128" t="s">
        <v>391</v>
      </c>
      <c r="C122" s="110">
        <f>IFERROR(VLOOKUP($B122,MMWR_TRAD_AGG_STATE_PEN[],C$1,0),"ERROR")</f>
        <v>1098</v>
      </c>
      <c r="D122" s="111">
        <f>IFERROR(VLOOKUP($B122,MMWR_TRAD_AGG_STATE_PEN[],D$1,0),"ERROR")</f>
        <v>98.874316939899998</v>
      </c>
      <c r="E122" s="112">
        <f>IFERROR(VLOOKUP($B122,MMWR_TRAD_AGG_STATE_PEN[],E$1,0),"ERROR")</f>
        <v>1056</v>
      </c>
      <c r="F122" s="113">
        <f>IFERROR(VLOOKUP($B122,MMWR_TRAD_AGG_STATE_PEN[],F$1,0),"ERROR")</f>
        <v>196</v>
      </c>
      <c r="G122" s="114">
        <f t="shared" si="12"/>
        <v>0.18560606060606061</v>
      </c>
      <c r="H122" s="112">
        <f>IFERROR(VLOOKUP($B122,MMWR_TRAD_AGG_STATE_PEN[],H$1,0),"ERROR")</f>
        <v>1725</v>
      </c>
      <c r="I122" s="113">
        <f>IFERROR(VLOOKUP($B122,MMWR_TRAD_AGG_STATE_PEN[],I$1,0),"ERROR")</f>
        <v>475</v>
      </c>
      <c r="J122" s="115">
        <f t="shared" si="13"/>
        <v>0.27536231884057971</v>
      </c>
      <c r="K122" s="112">
        <f>IFERROR(VLOOKUP($B122,MMWR_TRAD_AGG_STATE_PEN[],K$1,0),"ERROR")</f>
        <v>70</v>
      </c>
      <c r="L122" s="113">
        <f>IFERROR(VLOOKUP($B122,MMWR_TRAD_AGG_STATE_PEN[],L$1,0),"ERROR")</f>
        <v>69</v>
      </c>
      <c r="M122" s="115">
        <f t="shared" si="14"/>
        <v>0.98571428571428577</v>
      </c>
      <c r="N122" s="112">
        <f>IFERROR(VLOOKUP($B122,MMWR_TRAD_AGG_STATE_PEN[],N$1,0),"ERROR")</f>
        <v>489</v>
      </c>
      <c r="O122" s="113">
        <f>IFERROR(VLOOKUP($B122,MMWR_TRAD_AGG_STATE_PEN[],O$1,0),"ERROR")</f>
        <v>68</v>
      </c>
      <c r="P122" s="115">
        <f t="shared" si="15"/>
        <v>0.13905930470347649</v>
      </c>
      <c r="Q122" s="116">
        <f>IFERROR(VLOOKUP($B122,MMWR_TRAD_AGG_STATE_PEN[],Q$1,0),"ERROR")</f>
        <v>198</v>
      </c>
      <c r="R122" s="116">
        <f>IFERROR(VLOOKUP($B122,MMWR_TRAD_AGG_STATE_PEN[],R$1,0),"ERROR")</f>
        <v>361</v>
      </c>
      <c r="S122" s="116">
        <f>IFERROR(VLOOKUP($B122,MMWR_APP_STATE_PEN[],S$1,0),"ERROR")</f>
        <v>345</v>
      </c>
      <c r="T122" s="28"/>
    </row>
    <row r="123" spans="1:20" s="124" customFormat="1" x14ac:dyDescent="0.2">
      <c r="A123" s="28"/>
      <c r="B123" s="128" t="s">
        <v>403</v>
      </c>
      <c r="C123" s="110">
        <f>IFERROR(VLOOKUP($B123,MMWR_TRAD_AGG_STATE_PEN[],C$1,0),"ERROR")</f>
        <v>282</v>
      </c>
      <c r="D123" s="111">
        <f>IFERROR(VLOOKUP($B123,MMWR_TRAD_AGG_STATE_PEN[],D$1,0),"ERROR")</f>
        <v>74.780141843999999</v>
      </c>
      <c r="E123" s="112">
        <f>IFERROR(VLOOKUP($B123,MMWR_TRAD_AGG_STATE_PEN[],E$1,0),"ERROR")</f>
        <v>249</v>
      </c>
      <c r="F123" s="113">
        <f>IFERROR(VLOOKUP($B123,MMWR_TRAD_AGG_STATE_PEN[],F$1,0),"ERROR")</f>
        <v>17</v>
      </c>
      <c r="G123" s="114">
        <f t="shared" si="12"/>
        <v>6.8273092369477914E-2</v>
      </c>
      <c r="H123" s="112">
        <f>IFERROR(VLOOKUP($B123,MMWR_TRAD_AGG_STATE_PEN[],H$1,0),"ERROR")</f>
        <v>442</v>
      </c>
      <c r="I123" s="113">
        <f>IFERROR(VLOOKUP($B123,MMWR_TRAD_AGG_STATE_PEN[],I$1,0),"ERROR")</f>
        <v>64</v>
      </c>
      <c r="J123" s="115">
        <f t="shared" si="13"/>
        <v>0.14479638009049775</v>
      </c>
      <c r="K123" s="112">
        <f>IFERROR(VLOOKUP($B123,MMWR_TRAD_AGG_STATE_PEN[],K$1,0),"ERROR")</f>
        <v>7</v>
      </c>
      <c r="L123" s="113">
        <f>IFERROR(VLOOKUP($B123,MMWR_TRAD_AGG_STATE_PEN[],L$1,0),"ERROR")</f>
        <v>7</v>
      </c>
      <c r="M123" s="115">
        <f t="shared" si="14"/>
        <v>1</v>
      </c>
      <c r="N123" s="112">
        <f>IFERROR(VLOOKUP($B123,MMWR_TRAD_AGG_STATE_PEN[],N$1,0),"ERROR")</f>
        <v>48</v>
      </c>
      <c r="O123" s="113">
        <f>IFERROR(VLOOKUP($B123,MMWR_TRAD_AGG_STATE_PEN[],O$1,0),"ERROR")</f>
        <v>4</v>
      </c>
      <c r="P123" s="115">
        <f t="shared" si="15"/>
        <v>8.3333333333333329E-2</v>
      </c>
      <c r="Q123" s="116">
        <f>IFERROR(VLOOKUP($B123,MMWR_TRAD_AGG_STATE_PEN[],Q$1,0),"ERROR")</f>
        <v>332</v>
      </c>
      <c r="R123" s="116">
        <f>IFERROR(VLOOKUP($B123,MMWR_TRAD_AGG_STATE_PEN[],R$1,0),"ERROR")</f>
        <v>36</v>
      </c>
      <c r="S123" s="116">
        <f>IFERROR(VLOOKUP($B123,MMWR_APP_STATE_PEN[],S$1,0),"ERROR")</f>
        <v>114</v>
      </c>
      <c r="T123" s="28"/>
    </row>
    <row r="124" spans="1:20" s="124" customFormat="1" x14ac:dyDescent="0.2">
      <c r="A124" s="28"/>
      <c r="B124" s="128" t="s">
        <v>437</v>
      </c>
      <c r="C124" s="110">
        <f>IFERROR(VLOOKUP($B124,MMWR_TRAD_AGG_STATE_PEN[],C$1,0),"ERROR")</f>
        <v>1296</v>
      </c>
      <c r="D124" s="111">
        <f>IFERROR(VLOOKUP($B124,MMWR_TRAD_AGG_STATE_PEN[],D$1,0),"ERROR")</f>
        <v>97.984567901199995</v>
      </c>
      <c r="E124" s="112">
        <f>IFERROR(VLOOKUP($B124,MMWR_TRAD_AGG_STATE_PEN[],E$1,0),"ERROR")</f>
        <v>446</v>
      </c>
      <c r="F124" s="113">
        <f>IFERROR(VLOOKUP($B124,MMWR_TRAD_AGG_STATE_PEN[],F$1,0),"ERROR")</f>
        <v>86</v>
      </c>
      <c r="G124" s="114">
        <f t="shared" si="12"/>
        <v>0.19282511210762332</v>
      </c>
      <c r="H124" s="112">
        <f>IFERROR(VLOOKUP($B124,MMWR_TRAD_AGG_STATE_PEN[],H$1,0),"ERROR")</f>
        <v>2019</v>
      </c>
      <c r="I124" s="113">
        <f>IFERROR(VLOOKUP($B124,MMWR_TRAD_AGG_STATE_PEN[],I$1,0),"ERROR")</f>
        <v>514</v>
      </c>
      <c r="J124" s="115">
        <f t="shared" si="13"/>
        <v>0.25458147597820702</v>
      </c>
      <c r="K124" s="112">
        <f>IFERROR(VLOOKUP($B124,MMWR_TRAD_AGG_STATE_PEN[],K$1,0),"ERROR")</f>
        <v>17</v>
      </c>
      <c r="L124" s="113">
        <f>IFERROR(VLOOKUP($B124,MMWR_TRAD_AGG_STATE_PEN[],L$1,0),"ERROR")</f>
        <v>10</v>
      </c>
      <c r="M124" s="115">
        <f t="shared" si="14"/>
        <v>0.58823529411764708</v>
      </c>
      <c r="N124" s="112">
        <f>IFERROR(VLOOKUP($B124,MMWR_TRAD_AGG_STATE_PEN[],N$1,0),"ERROR")</f>
        <v>188</v>
      </c>
      <c r="O124" s="113">
        <f>IFERROR(VLOOKUP($B124,MMWR_TRAD_AGG_STATE_PEN[],O$1,0),"ERROR")</f>
        <v>30</v>
      </c>
      <c r="P124" s="115">
        <f t="shared" si="15"/>
        <v>0.15957446808510639</v>
      </c>
      <c r="Q124" s="116">
        <f>IFERROR(VLOOKUP($B124,MMWR_TRAD_AGG_STATE_PEN[],Q$1,0),"ERROR")</f>
        <v>86</v>
      </c>
      <c r="R124" s="116">
        <f>IFERROR(VLOOKUP($B124,MMWR_TRAD_AGG_STATE_PEN[],R$1,0),"ERROR")</f>
        <v>101</v>
      </c>
      <c r="S124" s="116">
        <f>IFERROR(VLOOKUP($B124,MMWR_APP_STATE_PEN[],S$1,0),"ERROR")</f>
        <v>113</v>
      </c>
      <c r="T124" s="28"/>
    </row>
    <row r="125" spans="1:20" s="124" customFormat="1" x14ac:dyDescent="0.2">
      <c r="A125" s="28"/>
      <c r="B125" s="128" t="s">
        <v>393</v>
      </c>
      <c r="C125" s="110">
        <f>IFERROR(VLOOKUP($B125,MMWR_TRAD_AGG_STATE_PEN[],C$1,0),"ERROR")</f>
        <v>737</v>
      </c>
      <c r="D125" s="111">
        <f>IFERROR(VLOOKUP($B125,MMWR_TRAD_AGG_STATE_PEN[],D$1,0),"ERROR")</f>
        <v>91.553595658099994</v>
      </c>
      <c r="E125" s="112">
        <f>IFERROR(VLOOKUP($B125,MMWR_TRAD_AGG_STATE_PEN[],E$1,0),"ERROR")</f>
        <v>643</v>
      </c>
      <c r="F125" s="113">
        <f>IFERROR(VLOOKUP($B125,MMWR_TRAD_AGG_STATE_PEN[],F$1,0),"ERROR")</f>
        <v>107</v>
      </c>
      <c r="G125" s="114">
        <f t="shared" si="12"/>
        <v>0.16640746500777606</v>
      </c>
      <c r="H125" s="112">
        <f>IFERROR(VLOOKUP($B125,MMWR_TRAD_AGG_STATE_PEN[],H$1,0),"ERROR")</f>
        <v>1181</v>
      </c>
      <c r="I125" s="113">
        <f>IFERROR(VLOOKUP($B125,MMWR_TRAD_AGG_STATE_PEN[],I$1,0),"ERROR")</f>
        <v>313</v>
      </c>
      <c r="J125" s="115">
        <f t="shared" si="13"/>
        <v>0.26502963590177814</v>
      </c>
      <c r="K125" s="112">
        <f>IFERROR(VLOOKUP($B125,MMWR_TRAD_AGG_STATE_PEN[],K$1,0),"ERROR")</f>
        <v>28</v>
      </c>
      <c r="L125" s="113">
        <f>IFERROR(VLOOKUP($B125,MMWR_TRAD_AGG_STATE_PEN[],L$1,0),"ERROR")</f>
        <v>27</v>
      </c>
      <c r="M125" s="115">
        <f t="shared" si="14"/>
        <v>0.9642857142857143</v>
      </c>
      <c r="N125" s="112">
        <f>IFERROR(VLOOKUP($B125,MMWR_TRAD_AGG_STATE_PEN[],N$1,0),"ERROR")</f>
        <v>282</v>
      </c>
      <c r="O125" s="113">
        <f>IFERROR(VLOOKUP($B125,MMWR_TRAD_AGG_STATE_PEN[],O$1,0),"ERROR")</f>
        <v>42</v>
      </c>
      <c r="P125" s="115">
        <f t="shared" si="15"/>
        <v>0.14893617021276595</v>
      </c>
      <c r="Q125" s="116">
        <f>IFERROR(VLOOKUP($B125,MMWR_TRAD_AGG_STATE_PEN[],Q$1,0),"ERROR")</f>
        <v>124</v>
      </c>
      <c r="R125" s="116">
        <f>IFERROR(VLOOKUP($B125,MMWR_TRAD_AGG_STATE_PEN[],R$1,0),"ERROR")</f>
        <v>217</v>
      </c>
      <c r="S125" s="116">
        <f>IFERROR(VLOOKUP($B125,MMWR_APP_STATE_PEN[],S$1,0),"ERROR")</f>
        <v>149</v>
      </c>
      <c r="T125" s="28"/>
    </row>
    <row r="126" spans="1:20" s="124" customFormat="1" x14ac:dyDescent="0.2">
      <c r="A126" s="28"/>
      <c r="B126" s="128" t="s">
        <v>394</v>
      </c>
      <c r="C126" s="110">
        <f>IFERROR(VLOOKUP($B126,MMWR_TRAD_AGG_STATE_PEN[],C$1,0),"ERROR")</f>
        <v>526</v>
      </c>
      <c r="D126" s="111">
        <f>IFERROR(VLOOKUP($B126,MMWR_TRAD_AGG_STATE_PEN[],D$1,0),"ERROR")</f>
        <v>63.927756654</v>
      </c>
      <c r="E126" s="112">
        <f>IFERROR(VLOOKUP($B126,MMWR_TRAD_AGG_STATE_PEN[],E$1,0),"ERROR")</f>
        <v>496</v>
      </c>
      <c r="F126" s="113">
        <f>IFERROR(VLOOKUP($B126,MMWR_TRAD_AGG_STATE_PEN[],F$1,0),"ERROR")</f>
        <v>21</v>
      </c>
      <c r="G126" s="114">
        <f t="shared" si="12"/>
        <v>4.2338709677419352E-2</v>
      </c>
      <c r="H126" s="112">
        <f>IFERROR(VLOOKUP($B126,MMWR_TRAD_AGG_STATE_PEN[],H$1,0),"ERROR")</f>
        <v>793</v>
      </c>
      <c r="I126" s="113">
        <f>IFERROR(VLOOKUP($B126,MMWR_TRAD_AGG_STATE_PEN[],I$1,0),"ERROR")</f>
        <v>95</v>
      </c>
      <c r="J126" s="115">
        <f t="shared" si="13"/>
        <v>0.11979823455233292</v>
      </c>
      <c r="K126" s="112">
        <f>IFERROR(VLOOKUP($B126,MMWR_TRAD_AGG_STATE_PEN[],K$1,0),"ERROR")</f>
        <v>6</v>
      </c>
      <c r="L126" s="113">
        <f>IFERROR(VLOOKUP($B126,MMWR_TRAD_AGG_STATE_PEN[],L$1,0),"ERROR")</f>
        <v>6</v>
      </c>
      <c r="M126" s="115">
        <f t="shared" si="14"/>
        <v>1</v>
      </c>
      <c r="N126" s="112">
        <f>IFERROR(VLOOKUP($B126,MMWR_TRAD_AGG_STATE_PEN[],N$1,0),"ERROR")</f>
        <v>52</v>
      </c>
      <c r="O126" s="113">
        <f>IFERROR(VLOOKUP($B126,MMWR_TRAD_AGG_STATE_PEN[],O$1,0),"ERROR")</f>
        <v>14</v>
      </c>
      <c r="P126" s="115">
        <f t="shared" si="15"/>
        <v>0.26923076923076922</v>
      </c>
      <c r="Q126" s="116">
        <f>IFERROR(VLOOKUP($B126,MMWR_TRAD_AGG_STATE_PEN[],Q$1,0),"ERROR")</f>
        <v>393</v>
      </c>
      <c r="R126" s="116">
        <f>IFERROR(VLOOKUP($B126,MMWR_TRAD_AGG_STATE_PEN[],R$1,0),"ERROR")</f>
        <v>46</v>
      </c>
      <c r="S126" s="116">
        <f>IFERROR(VLOOKUP($B126,MMWR_APP_STATE_PEN[],S$1,0),"ERROR")</f>
        <v>214</v>
      </c>
      <c r="T126" s="28"/>
    </row>
    <row r="127" spans="1:20" s="124" customFormat="1" x14ac:dyDescent="0.2">
      <c r="A127" s="28"/>
      <c r="B127" s="129" t="s">
        <v>8</v>
      </c>
      <c r="C127" s="103">
        <f>IFERROR(VLOOKUP($B127,MMWR_TRAD_AGG_ST_DISTRICT_PEN[],C$1,0),"ERROR")</f>
        <v>200</v>
      </c>
      <c r="D127" s="104">
        <f>IFERROR(VLOOKUP($B127,MMWR_TRAD_AGG_ST_DISTRICT_PEN[],D$1,0),"ERROR")</f>
        <v>78.254999999999995</v>
      </c>
      <c r="E127" s="103">
        <f>IFERROR(VLOOKUP($B127,MMWR_TRAD_AGG_ST_DISTRICT_PEN[],E$1,0),"ERROR")</f>
        <v>186</v>
      </c>
      <c r="F127" s="103">
        <f>IFERROR(VLOOKUP($B127,MMWR_TRAD_AGG_ST_DISTRICT_PEN[],F$1,0),"ERROR")</f>
        <v>64</v>
      </c>
      <c r="G127" s="105">
        <f t="shared" si="12"/>
        <v>0.34408602150537637</v>
      </c>
      <c r="H127" s="103">
        <f>IFERROR(VLOOKUP($B127,MMWR_TRAD_AGG_ST_DISTRICT_PEN[],H$1,0),"ERROR")</f>
        <v>471</v>
      </c>
      <c r="I127" s="103">
        <f>IFERROR(VLOOKUP($B127,MMWR_TRAD_AGG_ST_DISTRICT_PEN[],I$1,0),"ERROR")</f>
        <v>166</v>
      </c>
      <c r="J127" s="105">
        <f t="shared" si="13"/>
        <v>0.35244161358811038</v>
      </c>
      <c r="K127" s="103">
        <f>IFERROR(VLOOKUP($B127,MMWR_TRAD_AGG_ST_DISTRICT_PEN[],K$1,0),"ERROR")</f>
        <v>27</v>
      </c>
      <c r="L127" s="103">
        <f>IFERROR(VLOOKUP($B127,MMWR_TRAD_AGG_ST_DISTRICT_PEN[],L$1,0),"ERROR")</f>
        <v>25</v>
      </c>
      <c r="M127" s="105">
        <f t="shared" si="14"/>
        <v>0.92592592592592593</v>
      </c>
      <c r="N127" s="103">
        <f>IFERROR(VLOOKUP($B127,MMWR_TRAD_AGG_ST_DISTRICT_PEN[],N$1,0),"ERROR")</f>
        <v>147</v>
      </c>
      <c r="O127" s="103">
        <f>IFERROR(VLOOKUP($B127,MMWR_TRAD_AGG_ST_DISTRICT_PEN[],O$1,0),"ERROR")</f>
        <v>20</v>
      </c>
      <c r="P127" s="105">
        <f t="shared" si="15"/>
        <v>0.1360544217687075</v>
      </c>
      <c r="Q127" s="103">
        <f>IFERROR(VLOOKUP($B127,MMWR_TRAD_AGG_ST_DISTRICT_PEN[],Q$1,0),"ERROR")</f>
        <v>60</v>
      </c>
      <c r="R127" s="107">
        <f>IFERROR(VLOOKUP($B127,MMWR_TRAD_AGG_ST_DISTRICT_PEN[],R$1,0),"ERROR")</f>
        <v>16</v>
      </c>
      <c r="S127" s="107">
        <f>IFERROR(VLOOKUP($B127,MMWR_APP_STATE_PEN[],S$1,0),"ERROR")</f>
        <v>4</v>
      </c>
      <c r="T127" s="28"/>
    </row>
    <row r="128" spans="1:20" x14ac:dyDescent="0.2">
      <c r="B128" s="26"/>
      <c r="C128" s="26"/>
      <c r="D128" s="26"/>
      <c r="E128" s="76"/>
      <c r="F128" s="76"/>
      <c r="G128" s="76"/>
      <c r="H128" s="76"/>
      <c r="I128" s="76"/>
      <c r="J128" s="76"/>
      <c r="K128" s="76"/>
      <c r="L128" s="76"/>
      <c r="M128" s="76"/>
      <c r="N128" s="76"/>
      <c r="O128" s="76"/>
      <c r="P128" s="76"/>
      <c r="Q128" s="76"/>
      <c r="R128" s="76"/>
      <c r="S128" s="76"/>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8" priority="1">
      <formula>IF(A1="ERROR",TRUE,FALSE)</formula>
    </cfRule>
    <cfRule type="expression" dxfId="17"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670</v>
      </c>
      <c r="C2" t="s">
        <v>466</v>
      </c>
      <c r="D2" t="s">
        <v>468</v>
      </c>
      <c r="F2" t="s">
        <v>669</v>
      </c>
      <c r="G2" t="s">
        <v>315</v>
      </c>
      <c r="H2" t="s">
        <v>139</v>
      </c>
      <c r="I2" t="s">
        <v>222</v>
      </c>
      <c r="J2" t="s">
        <v>223</v>
      </c>
      <c r="K2" t="s">
        <v>224</v>
      </c>
      <c r="L2" t="s">
        <v>225</v>
      </c>
      <c r="M2" t="s">
        <v>226</v>
      </c>
      <c r="N2" t="s">
        <v>227</v>
      </c>
      <c r="O2" t="s">
        <v>228</v>
      </c>
      <c r="P2" t="s">
        <v>229</v>
      </c>
      <c r="Q2" t="s">
        <v>230</v>
      </c>
      <c r="R2" t="s">
        <v>231</v>
      </c>
      <c r="T2" t="s">
        <v>668</v>
      </c>
      <c r="U2" t="s">
        <v>315</v>
      </c>
      <c r="V2" t="s">
        <v>139</v>
      </c>
      <c r="W2" t="s">
        <v>222</v>
      </c>
      <c r="X2" t="s">
        <v>469</v>
      </c>
      <c r="Y2" t="s">
        <v>224</v>
      </c>
      <c r="Z2" t="s">
        <v>225</v>
      </c>
      <c r="AA2" t="s">
        <v>226</v>
      </c>
      <c r="AB2" t="s">
        <v>470</v>
      </c>
      <c r="AC2" t="s">
        <v>228</v>
      </c>
      <c r="AD2" t="s">
        <v>229</v>
      </c>
      <c r="AE2" t="s">
        <v>230</v>
      </c>
      <c r="AF2" t="s">
        <v>231</v>
      </c>
      <c r="AH2" t="s">
        <v>667</v>
      </c>
      <c r="AI2" t="s">
        <v>315</v>
      </c>
      <c r="AJ2" t="s">
        <v>139</v>
      </c>
      <c r="AK2" t="s">
        <v>222</v>
      </c>
      <c r="AL2" t="s">
        <v>223</v>
      </c>
      <c r="AM2" t="s">
        <v>224</v>
      </c>
      <c r="AN2" t="s">
        <v>225</v>
      </c>
      <c r="AO2" t="s">
        <v>226</v>
      </c>
      <c r="AP2" t="s">
        <v>227</v>
      </c>
      <c r="AQ2" t="s">
        <v>228</v>
      </c>
      <c r="AR2" t="s">
        <v>229</v>
      </c>
      <c r="AS2" t="s">
        <v>230</v>
      </c>
      <c r="AT2" t="s">
        <v>231</v>
      </c>
      <c r="AV2" t="s">
        <v>666</v>
      </c>
      <c r="AW2" t="s">
        <v>315</v>
      </c>
      <c r="AX2" t="s">
        <v>139</v>
      </c>
      <c r="AY2" t="s">
        <v>222</v>
      </c>
      <c r="AZ2" t="s">
        <v>469</v>
      </c>
      <c r="BA2" t="s">
        <v>224</v>
      </c>
      <c r="BB2" t="s">
        <v>225</v>
      </c>
      <c r="BC2" t="s">
        <v>226</v>
      </c>
      <c r="BD2" t="s">
        <v>470</v>
      </c>
      <c r="BE2" t="s">
        <v>228</v>
      </c>
      <c r="BF2" t="s">
        <v>229</v>
      </c>
      <c r="BG2" t="s">
        <v>230</v>
      </c>
      <c r="BH2" t="s">
        <v>231</v>
      </c>
      <c r="BJ2" t="s">
        <v>728</v>
      </c>
      <c r="BK2" t="s">
        <v>747</v>
      </c>
      <c r="BL2" t="s">
        <v>716</v>
      </c>
      <c r="BM2" t="s">
        <v>717</v>
      </c>
      <c r="BN2" t="s">
        <v>718</v>
      </c>
      <c r="BO2" t="s">
        <v>719</v>
      </c>
      <c r="BP2" t="s">
        <v>720</v>
      </c>
      <c r="BQ2" t="s">
        <v>729</v>
      </c>
      <c r="BR2" t="s">
        <v>730</v>
      </c>
      <c r="BS2" t="s">
        <v>721</v>
      </c>
      <c r="BT2" t="s">
        <v>722</v>
      </c>
      <c r="BU2" t="s">
        <v>723</v>
      </c>
      <c r="BV2" t="s">
        <v>724</v>
      </c>
      <c r="BW2" t="s">
        <v>725</v>
      </c>
      <c r="BX2" t="s">
        <v>726</v>
      </c>
      <c r="BY2" t="s">
        <v>727</v>
      </c>
      <c r="CA2" t="s">
        <v>1054</v>
      </c>
      <c r="CB2" t="s">
        <v>752</v>
      </c>
      <c r="CC2" t="s">
        <v>753</v>
      </c>
      <c r="CD2" t="s">
        <v>731</v>
      </c>
      <c r="CE2" t="s">
        <v>732</v>
      </c>
      <c r="CF2" t="s">
        <v>733</v>
      </c>
      <c r="CG2" t="s">
        <v>734</v>
      </c>
      <c r="CH2" t="s">
        <v>735</v>
      </c>
      <c r="CI2" t="s">
        <v>736</v>
      </c>
      <c r="CJ2" t="s">
        <v>737</v>
      </c>
      <c r="CL2" t="s">
        <v>1055</v>
      </c>
      <c r="CM2" t="s">
        <v>752</v>
      </c>
      <c r="CN2" t="s">
        <v>753</v>
      </c>
      <c r="CO2" t="s">
        <v>731</v>
      </c>
      <c r="CP2" t="s">
        <v>732</v>
      </c>
      <c r="CQ2" t="s">
        <v>733</v>
      </c>
      <c r="CR2" t="s">
        <v>734</v>
      </c>
      <c r="CS2" t="s">
        <v>735</v>
      </c>
      <c r="CT2" t="s">
        <v>736</v>
      </c>
      <c r="CU2" t="s">
        <v>737</v>
      </c>
      <c r="CW2" t="s">
        <v>1056</v>
      </c>
      <c r="CX2" t="s">
        <v>752</v>
      </c>
      <c r="CY2" t="s">
        <v>753</v>
      </c>
      <c r="CZ2" t="s">
        <v>731</v>
      </c>
      <c r="DA2" t="s">
        <v>732</v>
      </c>
      <c r="DB2" t="s">
        <v>733</v>
      </c>
      <c r="DC2" t="s">
        <v>734</v>
      </c>
      <c r="DD2" t="s">
        <v>735</v>
      </c>
      <c r="DE2" t="s">
        <v>736</v>
      </c>
      <c r="DF2" t="s">
        <v>737</v>
      </c>
      <c r="DH2" t="s">
        <v>1057</v>
      </c>
      <c r="DI2" t="s">
        <v>752</v>
      </c>
      <c r="DJ2" t="s">
        <v>753</v>
      </c>
      <c r="DK2" t="s">
        <v>731</v>
      </c>
      <c r="DL2" t="s">
        <v>732</v>
      </c>
      <c r="DM2" t="s">
        <v>733</v>
      </c>
      <c r="DN2" t="s">
        <v>734</v>
      </c>
      <c r="DO2" t="s">
        <v>735</v>
      </c>
      <c r="DP2" t="s">
        <v>736</v>
      </c>
      <c r="DQ2" t="s">
        <v>737</v>
      </c>
    </row>
    <row r="3" spans="2:121" x14ac:dyDescent="0.2">
      <c r="C3">
        <v>323460</v>
      </c>
      <c r="D3">
        <v>246606</v>
      </c>
      <c r="F3" t="s">
        <v>34</v>
      </c>
      <c r="G3">
        <v>1447</v>
      </c>
      <c r="H3">
        <v>141.68348306839999</v>
      </c>
      <c r="I3">
        <v>3122</v>
      </c>
      <c r="J3">
        <v>1067</v>
      </c>
      <c r="K3">
        <v>2117</v>
      </c>
      <c r="L3">
        <v>790</v>
      </c>
      <c r="M3">
        <v>190</v>
      </c>
      <c r="N3">
        <v>104</v>
      </c>
      <c r="O3">
        <v>431</v>
      </c>
      <c r="P3">
        <v>247</v>
      </c>
      <c r="Q3">
        <v>0</v>
      </c>
      <c r="R3">
        <v>17</v>
      </c>
      <c r="T3" t="s">
        <v>217</v>
      </c>
      <c r="U3">
        <v>5085</v>
      </c>
      <c r="V3">
        <v>64.462340216300007</v>
      </c>
      <c r="W3">
        <v>5623</v>
      </c>
      <c r="X3">
        <v>446</v>
      </c>
      <c r="Y3">
        <v>7998</v>
      </c>
      <c r="Z3">
        <v>731</v>
      </c>
      <c r="AA3">
        <v>44</v>
      </c>
      <c r="AB3">
        <v>43</v>
      </c>
      <c r="AC3">
        <v>454</v>
      </c>
      <c r="AD3">
        <v>81</v>
      </c>
      <c r="AE3">
        <v>4349</v>
      </c>
      <c r="AF3">
        <v>474</v>
      </c>
      <c r="AH3" t="s">
        <v>398</v>
      </c>
      <c r="AI3">
        <v>14522</v>
      </c>
      <c r="AJ3">
        <v>367.07072028649998</v>
      </c>
      <c r="AK3">
        <v>8651</v>
      </c>
      <c r="AL3">
        <v>3178</v>
      </c>
      <c r="AM3">
        <v>16953</v>
      </c>
      <c r="AN3">
        <v>12142</v>
      </c>
      <c r="AO3">
        <v>4410</v>
      </c>
      <c r="AP3">
        <v>4010</v>
      </c>
      <c r="AQ3">
        <v>3256</v>
      </c>
      <c r="AR3">
        <v>2217</v>
      </c>
      <c r="AS3">
        <v>23</v>
      </c>
      <c r="AT3">
        <v>342</v>
      </c>
      <c r="AV3" t="s">
        <v>423</v>
      </c>
      <c r="AW3">
        <v>88</v>
      </c>
      <c r="AX3">
        <v>43.977272727299997</v>
      </c>
      <c r="AY3">
        <v>191</v>
      </c>
      <c r="AZ3">
        <v>7</v>
      </c>
      <c r="BA3">
        <v>145</v>
      </c>
      <c r="BB3">
        <v>8</v>
      </c>
      <c r="BC3">
        <v>1</v>
      </c>
      <c r="BD3">
        <v>1</v>
      </c>
      <c r="BE3">
        <v>8</v>
      </c>
      <c r="BF3">
        <v>4</v>
      </c>
      <c r="BG3">
        <v>109</v>
      </c>
      <c r="BH3">
        <v>43</v>
      </c>
      <c r="BJ3" t="s">
        <v>745</v>
      </c>
      <c r="BK3" t="s">
        <v>748</v>
      </c>
      <c r="BL3">
        <v>347927</v>
      </c>
      <c r="BM3">
        <v>119127</v>
      </c>
      <c r="BN3">
        <v>123.0316273241</v>
      </c>
      <c r="BO3">
        <v>915446</v>
      </c>
      <c r="BP3">
        <v>29501</v>
      </c>
      <c r="BQ3">
        <v>191.27574865150001</v>
      </c>
      <c r="BR3">
        <v>162.38259720010001</v>
      </c>
      <c r="BS3">
        <v>347927</v>
      </c>
      <c r="BT3">
        <v>119127</v>
      </c>
      <c r="BU3">
        <v>123.0316273241</v>
      </c>
      <c r="BV3">
        <v>915445</v>
      </c>
      <c r="BW3">
        <v>29501</v>
      </c>
      <c r="BX3">
        <v>191.27548678509999</v>
      </c>
      <c r="BY3">
        <v>162.38259720010001</v>
      </c>
      <c r="CA3" t="s">
        <v>1060</v>
      </c>
      <c r="CB3" t="s">
        <v>748</v>
      </c>
      <c r="CC3" t="s">
        <v>934</v>
      </c>
      <c r="CD3">
        <v>8924</v>
      </c>
      <c r="CE3">
        <v>1540</v>
      </c>
      <c r="CF3">
        <v>71.815777678200007</v>
      </c>
      <c r="CG3">
        <v>20175</v>
      </c>
      <c r="CH3">
        <v>662</v>
      </c>
      <c r="CI3">
        <v>153.7656009913</v>
      </c>
      <c r="CJ3">
        <v>139.4637462236</v>
      </c>
      <c r="CL3" t="s">
        <v>1060</v>
      </c>
      <c r="CM3" t="s">
        <v>748</v>
      </c>
      <c r="CN3" t="s">
        <v>934</v>
      </c>
      <c r="CO3">
        <v>8924</v>
      </c>
      <c r="CP3">
        <v>1540</v>
      </c>
      <c r="CQ3">
        <v>71.815777678200007</v>
      </c>
      <c r="CR3">
        <v>20175</v>
      </c>
      <c r="CS3">
        <v>662</v>
      </c>
      <c r="CT3">
        <v>153.7656009913</v>
      </c>
      <c r="CU3">
        <v>139.4637462236</v>
      </c>
      <c r="CW3" t="s">
        <v>1060</v>
      </c>
      <c r="CX3" t="s">
        <v>748</v>
      </c>
      <c r="CY3" t="s">
        <v>934</v>
      </c>
      <c r="CZ3">
        <v>8924</v>
      </c>
      <c r="DA3">
        <v>1540</v>
      </c>
      <c r="DB3">
        <v>71.815777678200007</v>
      </c>
      <c r="DC3">
        <v>20175</v>
      </c>
      <c r="DD3">
        <v>662</v>
      </c>
      <c r="DE3">
        <v>153.7656009913</v>
      </c>
      <c r="DF3">
        <v>139.4637462236</v>
      </c>
      <c r="DH3" t="s">
        <v>1060</v>
      </c>
      <c r="DI3" t="s">
        <v>748</v>
      </c>
      <c r="DJ3" t="s">
        <v>934</v>
      </c>
      <c r="DK3">
        <v>8924</v>
      </c>
      <c r="DL3">
        <v>1540</v>
      </c>
      <c r="DM3">
        <v>71.815777678200007</v>
      </c>
      <c r="DN3">
        <v>20175</v>
      </c>
      <c r="DO3">
        <v>662</v>
      </c>
      <c r="DP3">
        <v>153.7656009913</v>
      </c>
      <c r="DQ3">
        <v>139.4637462236</v>
      </c>
    </row>
    <row r="4" spans="2:121" x14ac:dyDescent="0.2">
      <c r="B4" t="s">
        <v>113</v>
      </c>
      <c r="C4">
        <v>102612</v>
      </c>
      <c r="D4">
        <v>72697</v>
      </c>
      <c r="F4" t="s">
        <v>80</v>
      </c>
      <c r="G4">
        <v>15429</v>
      </c>
      <c r="H4">
        <v>310.86428154769999</v>
      </c>
      <c r="I4">
        <v>24393</v>
      </c>
      <c r="J4">
        <v>9709</v>
      </c>
      <c r="K4">
        <v>19429</v>
      </c>
      <c r="L4">
        <v>11983</v>
      </c>
      <c r="M4">
        <v>2232</v>
      </c>
      <c r="N4">
        <v>1566</v>
      </c>
      <c r="O4">
        <v>9822</v>
      </c>
      <c r="P4">
        <v>6449</v>
      </c>
      <c r="Q4">
        <v>8</v>
      </c>
      <c r="R4">
        <v>227</v>
      </c>
      <c r="T4" t="s">
        <v>232</v>
      </c>
      <c r="U4">
        <v>0</v>
      </c>
      <c r="W4">
        <v>250</v>
      </c>
      <c r="X4">
        <v>92</v>
      </c>
      <c r="Y4">
        <v>991</v>
      </c>
      <c r="Z4">
        <v>817</v>
      </c>
      <c r="AA4">
        <v>282</v>
      </c>
      <c r="AB4">
        <v>272</v>
      </c>
      <c r="AC4">
        <v>290</v>
      </c>
      <c r="AD4">
        <v>246</v>
      </c>
      <c r="AE4">
        <v>115</v>
      </c>
      <c r="AF4">
        <v>0</v>
      </c>
      <c r="AH4" t="s">
        <v>434</v>
      </c>
      <c r="AI4">
        <v>2354</v>
      </c>
      <c r="AJ4">
        <v>487.08241291420001</v>
      </c>
      <c r="AK4">
        <v>1106</v>
      </c>
      <c r="AL4">
        <v>211</v>
      </c>
      <c r="AM4">
        <v>3061</v>
      </c>
      <c r="AN4">
        <v>2200</v>
      </c>
      <c r="AO4">
        <v>1605</v>
      </c>
      <c r="AP4">
        <v>1435</v>
      </c>
      <c r="AQ4">
        <v>273</v>
      </c>
      <c r="AR4">
        <v>168</v>
      </c>
      <c r="AS4">
        <v>0</v>
      </c>
      <c r="AT4">
        <v>2</v>
      </c>
      <c r="AV4" t="s">
        <v>437</v>
      </c>
      <c r="AW4">
        <v>1296</v>
      </c>
      <c r="AX4">
        <v>97.984567901199995</v>
      </c>
      <c r="AY4">
        <v>446</v>
      </c>
      <c r="AZ4">
        <v>86</v>
      </c>
      <c r="BA4">
        <v>2019</v>
      </c>
      <c r="BB4">
        <v>514</v>
      </c>
      <c r="BC4">
        <v>17</v>
      </c>
      <c r="BD4">
        <v>10</v>
      </c>
      <c r="BE4">
        <v>188</v>
      </c>
      <c r="BF4">
        <v>30</v>
      </c>
      <c r="BG4">
        <v>86</v>
      </c>
      <c r="BH4">
        <v>101</v>
      </c>
      <c r="BJ4" t="s">
        <v>654</v>
      </c>
      <c r="BK4" t="s">
        <v>395</v>
      </c>
      <c r="BL4">
        <v>933</v>
      </c>
      <c r="BM4">
        <v>216</v>
      </c>
      <c r="BN4">
        <v>91.924973204699995</v>
      </c>
      <c r="BO4">
        <v>2343</v>
      </c>
      <c r="BP4">
        <v>61</v>
      </c>
      <c r="BQ4">
        <v>133.07767819040001</v>
      </c>
      <c r="BR4">
        <v>122.8852459016</v>
      </c>
      <c r="BS4">
        <v>1118</v>
      </c>
      <c r="BT4">
        <v>292</v>
      </c>
      <c r="BU4">
        <v>100.51431127009999</v>
      </c>
      <c r="BV4">
        <v>2734</v>
      </c>
      <c r="BW4">
        <v>77</v>
      </c>
      <c r="BX4">
        <v>152.09290416970001</v>
      </c>
      <c r="BY4">
        <v>148.9350649351</v>
      </c>
      <c r="CA4" t="s">
        <v>1059</v>
      </c>
      <c r="CB4" t="s">
        <v>748</v>
      </c>
      <c r="CC4" t="s">
        <v>934</v>
      </c>
      <c r="CD4">
        <v>347927</v>
      </c>
      <c r="CE4">
        <v>119127</v>
      </c>
      <c r="CF4">
        <v>123.0316273241</v>
      </c>
      <c r="CG4">
        <v>915445</v>
      </c>
      <c r="CH4">
        <v>29501</v>
      </c>
      <c r="CI4">
        <v>191.27548678509999</v>
      </c>
      <c r="CJ4">
        <v>162.38259720010001</v>
      </c>
      <c r="CL4" t="s">
        <v>1059</v>
      </c>
      <c r="CM4" t="s">
        <v>748</v>
      </c>
      <c r="CN4" t="s">
        <v>934</v>
      </c>
      <c r="CO4">
        <v>347927</v>
      </c>
      <c r="CP4">
        <v>119127</v>
      </c>
      <c r="CQ4">
        <v>123.0316273241</v>
      </c>
      <c r="CR4">
        <v>915445</v>
      </c>
      <c r="CS4">
        <v>29501</v>
      </c>
      <c r="CT4">
        <v>191.27548678509999</v>
      </c>
      <c r="CU4">
        <v>162.38259720010001</v>
      </c>
      <c r="CW4" t="s">
        <v>1059</v>
      </c>
      <c r="CX4" t="s">
        <v>748</v>
      </c>
      <c r="CY4" t="s">
        <v>934</v>
      </c>
      <c r="CZ4">
        <v>347927</v>
      </c>
      <c r="DA4">
        <v>119127</v>
      </c>
      <c r="DB4">
        <v>123.0316273241</v>
      </c>
      <c r="DC4">
        <v>915445</v>
      </c>
      <c r="DD4">
        <v>29501</v>
      </c>
      <c r="DE4">
        <v>191.27548678509999</v>
      </c>
      <c r="DF4">
        <v>162.38259720010001</v>
      </c>
      <c r="DH4" t="s">
        <v>1059</v>
      </c>
      <c r="DI4" t="s">
        <v>748</v>
      </c>
      <c r="DJ4" t="s">
        <v>934</v>
      </c>
      <c r="DK4">
        <v>347927</v>
      </c>
      <c r="DL4">
        <v>119127</v>
      </c>
      <c r="DM4">
        <v>123.0316273241</v>
      </c>
      <c r="DN4">
        <v>915445</v>
      </c>
      <c r="DO4">
        <v>29501</v>
      </c>
      <c r="DP4">
        <v>191.27548678509999</v>
      </c>
      <c r="DQ4">
        <v>162.38259720010001</v>
      </c>
    </row>
    <row r="5" spans="2:121" x14ac:dyDescent="0.2">
      <c r="B5" t="s">
        <v>101</v>
      </c>
      <c r="C5">
        <v>144951</v>
      </c>
      <c r="D5">
        <v>91934</v>
      </c>
      <c r="F5" t="s">
        <v>54</v>
      </c>
      <c r="G5">
        <v>4952</v>
      </c>
      <c r="H5">
        <v>322.37641357029997</v>
      </c>
      <c r="I5">
        <v>3354</v>
      </c>
      <c r="J5">
        <v>941</v>
      </c>
      <c r="K5">
        <v>7895</v>
      </c>
      <c r="L5">
        <v>4042</v>
      </c>
      <c r="M5">
        <v>3238</v>
      </c>
      <c r="N5">
        <v>2096</v>
      </c>
      <c r="O5">
        <v>9525</v>
      </c>
      <c r="P5">
        <v>8633</v>
      </c>
      <c r="Q5">
        <v>0</v>
      </c>
      <c r="R5">
        <v>163</v>
      </c>
      <c r="T5" t="s">
        <v>218</v>
      </c>
      <c r="U5">
        <v>11580</v>
      </c>
      <c r="V5">
        <v>93.055267702899997</v>
      </c>
      <c r="W5">
        <v>11068</v>
      </c>
      <c r="X5">
        <v>1947</v>
      </c>
      <c r="Y5">
        <v>17904</v>
      </c>
      <c r="Z5">
        <v>4431</v>
      </c>
      <c r="AA5">
        <v>520</v>
      </c>
      <c r="AB5">
        <v>508</v>
      </c>
      <c r="AC5">
        <v>4893</v>
      </c>
      <c r="AD5">
        <v>605</v>
      </c>
      <c r="AE5">
        <v>1627</v>
      </c>
      <c r="AF5">
        <v>3147</v>
      </c>
      <c r="AH5" t="s">
        <v>436</v>
      </c>
      <c r="AI5">
        <v>8236</v>
      </c>
      <c r="AJ5">
        <v>301.9881010199</v>
      </c>
      <c r="AK5">
        <v>6703</v>
      </c>
      <c r="AL5">
        <v>2047</v>
      </c>
      <c r="AM5">
        <v>10398</v>
      </c>
      <c r="AN5">
        <v>6326</v>
      </c>
      <c r="AO5">
        <v>594</v>
      </c>
      <c r="AP5">
        <v>479</v>
      </c>
      <c r="AQ5">
        <v>3326</v>
      </c>
      <c r="AR5">
        <v>2554</v>
      </c>
      <c r="AS5">
        <v>7</v>
      </c>
      <c r="AT5">
        <v>75</v>
      </c>
      <c r="AV5" t="s">
        <v>410</v>
      </c>
      <c r="AW5">
        <v>45</v>
      </c>
      <c r="AX5">
        <v>35.155555555600003</v>
      </c>
      <c r="AY5">
        <v>95</v>
      </c>
      <c r="AZ5">
        <v>2</v>
      </c>
      <c r="BA5">
        <v>69</v>
      </c>
      <c r="BC5">
        <v>0</v>
      </c>
      <c r="BE5">
        <v>5</v>
      </c>
      <c r="BF5">
        <v>2</v>
      </c>
      <c r="BG5">
        <v>137</v>
      </c>
      <c r="BH5">
        <v>23</v>
      </c>
      <c r="BJ5" t="s">
        <v>395</v>
      </c>
      <c r="BK5" t="s">
        <v>395</v>
      </c>
      <c r="BL5">
        <v>69475</v>
      </c>
      <c r="BM5">
        <v>24223</v>
      </c>
      <c r="BN5">
        <v>126.20188557030001</v>
      </c>
      <c r="BO5">
        <v>164346</v>
      </c>
      <c r="BP5">
        <v>5814</v>
      </c>
      <c r="BQ5">
        <v>195.71107298019999</v>
      </c>
      <c r="BR5">
        <v>171.9105607155</v>
      </c>
      <c r="BS5">
        <v>70968</v>
      </c>
      <c r="BT5">
        <v>23833</v>
      </c>
      <c r="BU5">
        <v>122.9431856611</v>
      </c>
      <c r="BV5">
        <v>165679</v>
      </c>
      <c r="BW5">
        <v>5912</v>
      </c>
      <c r="BX5">
        <v>197.03325104570001</v>
      </c>
      <c r="BY5">
        <v>166.47970230039999</v>
      </c>
      <c r="CA5" t="s">
        <v>1061</v>
      </c>
      <c r="CB5" t="s">
        <v>748</v>
      </c>
      <c r="CC5" t="s">
        <v>934</v>
      </c>
      <c r="CD5">
        <v>18835</v>
      </c>
      <c r="CE5">
        <v>1818</v>
      </c>
      <c r="CF5">
        <v>61.755933103300002</v>
      </c>
      <c r="CG5">
        <v>119015</v>
      </c>
      <c r="CH5">
        <v>3312</v>
      </c>
      <c r="CI5">
        <v>64.570297861599997</v>
      </c>
      <c r="CJ5">
        <v>69.228562801899997</v>
      </c>
      <c r="CL5" t="s">
        <v>1061</v>
      </c>
      <c r="CM5" t="s">
        <v>748</v>
      </c>
      <c r="CN5" t="s">
        <v>934</v>
      </c>
      <c r="CO5">
        <v>18835</v>
      </c>
      <c r="CP5">
        <v>1818</v>
      </c>
      <c r="CQ5">
        <v>61.755933103300002</v>
      </c>
      <c r="CR5">
        <v>119015</v>
      </c>
      <c r="CS5">
        <v>3312</v>
      </c>
      <c r="CT5">
        <v>64.570297861599997</v>
      </c>
      <c r="CU5">
        <v>69.228562801899997</v>
      </c>
      <c r="CW5" t="s">
        <v>1061</v>
      </c>
      <c r="CX5" t="s">
        <v>748</v>
      </c>
      <c r="CY5" t="s">
        <v>934</v>
      </c>
      <c r="CZ5">
        <v>18835</v>
      </c>
      <c r="DA5">
        <v>1818</v>
      </c>
      <c r="DB5">
        <v>61.755933103300002</v>
      </c>
      <c r="DC5">
        <v>119015</v>
      </c>
      <c r="DD5">
        <v>3312</v>
      </c>
      <c r="DE5">
        <v>64.570297861599997</v>
      </c>
      <c r="DF5">
        <v>69.228562801899997</v>
      </c>
      <c r="DH5" t="s">
        <v>1061</v>
      </c>
      <c r="DI5" t="s">
        <v>748</v>
      </c>
      <c r="DJ5" t="s">
        <v>934</v>
      </c>
      <c r="DK5">
        <v>18835</v>
      </c>
      <c r="DL5">
        <v>1818</v>
      </c>
      <c r="DM5">
        <v>61.755933103300002</v>
      </c>
      <c r="DN5">
        <v>119015</v>
      </c>
      <c r="DO5">
        <v>3312</v>
      </c>
      <c r="DP5">
        <v>64.570297861599997</v>
      </c>
      <c r="DQ5">
        <v>69.228562801899997</v>
      </c>
    </row>
    <row r="6" spans="2:121" x14ac:dyDescent="0.2">
      <c r="B6" t="s">
        <v>93</v>
      </c>
      <c r="C6">
        <v>6378</v>
      </c>
      <c r="D6">
        <v>1004</v>
      </c>
      <c r="F6" t="s">
        <v>187</v>
      </c>
      <c r="G6">
        <v>979</v>
      </c>
      <c r="H6">
        <v>167.2972420838</v>
      </c>
      <c r="I6">
        <v>876</v>
      </c>
      <c r="J6">
        <v>106</v>
      </c>
      <c r="K6">
        <v>1348</v>
      </c>
      <c r="L6">
        <v>430</v>
      </c>
      <c r="M6">
        <v>343</v>
      </c>
      <c r="N6">
        <v>191</v>
      </c>
      <c r="O6">
        <v>83</v>
      </c>
      <c r="P6">
        <v>31</v>
      </c>
      <c r="Q6">
        <v>0</v>
      </c>
      <c r="R6">
        <v>4</v>
      </c>
      <c r="T6" t="s">
        <v>220</v>
      </c>
      <c r="U6">
        <v>2701</v>
      </c>
      <c r="V6">
        <v>39.599777860099998</v>
      </c>
      <c r="W6">
        <v>6914</v>
      </c>
      <c r="X6">
        <v>273</v>
      </c>
      <c r="Y6">
        <v>4478</v>
      </c>
      <c r="Z6">
        <v>16</v>
      </c>
      <c r="AA6">
        <v>12</v>
      </c>
      <c r="AB6">
        <v>9</v>
      </c>
      <c r="AC6">
        <v>88</v>
      </c>
      <c r="AD6">
        <v>24</v>
      </c>
      <c r="AE6">
        <v>4834</v>
      </c>
      <c r="AF6">
        <v>1184</v>
      </c>
      <c r="AH6" t="s">
        <v>421</v>
      </c>
      <c r="AI6">
        <v>5716</v>
      </c>
      <c r="AJ6">
        <v>328.03026592020001</v>
      </c>
      <c r="AK6">
        <v>3537</v>
      </c>
      <c r="AL6">
        <v>982</v>
      </c>
      <c r="AM6">
        <v>8084</v>
      </c>
      <c r="AN6">
        <v>4624</v>
      </c>
      <c r="AO6">
        <v>2473</v>
      </c>
      <c r="AP6">
        <v>1551</v>
      </c>
      <c r="AQ6">
        <v>6981</v>
      </c>
      <c r="AR6">
        <v>6075</v>
      </c>
      <c r="AS6">
        <v>8</v>
      </c>
      <c r="AT6">
        <v>157</v>
      </c>
      <c r="AV6" t="s">
        <v>430</v>
      </c>
      <c r="AW6">
        <v>47</v>
      </c>
      <c r="AX6">
        <v>37.489361702099998</v>
      </c>
      <c r="AY6">
        <v>51</v>
      </c>
      <c r="AZ6">
        <v>2</v>
      </c>
      <c r="BA6">
        <v>59</v>
      </c>
      <c r="BC6">
        <v>0</v>
      </c>
      <c r="BE6">
        <v>1</v>
      </c>
      <c r="BG6">
        <v>83</v>
      </c>
      <c r="BH6">
        <v>4</v>
      </c>
      <c r="BJ6" t="s">
        <v>601</v>
      </c>
      <c r="BK6" t="s">
        <v>395</v>
      </c>
      <c r="BL6">
        <v>7227</v>
      </c>
      <c r="BM6">
        <v>2969</v>
      </c>
      <c r="BN6">
        <v>139.0802546008</v>
      </c>
      <c r="BO6">
        <v>16168</v>
      </c>
      <c r="BP6">
        <v>496</v>
      </c>
      <c r="BQ6">
        <v>206.3514967838</v>
      </c>
      <c r="BR6">
        <v>183.8387096774</v>
      </c>
      <c r="BS6">
        <v>7428</v>
      </c>
      <c r="BT6">
        <v>2669</v>
      </c>
      <c r="BU6">
        <v>129.64068389880001</v>
      </c>
      <c r="BV6">
        <v>15919</v>
      </c>
      <c r="BW6">
        <v>464</v>
      </c>
      <c r="BX6">
        <v>206.27709026950001</v>
      </c>
      <c r="BY6">
        <v>173.45905172409999</v>
      </c>
      <c r="CA6" t="s">
        <v>1062</v>
      </c>
      <c r="CB6" t="s">
        <v>748</v>
      </c>
      <c r="CC6" t="s">
        <v>934</v>
      </c>
      <c r="CD6">
        <v>8406</v>
      </c>
      <c r="CE6">
        <v>1412</v>
      </c>
      <c r="CF6">
        <v>72.938972162699997</v>
      </c>
      <c r="CG6">
        <v>19952</v>
      </c>
      <c r="CH6">
        <v>554</v>
      </c>
      <c r="CI6">
        <v>135.22985164389999</v>
      </c>
      <c r="CJ6">
        <v>134.6119133574</v>
      </c>
      <c r="CL6" t="s">
        <v>1062</v>
      </c>
      <c r="CM6" t="s">
        <v>748</v>
      </c>
      <c r="CN6" t="s">
        <v>934</v>
      </c>
      <c r="CO6">
        <v>8406</v>
      </c>
      <c r="CP6">
        <v>1412</v>
      </c>
      <c r="CQ6">
        <v>72.938972162699997</v>
      </c>
      <c r="CR6">
        <v>19952</v>
      </c>
      <c r="CS6">
        <v>554</v>
      </c>
      <c r="CT6">
        <v>135.22985164389999</v>
      </c>
      <c r="CU6">
        <v>134.6119133574</v>
      </c>
      <c r="CW6" t="s">
        <v>1062</v>
      </c>
      <c r="CX6" t="s">
        <v>748</v>
      </c>
      <c r="CY6" t="s">
        <v>934</v>
      </c>
      <c r="CZ6">
        <v>8406</v>
      </c>
      <c r="DA6">
        <v>1412</v>
      </c>
      <c r="DB6">
        <v>72.938972162699997</v>
      </c>
      <c r="DC6">
        <v>19952</v>
      </c>
      <c r="DD6">
        <v>554</v>
      </c>
      <c r="DE6">
        <v>135.22985164389999</v>
      </c>
      <c r="DF6">
        <v>134.6119133574</v>
      </c>
      <c r="DH6" t="s">
        <v>1062</v>
      </c>
      <c r="DI6" t="s">
        <v>748</v>
      </c>
      <c r="DJ6" t="s">
        <v>934</v>
      </c>
      <c r="DK6">
        <v>8406</v>
      </c>
      <c r="DL6">
        <v>1412</v>
      </c>
      <c r="DM6">
        <v>72.938972162699997</v>
      </c>
      <c r="DN6">
        <v>19952</v>
      </c>
      <c r="DO6">
        <v>554</v>
      </c>
      <c r="DP6">
        <v>135.22985164389999</v>
      </c>
      <c r="DQ6">
        <v>134.6119133574</v>
      </c>
    </row>
    <row r="7" spans="2:121" x14ac:dyDescent="0.2">
      <c r="B7" t="s">
        <v>94</v>
      </c>
      <c r="C7">
        <v>251</v>
      </c>
      <c r="D7">
        <v>28</v>
      </c>
      <c r="F7" t="s">
        <v>61</v>
      </c>
      <c r="G7">
        <v>5137</v>
      </c>
      <c r="H7">
        <v>228.2433326844</v>
      </c>
      <c r="I7">
        <v>9120</v>
      </c>
      <c r="J7">
        <v>2617</v>
      </c>
      <c r="K7">
        <v>8304</v>
      </c>
      <c r="L7">
        <v>4180</v>
      </c>
      <c r="M7">
        <v>1606</v>
      </c>
      <c r="N7">
        <v>1381</v>
      </c>
      <c r="O7">
        <v>1649</v>
      </c>
      <c r="P7">
        <v>1318</v>
      </c>
      <c r="Q7">
        <v>5</v>
      </c>
      <c r="R7">
        <v>206</v>
      </c>
      <c r="T7" t="s">
        <v>472</v>
      </c>
      <c r="U7">
        <v>19366</v>
      </c>
      <c r="V7">
        <v>78.092016936899995</v>
      </c>
      <c r="W7">
        <v>23855</v>
      </c>
      <c r="X7">
        <v>2758</v>
      </c>
      <c r="Y7">
        <v>31371</v>
      </c>
      <c r="Z7">
        <v>5995</v>
      </c>
      <c r="AA7">
        <v>858</v>
      </c>
      <c r="AB7">
        <v>832</v>
      </c>
      <c r="AC7">
        <v>5725</v>
      </c>
      <c r="AD7">
        <v>956</v>
      </c>
      <c r="AE7">
        <v>10925</v>
      </c>
      <c r="AF7">
        <v>4805</v>
      </c>
      <c r="AH7" t="s">
        <v>417</v>
      </c>
      <c r="AI7">
        <v>32564</v>
      </c>
      <c r="AJ7">
        <v>367.6521926053</v>
      </c>
      <c r="AK7">
        <v>34506</v>
      </c>
      <c r="AL7">
        <v>11263</v>
      </c>
      <c r="AM7">
        <v>45243</v>
      </c>
      <c r="AN7">
        <v>29936</v>
      </c>
      <c r="AO7">
        <v>6168</v>
      </c>
      <c r="AP7">
        <v>4966</v>
      </c>
      <c r="AQ7">
        <v>11483</v>
      </c>
      <c r="AR7">
        <v>8091</v>
      </c>
      <c r="AS7">
        <v>49</v>
      </c>
      <c r="AT7">
        <v>165</v>
      </c>
      <c r="AV7" t="s">
        <v>398</v>
      </c>
      <c r="AW7">
        <v>696</v>
      </c>
      <c r="AX7">
        <v>69.359195402300003</v>
      </c>
      <c r="AY7">
        <v>588</v>
      </c>
      <c r="AZ7">
        <v>29</v>
      </c>
      <c r="BA7">
        <v>1082</v>
      </c>
      <c r="BB7">
        <v>141</v>
      </c>
      <c r="BC7">
        <v>11</v>
      </c>
      <c r="BD7">
        <v>10</v>
      </c>
      <c r="BE7">
        <v>67</v>
      </c>
      <c r="BF7">
        <v>18</v>
      </c>
      <c r="BG7">
        <v>343</v>
      </c>
      <c r="BH7">
        <v>48</v>
      </c>
      <c r="BJ7" t="s">
        <v>648</v>
      </c>
      <c r="BK7" t="s">
        <v>395</v>
      </c>
      <c r="BL7">
        <v>936</v>
      </c>
      <c r="BM7">
        <v>107</v>
      </c>
      <c r="BN7">
        <v>70.492521367500004</v>
      </c>
      <c r="BO7">
        <v>2697</v>
      </c>
      <c r="BP7">
        <v>91</v>
      </c>
      <c r="BQ7">
        <v>104.79384501299999</v>
      </c>
      <c r="BR7">
        <v>128.1538461538</v>
      </c>
      <c r="BS7">
        <v>1918</v>
      </c>
      <c r="BT7">
        <v>643</v>
      </c>
      <c r="BU7">
        <v>131.63607924920001</v>
      </c>
      <c r="BV7">
        <v>4953</v>
      </c>
      <c r="BW7">
        <v>164</v>
      </c>
      <c r="BX7">
        <v>169.31294165150001</v>
      </c>
      <c r="BY7">
        <v>215.92073170730001</v>
      </c>
      <c r="CA7" t="s">
        <v>421</v>
      </c>
      <c r="CB7" t="s">
        <v>784</v>
      </c>
      <c r="CC7" t="s">
        <v>1017</v>
      </c>
      <c r="CD7">
        <v>3695</v>
      </c>
      <c r="CE7">
        <v>963</v>
      </c>
      <c r="CF7">
        <v>99.919350473600005</v>
      </c>
      <c r="CG7">
        <v>11066</v>
      </c>
      <c r="CH7">
        <v>336</v>
      </c>
      <c r="CI7">
        <v>169.4722573649</v>
      </c>
      <c r="CJ7">
        <v>137.09226190480001</v>
      </c>
      <c r="CL7" t="s">
        <v>421</v>
      </c>
      <c r="CM7" t="s">
        <v>765</v>
      </c>
      <c r="CN7" t="s">
        <v>764</v>
      </c>
      <c r="CO7">
        <v>194</v>
      </c>
      <c r="CP7">
        <v>17</v>
      </c>
      <c r="CQ7">
        <v>59.592783505200003</v>
      </c>
      <c r="CR7">
        <v>1593</v>
      </c>
      <c r="CS7">
        <v>43</v>
      </c>
      <c r="CT7">
        <v>49.647206528600002</v>
      </c>
      <c r="CU7">
        <v>52</v>
      </c>
      <c r="CW7" t="s">
        <v>421</v>
      </c>
      <c r="CX7" t="s">
        <v>775</v>
      </c>
      <c r="CY7" t="s">
        <v>774</v>
      </c>
      <c r="CZ7">
        <v>31</v>
      </c>
      <c r="DA7">
        <v>4</v>
      </c>
      <c r="DB7">
        <v>60.7741935484</v>
      </c>
      <c r="DC7">
        <v>117</v>
      </c>
      <c r="DD7">
        <v>4</v>
      </c>
      <c r="DE7">
        <v>139.2905982906</v>
      </c>
      <c r="DF7">
        <v>152.25</v>
      </c>
      <c r="DH7" t="s">
        <v>421</v>
      </c>
      <c r="DI7" t="s">
        <v>755</v>
      </c>
      <c r="DJ7" t="s">
        <v>754</v>
      </c>
      <c r="DK7">
        <v>29</v>
      </c>
      <c r="DL7">
        <v>3</v>
      </c>
      <c r="DM7">
        <v>59.724137931000001</v>
      </c>
      <c r="DN7">
        <v>100</v>
      </c>
      <c r="DO7">
        <v>1</v>
      </c>
      <c r="DP7">
        <v>146.94999999999999</v>
      </c>
      <c r="DQ7">
        <v>184</v>
      </c>
    </row>
    <row r="8" spans="2:121" x14ac:dyDescent="0.2">
      <c r="B8" t="s">
        <v>103</v>
      </c>
      <c r="C8">
        <v>244</v>
      </c>
      <c r="D8">
        <v>174</v>
      </c>
      <c r="F8" t="s">
        <v>27</v>
      </c>
      <c r="G8">
        <v>3102</v>
      </c>
      <c r="H8">
        <v>154.19310122499999</v>
      </c>
      <c r="I8">
        <v>7120</v>
      </c>
      <c r="J8">
        <v>2030</v>
      </c>
      <c r="K8">
        <v>8959</v>
      </c>
      <c r="L8">
        <v>3017</v>
      </c>
      <c r="M8">
        <v>1235</v>
      </c>
      <c r="N8">
        <v>524</v>
      </c>
      <c r="O8">
        <v>412</v>
      </c>
      <c r="P8">
        <v>196</v>
      </c>
      <c r="Q8">
        <v>0</v>
      </c>
      <c r="R8">
        <v>66</v>
      </c>
      <c r="AH8" t="s">
        <v>413</v>
      </c>
      <c r="AI8">
        <v>8379</v>
      </c>
      <c r="AJ8">
        <v>405.09165771570002</v>
      </c>
      <c r="AK8">
        <v>7812</v>
      </c>
      <c r="AL8">
        <v>3056</v>
      </c>
      <c r="AM8">
        <v>11073</v>
      </c>
      <c r="AN8">
        <v>7334</v>
      </c>
      <c r="AO8">
        <v>2007</v>
      </c>
      <c r="AP8">
        <v>1724</v>
      </c>
      <c r="AQ8">
        <v>4861</v>
      </c>
      <c r="AR8">
        <v>3061</v>
      </c>
      <c r="AS8">
        <v>7</v>
      </c>
      <c r="AT8">
        <v>57</v>
      </c>
      <c r="AV8" t="s">
        <v>419</v>
      </c>
      <c r="AW8">
        <v>142</v>
      </c>
      <c r="AX8">
        <v>44.619718309900001</v>
      </c>
      <c r="AY8">
        <v>272</v>
      </c>
      <c r="AZ8">
        <v>7</v>
      </c>
      <c r="BA8">
        <v>215</v>
      </c>
      <c r="BB8">
        <v>10</v>
      </c>
      <c r="BC8">
        <v>2</v>
      </c>
      <c r="BD8">
        <v>2</v>
      </c>
      <c r="BE8">
        <v>12</v>
      </c>
      <c r="BF8">
        <v>7</v>
      </c>
      <c r="BG8">
        <v>232</v>
      </c>
      <c r="BH8">
        <v>50</v>
      </c>
      <c r="BJ8" t="s">
        <v>636</v>
      </c>
      <c r="BK8" t="s">
        <v>395</v>
      </c>
      <c r="BL8">
        <v>18377</v>
      </c>
      <c r="BM8">
        <v>6924</v>
      </c>
      <c r="BN8">
        <v>139.11253196929999</v>
      </c>
      <c r="BO8">
        <v>39959</v>
      </c>
      <c r="BP8">
        <v>1377</v>
      </c>
      <c r="BQ8">
        <v>216.46047198380001</v>
      </c>
      <c r="BR8">
        <v>196.80319535219999</v>
      </c>
      <c r="BS8">
        <v>14029</v>
      </c>
      <c r="BT8">
        <v>4232</v>
      </c>
      <c r="BU8">
        <v>124.7840188182</v>
      </c>
      <c r="BV8">
        <v>28851</v>
      </c>
      <c r="BW8">
        <v>950</v>
      </c>
      <c r="BX8">
        <v>219.68784444209999</v>
      </c>
      <c r="BY8">
        <v>180.63684210529999</v>
      </c>
      <c r="CA8" t="s">
        <v>413</v>
      </c>
      <c r="CB8" t="s">
        <v>784</v>
      </c>
      <c r="CC8" t="s">
        <v>1018</v>
      </c>
      <c r="CD8">
        <v>7444</v>
      </c>
      <c r="CE8">
        <v>3019</v>
      </c>
      <c r="CF8">
        <v>138.33530360020001</v>
      </c>
      <c r="CG8">
        <v>17602</v>
      </c>
      <c r="CH8">
        <v>556</v>
      </c>
      <c r="CI8">
        <v>192.7195773208</v>
      </c>
      <c r="CJ8">
        <v>173.57194244600001</v>
      </c>
      <c r="CL8" t="s">
        <v>413</v>
      </c>
      <c r="CM8" t="s">
        <v>765</v>
      </c>
      <c r="CN8" t="s">
        <v>766</v>
      </c>
      <c r="CO8">
        <v>304</v>
      </c>
      <c r="CP8">
        <v>18</v>
      </c>
      <c r="CQ8">
        <v>59.927631578899998</v>
      </c>
      <c r="CR8">
        <v>1667</v>
      </c>
      <c r="CS8">
        <v>53</v>
      </c>
      <c r="CT8">
        <v>60.247750449900003</v>
      </c>
      <c r="CU8">
        <v>50.584905660399997</v>
      </c>
      <c r="CW8" t="s">
        <v>413</v>
      </c>
      <c r="CX8" t="s">
        <v>775</v>
      </c>
      <c r="CY8" t="s">
        <v>776</v>
      </c>
      <c r="CZ8">
        <v>262</v>
      </c>
      <c r="DA8">
        <v>45</v>
      </c>
      <c r="DB8">
        <v>71.454198473299996</v>
      </c>
      <c r="DC8">
        <v>620</v>
      </c>
      <c r="DD8">
        <v>19</v>
      </c>
      <c r="DE8">
        <v>124.04193548390001</v>
      </c>
      <c r="DF8">
        <v>126.7368421053</v>
      </c>
      <c r="DH8" t="s">
        <v>413</v>
      </c>
      <c r="DI8" t="s">
        <v>755</v>
      </c>
      <c r="DJ8" t="s">
        <v>756</v>
      </c>
      <c r="DK8">
        <v>371</v>
      </c>
      <c r="DL8">
        <v>42</v>
      </c>
      <c r="DM8">
        <v>64.048517520199994</v>
      </c>
      <c r="DN8">
        <v>920</v>
      </c>
      <c r="DO8">
        <v>32</v>
      </c>
      <c r="DP8">
        <v>161.4815217391</v>
      </c>
      <c r="DQ8">
        <v>145.75</v>
      </c>
    </row>
    <row r="9" spans="2:121" x14ac:dyDescent="0.2">
      <c r="B9" t="s">
        <v>95</v>
      </c>
      <c r="C9">
        <v>20</v>
      </c>
      <c r="D9">
        <v>8</v>
      </c>
      <c r="F9" t="s">
        <v>24</v>
      </c>
      <c r="G9">
        <v>1088</v>
      </c>
      <c r="H9">
        <v>101.4476102941</v>
      </c>
      <c r="I9">
        <v>4581</v>
      </c>
      <c r="J9">
        <v>1544</v>
      </c>
      <c r="K9">
        <v>2023</v>
      </c>
      <c r="L9">
        <v>461</v>
      </c>
      <c r="M9">
        <v>121</v>
      </c>
      <c r="N9">
        <v>41</v>
      </c>
      <c r="O9">
        <v>440</v>
      </c>
      <c r="P9">
        <v>312</v>
      </c>
      <c r="Q9">
        <v>0</v>
      </c>
      <c r="R9">
        <v>0</v>
      </c>
      <c r="AH9" t="s">
        <v>383</v>
      </c>
      <c r="AI9">
        <v>2155</v>
      </c>
      <c r="AJ9">
        <v>234.8863109049</v>
      </c>
      <c r="AK9">
        <v>2075</v>
      </c>
      <c r="AL9">
        <v>570</v>
      </c>
      <c r="AM9">
        <v>3538</v>
      </c>
      <c r="AN9">
        <v>1880</v>
      </c>
      <c r="AO9">
        <v>344</v>
      </c>
      <c r="AP9">
        <v>255</v>
      </c>
      <c r="AQ9">
        <v>724</v>
      </c>
      <c r="AR9">
        <v>480</v>
      </c>
      <c r="AS9">
        <v>152</v>
      </c>
      <c r="AT9">
        <v>3</v>
      </c>
      <c r="AV9" t="s">
        <v>427</v>
      </c>
      <c r="AW9">
        <v>27</v>
      </c>
      <c r="AX9">
        <v>102.55555555559999</v>
      </c>
      <c r="AY9">
        <v>28</v>
      </c>
      <c r="AZ9">
        <v>7</v>
      </c>
      <c r="BA9">
        <v>37</v>
      </c>
      <c r="BB9">
        <v>13</v>
      </c>
      <c r="BC9">
        <v>2</v>
      </c>
      <c r="BD9">
        <v>2</v>
      </c>
      <c r="BE9">
        <v>15</v>
      </c>
      <c r="BF9">
        <v>1</v>
      </c>
      <c r="BG9">
        <v>10</v>
      </c>
      <c r="BH9">
        <v>5</v>
      </c>
      <c r="BJ9" t="s">
        <v>572</v>
      </c>
      <c r="BK9" t="s">
        <v>395</v>
      </c>
      <c r="BL9">
        <v>4461</v>
      </c>
      <c r="BM9">
        <v>2216</v>
      </c>
      <c r="BN9">
        <v>170.5778973324</v>
      </c>
      <c r="BO9">
        <v>12470</v>
      </c>
      <c r="BP9">
        <v>473</v>
      </c>
      <c r="BQ9">
        <v>249.00344827590001</v>
      </c>
      <c r="BR9">
        <v>214.9471458774</v>
      </c>
      <c r="BS9">
        <v>4521</v>
      </c>
      <c r="BT9">
        <v>1750</v>
      </c>
      <c r="BU9">
        <v>142.0130502101</v>
      </c>
      <c r="BV9">
        <v>11590</v>
      </c>
      <c r="BW9">
        <v>465</v>
      </c>
      <c r="BX9">
        <v>244.0817083693</v>
      </c>
      <c r="BY9">
        <v>190.7784946237</v>
      </c>
      <c r="CA9" t="s">
        <v>397</v>
      </c>
      <c r="CB9" t="s">
        <v>784</v>
      </c>
      <c r="CC9" t="s">
        <v>1019</v>
      </c>
      <c r="CD9">
        <v>6150</v>
      </c>
      <c r="CE9">
        <v>1998</v>
      </c>
      <c r="CF9">
        <v>114.5863414634</v>
      </c>
      <c r="CG9">
        <v>15041</v>
      </c>
      <c r="CH9">
        <v>511</v>
      </c>
      <c r="CI9">
        <v>180.88897014829999</v>
      </c>
      <c r="CJ9">
        <v>167.9178082192</v>
      </c>
      <c r="CL9" t="s">
        <v>397</v>
      </c>
      <c r="CM9" t="s">
        <v>765</v>
      </c>
      <c r="CN9" t="s">
        <v>767</v>
      </c>
      <c r="CO9">
        <v>311</v>
      </c>
      <c r="CP9">
        <v>28</v>
      </c>
      <c r="CQ9">
        <v>55.508038585199998</v>
      </c>
      <c r="CR9">
        <v>2379</v>
      </c>
      <c r="CS9">
        <v>48</v>
      </c>
      <c r="CT9">
        <v>52.825556956699998</v>
      </c>
      <c r="CU9">
        <v>44.208333333299997</v>
      </c>
      <c r="CW9" t="s">
        <v>397</v>
      </c>
      <c r="CX9" t="s">
        <v>775</v>
      </c>
      <c r="CY9" t="s">
        <v>777</v>
      </c>
      <c r="CZ9">
        <v>80</v>
      </c>
      <c r="DA9">
        <v>16</v>
      </c>
      <c r="DB9">
        <v>72.8</v>
      </c>
      <c r="DC9">
        <v>191</v>
      </c>
      <c r="DD9">
        <v>5</v>
      </c>
      <c r="DE9">
        <v>137.92146596859999</v>
      </c>
      <c r="DF9">
        <v>120.4</v>
      </c>
      <c r="DH9" t="s">
        <v>397</v>
      </c>
      <c r="DI9" t="s">
        <v>755</v>
      </c>
      <c r="DJ9" t="s">
        <v>757</v>
      </c>
      <c r="DK9">
        <v>127</v>
      </c>
      <c r="DL9">
        <v>13</v>
      </c>
      <c r="DM9">
        <v>65.755905511799995</v>
      </c>
      <c r="DN9">
        <v>399</v>
      </c>
      <c r="DO9">
        <v>17</v>
      </c>
      <c r="DP9">
        <v>160.2556390977</v>
      </c>
      <c r="DQ9">
        <v>143.4705882353</v>
      </c>
    </row>
    <row r="10" spans="2:121" x14ac:dyDescent="0.2">
      <c r="B10" t="s">
        <v>323</v>
      </c>
      <c r="C10">
        <v>2</v>
      </c>
      <c r="D10">
        <v>2</v>
      </c>
      <c r="F10" t="s">
        <v>62</v>
      </c>
      <c r="G10">
        <v>6151</v>
      </c>
      <c r="H10">
        <v>405.00422695499998</v>
      </c>
      <c r="I10">
        <v>5730</v>
      </c>
      <c r="J10">
        <v>1906</v>
      </c>
      <c r="K10">
        <v>7414</v>
      </c>
      <c r="L10">
        <v>4911</v>
      </c>
      <c r="M10">
        <v>534</v>
      </c>
      <c r="N10">
        <v>482</v>
      </c>
      <c r="O10">
        <v>692</v>
      </c>
      <c r="P10">
        <v>402</v>
      </c>
      <c r="Q10">
        <v>2</v>
      </c>
      <c r="R10">
        <v>314</v>
      </c>
      <c r="AH10" t="s">
        <v>433</v>
      </c>
      <c r="AI10">
        <v>1072</v>
      </c>
      <c r="AJ10">
        <v>341.56996268659998</v>
      </c>
      <c r="AK10">
        <v>1004</v>
      </c>
      <c r="AL10">
        <v>377</v>
      </c>
      <c r="AM10">
        <v>1308</v>
      </c>
      <c r="AN10">
        <v>713</v>
      </c>
      <c r="AO10">
        <v>70</v>
      </c>
      <c r="AP10">
        <v>48</v>
      </c>
      <c r="AQ10">
        <v>476</v>
      </c>
      <c r="AR10">
        <v>208</v>
      </c>
      <c r="AS10">
        <v>47</v>
      </c>
      <c r="AT10">
        <v>1</v>
      </c>
      <c r="AV10" t="s">
        <v>381</v>
      </c>
      <c r="AW10">
        <v>307</v>
      </c>
      <c r="AX10">
        <v>88.990228013000007</v>
      </c>
      <c r="AY10">
        <v>360</v>
      </c>
      <c r="AZ10">
        <v>61</v>
      </c>
      <c r="BA10">
        <v>504</v>
      </c>
      <c r="BB10">
        <v>140</v>
      </c>
      <c r="BC10">
        <v>18</v>
      </c>
      <c r="BD10">
        <v>17</v>
      </c>
      <c r="BE10">
        <v>179</v>
      </c>
      <c r="BF10">
        <v>22</v>
      </c>
      <c r="BG10">
        <v>59</v>
      </c>
      <c r="BH10">
        <v>129</v>
      </c>
      <c r="BJ10" t="s">
        <v>624</v>
      </c>
      <c r="BK10" t="s">
        <v>395</v>
      </c>
      <c r="BL10">
        <v>3695</v>
      </c>
      <c r="BM10">
        <v>949</v>
      </c>
      <c r="BN10">
        <v>100.93910690120001</v>
      </c>
      <c r="BO10">
        <v>10633</v>
      </c>
      <c r="BP10">
        <v>328</v>
      </c>
      <c r="BQ10">
        <v>171.6617135333</v>
      </c>
      <c r="BR10">
        <v>141.74390243900001</v>
      </c>
      <c r="BS10">
        <v>4653</v>
      </c>
      <c r="BT10">
        <v>1539</v>
      </c>
      <c r="BU10">
        <v>113.5892972276</v>
      </c>
      <c r="BV10">
        <v>12389</v>
      </c>
      <c r="BW10">
        <v>450</v>
      </c>
      <c r="BX10">
        <v>175.9257405763</v>
      </c>
      <c r="BY10">
        <v>146.6755555556</v>
      </c>
      <c r="CA10" t="s">
        <v>399</v>
      </c>
      <c r="CB10" t="s">
        <v>784</v>
      </c>
      <c r="CC10" t="s">
        <v>1020</v>
      </c>
      <c r="CD10">
        <v>4012</v>
      </c>
      <c r="CE10">
        <v>1729</v>
      </c>
      <c r="CF10">
        <v>153.4319541376</v>
      </c>
      <c r="CG10">
        <v>12331</v>
      </c>
      <c r="CH10">
        <v>447</v>
      </c>
      <c r="CI10">
        <v>229.99659395020001</v>
      </c>
      <c r="CJ10">
        <v>200.27293064880001</v>
      </c>
      <c r="CL10" t="s">
        <v>399</v>
      </c>
      <c r="CM10" t="s">
        <v>765</v>
      </c>
      <c r="CN10" t="s">
        <v>768</v>
      </c>
      <c r="CO10">
        <v>253</v>
      </c>
      <c r="CP10">
        <v>27</v>
      </c>
      <c r="CQ10">
        <v>62.529644268799998</v>
      </c>
      <c r="CR10">
        <v>1698</v>
      </c>
      <c r="CS10">
        <v>37</v>
      </c>
      <c r="CT10">
        <v>59.6613663133</v>
      </c>
      <c r="CU10">
        <v>72.243243243199998</v>
      </c>
      <c r="CW10" t="s">
        <v>399</v>
      </c>
      <c r="CX10" t="s">
        <v>775</v>
      </c>
      <c r="CY10" t="s">
        <v>778</v>
      </c>
      <c r="CZ10">
        <v>73</v>
      </c>
      <c r="DA10">
        <v>13</v>
      </c>
      <c r="DB10">
        <v>79.246575342499995</v>
      </c>
      <c r="DC10">
        <v>124</v>
      </c>
      <c r="DD10">
        <v>2</v>
      </c>
      <c r="DE10">
        <v>150.54838709680001</v>
      </c>
      <c r="DF10">
        <v>142.5</v>
      </c>
      <c r="DH10" t="s">
        <v>399</v>
      </c>
      <c r="DI10" t="s">
        <v>755</v>
      </c>
      <c r="DJ10" t="s">
        <v>758</v>
      </c>
      <c r="DK10">
        <v>56</v>
      </c>
      <c r="DL10">
        <v>18</v>
      </c>
      <c r="DM10">
        <v>98.660714285699996</v>
      </c>
      <c r="DN10">
        <v>189</v>
      </c>
      <c r="DO10">
        <v>10</v>
      </c>
      <c r="DP10">
        <v>129.10582010580001</v>
      </c>
      <c r="DQ10">
        <v>134.9</v>
      </c>
    </row>
    <row r="11" spans="2:121" x14ac:dyDescent="0.2">
      <c r="B11" t="s">
        <v>127</v>
      </c>
      <c r="C11">
        <v>614</v>
      </c>
      <c r="D11">
        <v>286</v>
      </c>
      <c r="F11" t="s">
        <v>36</v>
      </c>
      <c r="G11">
        <v>7029</v>
      </c>
      <c r="H11">
        <v>615.91165172859996</v>
      </c>
      <c r="I11">
        <v>5745</v>
      </c>
      <c r="J11">
        <v>2267</v>
      </c>
      <c r="K11">
        <v>8405</v>
      </c>
      <c r="L11">
        <v>6824</v>
      </c>
      <c r="M11">
        <v>1074</v>
      </c>
      <c r="N11">
        <v>950</v>
      </c>
      <c r="O11">
        <v>6195</v>
      </c>
      <c r="P11">
        <v>5377</v>
      </c>
      <c r="Q11">
        <v>31</v>
      </c>
      <c r="R11">
        <v>6</v>
      </c>
      <c r="AH11" t="s">
        <v>424</v>
      </c>
      <c r="AI11">
        <v>511</v>
      </c>
      <c r="AJ11">
        <v>442.23874755380001</v>
      </c>
      <c r="AK11">
        <v>575</v>
      </c>
      <c r="AL11">
        <v>206</v>
      </c>
      <c r="AM11">
        <v>685</v>
      </c>
      <c r="AN11">
        <v>468</v>
      </c>
      <c r="AO11">
        <v>97</v>
      </c>
      <c r="AP11">
        <v>81</v>
      </c>
      <c r="AQ11">
        <v>325</v>
      </c>
      <c r="AR11">
        <v>249</v>
      </c>
      <c r="AS11">
        <v>14</v>
      </c>
      <c r="AT11">
        <v>1</v>
      </c>
      <c r="AV11" t="s">
        <v>418</v>
      </c>
      <c r="AW11">
        <v>43</v>
      </c>
      <c r="AX11">
        <v>48.930232558100002</v>
      </c>
      <c r="AY11">
        <v>123</v>
      </c>
      <c r="AZ11">
        <v>8</v>
      </c>
      <c r="BA11">
        <v>73</v>
      </c>
      <c r="BB11">
        <v>4</v>
      </c>
      <c r="BC11">
        <v>1</v>
      </c>
      <c r="BD11">
        <v>1</v>
      </c>
      <c r="BE11">
        <v>0</v>
      </c>
      <c r="BG11">
        <v>68</v>
      </c>
      <c r="BH11">
        <v>17</v>
      </c>
      <c r="BJ11" t="s">
        <v>626</v>
      </c>
      <c r="BK11" t="s">
        <v>395</v>
      </c>
      <c r="BL11">
        <v>7239</v>
      </c>
      <c r="BM11">
        <v>2027</v>
      </c>
      <c r="BN11">
        <v>102.1247409863</v>
      </c>
      <c r="BO11">
        <v>17849</v>
      </c>
      <c r="BP11">
        <v>748</v>
      </c>
      <c r="BQ11">
        <v>164.60322707149999</v>
      </c>
      <c r="BR11">
        <v>132.09358288769999</v>
      </c>
      <c r="BS11">
        <v>10010</v>
      </c>
      <c r="BT11">
        <v>3391</v>
      </c>
      <c r="BU11">
        <v>115.2125874126</v>
      </c>
      <c r="BV11">
        <v>25680</v>
      </c>
      <c r="BW11">
        <v>1049</v>
      </c>
      <c r="BX11">
        <v>180.1878504673</v>
      </c>
      <c r="BY11">
        <v>144.4899904671</v>
      </c>
      <c r="CA11" t="s">
        <v>428</v>
      </c>
      <c r="CB11" t="s">
        <v>784</v>
      </c>
      <c r="CC11" t="s">
        <v>1021</v>
      </c>
      <c r="CD11">
        <v>988</v>
      </c>
      <c r="CE11">
        <v>133</v>
      </c>
      <c r="CF11">
        <v>78.290485829999994</v>
      </c>
      <c r="CG11">
        <v>3045</v>
      </c>
      <c r="CH11">
        <v>110</v>
      </c>
      <c r="CI11">
        <v>114.1251231527</v>
      </c>
      <c r="CJ11">
        <v>133.42727272729999</v>
      </c>
      <c r="CL11" t="s">
        <v>428</v>
      </c>
      <c r="CM11" t="s">
        <v>765</v>
      </c>
      <c r="CN11" t="s">
        <v>769</v>
      </c>
      <c r="CO11">
        <v>83</v>
      </c>
      <c r="CP11">
        <v>3</v>
      </c>
      <c r="CQ11">
        <v>45.313253011999997</v>
      </c>
      <c r="CR11">
        <v>469</v>
      </c>
      <c r="CS11">
        <v>17</v>
      </c>
      <c r="CT11">
        <v>52.575692963800002</v>
      </c>
      <c r="CU11">
        <v>47.529411764700001</v>
      </c>
      <c r="CW11" t="s">
        <v>428</v>
      </c>
      <c r="CX11" t="s">
        <v>775</v>
      </c>
      <c r="CY11" t="s">
        <v>779</v>
      </c>
      <c r="CZ11">
        <v>21</v>
      </c>
      <c r="DA11">
        <v>2</v>
      </c>
      <c r="DB11">
        <v>69.380952381</v>
      </c>
      <c r="DC11">
        <v>67</v>
      </c>
      <c r="DD11">
        <v>1</v>
      </c>
      <c r="DE11">
        <v>137.88059701489999</v>
      </c>
      <c r="DF11">
        <v>69</v>
      </c>
      <c r="DH11" t="s">
        <v>428</v>
      </c>
      <c r="DI11" t="s">
        <v>755</v>
      </c>
      <c r="DJ11" t="s">
        <v>759</v>
      </c>
      <c r="DK11">
        <v>6</v>
      </c>
      <c r="DL11">
        <v>1</v>
      </c>
      <c r="DM11">
        <v>54.833333333299997</v>
      </c>
      <c r="DN11">
        <v>54</v>
      </c>
      <c r="DO11">
        <v>0</v>
      </c>
      <c r="DP11">
        <v>172.14814814810001</v>
      </c>
      <c r="DQ11">
        <v>0</v>
      </c>
    </row>
    <row r="12" spans="2:121" x14ac:dyDescent="0.2">
      <c r="B12" t="s">
        <v>100</v>
      </c>
      <c r="C12">
        <v>182</v>
      </c>
      <c r="D12">
        <v>103</v>
      </c>
      <c r="F12" t="s">
        <v>60</v>
      </c>
      <c r="G12">
        <v>12508</v>
      </c>
      <c r="H12">
        <v>378.96530220659997</v>
      </c>
      <c r="I12">
        <v>7837</v>
      </c>
      <c r="J12">
        <v>2939</v>
      </c>
      <c r="K12">
        <v>14023</v>
      </c>
      <c r="L12">
        <v>10296</v>
      </c>
      <c r="M12">
        <v>4425</v>
      </c>
      <c r="N12">
        <v>4060</v>
      </c>
      <c r="O12">
        <v>2618</v>
      </c>
      <c r="P12">
        <v>2084</v>
      </c>
      <c r="Q12">
        <v>2</v>
      </c>
      <c r="R12">
        <v>342</v>
      </c>
      <c r="T12" t="s">
        <v>665</v>
      </c>
      <c r="U12" t="s">
        <v>315</v>
      </c>
      <c r="V12" t="s">
        <v>139</v>
      </c>
      <c r="W12" t="s">
        <v>222</v>
      </c>
      <c r="X12" t="s">
        <v>223</v>
      </c>
      <c r="Y12" t="s">
        <v>224</v>
      </c>
      <c r="Z12" t="s">
        <v>225</v>
      </c>
      <c r="AA12" t="s">
        <v>226</v>
      </c>
      <c r="AB12" t="s">
        <v>227</v>
      </c>
      <c r="AC12" t="s">
        <v>228</v>
      </c>
      <c r="AD12" t="s">
        <v>229</v>
      </c>
      <c r="AE12" t="s">
        <v>230</v>
      </c>
      <c r="AF12" t="s">
        <v>231</v>
      </c>
      <c r="AH12" t="s">
        <v>435</v>
      </c>
      <c r="AI12">
        <v>20754</v>
      </c>
      <c r="AJ12">
        <v>329.44275802250002</v>
      </c>
      <c r="AK12">
        <v>26777</v>
      </c>
      <c r="AL12">
        <v>10659</v>
      </c>
      <c r="AM12">
        <v>28773</v>
      </c>
      <c r="AN12">
        <v>17568</v>
      </c>
      <c r="AO12">
        <v>3524</v>
      </c>
      <c r="AP12">
        <v>2456</v>
      </c>
      <c r="AQ12">
        <v>10477</v>
      </c>
      <c r="AR12">
        <v>6736</v>
      </c>
      <c r="AS12">
        <v>1074</v>
      </c>
      <c r="AT12">
        <v>246</v>
      </c>
      <c r="AV12" t="s">
        <v>435</v>
      </c>
      <c r="AW12">
        <v>2146</v>
      </c>
      <c r="AX12">
        <v>90.940354147299999</v>
      </c>
      <c r="AY12">
        <v>2230</v>
      </c>
      <c r="AZ12">
        <v>461</v>
      </c>
      <c r="BA12">
        <v>3399</v>
      </c>
      <c r="BB12">
        <v>872</v>
      </c>
      <c r="BC12">
        <v>121</v>
      </c>
      <c r="BD12">
        <v>119</v>
      </c>
      <c r="BE12">
        <v>847</v>
      </c>
      <c r="BF12">
        <v>128</v>
      </c>
      <c r="BG12">
        <v>317</v>
      </c>
      <c r="BH12">
        <v>556</v>
      </c>
      <c r="BJ12" t="s">
        <v>568</v>
      </c>
      <c r="BK12" t="s">
        <v>395</v>
      </c>
      <c r="BL12">
        <v>5971</v>
      </c>
      <c r="BM12">
        <v>1911</v>
      </c>
      <c r="BN12">
        <v>113.55853290909999</v>
      </c>
      <c r="BO12">
        <v>13704</v>
      </c>
      <c r="BP12">
        <v>483</v>
      </c>
      <c r="BQ12">
        <v>187.73204903679999</v>
      </c>
      <c r="BR12">
        <v>170.22981366459999</v>
      </c>
      <c r="BS12">
        <v>4657</v>
      </c>
      <c r="BT12">
        <v>1020</v>
      </c>
      <c r="BU12">
        <v>91.743182306199998</v>
      </c>
      <c r="BV12">
        <v>10504</v>
      </c>
      <c r="BW12">
        <v>356</v>
      </c>
      <c r="BX12">
        <v>184.22762757039999</v>
      </c>
      <c r="BY12">
        <v>154.1039325843</v>
      </c>
      <c r="CA12" t="s">
        <v>422</v>
      </c>
      <c r="CB12" t="s">
        <v>784</v>
      </c>
      <c r="CC12" t="s">
        <v>1022</v>
      </c>
      <c r="CD12">
        <v>7400</v>
      </c>
      <c r="CE12">
        <v>2092</v>
      </c>
      <c r="CF12">
        <v>103.3009459459</v>
      </c>
      <c r="CG12">
        <v>18834</v>
      </c>
      <c r="CH12">
        <v>788</v>
      </c>
      <c r="CI12">
        <v>159.8328554741</v>
      </c>
      <c r="CJ12">
        <v>126.97969543150001</v>
      </c>
      <c r="CL12" t="s">
        <v>422</v>
      </c>
      <c r="CM12" t="s">
        <v>765</v>
      </c>
      <c r="CN12" t="s">
        <v>770</v>
      </c>
      <c r="CO12">
        <v>417</v>
      </c>
      <c r="CP12">
        <v>28</v>
      </c>
      <c r="CQ12">
        <v>55.4964028777</v>
      </c>
      <c r="CR12">
        <v>2352</v>
      </c>
      <c r="CS12">
        <v>77</v>
      </c>
      <c r="CT12">
        <v>60.1343537415</v>
      </c>
      <c r="CU12">
        <v>56.4545454545</v>
      </c>
      <c r="CW12" t="s">
        <v>422</v>
      </c>
      <c r="CX12" t="s">
        <v>775</v>
      </c>
      <c r="CY12" t="s">
        <v>780</v>
      </c>
      <c r="CZ12">
        <v>120</v>
      </c>
      <c r="DA12">
        <v>27</v>
      </c>
      <c r="DB12">
        <v>78.424999999999997</v>
      </c>
      <c r="DC12">
        <v>330</v>
      </c>
      <c r="DD12">
        <v>10</v>
      </c>
      <c r="DE12">
        <v>126.8696969697</v>
      </c>
      <c r="DF12">
        <v>106.4</v>
      </c>
      <c r="DH12" t="s">
        <v>422</v>
      </c>
      <c r="DI12" t="s">
        <v>755</v>
      </c>
      <c r="DJ12" t="s">
        <v>760</v>
      </c>
      <c r="DK12">
        <v>193</v>
      </c>
      <c r="DL12">
        <v>26</v>
      </c>
      <c r="DM12">
        <v>68.093264248699995</v>
      </c>
      <c r="DN12">
        <v>617</v>
      </c>
      <c r="DO12">
        <v>30</v>
      </c>
      <c r="DP12">
        <v>162.6580226904</v>
      </c>
      <c r="DQ12">
        <v>134.46666666670001</v>
      </c>
    </row>
    <row r="13" spans="2:121" x14ac:dyDescent="0.2">
      <c r="B13" t="s">
        <v>117</v>
      </c>
      <c r="C13">
        <v>5712</v>
      </c>
      <c r="D13">
        <v>272</v>
      </c>
      <c r="F13" t="s">
        <v>37</v>
      </c>
      <c r="G13">
        <v>435</v>
      </c>
      <c r="H13">
        <v>103.9310344828</v>
      </c>
      <c r="I13">
        <v>1519</v>
      </c>
      <c r="J13">
        <v>431</v>
      </c>
      <c r="K13">
        <v>1058</v>
      </c>
      <c r="L13">
        <v>136</v>
      </c>
      <c r="M13">
        <v>148</v>
      </c>
      <c r="N13">
        <v>66</v>
      </c>
      <c r="O13">
        <v>75</v>
      </c>
      <c r="P13">
        <v>39</v>
      </c>
      <c r="Q13">
        <v>0</v>
      </c>
      <c r="R13">
        <v>10</v>
      </c>
      <c r="T13" t="s">
        <v>395</v>
      </c>
      <c r="U13">
        <v>62646</v>
      </c>
      <c r="V13">
        <v>324.73677489379997</v>
      </c>
      <c r="W13">
        <v>71249</v>
      </c>
      <c r="X13">
        <v>25124</v>
      </c>
      <c r="Y13">
        <v>91994</v>
      </c>
      <c r="Z13">
        <v>52605</v>
      </c>
      <c r="AA13">
        <v>13336</v>
      </c>
      <c r="AB13">
        <v>9659</v>
      </c>
      <c r="AC13">
        <v>26687</v>
      </c>
      <c r="AD13">
        <v>20525</v>
      </c>
      <c r="AE13">
        <v>114</v>
      </c>
      <c r="AF13">
        <v>1250</v>
      </c>
      <c r="AH13" t="s">
        <v>391</v>
      </c>
      <c r="AI13">
        <v>16550</v>
      </c>
      <c r="AJ13">
        <v>373.49486404829997</v>
      </c>
      <c r="AK13">
        <v>17284</v>
      </c>
      <c r="AL13">
        <v>6076</v>
      </c>
      <c r="AM13">
        <v>23250</v>
      </c>
      <c r="AN13">
        <v>15685</v>
      </c>
      <c r="AO13">
        <v>4942</v>
      </c>
      <c r="AP13">
        <v>4193</v>
      </c>
      <c r="AQ13">
        <v>12357</v>
      </c>
      <c r="AR13">
        <v>8762</v>
      </c>
      <c r="AS13">
        <v>574</v>
      </c>
      <c r="AT13">
        <v>40</v>
      </c>
      <c r="AV13" t="s">
        <v>397</v>
      </c>
      <c r="AW13">
        <v>377</v>
      </c>
      <c r="AX13">
        <v>59.183023872699998</v>
      </c>
      <c r="AY13">
        <v>344</v>
      </c>
      <c r="AZ13">
        <v>23</v>
      </c>
      <c r="BA13">
        <v>584</v>
      </c>
      <c r="BB13">
        <v>61</v>
      </c>
      <c r="BC13">
        <v>7</v>
      </c>
      <c r="BD13">
        <v>7</v>
      </c>
      <c r="BE13">
        <v>33</v>
      </c>
      <c r="BF13">
        <v>10</v>
      </c>
      <c r="BG13">
        <v>217</v>
      </c>
      <c r="BH13">
        <v>34</v>
      </c>
      <c r="BJ13" t="s">
        <v>605</v>
      </c>
      <c r="BK13" t="s">
        <v>395</v>
      </c>
      <c r="BL13">
        <v>1994</v>
      </c>
      <c r="BM13">
        <v>528</v>
      </c>
      <c r="BN13">
        <v>102.24874623869999</v>
      </c>
      <c r="BO13">
        <v>4229</v>
      </c>
      <c r="BP13">
        <v>119</v>
      </c>
      <c r="BQ13">
        <v>146.67486403410001</v>
      </c>
      <c r="BR13">
        <v>160.6722689076</v>
      </c>
      <c r="BS13">
        <v>4867</v>
      </c>
      <c r="BT13">
        <v>2126</v>
      </c>
      <c r="BU13">
        <v>138.52229299359999</v>
      </c>
      <c r="BV13">
        <v>9075</v>
      </c>
      <c r="BW13">
        <v>331</v>
      </c>
      <c r="BX13">
        <v>179.28044077129999</v>
      </c>
      <c r="BY13">
        <v>183.3172205438</v>
      </c>
      <c r="CA13" t="s">
        <v>420</v>
      </c>
      <c r="CB13" t="s">
        <v>784</v>
      </c>
      <c r="CC13" t="s">
        <v>1023</v>
      </c>
      <c r="CD13">
        <v>37955</v>
      </c>
      <c r="CE13">
        <v>13582</v>
      </c>
      <c r="CF13">
        <v>130.6760374127</v>
      </c>
      <c r="CG13">
        <v>91189</v>
      </c>
      <c r="CH13">
        <v>3216</v>
      </c>
      <c r="CI13">
        <v>193.5358541052</v>
      </c>
      <c r="CJ13">
        <v>170.5668532338</v>
      </c>
      <c r="CL13" t="s">
        <v>420</v>
      </c>
      <c r="CM13" t="s">
        <v>765</v>
      </c>
      <c r="CN13" t="s">
        <v>771</v>
      </c>
      <c r="CO13">
        <v>1808</v>
      </c>
      <c r="CP13">
        <v>131</v>
      </c>
      <c r="CQ13">
        <v>57.6371681416</v>
      </c>
      <c r="CR13">
        <v>9479</v>
      </c>
      <c r="CS13">
        <v>282</v>
      </c>
      <c r="CT13">
        <v>61.399514716699997</v>
      </c>
      <c r="CU13">
        <v>69.503546099299996</v>
      </c>
      <c r="CW13" t="s">
        <v>420</v>
      </c>
      <c r="CX13" t="s">
        <v>775</v>
      </c>
      <c r="CY13" t="s">
        <v>781</v>
      </c>
      <c r="CZ13">
        <v>930</v>
      </c>
      <c r="DA13">
        <v>170</v>
      </c>
      <c r="DB13">
        <v>74.881720430100003</v>
      </c>
      <c r="DC13">
        <v>2222</v>
      </c>
      <c r="DD13">
        <v>78</v>
      </c>
      <c r="DE13">
        <v>137.02430243020001</v>
      </c>
      <c r="DF13">
        <v>139.26923076919999</v>
      </c>
      <c r="DH13" t="s">
        <v>420</v>
      </c>
      <c r="DI13" t="s">
        <v>755</v>
      </c>
      <c r="DJ13" t="s">
        <v>761</v>
      </c>
      <c r="DK13">
        <v>989</v>
      </c>
      <c r="DL13">
        <v>194</v>
      </c>
      <c r="DM13">
        <v>77.339737108199998</v>
      </c>
      <c r="DN13">
        <v>2640</v>
      </c>
      <c r="DO13">
        <v>75</v>
      </c>
      <c r="DP13">
        <v>169.2856060606</v>
      </c>
      <c r="DQ13">
        <v>132.14666666670001</v>
      </c>
    </row>
    <row r="14" spans="2:121" x14ac:dyDescent="0.2">
      <c r="B14" t="s">
        <v>134</v>
      </c>
      <c r="C14">
        <v>870</v>
      </c>
      <c r="D14">
        <v>35</v>
      </c>
      <c r="F14" t="s">
        <v>41</v>
      </c>
      <c r="G14">
        <v>9078</v>
      </c>
      <c r="H14">
        <v>537.30127781450005</v>
      </c>
      <c r="I14">
        <v>8424</v>
      </c>
      <c r="J14">
        <v>2373</v>
      </c>
      <c r="K14">
        <v>11335</v>
      </c>
      <c r="L14">
        <v>9424</v>
      </c>
      <c r="M14">
        <v>1598</v>
      </c>
      <c r="N14">
        <v>1549</v>
      </c>
      <c r="O14">
        <v>5056</v>
      </c>
      <c r="P14">
        <v>3981</v>
      </c>
      <c r="Q14">
        <v>15</v>
      </c>
      <c r="R14">
        <v>342</v>
      </c>
      <c r="T14" t="s">
        <v>400</v>
      </c>
      <c r="U14">
        <v>52261</v>
      </c>
      <c r="V14">
        <v>342.32113813360002</v>
      </c>
      <c r="W14">
        <v>58754</v>
      </c>
      <c r="X14">
        <v>16887</v>
      </c>
      <c r="Y14">
        <v>80529</v>
      </c>
      <c r="Z14">
        <v>41701</v>
      </c>
      <c r="AA14">
        <v>9998</v>
      </c>
      <c r="AB14">
        <v>8312</v>
      </c>
      <c r="AC14">
        <v>21554</v>
      </c>
      <c r="AD14">
        <v>16719</v>
      </c>
      <c r="AE14">
        <v>215</v>
      </c>
      <c r="AF14">
        <v>1205</v>
      </c>
      <c r="AH14" t="s">
        <v>438</v>
      </c>
      <c r="AI14">
        <v>2094</v>
      </c>
      <c r="AJ14">
        <v>269.5830945559</v>
      </c>
      <c r="AK14">
        <v>2182</v>
      </c>
      <c r="AL14">
        <v>738</v>
      </c>
      <c r="AM14">
        <v>2753</v>
      </c>
      <c r="AN14">
        <v>1576</v>
      </c>
      <c r="AO14">
        <v>373</v>
      </c>
      <c r="AP14">
        <v>331</v>
      </c>
      <c r="AQ14">
        <v>519</v>
      </c>
      <c r="AR14">
        <v>329</v>
      </c>
      <c r="AS14">
        <v>7</v>
      </c>
      <c r="AT14">
        <v>3</v>
      </c>
      <c r="AV14" t="s">
        <v>403</v>
      </c>
      <c r="AW14">
        <v>282</v>
      </c>
      <c r="AX14">
        <v>74.780141843999999</v>
      </c>
      <c r="AY14">
        <v>249</v>
      </c>
      <c r="AZ14">
        <v>17</v>
      </c>
      <c r="BA14">
        <v>442</v>
      </c>
      <c r="BB14">
        <v>64</v>
      </c>
      <c r="BC14">
        <v>7</v>
      </c>
      <c r="BD14">
        <v>7</v>
      </c>
      <c r="BE14">
        <v>48</v>
      </c>
      <c r="BF14">
        <v>4</v>
      </c>
      <c r="BG14">
        <v>332</v>
      </c>
      <c r="BH14">
        <v>36</v>
      </c>
      <c r="BJ14" t="s">
        <v>622</v>
      </c>
      <c r="BK14" t="s">
        <v>395</v>
      </c>
      <c r="BL14">
        <v>18642</v>
      </c>
      <c r="BM14">
        <v>6376</v>
      </c>
      <c r="BN14">
        <v>123.3442763652</v>
      </c>
      <c r="BO14">
        <v>44294</v>
      </c>
      <c r="BP14">
        <v>1638</v>
      </c>
      <c r="BQ14">
        <v>192.413058202</v>
      </c>
      <c r="BR14">
        <v>164.73687423690001</v>
      </c>
      <c r="BS14">
        <v>17767</v>
      </c>
      <c r="BT14">
        <v>6171</v>
      </c>
      <c r="BU14">
        <v>125.0254404233</v>
      </c>
      <c r="BV14">
        <v>43984</v>
      </c>
      <c r="BW14">
        <v>1606</v>
      </c>
      <c r="BX14">
        <v>194.84658057479999</v>
      </c>
      <c r="BY14">
        <v>164.0311332503</v>
      </c>
      <c r="CA14" t="s">
        <v>416</v>
      </c>
      <c r="CB14" t="s">
        <v>784</v>
      </c>
      <c r="CC14" t="s">
        <v>1024</v>
      </c>
      <c r="CD14">
        <v>1895</v>
      </c>
      <c r="CE14">
        <v>542</v>
      </c>
      <c r="CF14">
        <v>105.7535620053</v>
      </c>
      <c r="CG14">
        <v>4228</v>
      </c>
      <c r="CH14">
        <v>119</v>
      </c>
      <c r="CI14">
        <v>146.6553926206</v>
      </c>
      <c r="CJ14">
        <v>166.89075630249999</v>
      </c>
      <c r="CL14" t="s">
        <v>416</v>
      </c>
      <c r="CM14" t="s">
        <v>765</v>
      </c>
      <c r="CN14" t="s">
        <v>772</v>
      </c>
      <c r="CO14">
        <v>176</v>
      </c>
      <c r="CP14">
        <v>7</v>
      </c>
      <c r="CQ14">
        <v>57.852272727299997</v>
      </c>
      <c r="CR14">
        <v>943</v>
      </c>
      <c r="CS14">
        <v>25</v>
      </c>
      <c r="CT14">
        <v>65.297985153799999</v>
      </c>
      <c r="CU14">
        <v>88.6</v>
      </c>
      <c r="CW14" t="s">
        <v>416</v>
      </c>
      <c r="CX14" t="s">
        <v>775</v>
      </c>
      <c r="CY14" t="s">
        <v>782</v>
      </c>
      <c r="CZ14">
        <v>56</v>
      </c>
      <c r="DA14">
        <v>9</v>
      </c>
      <c r="DB14">
        <v>67.321428571400006</v>
      </c>
      <c r="DC14">
        <v>179</v>
      </c>
      <c r="DD14">
        <v>2</v>
      </c>
      <c r="DE14">
        <v>132.79888268159999</v>
      </c>
      <c r="DF14">
        <v>85</v>
      </c>
      <c r="DH14" t="s">
        <v>416</v>
      </c>
      <c r="DI14" t="s">
        <v>755</v>
      </c>
      <c r="DJ14" t="s">
        <v>762</v>
      </c>
      <c r="DK14">
        <v>54</v>
      </c>
      <c r="DL14">
        <v>7</v>
      </c>
      <c r="DM14">
        <v>66.722222222200003</v>
      </c>
      <c r="DN14">
        <v>174</v>
      </c>
      <c r="DO14">
        <v>4</v>
      </c>
      <c r="DP14">
        <v>163.9137931034</v>
      </c>
      <c r="DQ14">
        <v>82.5</v>
      </c>
    </row>
    <row r="15" spans="2:121" x14ac:dyDescent="0.2">
      <c r="B15" t="s">
        <v>124</v>
      </c>
      <c r="C15">
        <v>9</v>
      </c>
      <c r="D15">
        <v>2</v>
      </c>
      <c r="F15" t="s">
        <v>39</v>
      </c>
      <c r="G15">
        <v>667</v>
      </c>
      <c r="H15">
        <v>219.86806596700001</v>
      </c>
      <c r="I15">
        <v>888</v>
      </c>
      <c r="J15">
        <v>210</v>
      </c>
      <c r="K15">
        <v>978</v>
      </c>
      <c r="L15">
        <v>402</v>
      </c>
      <c r="M15">
        <v>196</v>
      </c>
      <c r="N15">
        <v>162</v>
      </c>
      <c r="O15">
        <v>110</v>
      </c>
      <c r="P15">
        <v>55</v>
      </c>
      <c r="Q15">
        <v>25</v>
      </c>
      <c r="R15">
        <v>8</v>
      </c>
      <c r="T15" t="s">
        <v>379</v>
      </c>
      <c r="U15">
        <v>112011</v>
      </c>
      <c r="V15">
        <v>399.07843872479998</v>
      </c>
      <c r="W15">
        <v>82974</v>
      </c>
      <c r="X15">
        <v>27932</v>
      </c>
      <c r="Y15">
        <v>139948</v>
      </c>
      <c r="Z15">
        <v>100005</v>
      </c>
      <c r="AA15">
        <v>17799</v>
      </c>
      <c r="AB15">
        <v>13050</v>
      </c>
      <c r="AC15">
        <v>36190</v>
      </c>
      <c r="AD15">
        <v>25432</v>
      </c>
      <c r="AE15">
        <v>7136</v>
      </c>
      <c r="AF15">
        <v>104</v>
      </c>
      <c r="AH15" t="s">
        <v>418</v>
      </c>
      <c r="AI15">
        <v>1045</v>
      </c>
      <c r="AJ15">
        <v>254.51578947370001</v>
      </c>
      <c r="AK15">
        <v>1725</v>
      </c>
      <c r="AL15">
        <v>503</v>
      </c>
      <c r="AM15">
        <v>1806</v>
      </c>
      <c r="AN15">
        <v>714</v>
      </c>
      <c r="AO15">
        <v>228</v>
      </c>
      <c r="AP15">
        <v>148</v>
      </c>
      <c r="AQ15">
        <v>252</v>
      </c>
      <c r="AR15">
        <v>133</v>
      </c>
      <c r="AS15">
        <v>1</v>
      </c>
      <c r="AT15">
        <v>10</v>
      </c>
      <c r="AV15" t="s">
        <v>422</v>
      </c>
      <c r="AW15">
        <v>146</v>
      </c>
      <c r="AX15">
        <v>40.6369863014</v>
      </c>
      <c r="AY15">
        <v>280</v>
      </c>
      <c r="AZ15">
        <v>7</v>
      </c>
      <c r="BA15">
        <v>252</v>
      </c>
      <c r="BB15">
        <v>7</v>
      </c>
      <c r="BC15">
        <v>3</v>
      </c>
      <c r="BD15">
        <v>2</v>
      </c>
      <c r="BE15">
        <v>9</v>
      </c>
      <c r="BF15">
        <v>5</v>
      </c>
      <c r="BG15">
        <v>344</v>
      </c>
      <c r="BH15">
        <v>52</v>
      </c>
      <c r="BJ15" t="s">
        <v>584</v>
      </c>
      <c r="BK15" t="s">
        <v>400</v>
      </c>
      <c r="BL15">
        <v>7450</v>
      </c>
      <c r="BM15">
        <v>2769</v>
      </c>
      <c r="BN15">
        <v>139.944295302</v>
      </c>
      <c r="BO15">
        <v>19159</v>
      </c>
      <c r="BP15">
        <v>458</v>
      </c>
      <c r="BQ15">
        <v>233.6609948327</v>
      </c>
      <c r="BR15">
        <v>217.34716157209999</v>
      </c>
      <c r="BS15">
        <v>5035</v>
      </c>
      <c r="BT15">
        <v>1195</v>
      </c>
      <c r="BU15">
        <v>118.142204568</v>
      </c>
      <c r="BV15">
        <v>12385</v>
      </c>
      <c r="BW15">
        <v>232</v>
      </c>
      <c r="BX15">
        <v>253.74178441660001</v>
      </c>
      <c r="BY15">
        <v>211.05172413790001</v>
      </c>
      <c r="CA15" t="s">
        <v>431</v>
      </c>
      <c r="CB15" t="s">
        <v>784</v>
      </c>
      <c r="CC15" t="s">
        <v>1025</v>
      </c>
      <c r="CD15">
        <v>980</v>
      </c>
      <c r="CE15">
        <v>247</v>
      </c>
      <c r="CF15">
        <v>98.7612244898</v>
      </c>
      <c r="CG15">
        <v>2444</v>
      </c>
      <c r="CH15">
        <v>61</v>
      </c>
      <c r="CI15">
        <v>135.06260229130001</v>
      </c>
      <c r="CJ15">
        <v>137.26229508200001</v>
      </c>
      <c r="CL15" t="s">
        <v>431</v>
      </c>
      <c r="CM15" t="s">
        <v>765</v>
      </c>
      <c r="CN15" t="s">
        <v>773</v>
      </c>
      <c r="CO15">
        <v>42</v>
      </c>
      <c r="CP15">
        <v>1</v>
      </c>
      <c r="CQ15">
        <v>56.285714285700003</v>
      </c>
      <c r="CR15">
        <v>221</v>
      </c>
      <c r="CS15">
        <v>2</v>
      </c>
      <c r="CT15">
        <v>68.425339366499998</v>
      </c>
      <c r="CU15">
        <v>67</v>
      </c>
      <c r="CW15" t="s">
        <v>431</v>
      </c>
      <c r="CX15" t="s">
        <v>775</v>
      </c>
      <c r="CY15" t="s">
        <v>783</v>
      </c>
      <c r="CZ15">
        <v>11</v>
      </c>
      <c r="DA15">
        <v>2</v>
      </c>
      <c r="DB15">
        <v>67.636363636400006</v>
      </c>
      <c r="DC15">
        <v>30</v>
      </c>
      <c r="DD15">
        <v>0</v>
      </c>
      <c r="DE15">
        <v>130.03333333329999</v>
      </c>
      <c r="DF15">
        <v>0</v>
      </c>
      <c r="DH15" t="s">
        <v>431</v>
      </c>
      <c r="DI15" t="s">
        <v>755</v>
      </c>
      <c r="DJ15" t="s">
        <v>763</v>
      </c>
      <c r="DK15">
        <v>11</v>
      </c>
      <c r="DL15">
        <v>3</v>
      </c>
      <c r="DM15">
        <v>102.1818181818</v>
      </c>
      <c r="DN15">
        <v>40</v>
      </c>
      <c r="DO15">
        <v>0</v>
      </c>
      <c r="DP15">
        <v>127.875</v>
      </c>
      <c r="DQ15">
        <v>0</v>
      </c>
    </row>
    <row r="16" spans="2:121" x14ac:dyDescent="0.2">
      <c r="B16" t="s">
        <v>999</v>
      </c>
      <c r="C16">
        <v>5</v>
      </c>
      <c r="F16" t="s">
        <v>64</v>
      </c>
      <c r="G16">
        <v>717</v>
      </c>
      <c r="H16">
        <v>133.9009762901</v>
      </c>
      <c r="I16">
        <v>2661</v>
      </c>
      <c r="J16">
        <v>897</v>
      </c>
      <c r="K16">
        <v>1450</v>
      </c>
      <c r="L16">
        <v>469</v>
      </c>
      <c r="M16">
        <v>267</v>
      </c>
      <c r="N16">
        <v>96</v>
      </c>
      <c r="O16">
        <v>2277</v>
      </c>
      <c r="P16">
        <v>1297</v>
      </c>
      <c r="Q16">
        <v>0</v>
      </c>
      <c r="R16">
        <v>2</v>
      </c>
      <c r="T16" t="s">
        <v>8</v>
      </c>
      <c r="U16">
        <v>51</v>
      </c>
      <c r="V16">
        <v>785.01960784309995</v>
      </c>
      <c r="W16">
        <v>1</v>
      </c>
      <c r="Y16">
        <v>54</v>
      </c>
      <c r="Z16">
        <v>54</v>
      </c>
      <c r="AA16">
        <v>1</v>
      </c>
      <c r="AB16">
        <v>1</v>
      </c>
      <c r="AC16">
        <v>16122</v>
      </c>
      <c r="AD16">
        <v>3891</v>
      </c>
      <c r="AE16">
        <v>0</v>
      </c>
      <c r="AF16">
        <v>2</v>
      </c>
      <c r="AH16" t="s">
        <v>404</v>
      </c>
      <c r="AI16">
        <v>8099</v>
      </c>
      <c r="AJ16">
        <v>468.23891838499998</v>
      </c>
      <c r="AK16">
        <v>8012</v>
      </c>
      <c r="AL16">
        <v>2899</v>
      </c>
      <c r="AM16">
        <v>10531</v>
      </c>
      <c r="AN16">
        <v>7457</v>
      </c>
      <c r="AO16">
        <v>1517</v>
      </c>
      <c r="AP16">
        <v>1371</v>
      </c>
      <c r="AQ16">
        <v>3194</v>
      </c>
      <c r="AR16">
        <v>2477</v>
      </c>
      <c r="AS16">
        <v>29</v>
      </c>
      <c r="AT16">
        <v>281</v>
      </c>
      <c r="AV16" t="s">
        <v>385</v>
      </c>
      <c r="AW16">
        <v>1367</v>
      </c>
      <c r="AX16">
        <v>89.3767373811</v>
      </c>
      <c r="AY16">
        <v>1689</v>
      </c>
      <c r="AZ16">
        <v>297</v>
      </c>
      <c r="BA16">
        <v>2146</v>
      </c>
      <c r="BB16">
        <v>527</v>
      </c>
      <c r="BC16">
        <v>57</v>
      </c>
      <c r="BD16">
        <v>57</v>
      </c>
      <c r="BE16">
        <v>616</v>
      </c>
      <c r="BF16">
        <v>85</v>
      </c>
      <c r="BG16">
        <v>147</v>
      </c>
      <c r="BH16">
        <v>353</v>
      </c>
      <c r="BJ16" t="s">
        <v>576</v>
      </c>
      <c r="BK16" t="s">
        <v>400</v>
      </c>
      <c r="BL16">
        <v>8588</v>
      </c>
      <c r="BM16">
        <v>2408</v>
      </c>
      <c r="BN16">
        <v>111.5638099674</v>
      </c>
      <c r="BO16">
        <v>23382</v>
      </c>
      <c r="BP16">
        <v>756</v>
      </c>
      <c r="BQ16">
        <v>164.6879223334</v>
      </c>
      <c r="BR16">
        <v>134.35052910050001</v>
      </c>
      <c r="BS16">
        <v>11572</v>
      </c>
      <c r="BT16">
        <v>4670</v>
      </c>
      <c r="BU16">
        <v>138.5711199447</v>
      </c>
      <c r="BV16">
        <v>29850</v>
      </c>
      <c r="BW16">
        <v>1036</v>
      </c>
      <c r="BX16">
        <v>179.5461976549</v>
      </c>
      <c r="BY16">
        <v>157.23262548260001</v>
      </c>
      <c r="CA16" t="s">
        <v>395</v>
      </c>
      <c r="CB16" t="s">
        <v>784</v>
      </c>
      <c r="CD16">
        <v>70519</v>
      </c>
      <c r="CE16">
        <v>24305</v>
      </c>
      <c r="CF16">
        <v>125.04461209039999</v>
      </c>
      <c r="CG16">
        <v>175780</v>
      </c>
      <c r="CH16">
        <v>6144</v>
      </c>
      <c r="CI16">
        <v>186.48745591080001</v>
      </c>
      <c r="CJ16">
        <v>164.2919921875</v>
      </c>
      <c r="CL16" t="s">
        <v>395</v>
      </c>
      <c r="CM16" t="s">
        <v>765</v>
      </c>
      <c r="CO16">
        <v>3588</v>
      </c>
      <c r="CP16">
        <v>260</v>
      </c>
      <c r="CQ16">
        <v>57.558249721300001</v>
      </c>
      <c r="CR16">
        <v>20801</v>
      </c>
      <c r="CS16">
        <v>584</v>
      </c>
      <c r="CT16">
        <v>59.194077207799999</v>
      </c>
      <c r="CU16">
        <v>63.041095890400001</v>
      </c>
      <c r="CW16" t="s">
        <v>395</v>
      </c>
      <c r="CX16" t="s">
        <v>775</v>
      </c>
      <c r="CZ16">
        <v>1584</v>
      </c>
      <c r="DA16">
        <v>288</v>
      </c>
      <c r="DB16">
        <v>74.012626262599994</v>
      </c>
      <c r="DC16">
        <v>3880</v>
      </c>
      <c r="DD16">
        <v>121</v>
      </c>
      <c r="DE16">
        <v>134.39664948449999</v>
      </c>
      <c r="DF16">
        <v>132.80991735539999</v>
      </c>
      <c r="DH16" t="s">
        <v>395</v>
      </c>
      <c r="DI16" t="s">
        <v>755</v>
      </c>
      <c r="DK16">
        <v>1836</v>
      </c>
      <c r="DL16">
        <v>307</v>
      </c>
      <c r="DM16">
        <v>73.015795206999996</v>
      </c>
      <c r="DN16">
        <v>5133</v>
      </c>
      <c r="DO16">
        <v>169</v>
      </c>
      <c r="DP16">
        <v>163.99902591079999</v>
      </c>
      <c r="DQ16">
        <v>135.56804733729999</v>
      </c>
    </row>
    <row r="17" spans="2:121" x14ac:dyDescent="0.2">
      <c r="B17" t="s">
        <v>125</v>
      </c>
      <c r="C17">
        <v>131</v>
      </c>
      <c r="D17">
        <v>121</v>
      </c>
      <c r="F17" t="s">
        <v>73</v>
      </c>
      <c r="G17">
        <v>8609</v>
      </c>
      <c r="H17">
        <v>238.0792194215</v>
      </c>
      <c r="I17">
        <v>5187</v>
      </c>
      <c r="J17">
        <v>1059</v>
      </c>
      <c r="K17">
        <v>16455</v>
      </c>
      <c r="L17">
        <v>7826</v>
      </c>
      <c r="M17">
        <v>975</v>
      </c>
      <c r="N17">
        <v>568</v>
      </c>
      <c r="O17">
        <v>139</v>
      </c>
      <c r="P17">
        <v>63</v>
      </c>
      <c r="Q17">
        <v>0</v>
      </c>
      <c r="R17">
        <v>4</v>
      </c>
      <c r="T17" t="s">
        <v>414</v>
      </c>
      <c r="U17">
        <v>69989</v>
      </c>
      <c r="V17">
        <v>370.18472902880001</v>
      </c>
      <c r="W17">
        <v>68590</v>
      </c>
      <c r="X17">
        <v>22539</v>
      </c>
      <c r="Y17">
        <v>94897</v>
      </c>
      <c r="Z17">
        <v>60695</v>
      </c>
      <c r="AA17">
        <v>17844</v>
      </c>
      <c r="AB17">
        <v>15161</v>
      </c>
      <c r="AC17">
        <v>25351</v>
      </c>
      <c r="AD17">
        <v>18854</v>
      </c>
      <c r="AE17">
        <v>355</v>
      </c>
      <c r="AF17">
        <v>692</v>
      </c>
      <c r="AH17" t="s">
        <v>402</v>
      </c>
      <c r="AI17">
        <v>7409</v>
      </c>
      <c r="AJ17">
        <v>609.19246861919999</v>
      </c>
      <c r="AK17">
        <v>5356</v>
      </c>
      <c r="AL17">
        <v>1846</v>
      </c>
      <c r="AM17">
        <v>9674</v>
      </c>
      <c r="AN17">
        <v>7204</v>
      </c>
      <c r="AO17">
        <v>1172</v>
      </c>
      <c r="AP17">
        <v>1020</v>
      </c>
      <c r="AQ17">
        <v>2222</v>
      </c>
      <c r="AR17">
        <v>1584</v>
      </c>
      <c r="AS17">
        <v>17</v>
      </c>
      <c r="AT17">
        <v>198</v>
      </c>
      <c r="AV17" t="s">
        <v>438</v>
      </c>
      <c r="AW17">
        <v>15</v>
      </c>
      <c r="AX17">
        <v>54</v>
      </c>
      <c r="AY17">
        <v>29</v>
      </c>
      <c r="BA17">
        <v>22</v>
      </c>
      <c r="BB17">
        <v>3</v>
      </c>
      <c r="BC17">
        <v>3</v>
      </c>
      <c r="BD17">
        <v>2</v>
      </c>
      <c r="BE17">
        <v>0</v>
      </c>
      <c r="BG17">
        <v>35</v>
      </c>
      <c r="BH17">
        <v>8</v>
      </c>
      <c r="BJ17" t="s">
        <v>593</v>
      </c>
      <c r="BK17" t="s">
        <v>400</v>
      </c>
      <c r="BL17">
        <v>2531</v>
      </c>
      <c r="BM17">
        <v>622</v>
      </c>
      <c r="BN17">
        <v>95.104306598199997</v>
      </c>
      <c r="BO17">
        <v>6554</v>
      </c>
      <c r="BP17">
        <v>186</v>
      </c>
      <c r="BQ17">
        <v>152.66905706439999</v>
      </c>
      <c r="BR17">
        <v>167.38172043009999</v>
      </c>
      <c r="BS17">
        <v>3173</v>
      </c>
      <c r="BT17">
        <v>1272</v>
      </c>
      <c r="BU17">
        <v>134.93318625910001</v>
      </c>
      <c r="BV17">
        <v>9288</v>
      </c>
      <c r="BW17">
        <v>283</v>
      </c>
      <c r="BX17">
        <v>181.29844961239999</v>
      </c>
      <c r="BY17">
        <v>202.1943462898</v>
      </c>
      <c r="CA17" t="s">
        <v>404</v>
      </c>
      <c r="CB17" t="s">
        <v>824</v>
      </c>
      <c r="CC17" t="s">
        <v>1026</v>
      </c>
      <c r="CD17">
        <v>7666</v>
      </c>
      <c r="CE17">
        <v>2870</v>
      </c>
      <c r="CF17">
        <v>139.644142969</v>
      </c>
      <c r="CG17">
        <v>19866</v>
      </c>
      <c r="CH17">
        <v>503</v>
      </c>
      <c r="CI17">
        <v>224.3575958925</v>
      </c>
      <c r="CJ17">
        <v>204.40357852880001</v>
      </c>
      <c r="CL17" t="s">
        <v>404</v>
      </c>
      <c r="CM17" t="s">
        <v>799</v>
      </c>
      <c r="CN17" t="s">
        <v>798</v>
      </c>
      <c r="CO17">
        <v>512</v>
      </c>
      <c r="CP17">
        <v>43</v>
      </c>
      <c r="CQ17">
        <v>52.365234375</v>
      </c>
      <c r="CR17">
        <v>3616</v>
      </c>
      <c r="CS17">
        <v>89</v>
      </c>
      <c r="CT17">
        <v>51.7641039823</v>
      </c>
      <c r="CU17">
        <v>44.5168539326</v>
      </c>
      <c r="CW17" t="s">
        <v>404</v>
      </c>
      <c r="CX17" t="s">
        <v>812</v>
      </c>
      <c r="CY17" t="s">
        <v>811</v>
      </c>
      <c r="CZ17">
        <v>189</v>
      </c>
      <c r="DA17">
        <v>37</v>
      </c>
      <c r="DB17">
        <v>78.825396825400006</v>
      </c>
      <c r="DC17">
        <v>477</v>
      </c>
      <c r="DD17">
        <v>12</v>
      </c>
      <c r="DE17">
        <v>141.0062893082</v>
      </c>
      <c r="DF17">
        <v>139.1666666667</v>
      </c>
      <c r="DH17" t="s">
        <v>404</v>
      </c>
      <c r="DI17" t="s">
        <v>786</v>
      </c>
      <c r="DJ17" t="s">
        <v>785</v>
      </c>
      <c r="DK17">
        <v>157</v>
      </c>
      <c r="DL17">
        <v>26</v>
      </c>
      <c r="DM17">
        <v>74.171974522300005</v>
      </c>
      <c r="DN17">
        <v>440</v>
      </c>
      <c r="DO17">
        <v>17</v>
      </c>
      <c r="DP17">
        <v>150.0431818182</v>
      </c>
      <c r="DQ17">
        <v>103.1176470588</v>
      </c>
    </row>
    <row r="18" spans="2:121" x14ac:dyDescent="0.2">
      <c r="B18" t="s">
        <v>97</v>
      </c>
      <c r="C18">
        <v>8</v>
      </c>
      <c r="D18">
        <v>5</v>
      </c>
      <c r="F18" t="s">
        <v>86</v>
      </c>
      <c r="G18">
        <v>15927</v>
      </c>
      <c r="H18">
        <v>332.41018396430002</v>
      </c>
      <c r="I18">
        <v>24105</v>
      </c>
      <c r="J18">
        <v>8085</v>
      </c>
      <c r="K18">
        <v>23920</v>
      </c>
      <c r="L18">
        <v>13723</v>
      </c>
      <c r="M18">
        <v>4712</v>
      </c>
      <c r="N18">
        <v>3867</v>
      </c>
      <c r="O18">
        <v>7195</v>
      </c>
      <c r="P18">
        <v>4010</v>
      </c>
      <c r="Q18">
        <v>0</v>
      </c>
      <c r="R18">
        <v>20</v>
      </c>
      <c r="T18" t="s">
        <v>390</v>
      </c>
      <c r="U18">
        <v>69540</v>
      </c>
      <c r="V18">
        <v>347.19985619789998</v>
      </c>
      <c r="W18">
        <v>75888</v>
      </c>
      <c r="X18">
        <v>28399</v>
      </c>
      <c r="Y18">
        <v>96933</v>
      </c>
      <c r="Z18">
        <v>63390</v>
      </c>
      <c r="AA18">
        <v>17479</v>
      </c>
      <c r="AB18">
        <v>14845</v>
      </c>
      <c r="AC18">
        <v>31715</v>
      </c>
      <c r="AD18">
        <v>22112</v>
      </c>
      <c r="AE18">
        <v>157</v>
      </c>
      <c r="AF18">
        <v>1107</v>
      </c>
      <c r="AH18" t="s">
        <v>409</v>
      </c>
      <c r="AI18">
        <v>1912</v>
      </c>
      <c r="AJ18">
        <v>168.55805439330001</v>
      </c>
      <c r="AK18">
        <v>2669</v>
      </c>
      <c r="AL18">
        <v>674</v>
      </c>
      <c r="AM18">
        <v>3412</v>
      </c>
      <c r="AN18">
        <v>1434</v>
      </c>
      <c r="AO18">
        <v>274</v>
      </c>
      <c r="AP18">
        <v>220</v>
      </c>
      <c r="AQ18">
        <v>1232</v>
      </c>
      <c r="AR18">
        <v>1045</v>
      </c>
      <c r="AS18">
        <v>2</v>
      </c>
      <c r="AT18">
        <v>12</v>
      </c>
      <c r="AV18" t="s">
        <v>409</v>
      </c>
      <c r="AW18">
        <v>118</v>
      </c>
      <c r="AX18">
        <v>43.627118644100001</v>
      </c>
      <c r="AY18">
        <v>298</v>
      </c>
      <c r="AZ18">
        <v>6</v>
      </c>
      <c r="BA18">
        <v>206</v>
      </c>
      <c r="BB18">
        <v>8</v>
      </c>
      <c r="BC18">
        <v>1</v>
      </c>
      <c r="BD18">
        <v>1</v>
      </c>
      <c r="BE18">
        <v>1</v>
      </c>
      <c r="BG18">
        <v>198</v>
      </c>
      <c r="BH18">
        <v>25</v>
      </c>
      <c r="BJ18" t="s">
        <v>586</v>
      </c>
      <c r="BK18" t="s">
        <v>400</v>
      </c>
      <c r="BL18">
        <v>8158</v>
      </c>
      <c r="BM18">
        <v>2507</v>
      </c>
      <c r="BN18">
        <v>110.1341014955</v>
      </c>
      <c r="BO18">
        <v>19510</v>
      </c>
      <c r="BP18">
        <v>585</v>
      </c>
      <c r="BQ18">
        <v>178.24843669910001</v>
      </c>
      <c r="BR18">
        <v>159.08547008549999</v>
      </c>
      <c r="BS18">
        <v>8718</v>
      </c>
      <c r="BT18">
        <v>2891</v>
      </c>
      <c r="BU18">
        <v>114.7819454003</v>
      </c>
      <c r="BV18">
        <v>21572</v>
      </c>
      <c r="BW18">
        <v>646</v>
      </c>
      <c r="BX18">
        <v>179.46560356020001</v>
      </c>
      <c r="BY18">
        <v>164.24148606809999</v>
      </c>
      <c r="CA18" t="s">
        <v>402</v>
      </c>
      <c r="CB18" t="s">
        <v>824</v>
      </c>
      <c r="CC18" t="s">
        <v>1027</v>
      </c>
      <c r="CD18">
        <v>5404</v>
      </c>
      <c r="CE18">
        <v>1882</v>
      </c>
      <c r="CF18">
        <v>126.68060695779999</v>
      </c>
      <c r="CG18">
        <v>17318</v>
      </c>
      <c r="CH18">
        <v>527</v>
      </c>
      <c r="CI18">
        <v>209.03851484009999</v>
      </c>
      <c r="CJ18">
        <v>169.08918406070001</v>
      </c>
      <c r="CL18" t="s">
        <v>402</v>
      </c>
      <c r="CM18" t="s">
        <v>799</v>
      </c>
      <c r="CN18" t="s">
        <v>800</v>
      </c>
      <c r="CO18">
        <v>330</v>
      </c>
      <c r="CP18">
        <v>26</v>
      </c>
      <c r="CQ18">
        <v>54.021212121200001</v>
      </c>
      <c r="CR18">
        <v>2296</v>
      </c>
      <c r="CS18">
        <v>49</v>
      </c>
      <c r="CT18">
        <v>54.429878048799999</v>
      </c>
      <c r="CU18">
        <v>54.183673469399999</v>
      </c>
      <c r="CW18" t="s">
        <v>402</v>
      </c>
      <c r="CX18" t="s">
        <v>812</v>
      </c>
      <c r="CY18" t="s">
        <v>813</v>
      </c>
      <c r="CZ18">
        <v>87</v>
      </c>
      <c r="DA18">
        <v>14</v>
      </c>
      <c r="DB18">
        <v>76.609195402300003</v>
      </c>
      <c r="DC18">
        <v>217</v>
      </c>
      <c r="DD18">
        <v>4</v>
      </c>
      <c r="DE18">
        <v>136.00460829490001</v>
      </c>
      <c r="DF18">
        <v>103.25</v>
      </c>
      <c r="DH18" t="s">
        <v>402</v>
      </c>
      <c r="DI18" t="s">
        <v>786</v>
      </c>
      <c r="DJ18" t="s">
        <v>787</v>
      </c>
      <c r="DK18">
        <v>81</v>
      </c>
      <c r="DL18">
        <v>14</v>
      </c>
      <c r="DM18">
        <v>71.061728395100005</v>
      </c>
      <c r="DN18">
        <v>149</v>
      </c>
      <c r="DO18">
        <v>6</v>
      </c>
      <c r="DP18">
        <v>142.47651006710001</v>
      </c>
      <c r="DQ18">
        <v>126.5</v>
      </c>
    </row>
    <row r="19" spans="2:121" x14ac:dyDescent="0.2">
      <c r="B19" t="s">
        <v>129</v>
      </c>
      <c r="C19">
        <v>43</v>
      </c>
      <c r="D19">
        <v>24</v>
      </c>
      <c r="F19" t="s">
        <v>71</v>
      </c>
      <c r="G19">
        <v>3666</v>
      </c>
      <c r="H19">
        <v>484.00681942170002</v>
      </c>
      <c r="I19">
        <v>3825</v>
      </c>
      <c r="J19">
        <v>1401</v>
      </c>
      <c r="K19">
        <v>4561</v>
      </c>
      <c r="L19">
        <v>3340</v>
      </c>
      <c r="M19">
        <v>378</v>
      </c>
      <c r="N19">
        <v>344</v>
      </c>
      <c r="O19">
        <v>1148</v>
      </c>
      <c r="P19">
        <v>761</v>
      </c>
      <c r="Q19">
        <v>1</v>
      </c>
      <c r="R19">
        <v>105</v>
      </c>
      <c r="T19" t="s">
        <v>471</v>
      </c>
      <c r="U19">
        <v>366498</v>
      </c>
      <c r="V19">
        <v>362.9702017473</v>
      </c>
      <c r="W19">
        <v>357456</v>
      </c>
      <c r="X19">
        <v>120881</v>
      </c>
      <c r="Y19">
        <v>504355</v>
      </c>
      <c r="Z19">
        <v>318450</v>
      </c>
      <c r="AA19">
        <v>76457</v>
      </c>
      <c r="AB19">
        <v>61028</v>
      </c>
      <c r="AC19">
        <v>157619</v>
      </c>
      <c r="AD19">
        <v>107533</v>
      </c>
      <c r="AE19">
        <v>7977</v>
      </c>
      <c r="AF19">
        <v>4360</v>
      </c>
      <c r="AH19" t="s">
        <v>432</v>
      </c>
      <c r="AI19">
        <v>2474</v>
      </c>
      <c r="AJ19">
        <v>208.1160064673</v>
      </c>
      <c r="AK19">
        <v>2821</v>
      </c>
      <c r="AL19">
        <v>813</v>
      </c>
      <c r="AM19">
        <v>3729</v>
      </c>
      <c r="AN19">
        <v>1576</v>
      </c>
      <c r="AO19">
        <v>399</v>
      </c>
      <c r="AP19">
        <v>256</v>
      </c>
      <c r="AQ19">
        <v>410</v>
      </c>
      <c r="AR19">
        <v>228</v>
      </c>
      <c r="AS19">
        <v>2</v>
      </c>
      <c r="AT19">
        <v>14</v>
      </c>
      <c r="AV19" t="s">
        <v>8</v>
      </c>
      <c r="AW19">
        <v>200</v>
      </c>
      <c r="AX19">
        <v>78.254999999999995</v>
      </c>
      <c r="AY19">
        <v>186</v>
      </c>
      <c r="AZ19">
        <v>64</v>
      </c>
      <c r="BA19">
        <v>471</v>
      </c>
      <c r="BB19">
        <v>166</v>
      </c>
      <c r="BC19">
        <v>27</v>
      </c>
      <c r="BD19">
        <v>25</v>
      </c>
      <c r="BE19">
        <v>147</v>
      </c>
      <c r="BF19">
        <v>20</v>
      </c>
      <c r="BG19">
        <v>60</v>
      </c>
      <c r="BH19">
        <v>16</v>
      </c>
      <c r="BJ19" t="s">
        <v>650</v>
      </c>
      <c r="BK19" t="s">
        <v>400</v>
      </c>
      <c r="BL19">
        <v>987</v>
      </c>
      <c r="BM19">
        <v>221</v>
      </c>
      <c r="BN19">
        <v>86.510638297900002</v>
      </c>
      <c r="BO19">
        <v>2748</v>
      </c>
      <c r="BP19">
        <v>74</v>
      </c>
      <c r="BQ19">
        <v>134.45560407569999</v>
      </c>
      <c r="BR19">
        <v>116.0945945946</v>
      </c>
      <c r="BS19">
        <v>1456</v>
      </c>
      <c r="BT19">
        <v>593</v>
      </c>
      <c r="BU19">
        <v>134.0865384615</v>
      </c>
      <c r="BV19">
        <v>3535</v>
      </c>
      <c r="BW19">
        <v>102</v>
      </c>
      <c r="BX19">
        <v>155.5646393211</v>
      </c>
      <c r="BY19">
        <v>150.4607843137</v>
      </c>
      <c r="CA19" t="s">
        <v>409</v>
      </c>
      <c r="CB19" t="s">
        <v>824</v>
      </c>
      <c r="CC19" t="s">
        <v>1028</v>
      </c>
      <c r="CD19">
        <v>2594</v>
      </c>
      <c r="CE19">
        <v>654</v>
      </c>
      <c r="CF19">
        <v>96.192752505800001</v>
      </c>
      <c r="CG19">
        <v>6815</v>
      </c>
      <c r="CH19">
        <v>195</v>
      </c>
      <c r="CI19">
        <v>151.9487894351</v>
      </c>
      <c r="CJ19">
        <v>163.64615384620001</v>
      </c>
      <c r="CL19" t="s">
        <v>409</v>
      </c>
      <c r="CM19" t="s">
        <v>799</v>
      </c>
      <c r="CN19" t="s">
        <v>801</v>
      </c>
      <c r="CO19">
        <v>267</v>
      </c>
      <c r="CP19">
        <v>12</v>
      </c>
      <c r="CQ19">
        <v>50.981273408200003</v>
      </c>
      <c r="CR19">
        <v>1514</v>
      </c>
      <c r="CS19">
        <v>41</v>
      </c>
      <c r="CT19">
        <v>55.534346102999997</v>
      </c>
      <c r="CU19">
        <v>67.365853658500001</v>
      </c>
      <c r="CW19" t="s">
        <v>409</v>
      </c>
      <c r="CX19" t="s">
        <v>812</v>
      </c>
      <c r="CY19" t="s">
        <v>814</v>
      </c>
      <c r="CZ19">
        <v>50</v>
      </c>
      <c r="DA19">
        <v>4</v>
      </c>
      <c r="DB19">
        <v>48.8</v>
      </c>
      <c r="DC19">
        <v>115</v>
      </c>
      <c r="DD19">
        <v>4</v>
      </c>
      <c r="DE19">
        <v>121.13913043479999</v>
      </c>
      <c r="DF19">
        <v>119.75</v>
      </c>
      <c r="DH19" t="s">
        <v>409</v>
      </c>
      <c r="DI19" t="s">
        <v>786</v>
      </c>
      <c r="DJ19" t="s">
        <v>788</v>
      </c>
      <c r="DK19">
        <v>38</v>
      </c>
      <c r="DL19">
        <v>4</v>
      </c>
      <c r="DM19">
        <v>71.473684210499997</v>
      </c>
      <c r="DN19">
        <v>72</v>
      </c>
      <c r="DO19">
        <v>2</v>
      </c>
      <c r="DP19">
        <v>157.2222222222</v>
      </c>
      <c r="DQ19">
        <v>128</v>
      </c>
    </row>
    <row r="20" spans="2:121" x14ac:dyDescent="0.2">
      <c r="B20" t="s">
        <v>122</v>
      </c>
      <c r="C20">
        <v>12121</v>
      </c>
      <c r="D20">
        <v>2283</v>
      </c>
      <c r="F20" t="s">
        <v>77</v>
      </c>
      <c r="G20">
        <v>871</v>
      </c>
      <c r="H20">
        <v>70.842709529299995</v>
      </c>
      <c r="I20">
        <v>886</v>
      </c>
      <c r="J20">
        <v>251</v>
      </c>
      <c r="K20">
        <v>1101</v>
      </c>
      <c r="L20">
        <v>131</v>
      </c>
      <c r="M20">
        <v>752</v>
      </c>
      <c r="N20">
        <v>115</v>
      </c>
      <c r="O20">
        <v>22</v>
      </c>
      <c r="P20">
        <v>12</v>
      </c>
      <c r="Q20">
        <v>0</v>
      </c>
      <c r="R20">
        <v>2</v>
      </c>
      <c r="AH20" t="s">
        <v>403</v>
      </c>
      <c r="AI20">
        <v>7482</v>
      </c>
      <c r="AJ20">
        <v>525.9875701684</v>
      </c>
      <c r="AK20">
        <v>4595</v>
      </c>
      <c r="AL20">
        <v>1657</v>
      </c>
      <c r="AM20">
        <v>10045</v>
      </c>
      <c r="AN20">
        <v>7433</v>
      </c>
      <c r="AO20">
        <v>1972</v>
      </c>
      <c r="AP20">
        <v>1790</v>
      </c>
      <c r="AQ20">
        <v>1038</v>
      </c>
      <c r="AR20">
        <v>612</v>
      </c>
      <c r="AS20">
        <v>51</v>
      </c>
      <c r="AT20">
        <v>154</v>
      </c>
      <c r="AV20" t="s">
        <v>392</v>
      </c>
      <c r="AW20">
        <v>1221</v>
      </c>
      <c r="AX20">
        <v>95.995904995900005</v>
      </c>
      <c r="AY20">
        <v>960</v>
      </c>
      <c r="AZ20">
        <v>149</v>
      </c>
      <c r="BA20">
        <v>2137</v>
      </c>
      <c r="BB20">
        <v>502</v>
      </c>
      <c r="BC20">
        <v>68</v>
      </c>
      <c r="BD20">
        <v>65</v>
      </c>
      <c r="BE20">
        <v>562</v>
      </c>
      <c r="BF20">
        <v>85</v>
      </c>
      <c r="BG20">
        <v>196</v>
      </c>
      <c r="BH20">
        <v>319</v>
      </c>
      <c r="BJ20" t="s">
        <v>578</v>
      </c>
      <c r="BK20" t="s">
        <v>400</v>
      </c>
      <c r="BL20">
        <v>5274</v>
      </c>
      <c r="BM20">
        <v>1828</v>
      </c>
      <c r="BN20">
        <v>126.7271520667</v>
      </c>
      <c r="BO20">
        <v>16495</v>
      </c>
      <c r="BP20">
        <v>506</v>
      </c>
      <c r="BQ20">
        <v>216.4206123068</v>
      </c>
      <c r="BR20">
        <v>172.5909090909</v>
      </c>
      <c r="BS20">
        <v>5351</v>
      </c>
      <c r="BT20">
        <v>1551</v>
      </c>
      <c r="BU20">
        <v>123.8129321622</v>
      </c>
      <c r="BV20">
        <v>12485</v>
      </c>
      <c r="BW20">
        <v>445</v>
      </c>
      <c r="BX20">
        <v>220.16235482580001</v>
      </c>
      <c r="BY20">
        <v>163.9483146067</v>
      </c>
      <c r="CA20" t="s">
        <v>432</v>
      </c>
      <c r="CB20" t="s">
        <v>824</v>
      </c>
      <c r="CC20" t="s">
        <v>1029</v>
      </c>
      <c r="CD20">
        <v>2733</v>
      </c>
      <c r="CE20">
        <v>786</v>
      </c>
      <c r="CF20">
        <v>104.2433223564</v>
      </c>
      <c r="CG20">
        <v>7319</v>
      </c>
      <c r="CH20">
        <v>250</v>
      </c>
      <c r="CI20">
        <v>165.2621942888</v>
      </c>
      <c r="CJ20">
        <v>131.452</v>
      </c>
      <c r="CL20" t="s">
        <v>432</v>
      </c>
      <c r="CM20" t="s">
        <v>799</v>
      </c>
      <c r="CN20" t="s">
        <v>802</v>
      </c>
      <c r="CO20">
        <v>237</v>
      </c>
      <c r="CP20">
        <v>13</v>
      </c>
      <c r="CQ20">
        <v>56.831223628700002</v>
      </c>
      <c r="CR20">
        <v>1301</v>
      </c>
      <c r="CS20">
        <v>50</v>
      </c>
      <c r="CT20">
        <v>62.831667947699998</v>
      </c>
      <c r="CU20">
        <v>66.8</v>
      </c>
      <c r="CW20" t="s">
        <v>432</v>
      </c>
      <c r="CX20" t="s">
        <v>812</v>
      </c>
      <c r="CY20" t="s">
        <v>815</v>
      </c>
      <c r="CZ20">
        <v>86</v>
      </c>
      <c r="DA20">
        <v>13</v>
      </c>
      <c r="DB20">
        <v>71.279069767400003</v>
      </c>
      <c r="DC20">
        <v>221</v>
      </c>
      <c r="DD20">
        <v>5</v>
      </c>
      <c r="DE20">
        <v>128.5429864253</v>
      </c>
      <c r="DF20">
        <v>121.8</v>
      </c>
      <c r="DH20" t="s">
        <v>432</v>
      </c>
      <c r="DI20" t="s">
        <v>786</v>
      </c>
      <c r="DJ20" t="s">
        <v>789</v>
      </c>
      <c r="DK20">
        <v>140</v>
      </c>
      <c r="DL20">
        <v>20</v>
      </c>
      <c r="DM20">
        <v>64.849999999999994</v>
      </c>
      <c r="DN20">
        <v>256</v>
      </c>
      <c r="DO20">
        <v>11</v>
      </c>
      <c r="DP20">
        <v>164.78125</v>
      </c>
      <c r="DQ20">
        <v>121.2727272727</v>
      </c>
    </row>
    <row r="21" spans="2:121" x14ac:dyDescent="0.2">
      <c r="B21" t="s">
        <v>324</v>
      </c>
      <c r="C21">
        <v>1</v>
      </c>
      <c r="D21">
        <v>1</v>
      </c>
      <c r="F21" t="s">
        <v>8</v>
      </c>
      <c r="G21">
        <v>51</v>
      </c>
      <c r="H21">
        <v>785.01960784309995</v>
      </c>
      <c r="I21">
        <v>1</v>
      </c>
      <c r="K21">
        <v>54</v>
      </c>
      <c r="L21">
        <v>54</v>
      </c>
      <c r="M21">
        <v>1</v>
      </c>
      <c r="N21">
        <v>1</v>
      </c>
      <c r="O21">
        <v>16122</v>
      </c>
      <c r="P21">
        <v>3891</v>
      </c>
      <c r="Q21">
        <v>0</v>
      </c>
      <c r="R21">
        <v>2</v>
      </c>
      <c r="AH21" t="s">
        <v>397</v>
      </c>
      <c r="AI21">
        <v>7300</v>
      </c>
      <c r="AJ21">
        <v>394.62</v>
      </c>
      <c r="AK21">
        <v>6202</v>
      </c>
      <c r="AL21">
        <v>2035</v>
      </c>
      <c r="AM21">
        <v>9784</v>
      </c>
      <c r="AN21">
        <v>6099</v>
      </c>
      <c r="AO21">
        <v>670</v>
      </c>
      <c r="AP21">
        <v>564</v>
      </c>
      <c r="AQ21">
        <v>1086</v>
      </c>
      <c r="AR21">
        <v>564</v>
      </c>
      <c r="AS21">
        <v>8</v>
      </c>
      <c r="AT21">
        <v>311</v>
      </c>
      <c r="AV21" t="s">
        <v>386</v>
      </c>
      <c r="AW21">
        <v>326</v>
      </c>
      <c r="AX21">
        <v>90.426380368099998</v>
      </c>
      <c r="AY21">
        <v>395</v>
      </c>
      <c r="AZ21">
        <v>55</v>
      </c>
      <c r="BA21">
        <v>516</v>
      </c>
      <c r="BB21">
        <v>129</v>
      </c>
      <c r="BC21">
        <v>25</v>
      </c>
      <c r="BD21">
        <v>24</v>
      </c>
      <c r="BE21">
        <v>166</v>
      </c>
      <c r="BF21">
        <v>28</v>
      </c>
      <c r="BG21">
        <v>67</v>
      </c>
      <c r="BH21">
        <v>136</v>
      </c>
      <c r="BJ21" t="s">
        <v>595</v>
      </c>
      <c r="BK21" t="s">
        <v>400</v>
      </c>
      <c r="BL21">
        <v>2401</v>
      </c>
      <c r="BM21">
        <v>441</v>
      </c>
      <c r="BN21">
        <v>85.848396501500005</v>
      </c>
      <c r="BO21">
        <v>5181</v>
      </c>
      <c r="BP21">
        <v>181</v>
      </c>
      <c r="BQ21">
        <v>123.2117351863</v>
      </c>
      <c r="BR21">
        <v>150.09944751379999</v>
      </c>
      <c r="BS21">
        <v>5962</v>
      </c>
      <c r="BT21">
        <v>1845</v>
      </c>
      <c r="BU21">
        <v>115.0380744717</v>
      </c>
      <c r="BV21">
        <v>14614</v>
      </c>
      <c r="BW21">
        <v>645</v>
      </c>
      <c r="BX21">
        <v>179.2569453948</v>
      </c>
      <c r="BY21">
        <v>186.0279069767</v>
      </c>
      <c r="CA21" t="s">
        <v>405</v>
      </c>
      <c r="CB21" t="s">
        <v>824</v>
      </c>
      <c r="CC21" t="s">
        <v>1030</v>
      </c>
      <c r="CD21">
        <v>8107</v>
      </c>
      <c r="CE21">
        <v>2558</v>
      </c>
      <c r="CF21">
        <v>112.28296533859999</v>
      </c>
      <c r="CG21">
        <v>19986</v>
      </c>
      <c r="CH21">
        <v>613</v>
      </c>
      <c r="CI21">
        <v>174.38271790249999</v>
      </c>
      <c r="CJ21">
        <v>155.02446982059999</v>
      </c>
      <c r="CL21" t="s">
        <v>405</v>
      </c>
      <c r="CM21" t="s">
        <v>799</v>
      </c>
      <c r="CN21" t="s">
        <v>803</v>
      </c>
      <c r="CO21">
        <v>553</v>
      </c>
      <c r="CP21">
        <v>52</v>
      </c>
      <c r="CQ21">
        <v>58.486437613</v>
      </c>
      <c r="CR21">
        <v>4015</v>
      </c>
      <c r="CS21">
        <v>107</v>
      </c>
      <c r="CT21">
        <v>58.489912826900003</v>
      </c>
      <c r="CU21">
        <v>49.560747663599997</v>
      </c>
      <c r="CW21" t="s">
        <v>405</v>
      </c>
      <c r="CX21" t="s">
        <v>812</v>
      </c>
      <c r="CY21" t="s">
        <v>816</v>
      </c>
      <c r="CZ21">
        <v>132</v>
      </c>
      <c r="DA21">
        <v>21</v>
      </c>
      <c r="DB21">
        <v>69.462121212100001</v>
      </c>
      <c r="DC21">
        <v>305</v>
      </c>
      <c r="DD21">
        <v>18</v>
      </c>
      <c r="DE21">
        <v>141.00327868849999</v>
      </c>
      <c r="DF21">
        <v>140.2777777778</v>
      </c>
      <c r="DH21" t="s">
        <v>405</v>
      </c>
      <c r="DI21" t="s">
        <v>786</v>
      </c>
      <c r="DJ21" t="s">
        <v>790</v>
      </c>
      <c r="DK21">
        <v>111</v>
      </c>
      <c r="DL21">
        <v>12</v>
      </c>
      <c r="DM21">
        <v>68.864864864899999</v>
      </c>
      <c r="DN21">
        <v>197</v>
      </c>
      <c r="DO21">
        <v>12</v>
      </c>
      <c r="DP21">
        <v>149.74619289340001</v>
      </c>
      <c r="DQ21">
        <v>150.5</v>
      </c>
    </row>
    <row r="22" spans="2:121" x14ac:dyDescent="0.2">
      <c r="B22" t="s">
        <v>116</v>
      </c>
      <c r="C22">
        <v>1566</v>
      </c>
      <c r="D22">
        <v>372</v>
      </c>
      <c r="F22" t="s">
        <v>47</v>
      </c>
      <c r="G22">
        <v>1921</v>
      </c>
      <c r="H22">
        <v>219.61582509109999</v>
      </c>
      <c r="I22">
        <v>1907</v>
      </c>
      <c r="J22">
        <v>536</v>
      </c>
      <c r="K22">
        <v>3304</v>
      </c>
      <c r="L22">
        <v>1733</v>
      </c>
      <c r="M22">
        <v>323</v>
      </c>
      <c r="N22">
        <v>256</v>
      </c>
      <c r="O22">
        <v>641</v>
      </c>
      <c r="P22">
        <v>479</v>
      </c>
      <c r="Q22">
        <v>0</v>
      </c>
      <c r="R22">
        <v>3</v>
      </c>
      <c r="AH22" t="s">
        <v>426</v>
      </c>
      <c r="AI22">
        <v>1274</v>
      </c>
      <c r="AJ22">
        <v>299.67739403450003</v>
      </c>
      <c r="AK22">
        <v>1245</v>
      </c>
      <c r="AL22">
        <v>242</v>
      </c>
      <c r="AM22">
        <v>1718</v>
      </c>
      <c r="AN22">
        <v>1061</v>
      </c>
      <c r="AO22">
        <v>604</v>
      </c>
      <c r="AP22">
        <v>493</v>
      </c>
      <c r="AQ22">
        <v>322</v>
      </c>
      <c r="AR22">
        <v>171</v>
      </c>
      <c r="AS22">
        <v>215</v>
      </c>
      <c r="AT22">
        <v>3</v>
      </c>
      <c r="AV22" t="s">
        <v>432</v>
      </c>
      <c r="AW22">
        <v>99</v>
      </c>
      <c r="AX22">
        <v>39.464646464600001</v>
      </c>
      <c r="AY22">
        <v>241</v>
      </c>
      <c r="AZ22">
        <v>11</v>
      </c>
      <c r="BA22">
        <v>174</v>
      </c>
      <c r="BB22">
        <v>7</v>
      </c>
      <c r="BC22">
        <v>2</v>
      </c>
      <c r="BD22">
        <v>2</v>
      </c>
      <c r="BE22">
        <v>8</v>
      </c>
      <c r="BF22">
        <v>2</v>
      </c>
      <c r="BG22">
        <v>115</v>
      </c>
      <c r="BH22">
        <v>43</v>
      </c>
      <c r="BJ22" t="s">
        <v>400</v>
      </c>
      <c r="BK22" t="s">
        <v>400</v>
      </c>
      <c r="BL22">
        <v>56122</v>
      </c>
      <c r="BM22">
        <v>16690</v>
      </c>
      <c r="BN22">
        <v>112.0545953459</v>
      </c>
      <c r="BO22">
        <v>150196</v>
      </c>
      <c r="BP22">
        <v>4490</v>
      </c>
      <c r="BQ22">
        <v>178.8160869797</v>
      </c>
      <c r="BR22">
        <v>155.09977728289999</v>
      </c>
      <c r="BS22">
        <v>67341</v>
      </c>
      <c r="BT22">
        <v>23293</v>
      </c>
      <c r="BU22">
        <v>123.860723779</v>
      </c>
      <c r="BV22">
        <v>175876</v>
      </c>
      <c r="BW22">
        <v>5641</v>
      </c>
      <c r="BX22">
        <v>186.77813345769999</v>
      </c>
      <c r="BY22">
        <v>166.43573834430001</v>
      </c>
      <c r="CA22" t="s">
        <v>411</v>
      </c>
      <c r="CB22" t="s">
        <v>824</v>
      </c>
      <c r="CC22" t="s">
        <v>1031</v>
      </c>
      <c r="CD22">
        <v>5812</v>
      </c>
      <c r="CE22">
        <v>1401</v>
      </c>
      <c r="CF22">
        <v>96.383344803900002</v>
      </c>
      <c r="CG22">
        <v>14838</v>
      </c>
      <c r="CH22">
        <v>429</v>
      </c>
      <c r="CI22">
        <v>143.504852406</v>
      </c>
      <c r="CJ22">
        <v>125.00699300700001</v>
      </c>
      <c r="CL22" t="s">
        <v>411</v>
      </c>
      <c r="CM22" t="s">
        <v>799</v>
      </c>
      <c r="CN22" t="s">
        <v>804</v>
      </c>
      <c r="CO22">
        <v>301</v>
      </c>
      <c r="CP22">
        <v>18</v>
      </c>
      <c r="CQ22">
        <v>50.076411960100003</v>
      </c>
      <c r="CR22">
        <v>1562</v>
      </c>
      <c r="CS22">
        <v>42</v>
      </c>
      <c r="CT22">
        <v>52.244558258600001</v>
      </c>
      <c r="CU22">
        <v>62.380952381</v>
      </c>
      <c r="CW22" t="s">
        <v>411</v>
      </c>
      <c r="CX22" t="s">
        <v>812</v>
      </c>
      <c r="CY22" t="s">
        <v>817</v>
      </c>
      <c r="CZ22">
        <v>50</v>
      </c>
      <c r="DA22">
        <v>7</v>
      </c>
      <c r="DB22">
        <v>58.98</v>
      </c>
      <c r="DC22">
        <v>158</v>
      </c>
      <c r="DD22">
        <v>2</v>
      </c>
      <c r="DE22">
        <v>129.96202531649999</v>
      </c>
      <c r="DF22">
        <v>123</v>
      </c>
      <c r="DH22" t="s">
        <v>411</v>
      </c>
      <c r="DI22" t="s">
        <v>786</v>
      </c>
      <c r="DJ22" t="s">
        <v>791</v>
      </c>
      <c r="DK22">
        <v>17</v>
      </c>
      <c r="DL22">
        <v>1</v>
      </c>
      <c r="DM22">
        <v>49.941176470599999</v>
      </c>
      <c r="DN22">
        <v>87</v>
      </c>
      <c r="DO22">
        <v>4</v>
      </c>
      <c r="DP22">
        <v>149.908045977</v>
      </c>
      <c r="DQ22">
        <v>102</v>
      </c>
    </row>
    <row r="23" spans="2:121" x14ac:dyDescent="0.2">
      <c r="B23" t="s">
        <v>115</v>
      </c>
      <c r="C23">
        <v>22204</v>
      </c>
      <c r="D23">
        <v>19071</v>
      </c>
      <c r="F23" t="s">
        <v>46</v>
      </c>
      <c r="G23">
        <v>194</v>
      </c>
      <c r="H23">
        <v>71.835051546399995</v>
      </c>
      <c r="I23">
        <v>901</v>
      </c>
      <c r="J23">
        <v>220</v>
      </c>
      <c r="K23">
        <v>816</v>
      </c>
      <c r="L23">
        <v>39</v>
      </c>
      <c r="M23">
        <v>54</v>
      </c>
      <c r="N23">
        <v>12</v>
      </c>
      <c r="O23">
        <v>30</v>
      </c>
      <c r="P23">
        <v>14</v>
      </c>
      <c r="Q23">
        <v>0</v>
      </c>
      <c r="R23">
        <v>1</v>
      </c>
      <c r="AH23" t="s">
        <v>386</v>
      </c>
      <c r="AI23">
        <v>7732</v>
      </c>
      <c r="AJ23">
        <v>544.37881531300002</v>
      </c>
      <c r="AK23">
        <v>6438</v>
      </c>
      <c r="AL23">
        <v>2403</v>
      </c>
      <c r="AM23">
        <v>9734</v>
      </c>
      <c r="AN23">
        <v>7218</v>
      </c>
      <c r="AO23">
        <v>1249</v>
      </c>
      <c r="AP23">
        <v>1033</v>
      </c>
      <c r="AQ23">
        <v>6541</v>
      </c>
      <c r="AR23">
        <v>5556</v>
      </c>
      <c r="AS23">
        <v>262</v>
      </c>
      <c r="AT23">
        <v>9</v>
      </c>
      <c r="AV23" t="s">
        <v>413</v>
      </c>
      <c r="AW23">
        <v>114</v>
      </c>
      <c r="AX23">
        <v>51.254385964900003</v>
      </c>
      <c r="AY23">
        <v>230</v>
      </c>
      <c r="AZ23">
        <v>10</v>
      </c>
      <c r="BA23">
        <v>213</v>
      </c>
      <c r="BB23">
        <v>21</v>
      </c>
      <c r="BC23">
        <v>3</v>
      </c>
      <c r="BD23">
        <v>3</v>
      </c>
      <c r="BE23">
        <v>18</v>
      </c>
      <c r="BF23">
        <v>8</v>
      </c>
      <c r="BG23">
        <v>231</v>
      </c>
      <c r="BH23">
        <v>47</v>
      </c>
      <c r="BJ23" t="s">
        <v>588</v>
      </c>
      <c r="BK23" t="s">
        <v>400</v>
      </c>
      <c r="BL23">
        <v>4097</v>
      </c>
      <c r="BM23">
        <v>1156</v>
      </c>
      <c r="BN23">
        <v>104.1564559434</v>
      </c>
      <c r="BO23">
        <v>11458</v>
      </c>
      <c r="BP23">
        <v>231</v>
      </c>
      <c r="BQ23">
        <v>159.5744458021</v>
      </c>
      <c r="BR23">
        <v>149.18614718609999</v>
      </c>
      <c r="BS23">
        <v>6024</v>
      </c>
      <c r="BT23">
        <v>2024</v>
      </c>
      <c r="BU23">
        <v>120.04614873840001</v>
      </c>
      <c r="BV23">
        <v>14379</v>
      </c>
      <c r="BW23">
        <v>325</v>
      </c>
      <c r="BX23">
        <v>171.5078239099</v>
      </c>
      <c r="BY23">
        <v>172.5384615385</v>
      </c>
      <c r="CA23" t="s">
        <v>407</v>
      </c>
      <c r="CB23" t="s">
        <v>824</v>
      </c>
      <c r="CC23" t="s">
        <v>1032</v>
      </c>
      <c r="CD23">
        <v>5356</v>
      </c>
      <c r="CE23">
        <v>1629</v>
      </c>
      <c r="CF23">
        <v>110.8771471247</v>
      </c>
      <c r="CG23">
        <v>19713</v>
      </c>
      <c r="CH23">
        <v>639</v>
      </c>
      <c r="CI23">
        <v>175.91675544060001</v>
      </c>
      <c r="CJ23">
        <v>141.8090766823</v>
      </c>
      <c r="CL23" t="s">
        <v>407</v>
      </c>
      <c r="CM23" t="s">
        <v>799</v>
      </c>
      <c r="CN23" t="s">
        <v>805</v>
      </c>
      <c r="CO23">
        <v>346</v>
      </c>
      <c r="CP23">
        <v>32</v>
      </c>
      <c r="CQ23">
        <v>57.315028901700003</v>
      </c>
      <c r="CR23">
        <v>2682</v>
      </c>
      <c r="CS23">
        <v>56</v>
      </c>
      <c r="CT23">
        <v>53.809843400399998</v>
      </c>
      <c r="CU23">
        <v>49.232142857100001</v>
      </c>
      <c r="CW23" t="s">
        <v>407</v>
      </c>
      <c r="CX23" t="s">
        <v>812</v>
      </c>
      <c r="CY23" t="s">
        <v>818</v>
      </c>
      <c r="CZ23">
        <v>136</v>
      </c>
      <c r="DA23">
        <v>18</v>
      </c>
      <c r="DB23">
        <v>62.735294117599999</v>
      </c>
      <c r="DC23">
        <v>356</v>
      </c>
      <c r="DD23">
        <v>10</v>
      </c>
      <c r="DE23">
        <v>128.05337078650001</v>
      </c>
      <c r="DF23">
        <v>160.4</v>
      </c>
      <c r="DH23" t="s">
        <v>407</v>
      </c>
      <c r="DI23" t="s">
        <v>786</v>
      </c>
      <c r="DJ23" t="s">
        <v>792</v>
      </c>
      <c r="DK23">
        <v>121</v>
      </c>
      <c r="DL23">
        <v>27</v>
      </c>
      <c r="DM23">
        <v>77.958677686000001</v>
      </c>
      <c r="DN23">
        <v>385</v>
      </c>
      <c r="DO23">
        <v>13</v>
      </c>
      <c r="DP23">
        <v>168.3038961039</v>
      </c>
      <c r="DQ23">
        <v>126.4615384615</v>
      </c>
    </row>
    <row r="24" spans="2:121" x14ac:dyDescent="0.2">
      <c r="B24" t="s">
        <v>110</v>
      </c>
      <c r="C24">
        <v>51</v>
      </c>
      <c r="D24">
        <v>49</v>
      </c>
      <c r="F24" t="s">
        <v>42</v>
      </c>
      <c r="G24">
        <v>10958</v>
      </c>
      <c r="H24">
        <v>303.27267749589998</v>
      </c>
      <c r="I24">
        <v>9299</v>
      </c>
      <c r="J24">
        <v>2893</v>
      </c>
      <c r="K24">
        <v>19391</v>
      </c>
      <c r="L24">
        <v>12148</v>
      </c>
      <c r="M24">
        <v>1847</v>
      </c>
      <c r="N24">
        <v>1211</v>
      </c>
      <c r="O24">
        <v>1871</v>
      </c>
      <c r="P24">
        <v>1427</v>
      </c>
      <c r="Q24">
        <v>2</v>
      </c>
      <c r="R24">
        <v>55</v>
      </c>
      <c r="T24" t="s">
        <v>664</v>
      </c>
      <c r="U24" t="s">
        <v>315</v>
      </c>
      <c r="V24" t="s">
        <v>139</v>
      </c>
      <c r="W24" t="s">
        <v>222</v>
      </c>
      <c r="X24" t="s">
        <v>223</v>
      </c>
      <c r="Y24" t="s">
        <v>224</v>
      </c>
      <c r="Z24" t="s">
        <v>225</v>
      </c>
      <c r="AA24" t="s">
        <v>226</v>
      </c>
      <c r="AB24" t="s">
        <v>227</v>
      </c>
      <c r="AC24" t="s">
        <v>228</v>
      </c>
      <c r="AD24" t="s">
        <v>229</v>
      </c>
      <c r="AE24" t="s">
        <v>230</v>
      </c>
      <c r="AF24" t="s">
        <v>231</v>
      </c>
      <c r="AH24" t="s">
        <v>381</v>
      </c>
      <c r="AI24">
        <v>5626</v>
      </c>
      <c r="AJ24">
        <v>432.87344472090001</v>
      </c>
      <c r="AK24">
        <v>4540</v>
      </c>
      <c r="AL24">
        <v>1403</v>
      </c>
      <c r="AM24">
        <v>8163</v>
      </c>
      <c r="AN24">
        <v>5096</v>
      </c>
      <c r="AO24">
        <v>2429</v>
      </c>
      <c r="AP24">
        <v>1855</v>
      </c>
      <c r="AQ24">
        <v>1280</v>
      </c>
      <c r="AR24">
        <v>998</v>
      </c>
      <c r="AS24">
        <v>456</v>
      </c>
      <c r="AT24">
        <v>12</v>
      </c>
      <c r="AV24" t="s">
        <v>83</v>
      </c>
      <c r="AW24">
        <v>163</v>
      </c>
      <c r="AX24">
        <v>41.042944785300001</v>
      </c>
      <c r="AY24">
        <v>458</v>
      </c>
      <c r="AZ24">
        <v>22</v>
      </c>
      <c r="BA24">
        <v>312</v>
      </c>
      <c r="BB24">
        <v>35</v>
      </c>
      <c r="BC24">
        <v>1</v>
      </c>
      <c r="BD24">
        <v>1</v>
      </c>
      <c r="BE24">
        <v>22</v>
      </c>
      <c r="BF24">
        <v>11</v>
      </c>
      <c r="BG24">
        <v>281</v>
      </c>
      <c r="BH24">
        <v>79</v>
      </c>
      <c r="BJ24" t="s">
        <v>652</v>
      </c>
      <c r="BK24" t="s">
        <v>400</v>
      </c>
      <c r="BL24">
        <v>978</v>
      </c>
      <c r="BM24">
        <v>254</v>
      </c>
      <c r="BN24">
        <v>94.660531697300001</v>
      </c>
      <c r="BO24">
        <v>2843</v>
      </c>
      <c r="BP24">
        <v>100</v>
      </c>
      <c r="BQ24">
        <v>138.11888849810001</v>
      </c>
      <c r="BR24">
        <v>116.74</v>
      </c>
      <c r="BS24">
        <v>1832</v>
      </c>
      <c r="BT24">
        <v>861</v>
      </c>
      <c r="BU24">
        <v>145.3455240175</v>
      </c>
      <c r="BV24">
        <v>5014</v>
      </c>
      <c r="BW24">
        <v>178</v>
      </c>
      <c r="BX24">
        <v>176.00977263659999</v>
      </c>
      <c r="BY24">
        <v>163.19101123600001</v>
      </c>
      <c r="CA24" t="s">
        <v>410</v>
      </c>
      <c r="CB24" t="s">
        <v>824</v>
      </c>
      <c r="CC24" t="s">
        <v>1033</v>
      </c>
      <c r="CD24">
        <v>2419</v>
      </c>
      <c r="CE24">
        <v>448</v>
      </c>
      <c r="CF24">
        <v>85.471682513399998</v>
      </c>
      <c r="CG24">
        <v>5501</v>
      </c>
      <c r="CH24">
        <v>197</v>
      </c>
      <c r="CI24">
        <v>122.35811670610001</v>
      </c>
      <c r="CJ24">
        <v>148.8781725888</v>
      </c>
      <c r="CL24" t="s">
        <v>410</v>
      </c>
      <c r="CM24" t="s">
        <v>799</v>
      </c>
      <c r="CN24" t="s">
        <v>806</v>
      </c>
      <c r="CO24">
        <v>127</v>
      </c>
      <c r="CP24">
        <v>6</v>
      </c>
      <c r="CQ24">
        <v>56.6299212598</v>
      </c>
      <c r="CR24">
        <v>599</v>
      </c>
      <c r="CS24">
        <v>16</v>
      </c>
      <c r="CT24">
        <v>59.497495826399998</v>
      </c>
      <c r="CU24">
        <v>68.5</v>
      </c>
      <c r="CW24" t="s">
        <v>410</v>
      </c>
      <c r="CX24" t="s">
        <v>812</v>
      </c>
      <c r="CY24" t="s">
        <v>819</v>
      </c>
      <c r="CZ24">
        <v>35</v>
      </c>
      <c r="DA24">
        <v>4</v>
      </c>
      <c r="DB24">
        <v>61.371428571400003</v>
      </c>
      <c r="DC24">
        <v>148</v>
      </c>
      <c r="DD24">
        <v>1</v>
      </c>
      <c r="DE24">
        <v>107.7837837838</v>
      </c>
      <c r="DF24">
        <v>85</v>
      </c>
      <c r="DH24" t="s">
        <v>410</v>
      </c>
      <c r="DI24" t="s">
        <v>786</v>
      </c>
      <c r="DJ24" t="s">
        <v>793</v>
      </c>
      <c r="DK24">
        <v>62</v>
      </c>
      <c r="DL24">
        <v>9</v>
      </c>
      <c r="DM24">
        <v>65.709677419399995</v>
      </c>
      <c r="DN24">
        <v>236</v>
      </c>
      <c r="DO24">
        <v>11</v>
      </c>
      <c r="DP24">
        <v>151.62288135590001</v>
      </c>
      <c r="DQ24">
        <v>137.63636363640001</v>
      </c>
    </row>
    <row r="25" spans="2:121" x14ac:dyDescent="0.2">
      <c r="B25" t="s">
        <v>108</v>
      </c>
      <c r="C25">
        <v>53</v>
      </c>
      <c r="D25">
        <v>53</v>
      </c>
      <c r="F25" t="s">
        <v>82</v>
      </c>
      <c r="G25">
        <v>13664</v>
      </c>
      <c r="H25">
        <v>305.9549912178</v>
      </c>
      <c r="I25">
        <v>18348</v>
      </c>
      <c r="J25">
        <v>6339</v>
      </c>
      <c r="K25">
        <v>16325</v>
      </c>
      <c r="L25">
        <v>9758</v>
      </c>
      <c r="M25">
        <v>1401</v>
      </c>
      <c r="N25">
        <v>1059</v>
      </c>
      <c r="O25">
        <v>3001</v>
      </c>
      <c r="P25">
        <v>1563</v>
      </c>
      <c r="Q25">
        <v>2</v>
      </c>
      <c r="R25">
        <v>231</v>
      </c>
      <c r="T25" t="s">
        <v>395</v>
      </c>
      <c r="U25">
        <v>70458</v>
      </c>
      <c r="V25">
        <v>338.33913820999999</v>
      </c>
      <c r="W25">
        <v>72451</v>
      </c>
      <c r="X25">
        <v>24868</v>
      </c>
      <c r="Y25">
        <v>97177</v>
      </c>
      <c r="Z25">
        <v>57621</v>
      </c>
      <c r="AA25">
        <v>12764</v>
      </c>
      <c r="AB25">
        <v>9378</v>
      </c>
      <c r="AC25">
        <v>26822</v>
      </c>
      <c r="AD25">
        <v>18701</v>
      </c>
      <c r="AE25">
        <v>93</v>
      </c>
      <c r="AF25">
        <v>1198</v>
      </c>
      <c r="AH25" t="s">
        <v>405</v>
      </c>
      <c r="AI25">
        <v>4007</v>
      </c>
      <c r="AJ25">
        <v>256.66059396060001</v>
      </c>
      <c r="AK25">
        <v>8215</v>
      </c>
      <c r="AL25">
        <v>2497</v>
      </c>
      <c r="AM25">
        <v>7393</v>
      </c>
      <c r="AN25">
        <v>3607</v>
      </c>
      <c r="AO25">
        <v>936</v>
      </c>
      <c r="AP25">
        <v>799</v>
      </c>
      <c r="AQ25">
        <v>1267</v>
      </c>
      <c r="AR25">
        <v>785</v>
      </c>
      <c r="AS25">
        <v>29</v>
      </c>
      <c r="AT25">
        <v>205</v>
      </c>
      <c r="AV25" t="s">
        <v>417</v>
      </c>
      <c r="AW25">
        <v>696</v>
      </c>
      <c r="AX25">
        <v>42.866379310299997</v>
      </c>
      <c r="AY25">
        <v>1955</v>
      </c>
      <c r="AZ25">
        <v>72</v>
      </c>
      <c r="BA25">
        <v>1197</v>
      </c>
      <c r="BB25">
        <v>95</v>
      </c>
      <c r="BC25">
        <v>20</v>
      </c>
      <c r="BD25">
        <v>19</v>
      </c>
      <c r="BE25">
        <v>55</v>
      </c>
      <c r="BF25">
        <v>29</v>
      </c>
      <c r="BG25">
        <v>910</v>
      </c>
      <c r="BH25">
        <v>335</v>
      </c>
      <c r="BJ25" t="s">
        <v>591</v>
      </c>
      <c r="BK25" t="s">
        <v>400</v>
      </c>
      <c r="BL25">
        <v>5198</v>
      </c>
      <c r="BM25">
        <v>1572</v>
      </c>
      <c r="BN25">
        <v>108.96152366290001</v>
      </c>
      <c r="BO25">
        <v>18438</v>
      </c>
      <c r="BP25">
        <v>608</v>
      </c>
      <c r="BQ25">
        <v>181.6224102397</v>
      </c>
      <c r="BR25">
        <v>148.09375</v>
      </c>
      <c r="BS25">
        <v>5181</v>
      </c>
      <c r="BT25">
        <v>1621</v>
      </c>
      <c r="BU25">
        <v>110.9872611465</v>
      </c>
      <c r="BV25">
        <v>19237</v>
      </c>
      <c r="BW25">
        <v>619</v>
      </c>
      <c r="BX25">
        <v>183.5214950356</v>
      </c>
      <c r="BY25">
        <v>148.04038772210001</v>
      </c>
      <c r="CA25" t="s">
        <v>429</v>
      </c>
      <c r="CB25" t="s">
        <v>824</v>
      </c>
      <c r="CC25" t="s">
        <v>1034</v>
      </c>
      <c r="CD25">
        <v>748</v>
      </c>
      <c r="CE25">
        <v>181</v>
      </c>
      <c r="CF25">
        <v>88.724598930499994</v>
      </c>
      <c r="CG25">
        <v>2136</v>
      </c>
      <c r="CH25">
        <v>53</v>
      </c>
      <c r="CI25">
        <v>133.986423221</v>
      </c>
      <c r="CJ25">
        <v>124.0377358491</v>
      </c>
      <c r="CL25" t="s">
        <v>429</v>
      </c>
      <c r="CM25" t="s">
        <v>799</v>
      </c>
      <c r="CN25" t="s">
        <v>807</v>
      </c>
      <c r="CO25">
        <v>43</v>
      </c>
      <c r="CP25">
        <v>1</v>
      </c>
      <c r="CQ25">
        <v>49.7674418605</v>
      </c>
      <c r="CR25">
        <v>189</v>
      </c>
      <c r="CS25">
        <v>3</v>
      </c>
      <c r="CT25">
        <v>49.068783068800002</v>
      </c>
      <c r="CU25">
        <v>34</v>
      </c>
      <c r="CW25" t="s">
        <v>429</v>
      </c>
      <c r="CX25" t="s">
        <v>812</v>
      </c>
      <c r="CY25" t="s">
        <v>820</v>
      </c>
      <c r="CZ25">
        <v>16</v>
      </c>
      <c r="DA25">
        <v>2</v>
      </c>
      <c r="DB25">
        <v>48.25</v>
      </c>
      <c r="DC25">
        <v>36</v>
      </c>
      <c r="DD25">
        <v>1</v>
      </c>
      <c r="DE25">
        <v>127.9166666667</v>
      </c>
      <c r="DF25">
        <v>7</v>
      </c>
      <c r="DH25" t="s">
        <v>429</v>
      </c>
      <c r="DI25" t="s">
        <v>786</v>
      </c>
      <c r="DJ25" t="s">
        <v>794</v>
      </c>
      <c r="DK25">
        <v>6</v>
      </c>
      <c r="DL25">
        <v>2</v>
      </c>
      <c r="DM25">
        <v>96.5</v>
      </c>
      <c r="DN25">
        <v>23</v>
      </c>
      <c r="DO25">
        <v>0</v>
      </c>
      <c r="DP25">
        <v>182.73913043479999</v>
      </c>
      <c r="DQ25">
        <v>0</v>
      </c>
    </row>
    <row r="26" spans="2:121" x14ac:dyDescent="0.2">
      <c r="B26" t="s">
        <v>99</v>
      </c>
      <c r="C26">
        <v>120874</v>
      </c>
      <c r="D26">
        <v>54495</v>
      </c>
      <c r="F26" t="s">
        <v>38</v>
      </c>
      <c r="G26">
        <v>5032</v>
      </c>
      <c r="H26">
        <v>473.56339427659998</v>
      </c>
      <c r="I26">
        <v>3560</v>
      </c>
      <c r="J26">
        <v>1144</v>
      </c>
      <c r="K26">
        <v>6577</v>
      </c>
      <c r="L26">
        <v>4548</v>
      </c>
      <c r="M26">
        <v>2103</v>
      </c>
      <c r="N26">
        <v>1933</v>
      </c>
      <c r="O26">
        <v>851</v>
      </c>
      <c r="P26">
        <v>739</v>
      </c>
      <c r="Q26">
        <v>2</v>
      </c>
      <c r="R26">
        <v>10</v>
      </c>
      <c r="T26" t="s">
        <v>400</v>
      </c>
      <c r="U26">
        <v>52114</v>
      </c>
      <c r="V26">
        <v>368.12543654299998</v>
      </c>
      <c r="W26">
        <v>54935</v>
      </c>
      <c r="X26">
        <v>16509</v>
      </c>
      <c r="Y26">
        <v>76280</v>
      </c>
      <c r="Z26">
        <v>44246</v>
      </c>
      <c r="AA26">
        <v>10207</v>
      </c>
      <c r="AB26">
        <v>8437</v>
      </c>
      <c r="AC26">
        <v>21188</v>
      </c>
      <c r="AD26">
        <v>15064</v>
      </c>
      <c r="AE26">
        <v>160</v>
      </c>
      <c r="AF26">
        <v>1205</v>
      </c>
      <c r="AH26" t="s">
        <v>411</v>
      </c>
      <c r="AI26">
        <v>3084</v>
      </c>
      <c r="AJ26">
        <v>123.40953307389999</v>
      </c>
      <c r="AK26">
        <v>5618</v>
      </c>
      <c r="AL26">
        <v>1407</v>
      </c>
      <c r="AM26">
        <v>6264</v>
      </c>
      <c r="AN26">
        <v>1508</v>
      </c>
      <c r="AO26">
        <v>369</v>
      </c>
      <c r="AP26">
        <v>270</v>
      </c>
      <c r="AQ26">
        <v>1071</v>
      </c>
      <c r="AR26">
        <v>396</v>
      </c>
      <c r="AS26">
        <v>6</v>
      </c>
      <c r="AT26">
        <v>3</v>
      </c>
      <c r="AV26" t="s">
        <v>407</v>
      </c>
      <c r="AW26">
        <v>459</v>
      </c>
      <c r="AX26">
        <v>63.252723311499999</v>
      </c>
      <c r="AY26">
        <v>448</v>
      </c>
      <c r="AZ26">
        <v>34</v>
      </c>
      <c r="BA26">
        <v>712</v>
      </c>
      <c r="BB26">
        <v>77</v>
      </c>
      <c r="BC26">
        <v>3</v>
      </c>
      <c r="BD26">
        <v>3</v>
      </c>
      <c r="BE26">
        <v>41</v>
      </c>
      <c r="BF26">
        <v>13</v>
      </c>
      <c r="BG26">
        <v>443</v>
      </c>
      <c r="BH26">
        <v>54</v>
      </c>
      <c r="BJ26" t="s">
        <v>597</v>
      </c>
      <c r="BK26" t="s">
        <v>400</v>
      </c>
      <c r="BL26">
        <v>7745</v>
      </c>
      <c r="BM26">
        <v>2138</v>
      </c>
      <c r="BN26">
        <v>106.1186571982</v>
      </c>
      <c r="BO26">
        <v>18081</v>
      </c>
      <c r="BP26">
        <v>590</v>
      </c>
      <c r="BQ26">
        <v>152.8905480892</v>
      </c>
      <c r="BR26">
        <v>137.29491525419999</v>
      </c>
      <c r="BS26">
        <v>10449</v>
      </c>
      <c r="BT26">
        <v>4014</v>
      </c>
      <c r="BU26">
        <v>127.8308929084</v>
      </c>
      <c r="BV26">
        <v>27297</v>
      </c>
      <c r="BW26">
        <v>916</v>
      </c>
      <c r="BX26">
        <v>178.63234055020001</v>
      </c>
      <c r="BY26">
        <v>161.58624454150001</v>
      </c>
      <c r="CA26" t="s">
        <v>401</v>
      </c>
      <c r="CB26" t="s">
        <v>824</v>
      </c>
      <c r="CC26" t="s">
        <v>1035</v>
      </c>
      <c r="CD26">
        <v>8236</v>
      </c>
      <c r="CE26">
        <v>2546</v>
      </c>
      <c r="CF26">
        <v>117.7506070908</v>
      </c>
      <c r="CG26">
        <v>24715</v>
      </c>
      <c r="CH26">
        <v>816</v>
      </c>
      <c r="CI26">
        <v>162.30232652239999</v>
      </c>
      <c r="CJ26">
        <v>133.5723039216</v>
      </c>
      <c r="CL26" t="s">
        <v>401</v>
      </c>
      <c r="CM26" t="s">
        <v>799</v>
      </c>
      <c r="CN26" t="s">
        <v>808</v>
      </c>
      <c r="CO26">
        <v>634</v>
      </c>
      <c r="CP26">
        <v>59</v>
      </c>
      <c r="CQ26">
        <v>57.372239747599998</v>
      </c>
      <c r="CR26">
        <v>4548</v>
      </c>
      <c r="CS26">
        <v>88</v>
      </c>
      <c r="CT26">
        <v>57.910510114300003</v>
      </c>
      <c r="CU26">
        <v>46.238636363600001</v>
      </c>
      <c r="CW26" t="s">
        <v>401</v>
      </c>
      <c r="CX26" t="s">
        <v>812</v>
      </c>
      <c r="CY26" t="s">
        <v>821</v>
      </c>
      <c r="CZ26">
        <v>177</v>
      </c>
      <c r="DA26">
        <v>20</v>
      </c>
      <c r="DB26">
        <v>65.779661016899993</v>
      </c>
      <c r="DC26">
        <v>419</v>
      </c>
      <c r="DD26">
        <v>9</v>
      </c>
      <c r="DE26">
        <v>135.73747016710001</v>
      </c>
      <c r="DF26">
        <v>137.8888888889</v>
      </c>
      <c r="DH26" t="s">
        <v>401</v>
      </c>
      <c r="DI26" t="s">
        <v>786</v>
      </c>
      <c r="DJ26" t="s">
        <v>795</v>
      </c>
      <c r="DK26">
        <v>112</v>
      </c>
      <c r="DL26">
        <v>18</v>
      </c>
      <c r="DM26">
        <v>81.214285714300004</v>
      </c>
      <c r="DN26">
        <v>295</v>
      </c>
      <c r="DO26">
        <v>1</v>
      </c>
      <c r="DP26">
        <v>146.51525423730001</v>
      </c>
      <c r="DQ26">
        <v>133</v>
      </c>
    </row>
    <row r="27" spans="2:121" x14ac:dyDescent="0.2">
      <c r="B27" t="s">
        <v>112</v>
      </c>
      <c r="C27">
        <v>24472</v>
      </c>
      <c r="D27">
        <v>10166</v>
      </c>
      <c r="F27" t="s">
        <v>58</v>
      </c>
      <c r="G27">
        <v>718</v>
      </c>
      <c r="H27">
        <v>157.41782729810001</v>
      </c>
      <c r="I27">
        <v>1147</v>
      </c>
      <c r="J27">
        <v>450</v>
      </c>
      <c r="K27">
        <v>929</v>
      </c>
      <c r="L27">
        <v>408</v>
      </c>
      <c r="M27">
        <v>186</v>
      </c>
      <c r="N27">
        <v>141</v>
      </c>
      <c r="O27">
        <v>574</v>
      </c>
      <c r="P27">
        <v>420</v>
      </c>
      <c r="Q27">
        <v>350</v>
      </c>
      <c r="R27">
        <v>126</v>
      </c>
      <c r="T27" t="s">
        <v>379</v>
      </c>
      <c r="U27">
        <v>74824</v>
      </c>
      <c r="V27">
        <v>377.22198759759999</v>
      </c>
      <c r="W27">
        <v>77491</v>
      </c>
      <c r="X27">
        <v>26458</v>
      </c>
      <c r="Y27">
        <v>103112</v>
      </c>
      <c r="Z27">
        <v>65189</v>
      </c>
      <c r="AA27">
        <v>16686</v>
      </c>
      <c r="AB27">
        <v>12534</v>
      </c>
      <c r="AC27">
        <v>34153</v>
      </c>
      <c r="AD27">
        <v>22849</v>
      </c>
      <c r="AE27">
        <v>4959</v>
      </c>
      <c r="AF27">
        <v>169</v>
      </c>
      <c r="AH27" t="s">
        <v>399</v>
      </c>
      <c r="AI27">
        <v>5161</v>
      </c>
      <c r="AJ27">
        <v>366.37434605700003</v>
      </c>
      <c r="AK27">
        <v>4160</v>
      </c>
      <c r="AL27">
        <v>1758</v>
      </c>
      <c r="AM27">
        <v>6895</v>
      </c>
      <c r="AN27">
        <v>4847</v>
      </c>
      <c r="AO27">
        <v>862</v>
      </c>
      <c r="AP27">
        <v>735</v>
      </c>
      <c r="AQ27">
        <v>2399</v>
      </c>
      <c r="AR27">
        <v>1927</v>
      </c>
      <c r="AS27">
        <v>11</v>
      </c>
      <c r="AT27">
        <v>144</v>
      </c>
      <c r="AV27" t="s">
        <v>384</v>
      </c>
      <c r="AW27">
        <v>393</v>
      </c>
      <c r="AX27">
        <v>92.022900763400003</v>
      </c>
      <c r="AY27">
        <v>493</v>
      </c>
      <c r="AZ27">
        <v>91</v>
      </c>
      <c r="BA27">
        <v>593</v>
      </c>
      <c r="BB27">
        <v>157</v>
      </c>
      <c r="BC27">
        <v>16</v>
      </c>
      <c r="BD27">
        <v>16</v>
      </c>
      <c r="BE27">
        <v>224</v>
      </c>
      <c r="BF27">
        <v>32</v>
      </c>
      <c r="BG27">
        <v>80</v>
      </c>
      <c r="BH27">
        <v>158</v>
      </c>
      <c r="BJ27" t="s">
        <v>656</v>
      </c>
      <c r="BK27" t="s">
        <v>400</v>
      </c>
      <c r="BL27">
        <v>2715</v>
      </c>
      <c r="BM27">
        <v>774</v>
      </c>
      <c r="BN27">
        <v>103.64825046040001</v>
      </c>
      <c r="BO27">
        <v>6347</v>
      </c>
      <c r="BP27">
        <v>215</v>
      </c>
      <c r="BQ27">
        <v>179.5889396565</v>
      </c>
      <c r="BR27">
        <v>143.32558139529999</v>
      </c>
      <c r="BS27">
        <v>2588</v>
      </c>
      <c r="BT27">
        <v>756</v>
      </c>
      <c r="BU27">
        <v>104.3010046368</v>
      </c>
      <c r="BV27">
        <v>6220</v>
      </c>
      <c r="BW27">
        <v>214</v>
      </c>
      <c r="BX27">
        <v>179.8954983923</v>
      </c>
      <c r="BY27">
        <v>143.0887850467</v>
      </c>
      <c r="CA27" t="s">
        <v>430</v>
      </c>
      <c r="CB27" t="s">
        <v>824</v>
      </c>
      <c r="CC27" t="s">
        <v>1036</v>
      </c>
      <c r="CD27">
        <v>1005</v>
      </c>
      <c r="CE27">
        <v>261</v>
      </c>
      <c r="CF27">
        <v>95.624875621900003</v>
      </c>
      <c r="CG27">
        <v>2985</v>
      </c>
      <c r="CH27">
        <v>101</v>
      </c>
      <c r="CI27">
        <v>135.84723618090001</v>
      </c>
      <c r="CJ27">
        <v>109.08910891089999</v>
      </c>
      <c r="CL27" t="s">
        <v>430</v>
      </c>
      <c r="CM27" t="s">
        <v>799</v>
      </c>
      <c r="CN27" t="s">
        <v>809</v>
      </c>
      <c r="CO27">
        <v>62</v>
      </c>
      <c r="CP27">
        <v>6</v>
      </c>
      <c r="CQ27">
        <v>53.145161290300003</v>
      </c>
      <c r="CR27">
        <v>330</v>
      </c>
      <c r="CS27">
        <v>6</v>
      </c>
      <c r="CT27">
        <v>52.521212121200001</v>
      </c>
      <c r="CU27">
        <v>45.5</v>
      </c>
      <c r="CW27" t="s">
        <v>430</v>
      </c>
      <c r="CX27" t="s">
        <v>812</v>
      </c>
      <c r="CY27" t="s">
        <v>822</v>
      </c>
      <c r="CZ27">
        <v>11</v>
      </c>
      <c r="DA27">
        <v>2</v>
      </c>
      <c r="DB27">
        <v>81.727272727300004</v>
      </c>
      <c r="DC27">
        <v>38</v>
      </c>
      <c r="DD27">
        <v>0</v>
      </c>
      <c r="DE27">
        <v>126.7368421053</v>
      </c>
      <c r="DF27">
        <v>0</v>
      </c>
      <c r="DH27" t="s">
        <v>430</v>
      </c>
      <c r="DI27" t="s">
        <v>786</v>
      </c>
      <c r="DJ27" t="s">
        <v>796</v>
      </c>
      <c r="DK27">
        <v>8</v>
      </c>
      <c r="DL27">
        <v>0</v>
      </c>
      <c r="DM27">
        <v>32.375</v>
      </c>
      <c r="DN27">
        <v>24</v>
      </c>
      <c r="DO27">
        <v>1</v>
      </c>
      <c r="DP27">
        <v>158.375</v>
      </c>
      <c r="DQ27">
        <v>124</v>
      </c>
    </row>
    <row r="28" spans="2:121" x14ac:dyDescent="0.2">
      <c r="B28" t="s">
        <v>20</v>
      </c>
      <c r="C28">
        <v>354</v>
      </c>
      <c r="D28">
        <v>215</v>
      </c>
      <c r="F28" t="s">
        <v>72</v>
      </c>
      <c r="G28">
        <v>14729</v>
      </c>
      <c r="H28">
        <v>399.20143933740002</v>
      </c>
      <c r="I28">
        <v>11379</v>
      </c>
      <c r="J28">
        <v>3603</v>
      </c>
      <c r="K28">
        <v>17526</v>
      </c>
      <c r="L28">
        <v>11755</v>
      </c>
      <c r="M28">
        <v>2795</v>
      </c>
      <c r="N28">
        <v>2364</v>
      </c>
      <c r="O28">
        <v>5150</v>
      </c>
      <c r="P28">
        <v>4397</v>
      </c>
      <c r="Q28">
        <v>6</v>
      </c>
      <c r="R28">
        <v>23</v>
      </c>
      <c r="T28" t="s">
        <v>8</v>
      </c>
      <c r="U28">
        <v>9037</v>
      </c>
      <c r="V28">
        <v>406.64424034519999</v>
      </c>
      <c r="W28">
        <v>4440</v>
      </c>
      <c r="X28">
        <v>2106</v>
      </c>
      <c r="Y28">
        <v>10927</v>
      </c>
      <c r="Z28">
        <v>8117</v>
      </c>
      <c r="AA28">
        <v>1329</v>
      </c>
      <c r="AB28">
        <v>1140</v>
      </c>
      <c r="AC28">
        <v>16228</v>
      </c>
      <c r="AD28">
        <v>10437</v>
      </c>
      <c r="AE28">
        <v>378</v>
      </c>
      <c r="AF28">
        <v>140</v>
      </c>
      <c r="AH28" t="s">
        <v>407</v>
      </c>
      <c r="AI28">
        <v>6103</v>
      </c>
      <c r="AJ28">
        <v>277.94871374730002</v>
      </c>
      <c r="AK28">
        <v>5555</v>
      </c>
      <c r="AL28">
        <v>1666</v>
      </c>
      <c r="AM28">
        <v>9116</v>
      </c>
      <c r="AN28">
        <v>5546</v>
      </c>
      <c r="AO28">
        <v>2220</v>
      </c>
      <c r="AP28">
        <v>2069</v>
      </c>
      <c r="AQ28">
        <v>6049</v>
      </c>
      <c r="AR28">
        <v>4545</v>
      </c>
      <c r="AS28">
        <v>16</v>
      </c>
      <c r="AT28">
        <v>125</v>
      </c>
      <c r="AV28" t="s">
        <v>391</v>
      </c>
      <c r="AW28">
        <v>1098</v>
      </c>
      <c r="AX28">
        <v>98.874316939899998</v>
      </c>
      <c r="AY28">
        <v>1056</v>
      </c>
      <c r="AZ28">
        <v>196</v>
      </c>
      <c r="BA28">
        <v>1725</v>
      </c>
      <c r="BB28">
        <v>475</v>
      </c>
      <c r="BC28">
        <v>70</v>
      </c>
      <c r="BD28">
        <v>69</v>
      </c>
      <c r="BE28">
        <v>489</v>
      </c>
      <c r="BF28">
        <v>68</v>
      </c>
      <c r="BG28">
        <v>198</v>
      </c>
      <c r="BH28">
        <v>361</v>
      </c>
      <c r="BJ28" t="s">
        <v>550</v>
      </c>
      <c r="BK28" t="s">
        <v>379</v>
      </c>
      <c r="BL28">
        <v>5712</v>
      </c>
      <c r="BM28">
        <v>2282</v>
      </c>
      <c r="BN28">
        <v>147.42507002799999</v>
      </c>
      <c r="BO28">
        <v>15170</v>
      </c>
      <c r="BP28">
        <v>521</v>
      </c>
      <c r="BQ28">
        <v>259.80823994730002</v>
      </c>
      <c r="BR28">
        <v>200.90211132440001</v>
      </c>
      <c r="BS28">
        <v>2251</v>
      </c>
      <c r="BT28">
        <v>450</v>
      </c>
      <c r="BU28">
        <v>95.083962683300001</v>
      </c>
      <c r="BV28">
        <v>4542</v>
      </c>
      <c r="BW28">
        <v>182</v>
      </c>
      <c r="BX28">
        <v>260.4711580801</v>
      </c>
      <c r="BY28">
        <v>150.8626373626</v>
      </c>
      <c r="CA28" t="s">
        <v>406</v>
      </c>
      <c r="CB28" t="s">
        <v>824</v>
      </c>
      <c r="CC28" t="s">
        <v>1037</v>
      </c>
      <c r="CD28">
        <v>4058</v>
      </c>
      <c r="CE28">
        <v>1175</v>
      </c>
      <c r="CF28">
        <v>106.206259241</v>
      </c>
      <c r="CG28">
        <v>11815</v>
      </c>
      <c r="CH28">
        <v>238</v>
      </c>
      <c r="CI28">
        <v>160.02496826070001</v>
      </c>
      <c r="CJ28">
        <v>144.21848739500001</v>
      </c>
      <c r="CL28" t="s">
        <v>406</v>
      </c>
      <c r="CM28" t="s">
        <v>799</v>
      </c>
      <c r="CN28" t="s">
        <v>810</v>
      </c>
      <c r="CO28">
        <v>225</v>
      </c>
      <c r="CP28">
        <v>16</v>
      </c>
      <c r="CQ28">
        <v>47.2977777778</v>
      </c>
      <c r="CR28">
        <v>1825</v>
      </c>
      <c r="CS28">
        <v>49</v>
      </c>
      <c r="CT28">
        <v>42.729863013699998</v>
      </c>
      <c r="CU28">
        <v>49.020408163299997</v>
      </c>
      <c r="CW28" t="s">
        <v>406</v>
      </c>
      <c r="CX28" t="s">
        <v>812</v>
      </c>
      <c r="CY28" t="s">
        <v>823</v>
      </c>
      <c r="CZ28">
        <v>94</v>
      </c>
      <c r="DA28">
        <v>16</v>
      </c>
      <c r="DB28">
        <v>69.7446808511</v>
      </c>
      <c r="DC28">
        <v>187</v>
      </c>
      <c r="DD28">
        <v>6</v>
      </c>
      <c r="DE28">
        <v>125.4385026738</v>
      </c>
      <c r="DF28">
        <v>139.6666666667</v>
      </c>
      <c r="DH28" t="s">
        <v>406</v>
      </c>
      <c r="DI28" t="s">
        <v>786</v>
      </c>
      <c r="DJ28" t="s">
        <v>797</v>
      </c>
      <c r="DK28">
        <v>60</v>
      </c>
      <c r="DL28">
        <v>10</v>
      </c>
      <c r="DM28">
        <v>74.283333333300007</v>
      </c>
      <c r="DN28">
        <v>143</v>
      </c>
      <c r="DO28">
        <v>1</v>
      </c>
      <c r="DP28">
        <v>157.9440559441</v>
      </c>
      <c r="DQ28">
        <v>124</v>
      </c>
    </row>
    <row r="29" spans="2:121" x14ac:dyDescent="0.2">
      <c r="B29" t="s">
        <v>91</v>
      </c>
      <c r="C29">
        <v>93591</v>
      </c>
      <c r="D29">
        <v>34999</v>
      </c>
      <c r="F29" t="s">
        <v>44</v>
      </c>
      <c r="G29">
        <v>1488</v>
      </c>
      <c r="H29">
        <v>129.07190860220001</v>
      </c>
      <c r="I29">
        <v>2445</v>
      </c>
      <c r="J29">
        <v>623</v>
      </c>
      <c r="K29">
        <v>2571</v>
      </c>
      <c r="L29">
        <v>873</v>
      </c>
      <c r="M29">
        <v>209</v>
      </c>
      <c r="N29">
        <v>172</v>
      </c>
      <c r="O29">
        <v>2826</v>
      </c>
      <c r="P29">
        <v>2689</v>
      </c>
      <c r="Q29">
        <v>0</v>
      </c>
      <c r="R29">
        <v>11</v>
      </c>
      <c r="T29" t="s">
        <v>414</v>
      </c>
      <c r="U29">
        <v>79112</v>
      </c>
      <c r="V29">
        <v>368.61707452730002</v>
      </c>
      <c r="W29">
        <v>68043</v>
      </c>
      <c r="X29">
        <v>22408</v>
      </c>
      <c r="Y29">
        <v>106297</v>
      </c>
      <c r="Z29">
        <v>70077</v>
      </c>
      <c r="AA29">
        <v>16952</v>
      </c>
      <c r="AB29">
        <v>14328</v>
      </c>
      <c r="AC29">
        <v>25939</v>
      </c>
      <c r="AD29">
        <v>18276</v>
      </c>
      <c r="AE29">
        <v>85</v>
      </c>
      <c r="AF29">
        <v>591</v>
      </c>
      <c r="AH29" t="s">
        <v>428</v>
      </c>
      <c r="AI29">
        <v>1344</v>
      </c>
      <c r="AJ29">
        <v>216.16889880950001</v>
      </c>
      <c r="AK29">
        <v>987</v>
      </c>
      <c r="AL29">
        <v>143</v>
      </c>
      <c r="AM29">
        <v>1861</v>
      </c>
      <c r="AN29">
        <v>811</v>
      </c>
      <c r="AO29">
        <v>394</v>
      </c>
      <c r="AP29">
        <v>244</v>
      </c>
      <c r="AQ29">
        <v>190</v>
      </c>
      <c r="AR29">
        <v>95</v>
      </c>
      <c r="AS29">
        <v>1</v>
      </c>
      <c r="AT29">
        <v>7</v>
      </c>
      <c r="AV29" t="s">
        <v>428</v>
      </c>
      <c r="AW29">
        <v>26</v>
      </c>
      <c r="AX29">
        <v>36.846153846199996</v>
      </c>
      <c r="AY29">
        <v>74</v>
      </c>
      <c r="AZ29">
        <v>2</v>
      </c>
      <c r="BA29">
        <v>60</v>
      </c>
      <c r="BB29">
        <v>5</v>
      </c>
      <c r="BC29">
        <v>0</v>
      </c>
      <c r="BE29">
        <v>0</v>
      </c>
      <c r="BG29">
        <v>79</v>
      </c>
      <c r="BH29">
        <v>7</v>
      </c>
      <c r="BJ29" t="s">
        <v>529</v>
      </c>
      <c r="BK29" t="s">
        <v>379</v>
      </c>
      <c r="BL29">
        <v>3743</v>
      </c>
      <c r="BM29">
        <v>1148</v>
      </c>
      <c r="BN29">
        <v>121.35158963400001</v>
      </c>
      <c r="BO29">
        <v>9492</v>
      </c>
      <c r="BP29">
        <v>289</v>
      </c>
      <c r="BQ29">
        <v>222.40992414659999</v>
      </c>
      <c r="BR29">
        <v>203.02422145329999</v>
      </c>
      <c r="BS29">
        <v>3360</v>
      </c>
      <c r="BT29">
        <v>894</v>
      </c>
      <c r="BU29">
        <v>102.7104166667</v>
      </c>
      <c r="BV29">
        <v>7912</v>
      </c>
      <c r="BW29">
        <v>250</v>
      </c>
      <c r="BX29">
        <v>209.410768453</v>
      </c>
      <c r="BY29">
        <v>171.83199999999999</v>
      </c>
      <c r="CA29" t="s">
        <v>400</v>
      </c>
      <c r="CB29" t="s">
        <v>824</v>
      </c>
      <c r="CD29">
        <v>54138</v>
      </c>
      <c r="CE29">
        <v>16391</v>
      </c>
      <c r="CF29">
        <v>113.11527947099999</v>
      </c>
      <c r="CG29">
        <v>153007</v>
      </c>
      <c r="CH29">
        <v>4561</v>
      </c>
      <c r="CI29">
        <v>174.31539079909999</v>
      </c>
      <c r="CJ29">
        <v>150.4523130892</v>
      </c>
      <c r="CL29" t="s">
        <v>400</v>
      </c>
      <c r="CM29" t="s">
        <v>799</v>
      </c>
      <c r="CO29">
        <v>3637</v>
      </c>
      <c r="CP29">
        <v>284</v>
      </c>
      <c r="CQ29">
        <v>54.607918614200003</v>
      </c>
      <c r="CR29">
        <v>24477</v>
      </c>
      <c r="CS29">
        <v>596</v>
      </c>
      <c r="CT29">
        <v>54.840789312399998</v>
      </c>
      <c r="CU29">
        <v>52.585570469799997</v>
      </c>
      <c r="CW29" t="s">
        <v>400</v>
      </c>
      <c r="CX29" t="s">
        <v>812</v>
      </c>
      <c r="CZ29">
        <v>1063</v>
      </c>
      <c r="DA29">
        <v>158</v>
      </c>
      <c r="DB29">
        <v>68.4863593603</v>
      </c>
      <c r="DC29">
        <v>2677</v>
      </c>
      <c r="DD29">
        <v>72</v>
      </c>
      <c r="DE29">
        <v>132.2162868883</v>
      </c>
      <c r="DF29">
        <v>134.9583333333</v>
      </c>
      <c r="DH29" t="s">
        <v>400</v>
      </c>
      <c r="DI29" t="s">
        <v>786</v>
      </c>
      <c r="DK29">
        <v>913</v>
      </c>
      <c r="DL29">
        <v>143</v>
      </c>
      <c r="DM29">
        <v>71.836801752499994</v>
      </c>
      <c r="DN29">
        <v>2307</v>
      </c>
      <c r="DO29">
        <v>79</v>
      </c>
      <c r="DP29">
        <v>155.04377980059999</v>
      </c>
      <c r="DQ29">
        <v>124.74683544299999</v>
      </c>
    </row>
    <row r="30" spans="2:121" x14ac:dyDescent="0.2">
      <c r="B30" t="s">
        <v>120</v>
      </c>
      <c r="C30">
        <v>10661</v>
      </c>
      <c r="D30">
        <v>2248</v>
      </c>
      <c r="F30" t="s">
        <v>48</v>
      </c>
      <c r="G30">
        <v>2202</v>
      </c>
      <c r="H30">
        <v>224.60990009080001</v>
      </c>
      <c r="I30">
        <v>2628</v>
      </c>
      <c r="J30">
        <v>951</v>
      </c>
      <c r="K30">
        <v>2835</v>
      </c>
      <c r="L30">
        <v>1475</v>
      </c>
      <c r="M30">
        <v>428</v>
      </c>
      <c r="N30">
        <v>383</v>
      </c>
      <c r="O30">
        <v>425</v>
      </c>
      <c r="P30">
        <v>260</v>
      </c>
      <c r="Q30">
        <v>0</v>
      </c>
      <c r="R30">
        <v>1</v>
      </c>
      <c r="T30" t="s">
        <v>390</v>
      </c>
      <c r="U30">
        <v>80953</v>
      </c>
      <c r="V30">
        <v>357.52262423880001</v>
      </c>
      <c r="W30">
        <v>80096</v>
      </c>
      <c r="X30">
        <v>28532</v>
      </c>
      <c r="Y30">
        <v>110562</v>
      </c>
      <c r="Z30">
        <v>73200</v>
      </c>
      <c r="AA30">
        <v>18519</v>
      </c>
      <c r="AB30">
        <v>15211</v>
      </c>
      <c r="AC30">
        <v>33289</v>
      </c>
      <c r="AD30">
        <v>22206</v>
      </c>
      <c r="AE30">
        <v>2302</v>
      </c>
      <c r="AF30">
        <v>1057</v>
      </c>
      <c r="AH30" t="s">
        <v>410</v>
      </c>
      <c r="AI30">
        <v>1746</v>
      </c>
      <c r="AJ30">
        <v>172.69873997709999</v>
      </c>
      <c r="AK30">
        <v>2399</v>
      </c>
      <c r="AL30">
        <v>465</v>
      </c>
      <c r="AM30">
        <v>2693</v>
      </c>
      <c r="AN30">
        <v>856</v>
      </c>
      <c r="AO30">
        <v>591</v>
      </c>
      <c r="AP30">
        <v>462</v>
      </c>
      <c r="AQ30">
        <v>314</v>
      </c>
      <c r="AR30">
        <v>145</v>
      </c>
      <c r="AS30">
        <v>0</v>
      </c>
      <c r="AT30">
        <v>14</v>
      </c>
      <c r="AV30" t="s">
        <v>394</v>
      </c>
      <c r="AW30">
        <v>526</v>
      </c>
      <c r="AX30">
        <v>63.927756654</v>
      </c>
      <c r="AY30">
        <v>496</v>
      </c>
      <c r="AZ30">
        <v>21</v>
      </c>
      <c r="BA30">
        <v>793</v>
      </c>
      <c r="BB30">
        <v>95</v>
      </c>
      <c r="BC30">
        <v>6</v>
      </c>
      <c r="BD30">
        <v>6</v>
      </c>
      <c r="BE30">
        <v>52</v>
      </c>
      <c r="BF30">
        <v>14</v>
      </c>
      <c r="BG30">
        <v>393</v>
      </c>
      <c r="BH30">
        <v>46</v>
      </c>
      <c r="BJ30" t="s">
        <v>537</v>
      </c>
      <c r="BK30" t="s">
        <v>379</v>
      </c>
      <c r="BL30">
        <v>4751</v>
      </c>
      <c r="BM30">
        <v>1554</v>
      </c>
      <c r="BN30">
        <v>119.06672279519999</v>
      </c>
      <c r="BO30">
        <v>10388</v>
      </c>
      <c r="BP30">
        <v>310</v>
      </c>
      <c r="BQ30">
        <v>215.10069310739999</v>
      </c>
      <c r="BR30">
        <v>217.4548387097</v>
      </c>
      <c r="BS30">
        <v>3948</v>
      </c>
      <c r="BT30">
        <v>922</v>
      </c>
      <c r="BU30">
        <v>100.9445288754</v>
      </c>
      <c r="BV30">
        <v>9078</v>
      </c>
      <c r="BW30">
        <v>203</v>
      </c>
      <c r="BX30">
        <v>214.86913417049999</v>
      </c>
      <c r="BY30">
        <v>215.881773399</v>
      </c>
      <c r="CA30" t="s">
        <v>383</v>
      </c>
      <c r="CB30" t="s">
        <v>873</v>
      </c>
      <c r="CC30" t="s">
        <v>1003</v>
      </c>
      <c r="CD30">
        <v>2010</v>
      </c>
      <c r="CE30">
        <v>564</v>
      </c>
      <c r="CF30">
        <v>101.2333333333</v>
      </c>
      <c r="CG30">
        <v>5294</v>
      </c>
      <c r="CH30">
        <v>126</v>
      </c>
      <c r="CI30">
        <v>153.60294673210001</v>
      </c>
      <c r="CJ30">
        <v>144.55555555559999</v>
      </c>
      <c r="CL30" t="s">
        <v>383</v>
      </c>
      <c r="CM30" t="s">
        <v>842</v>
      </c>
      <c r="CN30" t="s">
        <v>841</v>
      </c>
      <c r="CO30">
        <v>107</v>
      </c>
      <c r="CP30">
        <v>16</v>
      </c>
      <c r="CQ30">
        <v>72.588785046699996</v>
      </c>
      <c r="CR30">
        <v>703</v>
      </c>
      <c r="CS30">
        <v>26</v>
      </c>
      <c r="CT30">
        <v>75.448079658599994</v>
      </c>
      <c r="CU30">
        <v>100.30769230769999</v>
      </c>
      <c r="CW30" t="s">
        <v>383</v>
      </c>
      <c r="CX30" t="s">
        <v>858</v>
      </c>
      <c r="CY30" t="s">
        <v>857</v>
      </c>
      <c r="CZ30">
        <v>49</v>
      </c>
      <c r="DA30">
        <v>2</v>
      </c>
      <c r="DB30">
        <v>61.3469387755</v>
      </c>
      <c r="DC30">
        <v>114</v>
      </c>
      <c r="DD30">
        <v>3</v>
      </c>
      <c r="DE30">
        <v>142.94736842110001</v>
      </c>
      <c r="DF30">
        <v>140</v>
      </c>
      <c r="DH30" t="s">
        <v>383</v>
      </c>
      <c r="DI30" t="s">
        <v>826</v>
      </c>
      <c r="DJ30" t="s">
        <v>825</v>
      </c>
      <c r="DK30">
        <v>42</v>
      </c>
      <c r="DL30">
        <v>1</v>
      </c>
      <c r="DM30">
        <v>46.214285714299997</v>
      </c>
      <c r="DN30">
        <v>58</v>
      </c>
      <c r="DO30">
        <v>2</v>
      </c>
      <c r="DP30">
        <v>116.67241379310001</v>
      </c>
      <c r="DQ30">
        <v>124.5</v>
      </c>
    </row>
    <row r="31" spans="2:121" x14ac:dyDescent="0.2">
      <c r="B31" t="s">
        <v>128</v>
      </c>
      <c r="C31">
        <v>463</v>
      </c>
      <c r="D31">
        <v>15</v>
      </c>
      <c r="F31" t="s">
        <v>76</v>
      </c>
      <c r="G31">
        <v>16522</v>
      </c>
      <c r="H31">
        <v>393.04369931000002</v>
      </c>
      <c r="I31">
        <v>8531</v>
      </c>
      <c r="J31">
        <v>2751</v>
      </c>
      <c r="K31">
        <v>22183</v>
      </c>
      <c r="L31">
        <v>15636</v>
      </c>
      <c r="M31">
        <v>4162</v>
      </c>
      <c r="N31">
        <v>3844</v>
      </c>
      <c r="O31">
        <v>7115</v>
      </c>
      <c r="P31">
        <v>5418</v>
      </c>
      <c r="Q31">
        <v>1</v>
      </c>
      <c r="R31">
        <v>143</v>
      </c>
      <c r="T31" t="s">
        <v>471</v>
      </c>
      <c r="U31">
        <v>366498</v>
      </c>
      <c r="V31">
        <v>362.9702017473</v>
      </c>
      <c r="W31">
        <v>357456</v>
      </c>
      <c r="X31">
        <v>120881</v>
      </c>
      <c r="Y31">
        <v>504355</v>
      </c>
      <c r="Z31">
        <v>318450</v>
      </c>
      <c r="AA31">
        <v>76457</v>
      </c>
      <c r="AB31">
        <v>61028</v>
      </c>
      <c r="AC31">
        <v>157619</v>
      </c>
      <c r="AD31">
        <v>107533</v>
      </c>
      <c r="AE31">
        <v>7977</v>
      </c>
      <c r="AF31">
        <v>4360</v>
      </c>
      <c r="AH31" t="s">
        <v>423</v>
      </c>
      <c r="AI31">
        <v>4484</v>
      </c>
      <c r="AJ31">
        <v>445.82114183760001</v>
      </c>
      <c r="AK31">
        <v>4168</v>
      </c>
      <c r="AL31">
        <v>1475</v>
      </c>
      <c r="AM31">
        <v>5783</v>
      </c>
      <c r="AN31">
        <v>4037</v>
      </c>
      <c r="AO31">
        <v>512</v>
      </c>
      <c r="AP31">
        <v>449</v>
      </c>
      <c r="AQ31">
        <v>1458</v>
      </c>
      <c r="AR31">
        <v>941</v>
      </c>
      <c r="AS31">
        <v>8</v>
      </c>
      <c r="AT31">
        <v>100</v>
      </c>
      <c r="AV31" t="s">
        <v>415</v>
      </c>
      <c r="AW31">
        <v>43</v>
      </c>
      <c r="AX31">
        <v>53.627906976699997</v>
      </c>
      <c r="AY31">
        <v>140</v>
      </c>
      <c r="AZ31">
        <v>6</v>
      </c>
      <c r="BA31">
        <v>91</v>
      </c>
      <c r="BB31">
        <v>9</v>
      </c>
      <c r="BC31">
        <v>0</v>
      </c>
      <c r="BE31">
        <v>5</v>
      </c>
      <c r="BF31">
        <v>1</v>
      </c>
      <c r="BG31">
        <v>179</v>
      </c>
      <c r="BH31">
        <v>19</v>
      </c>
      <c r="BJ31" t="s">
        <v>539</v>
      </c>
      <c r="BK31" t="s">
        <v>379</v>
      </c>
      <c r="BL31">
        <v>1967</v>
      </c>
      <c r="BM31">
        <v>541</v>
      </c>
      <c r="BN31">
        <v>99.535841382800001</v>
      </c>
      <c r="BO31">
        <v>4997</v>
      </c>
      <c r="BP31">
        <v>116</v>
      </c>
      <c r="BQ31">
        <v>152.35141084649999</v>
      </c>
      <c r="BR31">
        <v>148.84482758620001</v>
      </c>
      <c r="BS31">
        <v>3086</v>
      </c>
      <c r="BT31">
        <v>1288</v>
      </c>
      <c r="BU31">
        <v>134.12346079069999</v>
      </c>
      <c r="BV31">
        <v>7671</v>
      </c>
      <c r="BW31">
        <v>238</v>
      </c>
      <c r="BX31">
        <v>174.7194629123</v>
      </c>
      <c r="BY31">
        <v>186.69747899160001</v>
      </c>
      <c r="CA31" t="s">
        <v>433</v>
      </c>
      <c r="CB31" t="s">
        <v>873</v>
      </c>
      <c r="CC31" t="s">
        <v>1004</v>
      </c>
      <c r="CD31">
        <v>975</v>
      </c>
      <c r="CE31">
        <v>375</v>
      </c>
      <c r="CF31">
        <v>141.9435897436</v>
      </c>
      <c r="CG31">
        <v>2570</v>
      </c>
      <c r="CH31">
        <v>67</v>
      </c>
      <c r="CI31">
        <v>220.8147859922</v>
      </c>
      <c r="CJ31">
        <v>223.7014925373</v>
      </c>
      <c r="CL31" t="s">
        <v>433</v>
      </c>
      <c r="CM31" t="s">
        <v>842</v>
      </c>
      <c r="CN31" t="s">
        <v>843</v>
      </c>
      <c r="CO31">
        <v>36</v>
      </c>
      <c r="CP31">
        <v>6</v>
      </c>
      <c r="CQ31">
        <v>92.805555555599994</v>
      </c>
      <c r="CR31">
        <v>250</v>
      </c>
      <c r="CS31">
        <v>7</v>
      </c>
      <c r="CT31">
        <v>75.42</v>
      </c>
      <c r="CU31">
        <v>44.285714285700003</v>
      </c>
      <c r="CW31" t="s">
        <v>433</v>
      </c>
      <c r="CX31" t="s">
        <v>858</v>
      </c>
      <c r="CY31" t="s">
        <v>859</v>
      </c>
      <c r="CZ31">
        <v>17</v>
      </c>
      <c r="DA31">
        <v>2</v>
      </c>
      <c r="DB31">
        <v>69.764705882399994</v>
      </c>
      <c r="DC31">
        <v>36</v>
      </c>
      <c r="DD31">
        <v>0</v>
      </c>
      <c r="DE31">
        <v>118.6388888889</v>
      </c>
      <c r="DF31">
        <v>0</v>
      </c>
      <c r="DH31" t="s">
        <v>433</v>
      </c>
      <c r="DI31" t="s">
        <v>826</v>
      </c>
      <c r="DJ31" t="s">
        <v>827</v>
      </c>
      <c r="DK31">
        <v>18</v>
      </c>
      <c r="DL31">
        <v>3</v>
      </c>
      <c r="DM31">
        <v>82.944444444400006</v>
      </c>
      <c r="DN31">
        <v>30</v>
      </c>
      <c r="DO31">
        <v>1</v>
      </c>
      <c r="DP31">
        <v>117.1333333333</v>
      </c>
      <c r="DQ31">
        <v>132</v>
      </c>
    </row>
    <row r="32" spans="2:121" x14ac:dyDescent="0.2">
      <c r="B32" t="s">
        <v>96</v>
      </c>
      <c r="C32">
        <v>167</v>
      </c>
      <c r="D32">
        <v>109</v>
      </c>
      <c r="F32" t="s">
        <v>68</v>
      </c>
      <c r="G32">
        <v>4041</v>
      </c>
      <c r="H32">
        <v>447.96139569410002</v>
      </c>
      <c r="I32">
        <v>4700</v>
      </c>
      <c r="J32">
        <v>1776</v>
      </c>
      <c r="K32">
        <v>5538</v>
      </c>
      <c r="L32">
        <v>4062</v>
      </c>
      <c r="M32">
        <v>528</v>
      </c>
      <c r="N32">
        <v>438</v>
      </c>
      <c r="O32">
        <v>1206</v>
      </c>
      <c r="P32">
        <v>958</v>
      </c>
      <c r="Q32">
        <v>1</v>
      </c>
      <c r="R32">
        <v>3</v>
      </c>
      <c r="AH32" t="s">
        <v>425</v>
      </c>
      <c r="AI32">
        <v>2148</v>
      </c>
      <c r="AJ32">
        <v>361.44972067039998</v>
      </c>
      <c r="AK32">
        <v>1203</v>
      </c>
      <c r="AL32">
        <v>345</v>
      </c>
      <c r="AM32">
        <v>2766</v>
      </c>
      <c r="AN32">
        <v>1782</v>
      </c>
      <c r="AO32">
        <v>669</v>
      </c>
      <c r="AP32">
        <v>585</v>
      </c>
      <c r="AQ32">
        <v>157</v>
      </c>
      <c r="AR32">
        <v>80</v>
      </c>
      <c r="AS32">
        <v>89</v>
      </c>
      <c r="AT32">
        <v>3</v>
      </c>
      <c r="AV32" t="s">
        <v>425</v>
      </c>
      <c r="AW32">
        <v>79</v>
      </c>
      <c r="AX32">
        <v>96.7594936709</v>
      </c>
      <c r="AY32">
        <v>96</v>
      </c>
      <c r="AZ32">
        <v>14</v>
      </c>
      <c r="BA32">
        <v>117</v>
      </c>
      <c r="BB32">
        <v>36</v>
      </c>
      <c r="BC32">
        <v>2</v>
      </c>
      <c r="BD32">
        <v>2</v>
      </c>
      <c r="BE32">
        <v>49</v>
      </c>
      <c r="BF32">
        <v>7</v>
      </c>
      <c r="BG32">
        <v>16</v>
      </c>
      <c r="BH32">
        <v>25</v>
      </c>
      <c r="BJ32" t="s">
        <v>554</v>
      </c>
      <c r="BK32" t="s">
        <v>379</v>
      </c>
      <c r="BL32">
        <v>2703</v>
      </c>
      <c r="BM32">
        <v>649</v>
      </c>
      <c r="BN32">
        <v>96.193488716199994</v>
      </c>
      <c r="BO32">
        <v>7013</v>
      </c>
      <c r="BP32">
        <v>328</v>
      </c>
      <c r="BQ32">
        <v>146.66847283620001</v>
      </c>
      <c r="BR32">
        <v>131.71646341460001</v>
      </c>
      <c r="BS32">
        <v>4978</v>
      </c>
      <c r="BT32">
        <v>1923</v>
      </c>
      <c r="BU32">
        <v>125.8523503415</v>
      </c>
      <c r="BV32">
        <v>14212</v>
      </c>
      <c r="BW32">
        <v>629</v>
      </c>
      <c r="BX32">
        <v>181.67865184350001</v>
      </c>
      <c r="BY32">
        <v>171.453100159</v>
      </c>
      <c r="CA32" t="s">
        <v>424</v>
      </c>
      <c r="CB32" t="s">
        <v>873</v>
      </c>
      <c r="CC32" t="s">
        <v>1005</v>
      </c>
      <c r="CD32">
        <v>546</v>
      </c>
      <c r="CE32">
        <v>213</v>
      </c>
      <c r="CF32">
        <v>134.858974359</v>
      </c>
      <c r="CG32">
        <v>1248</v>
      </c>
      <c r="CH32">
        <v>39</v>
      </c>
      <c r="CI32">
        <v>217.78605769230001</v>
      </c>
      <c r="CJ32">
        <v>220.94871794869999</v>
      </c>
      <c r="CL32" t="s">
        <v>424</v>
      </c>
      <c r="CM32" t="s">
        <v>842</v>
      </c>
      <c r="CN32" t="s">
        <v>844</v>
      </c>
      <c r="CO32">
        <v>29</v>
      </c>
      <c r="CP32">
        <v>4</v>
      </c>
      <c r="CQ32">
        <v>83.482758620699997</v>
      </c>
      <c r="CR32">
        <v>144</v>
      </c>
      <c r="CS32">
        <v>7</v>
      </c>
      <c r="CT32">
        <v>86.152777777799997</v>
      </c>
      <c r="CU32">
        <v>89.714285714300004</v>
      </c>
      <c r="CW32" t="s">
        <v>424</v>
      </c>
      <c r="CX32" t="s">
        <v>858</v>
      </c>
      <c r="CY32" t="s">
        <v>860</v>
      </c>
      <c r="CZ32">
        <v>14</v>
      </c>
      <c r="DA32">
        <v>0</v>
      </c>
      <c r="DB32">
        <v>42.857142857100001</v>
      </c>
      <c r="DC32">
        <v>41</v>
      </c>
      <c r="DD32">
        <v>1</v>
      </c>
      <c r="DE32">
        <v>143.0731707317</v>
      </c>
      <c r="DF32">
        <v>153</v>
      </c>
      <c r="DH32" t="s">
        <v>424</v>
      </c>
      <c r="DI32" t="s">
        <v>826</v>
      </c>
      <c r="DJ32" t="s">
        <v>828</v>
      </c>
      <c r="DK32">
        <v>18</v>
      </c>
      <c r="DL32">
        <v>2</v>
      </c>
      <c r="DM32">
        <v>54.833333333299997</v>
      </c>
      <c r="DN32">
        <v>26</v>
      </c>
      <c r="DO32">
        <v>1</v>
      </c>
      <c r="DP32">
        <v>125.26923076920001</v>
      </c>
      <c r="DQ32">
        <v>130</v>
      </c>
    </row>
    <row r="33" spans="2:121" x14ac:dyDescent="0.2">
      <c r="B33" t="s">
        <v>22</v>
      </c>
      <c r="C33">
        <v>213748</v>
      </c>
      <c r="D33">
        <v>66975</v>
      </c>
      <c r="F33" t="s">
        <v>70</v>
      </c>
      <c r="G33">
        <v>812</v>
      </c>
      <c r="H33">
        <v>139.83128078819999</v>
      </c>
      <c r="I33">
        <v>2115</v>
      </c>
      <c r="J33">
        <v>465</v>
      </c>
      <c r="K33">
        <v>2710</v>
      </c>
      <c r="L33">
        <v>680</v>
      </c>
      <c r="M33">
        <v>973</v>
      </c>
      <c r="N33">
        <v>267</v>
      </c>
      <c r="O33">
        <v>228</v>
      </c>
      <c r="P33">
        <v>141</v>
      </c>
      <c r="Q33">
        <v>0</v>
      </c>
      <c r="R33">
        <v>3</v>
      </c>
      <c r="AH33" t="s">
        <v>384</v>
      </c>
      <c r="AI33">
        <v>2522</v>
      </c>
      <c r="AJ33">
        <v>304.919111816</v>
      </c>
      <c r="AK33">
        <v>4414</v>
      </c>
      <c r="AL33">
        <v>1632</v>
      </c>
      <c r="AM33">
        <v>3934</v>
      </c>
      <c r="AN33">
        <v>2065</v>
      </c>
      <c r="AO33">
        <v>483</v>
      </c>
      <c r="AP33">
        <v>229</v>
      </c>
      <c r="AQ33">
        <v>1956</v>
      </c>
      <c r="AR33">
        <v>1186</v>
      </c>
      <c r="AS33">
        <v>477</v>
      </c>
      <c r="AT33">
        <v>7</v>
      </c>
      <c r="AV33" t="s">
        <v>436</v>
      </c>
      <c r="AW33">
        <v>184</v>
      </c>
      <c r="AX33">
        <v>41.918478260900002</v>
      </c>
      <c r="AY33">
        <v>461</v>
      </c>
      <c r="AZ33">
        <v>23</v>
      </c>
      <c r="BA33">
        <v>295</v>
      </c>
      <c r="BB33">
        <v>17</v>
      </c>
      <c r="BC33">
        <v>4</v>
      </c>
      <c r="BD33">
        <v>4</v>
      </c>
      <c r="BE33">
        <v>11</v>
      </c>
      <c r="BF33">
        <v>3</v>
      </c>
      <c r="BG33">
        <v>284</v>
      </c>
      <c r="BH33">
        <v>72</v>
      </c>
      <c r="BJ33" t="s">
        <v>639</v>
      </c>
      <c r="BK33" t="s">
        <v>379</v>
      </c>
      <c r="BL33">
        <v>1374</v>
      </c>
      <c r="BM33">
        <v>321</v>
      </c>
      <c r="BN33">
        <v>101.2736535662</v>
      </c>
      <c r="BO33">
        <v>3087</v>
      </c>
      <c r="BP33">
        <v>109</v>
      </c>
      <c r="BQ33">
        <v>180.09297052150001</v>
      </c>
      <c r="BR33">
        <v>148.5504587156</v>
      </c>
      <c r="BS33">
        <v>1596</v>
      </c>
      <c r="BT33">
        <v>493</v>
      </c>
      <c r="BU33">
        <v>122.76629072679999</v>
      </c>
      <c r="BV33">
        <v>3737</v>
      </c>
      <c r="BW33">
        <v>135</v>
      </c>
      <c r="BX33">
        <v>195.07867273209999</v>
      </c>
      <c r="BY33">
        <v>179.97777777779999</v>
      </c>
      <c r="CA33" t="s">
        <v>426</v>
      </c>
      <c r="CB33" t="s">
        <v>873</v>
      </c>
      <c r="CC33" t="s">
        <v>1006</v>
      </c>
      <c r="CD33">
        <v>1274</v>
      </c>
      <c r="CE33">
        <v>241</v>
      </c>
      <c r="CF33">
        <v>92.058869701700004</v>
      </c>
      <c r="CG33">
        <v>3505</v>
      </c>
      <c r="CH33">
        <v>114</v>
      </c>
      <c r="CI33">
        <v>126.60855920109999</v>
      </c>
      <c r="CJ33">
        <v>142.5438596491</v>
      </c>
      <c r="CL33" t="s">
        <v>426</v>
      </c>
      <c r="CM33" t="s">
        <v>842</v>
      </c>
      <c r="CN33" t="s">
        <v>845</v>
      </c>
      <c r="CO33">
        <v>48</v>
      </c>
      <c r="CP33">
        <v>2</v>
      </c>
      <c r="CQ33">
        <v>55.875</v>
      </c>
      <c r="CR33">
        <v>437</v>
      </c>
      <c r="CS33">
        <v>6</v>
      </c>
      <c r="CT33">
        <v>64.643020594999996</v>
      </c>
      <c r="CU33">
        <v>108.3333333333</v>
      </c>
      <c r="CW33" t="s">
        <v>426</v>
      </c>
      <c r="CX33" t="s">
        <v>858</v>
      </c>
      <c r="CY33" t="s">
        <v>861</v>
      </c>
      <c r="CZ33">
        <v>16</v>
      </c>
      <c r="DA33">
        <v>2</v>
      </c>
      <c r="DB33">
        <v>61.25</v>
      </c>
      <c r="DC33">
        <v>58</v>
      </c>
      <c r="DD33">
        <v>2</v>
      </c>
      <c r="DE33">
        <v>129.87931034479999</v>
      </c>
      <c r="DF33">
        <v>137</v>
      </c>
      <c r="DH33" t="s">
        <v>426</v>
      </c>
      <c r="DI33" t="s">
        <v>826</v>
      </c>
      <c r="DJ33" t="s">
        <v>829</v>
      </c>
      <c r="DK33">
        <v>9</v>
      </c>
      <c r="DL33">
        <v>1</v>
      </c>
      <c r="DM33">
        <v>59.111111111100001</v>
      </c>
      <c r="DN33">
        <v>29</v>
      </c>
      <c r="DO33">
        <v>0</v>
      </c>
      <c r="DP33">
        <v>122.82758620689999</v>
      </c>
      <c r="DQ33">
        <v>0</v>
      </c>
    </row>
    <row r="34" spans="2:121" x14ac:dyDescent="0.2">
      <c r="B34" t="s">
        <v>92</v>
      </c>
      <c r="C34">
        <v>29</v>
      </c>
      <c r="F34" t="s">
        <v>40</v>
      </c>
      <c r="G34">
        <v>6791</v>
      </c>
      <c r="H34">
        <v>515.243999411</v>
      </c>
      <c r="I34">
        <v>7340</v>
      </c>
      <c r="J34">
        <v>2723</v>
      </c>
      <c r="K34">
        <v>8506</v>
      </c>
      <c r="L34">
        <v>6502</v>
      </c>
      <c r="M34">
        <v>1398</v>
      </c>
      <c r="N34">
        <v>1307</v>
      </c>
      <c r="O34">
        <v>2942</v>
      </c>
      <c r="P34">
        <v>2444</v>
      </c>
      <c r="Q34">
        <v>1</v>
      </c>
      <c r="R34">
        <v>290</v>
      </c>
      <c r="AH34" t="s">
        <v>415</v>
      </c>
      <c r="AI34">
        <v>2040</v>
      </c>
      <c r="AJ34">
        <v>213.29509803920001</v>
      </c>
      <c r="AK34">
        <v>3378</v>
      </c>
      <c r="AL34">
        <v>1118</v>
      </c>
      <c r="AM34">
        <v>2831</v>
      </c>
      <c r="AN34">
        <v>1316</v>
      </c>
      <c r="AO34">
        <v>234</v>
      </c>
      <c r="AP34">
        <v>156</v>
      </c>
      <c r="AQ34">
        <v>631</v>
      </c>
      <c r="AR34">
        <v>322</v>
      </c>
      <c r="AS34">
        <v>3</v>
      </c>
      <c r="AT34">
        <v>17</v>
      </c>
      <c r="AV34" t="s">
        <v>382</v>
      </c>
      <c r="AW34">
        <v>52</v>
      </c>
      <c r="AX34">
        <v>83.461538461499998</v>
      </c>
      <c r="AY34">
        <v>122</v>
      </c>
      <c r="AZ34">
        <v>20</v>
      </c>
      <c r="BA34">
        <v>91</v>
      </c>
      <c r="BB34">
        <v>17</v>
      </c>
      <c r="BC34">
        <v>6</v>
      </c>
      <c r="BD34">
        <v>6</v>
      </c>
      <c r="BE34">
        <v>36</v>
      </c>
      <c r="BF34">
        <v>1</v>
      </c>
      <c r="BG34">
        <v>22</v>
      </c>
      <c r="BH34">
        <v>24</v>
      </c>
      <c r="BJ34" t="s">
        <v>535</v>
      </c>
      <c r="BK34" t="s">
        <v>379</v>
      </c>
      <c r="BL34">
        <v>4936</v>
      </c>
      <c r="BM34">
        <v>1908</v>
      </c>
      <c r="BN34">
        <v>131.1213533225</v>
      </c>
      <c r="BO34">
        <v>13081</v>
      </c>
      <c r="BP34">
        <v>432</v>
      </c>
      <c r="BQ34">
        <v>208.69214891830001</v>
      </c>
      <c r="BR34">
        <v>176</v>
      </c>
      <c r="BS34">
        <v>4311</v>
      </c>
      <c r="BT34">
        <v>1315</v>
      </c>
      <c r="BU34">
        <v>106.34585942939999</v>
      </c>
      <c r="BV34">
        <v>11046</v>
      </c>
      <c r="BW34">
        <v>369</v>
      </c>
      <c r="BX34">
        <v>197.62773854790001</v>
      </c>
      <c r="BY34">
        <v>157.42547425469999</v>
      </c>
      <c r="CA34" t="s">
        <v>386</v>
      </c>
      <c r="CB34" t="s">
        <v>873</v>
      </c>
      <c r="CC34" t="s">
        <v>1007</v>
      </c>
      <c r="CD34">
        <v>6045</v>
      </c>
      <c r="CE34">
        <v>2335</v>
      </c>
      <c r="CF34">
        <v>142.32291149709999</v>
      </c>
      <c r="CG34">
        <v>16543</v>
      </c>
      <c r="CH34">
        <v>561</v>
      </c>
      <c r="CI34">
        <v>241.18515384150001</v>
      </c>
      <c r="CJ34">
        <v>191.35828877009999</v>
      </c>
      <c r="CL34" t="s">
        <v>386</v>
      </c>
      <c r="CM34" t="s">
        <v>842</v>
      </c>
      <c r="CN34" t="s">
        <v>846</v>
      </c>
      <c r="CO34">
        <v>233</v>
      </c>
      <c r="CP34">
        <v>33</v>
      </c>
      <c r="CQ34">
        <v>81.7725321888</v>
      </c>
      <c r="CR34">
        <v>1492</v>
      </c>
      <c r="CS34">
        <v>57</v>
      </c>
      <c r="CT34">
        <v>86.463136729200002</v>
      </c>
      <c r="CU34">
        <v>96.403508771899993</v>
      </c>
      <c r="CW34" t="s">
        <v>386</v>
      </c>
      <c r="CX34" t="s">
        <v>858</v>
      </c>
      <c r="CY34" t="s">
        <v>862</v>
      </c>
      <c r="CZ34">
        <v>202</v>
      </c>
      <c r="DA34">
        <v>33</v>
      </c>
      <c r="DB34">
        <v>72.044554455400004</v>
      </c>
      <c r="DC34">
        <v>446</v>
      </c>
      <c r="DD34">
        <v>11</v>
      </c>
      <c r="DE34">
        <v>144.08071748879999</v>
      </c>
      <c r="DF34">
        <v>140.2727272727</v>
      </c>
      <c r="DH34" t="s">
        <v>386</v>
      </c>
      <c r="DI34" t="s">
        <v>826</v>
      </c>
      <c r="DJ34" t="s">
        <v>830</v>
      </c>
      <c r="DK34">
        <v>272</v>
      </c>
      <c r="DL34">
        <v>55</v>
      </c>
      <c r="DM34">
        <v>74.367647058800003</v>
      </c>
      <c r="DN34">
        <v>512</v>
      </c>
      <c r="DO34">
        <v>16</v>
      </c>
      <c r="DP34">
        <v>149.30859375</v>
      </c>
      <c r="DQ34">
        <v>146.375</v>
      </c>
    </row>
    <row r="35" spans="2:121" x14ac:dyDescent="0.2">
      <c r="B35" t="s">
        <v>105</v>
      </c>
      <c r="C35">
        <v>735</v>
      </c>
      <c r="D35">
        <v>655</v>
      </c>
      <c r="F35" t="s">
        <v>74</v>
      </c>
      <c r="G35">
        <v>9306</v>
      </c>
      <c r="H35">
        <v>299.72705781219997</v>
      </c>
      <c r="I35">
        <v>12387</v>
      </c>
      <c r="J35">
        <v>2557</v>
      </c>
      <c r="K35">
        <v>16230</v>
      </c>
      <c r="L35">
        <v>7268</v>
      </c>
      <c r="M35">
        <v>1773</v>
      </c>
      <c r="N35">
        <v>1183</v>
      </c>
      <c r="O35">
        <v>1945</v>
      </c>
      <c r="P35">
        <v>1363</v>
      </c>
      <c r="Q35">
        <v>0</v>
      </c>
      <c r="R35">
        <v>67</v>
      </c>
      <c r="AH35" t="s">
        <v>63</v>
      </c>
      <c r="AI35">
        <v>5817</v>
      </c>
      <c r="AJ35">
        <v>256.64019253909998</v>
      </c>
      <c r="AK35">
        <v>9882</v>
      </c>
      <c r="AL35">
        <v>3588</v>
      </c>
      <c r="AM35">
        <v>9146</v>
      </c>
      <c r="AN35">
        <v>4645</v>
      </c>
      <c r="AO35">
        <v>1641</v>
      </c>
      <c r="AP35">
        <v>937</v>
      </c>
      <c r="AQ35">
        <v>1492</v>
      </c>
      <c r="AR35">
        <v>817</v>
      </c>
      <c r="AS35">
        <v>856</v>
      </c>
      <c r="AT35">
        <v>17</v>
      </c>
      <c r="AV35" t="s">
        <v>405</v>
      </c>
      <c r="AW35">
        <v>539</v>
      </c>
      <c r="AX35">
        <v>64.471243042699996</v>
      </c>
      <c r="AY35">
        <v>796</v>
      </c>
      <c r="AZ35">
        <v>78</v>
      </c>
      <c r="BA35">
        <v>876</v>
      </c>
      <c r="BB35">
        <v>98</v>
      </c>
      <c r="BC35">
        <v>8</v>
      </c>
      <c r="BD35">
        <v>8</v>
      </c>
      <c r="BE35">
        <v>58</v>
      </c>
      <c r="BF35">
        <v>11</v>
      </c>
      <c r="BG35">
        <v>488</v>
      </c>
      <c r="BH35">
        <v>73</v>
      </c>
      <c r="BJ35" t="s">
        <v>541</v>
      </c>
      <c r="BK35" t="s">
        <v>379</v>
      </c>
      <c r="BL35">
        <v>2873</v>
      </c>
      <c r="BM35">
        <v>906</v>
      </c>
      <c r="BN35">
        <v>108.0180995475</v>
      </c>
      <c r="BO35">
        <v>5686</v>
      </c>
      <c r="BP35">
        <v>218</v>
      </c>
      <c r="BQ35">
        <v>167.1603939501</v>
      </c>
      <c r="BR35">
        <v>150.36697247710001</v>
      </c>
      <c r="BS35">
        <v>2541</v>
      </c>
      <c r="BT35">
        <v>805</v>
      </c>
      <c r="BU35">
        <v>104.9594647776</v>
      </c>
      <c r="BV35">
        <v>5926</v>
      </c>
      <c r="BW35">
        <v>211</v>
      </c>
      <c r="BX35">
        <v>168.4525818427</v>
      </c>
      <c r="BY35">
        <v>156.16113744079999</v>
      </c>
      <c r="CA35" t="s">
        <v>381</v>
      </c>
      <c r="CB35" t="s">
        <v>873</v>
      </c>
      <c r="CC35" t="s">
        <v>1008</v>
      </c>
      <c r="CD35">
        <v>4595</v>
      </c>
      <c r="CE35">
        <v>1376</v>
      </c>
      <c r="CF35">
        <v>117.3534276387</v>
      </c>
      <c r="CG35">
        <v>11877</v>
      </c>
      <c r="CH35">
        <v>369</v>
      </c>
      <c r="CI35">
        <v>200.42637029549999</v>
      </c>
      <c r="CJ35">
        <v>187.65853658539999</v>
      </c>
      <c r="CL35" t="s">
        <v>381</v>
      </c>
      <c r="CM35" t="s">
        <v>842</v>
      </c>
      <c r="CN35" t="s">
        <v>847</v>
      </c>
      <c r="CO35">
        <v>187</v>
      </c>
      <c r="CP35">
        <v>24</v>
      </c>
      <c r="CQ35">
        <v>74.727272727300004</v>
      </c>
      <c r="CR35">
        <v>1319</v>
      </c>
      <c r="CS35">
        <v>35</v>
      </c>
      <c r="CT35">
        <v>69.875663381300001</v>
      </c>
      <c r="CU35">
        <v>72.028571428600003</v>
      </c>
      <c r="CW35" t="s">
        <v>381</v>
      </c>
      <c r="CX35" t="s">
        <v>858</v>
      </c>
      <c r="CY35" t="s">
        <v>863</v>
      </c>
      <c r="CZ35">
        <v>83</v>
      </c>
      <c r="DA35">
        <v>10</v>
      </c>
      <c r="DB35">
        <v>65.469879518100001</v>
      </c>
      <c r="DC35">
        <v>178</v>
      </c>
      <c r="DD35">
        <v>5</v>
      </c>
      <c r="DE35">
        <v>130.8820224719</v>
      </c>
      <c r="DF35">
        <v>117.2</v>
      </c>
      <c r="DH35" t="s">
        <v>381</v>
      </c>
      <c r="DI35" t="s">
        <v>826</v>
      </c>
      <c r="DJ35" t="s">
        <v>831</v>
      </c>
      <c r="DK35">
        <v>33</v>
      </c>
      <c r="DL35">
        <v>4</v>
      </c>
      <c r="DM35">
        <v>71.818181818200003</v>
      </c>
      <c r="DN35">
        <v>107</v>
      </c>
      <c r="DO35">
        <v>2</v>
      </c>
      <c r="DP35">
        <v>160.98130841119999</v>
      </c>
      <c r="DQ35">
        <v>62</v>
      </c>
    </row>
    <row r="36" spans="2:121" x14ac:dyDescent="0.2">
      <c r="B36" t="s">
        <v>98</v>
      </c>
      <c r="C36">
        <v>518</v>
      </c>
      <c r="D36">
        <v>414</v>
      </c>
      <c r="F36" t="s">
        <v>50</v>
      </c>
      <c r="G36">
        <v>2297</v>
      </c>
      <c r="H36">
        <v>219.67958206360001</v>
      </c>
      <c r="I36">
        <v>2484</v>
      </c>
      <c r="J36">
        <v>638</v>
      </c>
      <c r="K36">
        <v>3535</v>
      </c>
      <c r="L36">
        <v>1848</v>
      </c>
      <c r="M36">
        <v>251</v>
      </c>
      <c r="N36">
        <v>227</v>
      </c>
      <c r="O36">
        <v>1049</v>
      </c>
      <c r="P36">
        <v>769</v>
      </c>
      <c r="Q36">
        <v>2</v>
      </c>
      <c r="R36">
        <v>18</v>
      </c>
      <c r="T36" t="s">
        <v>663</v>
      </c>
      <c r="U36" t="s">
        <v>315</v>
      </c>
      <c r="V36" t="s">
        <v>139</v>
      </c>
      <c r="W36" t="s">
        <v>222</v>
      </c>
      <c r="X36" t="s">
        <v>469</v>
      </c>
      <c r="Y36" t="s">
        <v>224</v>
      </c>
      <c r="Z36" t="s">
        <v>225</v>
      </c>
      <c r="AA36" t="s">
        <v>226</v>
      </c>
      <c r="AB36" t="s">
        <v>470</v>
      </c>
      <c r="AC36" t="s">
        <v>228</v>
      </c>
      <c r="AD36" t="s">
        <v>229</v>
      </c>
      <c r="AE36" t="s">
        <v>230</v>
      </c>
      <c r="AF36" t="s">
        <v>231</v>
      </c>
      <c r="AH36" t="s">
        <v>392</v>
      </c>
      <c r="AI36">
        <v>16062</v>
      </c>
      <c r="AJ36">
        <v>349.79292740630001</v>
      </c>
      <c r="AK36">
        <v>19335</v>
      </c>
      <c r="AL36">
        <v>6998</v>
      </c>
      <c r="AM36">
        <v>21649</v>
      </c>
      <c r="AN36">
        <v>13991</v>
      </c>
      <c r="AO36">
        <v>4227</v>
      </c>
      <c r="AP36">
        <v>3403</v>
      </c>
      <c r="AQ36">
        <v>7884</v>
      </c>
      <c r="AR36">
        <v>4387</v>
      </c>
      <c r="AS36">
        <v>694</v>
      </c>
      <c r="AT36">
        <v>40</v>
      </c>
      <c r="AV36" t="s">
        <v>393</v>
      </c>
      <c r="AW36">
        <v>737</v>
      </c>
      <c r="AX36">
        <v>91.553595658099994</v>
      </c>
      <c r="AY36">
        <v>643</v>
      </c>
      <c r="AZ36">
        <v>107</v>
      </c>
      <c r="BA36">
        <v>1181</v>
      </c>
      <c r="BB36">
        <v>313</v>
      </c>
      <c r="BC36">
        <v>28</v>
      </c>
      <c r="BD36">
        <v>27</v>
      </c>
      <c r="BE36">
        <v>282</v>
      </c>
      <c r="BF36">
        <v>42</v>
      </c>
      <c r="BG36">
        <v>124</v>
      </c>
      <c r="BH36">
        <v>217</v>
      </c>
      <c r="BJ36" t="s">
        <v>379</v>
      </c>
      <c r="BK36" t="s">
        <v>379</v>
      </c>
      <c r="BL36">
        <v>75647</v>
      </c>
      <c r="BM36">
        <v>26279</v>
      </c>
      <c r="BN36">
        <v>124.81298663530001</v>
      </c>
      <c r="BO36">
        <v>202274</v>
      </c>
      <c r="BP36">
        <v>6356</v>
      </c>
      <c r="BQ36">
        <v>197.25755163790001</v>
      </c>
      <c r="BR36">
        <v>169.16865953429999</v>
      </c>
      <c r="BS36">
        <v>75251</v>
      </c>
      <c r="BT36">
        <v>26361</v>
      </c>
      <c r="BU36">
        <v>124.0830952413</v>
      </c>
      <c r="BV36">
        <v>199876</v>
      </c>
      <c r="BW36">
        <v>6422</v>
      </c>
      <c r="BX36">
        <v>194.42743500969999</v>
      </c>
      <c r="BY36">
        <v>169.6837433821</v>
      </c>
      <c r="CA36" t="s">
        <v>425</v>
      </c>
      <c r="CB36" t="s">
        <v>873</v>
      </c>
      <c r="CC36" t="s">
        <v>1009</v>
      </c>
      <c r="CD36">
        <v>1317</v>
      </c>
      <c r="CE36">
        <v>347</v>
      </c>
      <c r="CF36">
        <v>106.69855732729999</v>
      </c>
      <c r="CG36">
        <v>3224</v>
      </c>
      <c r="CH36">
        <v>107</v>
      </c>
      <c r="CI36">
        <v>177.43796526049999</v>
      </c>
      <c r="CJ36">
        <v>142.98130841119999</v>
      </c>
      <c r="CL36" t="s">
        <v>425</v>
      </c>
      <c r="CM36" t="s">
        <v>842</v>
      </c>
      <c r="CN36" t="s">
        <v>848</v>
      </c>
      <c r="CO36">
        <v>61</v>
      </c>
      <c r="CP36">
        <v>3</v>
      </c>
      <c r="CQ36">
        <v>59.393442622999999</v>
      </c>
      <c r="CR36">
        <v>373</v>
      </c>
      <c r="CS36">
        <v>14</v>
      </c>
      <c r="CT36">
        <v>74.123324396800001</v>
      </c>
      <c r="CU36">
        <v>63.142857142899999</v>
      </c>
      <c r="CW36" t="s">
        <v>425</v>
      </c>
      <c r="CX36" t="s">
        <v>858</v>
      </c>
      <c r="CY36" t="s">
        <v>864</v>
      </c>
      <c r="CZ36">
        <v>17</v>
      </c>
      <c r="DA36">
        <v>1</v>
      </c>
      <c r="DB36">
        <v>70</v>
      </c>
      <c r="DC36">
        <v>53</v>
      </c>
      <c r="DD36">
        <v>3</v>
      </c>
      <c r="DE36">
        <v>124.49056603770001</v>
      </c>
      <c r="DF36">
        <v>224.6666666667</v>
      </c>
      <c r="DH36" t="s">
        <v>425</v>
      </c>
      <c r="DI36" t="s">
        <v>826</v>
      </c>
      <c r="DJ36" t="s">
        <v>832</v>
      </c>
      <c r="DK36">
        <v>15</v>
      </c>
      <c r="DL36">
        <v>2</v>
      </c>
      <c r="DM36">
        <v>72.8</v>
      </c>
      <c r="DN36">
        <v>23</v>
      </c>
      <c r="DO36">
        <v>0</v>
      </c>
      <c r="DP36">
        <v>159.0434782609</v>
      </c>
      <c r="DQ36">
        <v>0</v>
      </c>
    </row>
    <row r="37" spans="2:121" x14ac:dyDescent="0.2">
      <c r="B37" t="s">
        <v>121</v>
      </c>
      <c r="C37">
        <v>3646</v>
      </c>
      <c r="D37">
        <v>706</v>
      </c>
      <c r="F37" t="s">
        <v>85</v>
      </c>
      <c r="G37">
        <v>817</v>
      </c>
      <c r="H37">
        <v>313.47490820069999</v>
      </c>
      <c r="I37">
        <v>836</v>
      </c>
      <c r="J37">
        <v>297</v>
      </c>
      <c r="K37">
        <v>908</v>
      </c>
      <c r="L37">
        <v>425</v>
      </c>
      <c r="M37">
        <v>12</v>
      </c>
      <c r="N37">
        <v>10</v>
      </c>
      <c r="O37">
        <v>381</v>
      </c>
      <c r="P37">
        <v>159</v>
      </c>
      <c r="Q37">
        <v>0</v>
      </c>
      <c r="R37">
        <v>0</v>
      </c>
      <c r="T37" t="s">
        <v>400</v>
      </c>
      <c r="U37">
        <v>3183</v>
      </c>
      <c r="V37">
        <v>59.548853283100001</v>
      </c>
      <c r="W37">
        <v>4594</v>
      </c>
      <c r="X37">
        <v>326</v>
      </c>
      <c r="Y37">
        <v>5028</v>
      </c>
      <c r="Z37">
        <v>481</v>
      </c>
      <c r="AA37">
        <v>41</v>
      </c>
      <c r="AB37">
        <v>40</v>
      </c>
      <c r="AC37">
        <v>308</v>
      </c>
      <c r="AD37">
        <v>86</v>
      </c>
      <c r="AE37">
        <v>3591</v>
      </c>
      <c r="AF37">
        <v>447</v>
      </c>
      <c r="AH37" t="s">
        <v>429</v>
      </c>
      <c r="AI37">
        <v>286</v>
      </c>
      <c r="AJ37">
        <v>209.89860139859999</v>
      </c>
      <c r="AK37">
        <v>716</v>
      </c>
      <c r="AL37">
        <v>185</v>
      </c>
      <c r="AM37">
        <v>832</v>
      </c>
      <c r="AN37">
        <v>171</v>
      </c>
      <c r="AO37">
        <v>72</v>
      </c>
      <c r="AP37">
        <v>44</v>
      </c>
      <c r="AQ37">
        <v>85</v>
      </c>
      <c r="AR37">
        <v>33</v>
      </c>
      <c r="AS37">
        <v>0</v>
      </c>
      <c r="AT37">
        <v>1</v>
      </c>
      <c r="AV37" t="s">
        <v>401</v>
      </c>
      <c r="AW37">
        <v>664</v>
      </c>
      <c r="AX37">
        <v>65.237951807200005</v>
      </c>
      <c r="AY37">
        <v>915</v>
      </c>
      <c r="AZ37">
        <v>80</v>
      </c>
      <c r="BA37">
        <v>1078</v>
      </c>
      <c r="BB37">
        <v>131</v>
      </c>
      <c r="BC37">
        <v>13</v>
      </c>
      <c r="BD37">
        <v>13</v>
      </c>
      <c r="BE37">
        <v>62</v>
      </c>
      <c r="BF37">
        <v>15</v>
      </c>
      <c r="BG37">
        <v>488</v>
      </c>
      <c r="BH37">
        <v>60</v>
      </c>
      <c r="BJ37" t="s">
        <v>543</v>
      </c>
      <c r="BK37" t="s">
        <v>379</v>
      </c>
      <c r="BL37">
        <v>7815</v>
      </c>
      <c r="BM37">
        <v>3262</v>
      </c>
      <c r="BN37">
        <v>144.0236724248</v>
      </c>
      <c r="BO37">
        <v>23310</v>
      </c>
      <c r="BP37">
        <v>686</v>
      </c>
      <c r="BQ37">
        <v>234.75688545689999</v>
      </c>
      <c r="BR37">
        <v>185.33965014579999</v>
      </c>
      <c r="BS37">
        <v>8210</v>
      </c>
      <c r="BT37">
        <v>3549</v>
      </c>
      <c r="BU37">
        <v>145.45176613890001</v>
      </c>
      <c r="BV37">
        <v>23807</v>
      </c>
      <c r="BW37">
        <v>736</v>
      </c>
      <c r="BX37">
        <v>233.0750619566</v>
      </c>
      <c r="BY37">
        <v>184.37364130430001</v>
      </c>
      <c r="CA37" t="s">
        <v>384</v>
      </c>
      <c r="CB37" t="s">
        <v>873</v>
      </c>
      <c r="CC37" t="s">
        <v>1010</v>
      </c>
      <c r="CD37">
        <v>4419</v>
      </c>
      <c r="CE37">
        <v>1608</v>
      </c>
      <c r="CF37">
        <v>124.6650825979</v>
      </c>
      <c r="CG37">
        <v>10704</v>
      </c>
      <c r="CH37">
        <v>362</v>
      </c>
      <c r="CI37">
        <v>194.88041853510001</v>
      </c>
      <c r="CJ37">
        <v>168.27624309390001</v>
      </c>
      <c r="CL37" t="s">
        <v>384</v>
      </c>
      <c r="CM37" t="s">
        <v>842</v>
      </c>
      <c r="CN37" t="s">
        <v>849</v>
      </c>
      <c r="CO37">
        <v>249</v>
      </c>
      <c r="CP37">
        <v>41</v>
      </c>
      <c r="CQ37">
        <v>68.8152610442</v>
      </c>
      <c r="CR37">
        <v>1661</v>
      </c>
      <c r="CS37">
        <v>50</v>
      </c>
      <c r="CT37">
        <v>78.684527393099998</v>
      </c>
      <c r="CU37">
        <v>74.86</v>
      </c>
      <c r="CW37" t="s">
        <v>384</v>
      </c>
      <c r="CX37" t="s">
        <v>858</v>
      </c>
      <c r="CY37" t="s">
        <v>865</v>
      </c>
      <c r="CZ37">
        <v>87</v>
      </c>
      <c r="DA37">
        <v>11</v>
      </c>
      <c r="DB37">
        <v>72.413793103399996</v>
      </c>
      <c r="DC37">
        <v>174</v>
      </c>
      <c r="DD37">
        <v>4</v>
      </c>
      <c r="DE37">
        <v>139.31034482760001</v>
      </c>
      <c r="DF37">
        <v>118</v>
      </c>
      <c r="DH37" t="s">
        <v>384</v>
      </c>
      <c r="DI37" t="s">
        <v>826</v>
      </c>
      <c r="DJ37" t="s">
        <v>833</v>
      </c>
      <c r="DK37">
        <v>60</v>
      </c>
      <c r="DL37">
        <v>5</v>
      </c>
      <c r="DM37">
        <v>61.016666666699997</v>
      </c>
      <c r="DN37">
        <v>151</v>
      </c>
      <c r="DO37">
        <v>3</v>
      </c>
      <c r="DP37">
        <v>144.55629139070001</v>
      </c>
      <c r="DQ37">
        <v>88</v>
      </c>
    </row>
    <row r="38" spans="2:121" x14ac:dyDescent="0.2">
      <c r="B38" t="s">
        <v>102</v>
      </c>
      <c r="C38">
        <v>16812</v>
      </c>
      <c r="D38">
        <v>3194</v>
      </c>
      <c r="F38" t="s">
        <v>55</v>
      </c>
      <c r="G38">
        <v>7745</v>
      </c>
      <c r="H38">
        <v>419.51245965139998</v>
      </c>
      <c r="I38">
        <v>11084</v>
      </c>
      <c r="J38">
        <v>4455</v>
      </c>
      <c r="K38">
        <v>9309</v>
      </c>
      <c r="L38">
        <v>6904</v>
      </c>
      <c r="M38">
        <v>1007</v>
      </c>
      <c r="N38">
        <v>908</v>
      </c>
      <c r="O38">
        <v>5266</v>
      </c>
      <c r="P38">
        <v>3722</v>
      </c>
      <c r="Q38">
        <v>3</v>
      </c>
      <c r="R38">
        <v>36</v>
      </c>
      <c r="T38" t="s">
        <v>390</v>
      </c>
      <c r="U38">
        <v>6781</v>
      </c>
      <c r="V38">
        <v>88.655508037199994</v>
      </c>
      <c r="W38">
        <v>5708</v>
      </c>
      <c r="X38">
        <v>917</v>
      </c>
      <c r="Y38">
        <v>10641</v>
      </c>
      <c r="Z38">
        <v>2474</v>
      </c>
      <c r="AA38">
        <v>260</v>
      </c>
      <c r="AB38">
        <v>248</v>
      </c>
      <c r="AC38">
        <v>1973</v>
      </c>
      <c r="AD38">
        <v>304</v>
      </c>
      <c r="AE38">
        <v>1793</v>
      </c>
      <c r="AF38">
        <v>1365</v>
      </c>
      <c r="AH38" t="s">
        <v>401</v>
      </c>
      <c r="AI38">
        <v>10453</v>
      </c>
      <c r="AJ38">
        <v>499.80914569980001</v>
      </c>
      <c r="AK38">
        <v>8548</v>
      </c>
      <c r="AL38">
        <v>2590</v>
      </c>
      <c r="AM38">
        <v>13868</v>
      </c>
      <c r="AN38">
        <v>10713</v>
      </c>
      <c r="AO38">
        <v>1634</v>
      </c>
      <c r="AP38">
        <v>1551</v>
      </c>
      <c r="AQ38">
        <v>4563</v>
      </c>
      <c r="AR38">
        <v>3495</v>
      </c>
      <c r="AS38">
        <v>49</v>
      </c>
      <c r="AT38">
        <v>343</v>
      </c>
      <c r="AV38" t="s">
        <v>406</v>
      </c>
      <c r="AW38">
        <v>299</v>
      </c>
      <c r="AX38">
        <v>58.9598662207</v>
      </c>
      <c r="AY38">
        <v>280</v>
      </c>
      <c r="AZ38">
        <v>15</v>
      </c>
      <c r="BA38">
        <v>439</v>
      </c>
      <c r="BB38">
        <v>38</v>
      </c>
      <c r="BC38">
        <v>1</v>
      </c>
      <c r="BD38">
        <v>1</v>
      </c>
      <c r="BE38">
        <v>22</v>
      </c>
      <c r="BF38">
        <v>4</v>
      </c>
      <c r="BG38">
        <v>330</v>
      </c>
      <c r="BH38">
        <v>25</v>
      </c>
      <c r="BJ38" t="s">
        <v>546</v>
      </c>
      <c r="BK38" t="s">
        <v>379</v>
      </c>
      <c r="BL38">
        <v>4732</v>
      </c>
      <c r="BM38">
        <v>1808</v>
      </c>
      <c r="BN38">
        <v>142.34044801350001</v>
      </c>
      <c r="BO38">
        <v>10589</v>
      </c>
      <c r="BP38">
        <v>277</v>
      </c>
      <c r="BQ38">
        <v>211.9958447445</v>
      </c>
      <c r="BR38">
        <v>195.9566787004</v>
      </c>
      <c r="BS38">
        <v>4910</v>
      </c>
      <c r="BT38">
        <v>1763</v>
      </c>
      <c r="BU38">
        <v>135.32158859469999</v>
      </c>
      <c r="BV38">
        <v>9193</v>
      </c>
      <c r="BW38">
        <v>262</v>
      </c>
      <c r="BX38">
        <v>208.1950397041</v>
      </c>
      <c r="BY38">
        <v>191.19847328239999</v>
      </c>
      <c r="CA38" t="s">
        <v>63</v>
      </c>
      <c r="CB38" t="s">
        <v>873</v>
      </c>
      <c r="CC38" t="s">
        <v>535</v>
      </c>
      <c r="CD38">
        <v>9769</v>
      </c>
      <c r="CE38">
        <v>3528</v>
      </c>
      <c r="CF38">
        <v>126.83846862519999</v>
      </c>
      <c r="CG38">
        <v>25235</v>
      </c>
      <c r="CH38">
        <v>795</v>
      </c>
      <c r="CI38">
        <v>202.50259560129999</v>
      </c>
      <c r="CJ38">
        <v>183.49433962259999</v>
      </c>
      <c r="CL38" t="s">
        <v>63</v>
      </c>
      <c r="CM38" t="s">
        <v>842</v>
      </c>
      <c r="CN38" t="s">
        <v>850</v>
      </c>
      <c r="CO38">
        <v>632</v>
      </c>
      <c r="CP38">
        <v>75</v>
      </c>
      <c r="CQ38">
        <v>66.672468354399996</v>
      </c>
      <c r="CR38">
        <v>3923</v>
      </c>
      <c r="CS38">
        <v>119</v>
      </c>
      <c r="CT38">
        <v>70.161356104999996</v>
      </c>
      <c r="CU38">
        <v>82.680672268899997</v>
      </c>
      <c r="CW38" t="s">
        <v>63</v>
      </c>
      <c r="CX38" t="s">
        <v>858</v>
      </c>
      <c r="CY38" t="s">
        <v>866</v>
      </c>
      <c r="CZ38">
        <v>206</v>
      </c>
      <c r="DA38">
        <v>32</v>
      </c>
      <c r="DB38">
        <v>72.538834951499993</v>
      </c>
      <c r="DC38">
        <v>433</v>
      </c>
      <c r="DD38">
        <v>14</v>
      </c>
      <c r="DE38">
        <v>137.11085450350001</v>
      </c>
      <c r="DF38">
        <v>117.6428571429</v>
      </c>
      <c r="DH38" t="s">
        <v>63</v>
      </c>
      <c r="DI38" t="s">
        <v>826</v>
      </c>
      <c r="DJ38" t="s">
        <v>834</v>
      </c>
      <c r="DK38">
        <v>122</v>
      </c>
      <c r="DL38">
        <v>23</v>
      </c>
      <c r="DM38">
        <v>84.401639344299994</v>
      </c>
      <c r="DN38">
        <v>359</v>
      </c>
      <c r="DO38">
        <v>7</v>
      </c>
      <c r="DP38">
        <v>150.8690807799</v>
      </c>
      <c r="DQ38">
        <v>105</v>
      </c>
    </row>
    <row r="39" spans="2:121" x14ac:dyDescent="0.2">
      <c r="B39" t="s">
        <v>130</v>
      </c>
      <c r="C39">
        <v>4605</v>
      </c>
      <c r="D39">
        <v>631</v>
      </c>
      <c r="F39" t="s">
        <v>63</v>
      </c>
      <c r="G39">
        <v>3383</v>
      </c>
      <c r="H39">
        <v>253.69198935860001</v>
      </c>
      <c r="I39">
        <v>4742</v>
      </c>
      <c r="J39">
        <v>1890</v>
      </c>
      <c r="K39">
        <v>5201</v>
      </c>
      <c r="L39">
        <v>2867</v>
      </c>
      <c r="M39">
        <v>1418</v>
      </c>
      <c r="N39">
        <v>854</v>
      </c>
      <c r="O39">
        <v>304</v>
      </c>
      <c r="P39">
        <v>221</v>
      </c>
      <c r="Q39">
        <v>0</v>
      </c>
      <c r="R39">
        <v>11</v>
      </c>
      <c r="T39" t="s">
        <v>379</v>
      </c>
      <c r="U39">
        <v>6021</v>
      </c>
      <c r="V39">
        <v>91.130709184500006</v>
      </c>
      <c r="W39">
        <v>6762</v>
      </c>
      <c r="X39">
        <v>1160</v>
      </c>
      <c r="Y39">
        <v>9738</v>
      </c>
      <c r="Z39">
        <v>2427</v>
      </c>
      <c r="AA39">
        <v>458</v>
      </c>
      <c r="AB39">
        <v>451</v>
      </c>
      <c r="AC39">
        <v>2995</v>
      </c>
      <c r="AD39">
        <v>423</v>
      </c>
      <c r="AE39">
        <v>971</v>
      </c>
      <c r="AF39">
        <v>1856</v>
      </c>
      <c r="AH39" t="s">
        <v>422</v>
      </c>
      <c r="AI39">
        <v>5319</v>
      </c>
      <c r="AJ39">
        <v>263.89847715740001</v>
      </c>
      <c r="AK39">
        <v>7660</v>
      </c>
      <c r="AL39">
        <v>2164</v>
      </c>
      <c r="AM39">
        <v>8145</v>
      </c>
      <c r="AN39">
        <v>3662</v>
      </c>
      <c r="AO39">
        <v>1275</v>
      </c>
      <c r="AP39">
        <v>612</v>
      </c>
      <c r="AQ39">
        <v>1030</v>
      </c>
      <c r="AR39">
        <v>424</v>
      </c>
      <c r="AS39">
        <v>8</v>
      </c>
      <c r="AT39">
        <v>66</v>
      </c>
      <c r="AV39" t="s">
        <v>424</v>
      </c>
      <c r="AW39">
        <v>31</v>
      </c>
      <c r="AX39">
        <v>86.161290322599996</v>
      </c>
      <c r="AY39">
        <v>30</v>
      </c>
      <c r="AZ39">
        <v>8</v>
      </c>
      <c r="BA39">
        <v>50</v>
      </c>
      <c r="BB39">
        <v>10</v>
      </c>
      <c r="BC39">
        <v>5</v>
      </c>
      <c r="BD39">
        <v>5</v>
      </c>
      <c r="BE39">
        <v>16</v>
      </c>
      <c r="BF39">
        <v>1</v>
      </c>
      <c r="BG39">
        <v>7</v>
      </c>
      <c r="BH39">
        <v>11</v>
      </c>
      <c r="BJ39" t="s">
        <v>531</v>
      </c>
      <c r="BK39" t="s">
        <v>379</v>
      </c>
      <c r="BL39">
        <v>2333</v>
      </c>
      <c r="BM39">
        <v>465</v>
      </c>
      <c r="BN39">
        <v>80.914702100300005</v>
      </c>
      <c r="BO39">
        <v>18888</v>
      </c>
      <c r="BP39">
        <v>506</v>
      </c>
      <c r="BQ39">
        <v>56.336562897100002</v>
      </c>
      <c r="BR39">
        <v>54.569169960499998</v>
      </c>
      <c r="BS39">
        <v>4482</v>
      </c>
      <c r="BT39">
        <v>2062</v>
      </c>
      <c r="BU39">
        <v>144.95180722890001</v>
      </c>
      <c r="BV39">
        <v>23417</v>
      </c>
      <c r="BW39">
        <v>680</v>
      </c>
      <c r="BX39">
        <v>85.464149976499996</v>
      </c>
      <c r="BY39">
        <v>109.5911764706</v>
      </c>
      <c r="CA39" t="s">
        <v>392</v>
      </c>
      <c r="CB39" t="s">
        <v>873</v>
      </c>
      <c r="CC39" t="s">
        <v>1011</v>
      </c>
      <c r="CD39">
        <v>18275</v>
      </c>
      <c r="CE39">
        <v>6787</v>
      </c>
      <c r="CF39">
        <v>130.06385772909999</v>
      </c>
      <c r="CG39">
        <v>46196</v>
      </c>
      <c r="CH39">
        <v>1415</v>
      </c>
      <c r="CI39">
        <v>200.3535587497</v>
      </c>
      <c r="CJ39">
        <v>171.60212014129999</v>
      </c>
      <c r="CL39" t="s">
        <v>392</v>
      </c>
      <c r="CM39" t="s">
        <v>842</v>
      </c>
      <c r="CN39" t="s">
        <v>851</v>
      </c>
      <c r="CO39">
        <v>647</v>
      </c>
      <c r="CP39">
        <v>103</v>
      </c>
      <c r="CQ39">
        <v>73.510046367900003</v>
      </c>
      <c r="CR39">
        <v>4227</v>
      </c>
      <c r="CS39">
        <v>125</v>
      </c>
      <c r="CT39">
        <v>77.323633782800002</v>
      </c>
      <c r="CU39">
        <v>76.992000000000004</v>
      </c>
      <c r="CW39" t="s">
        <v>392</v>
      </c>
      <c r="CX39" t="s">
        <v>858</v>
      </c>
      <c r="CY39" t="s">
        <v>867</v>
      </c>
      <c r="CZ39">
        <v>509</v>
      </c>
      <c r="DA39">
        <v>76</v>
      </c>
      <c r="DB39">
        <v>73.673870334</v>
      </c>
      <c r="DC39">
        <v>1043</v>
      </c>
      <c r="DD39">
        <v>34</v>
      </c>
      <c r="DE39">
        <v>142.39693192710001</v>
      </c>
      <c r="DF39">
        <v>138.76470588239999</v>
      </c>
      <c r="DH39" t="s">
        <v>392</v>
      </c>
      <c r="DI39" t="s">
        <v>826</v>
      </c>
      <c r="DJ39" t="s">
        <v>835</v>
      </c>
      <c r="DK39">
        <v>1055</v>
      </c>
      <c r="DL39">
        <v>143</v>
      </c>
      <c r="DM39">
        <v>63.833175355500003</v>
      </c>
      <c r="DN39">
        <v>1381</v>
      </c>
      <c r="DO39">
        <v>51</v>
      </c>
      <c r="DP39">
        <v>128.28385228100001</v>
      </c>
      <c r="DQ39">
        <v>143.3137254902</v>
      </c>
    </row>
    <row r="40" spans="2:121" x14ac:dyDescent="0.2">
      <c r="B40" t="s">
        <v>111</v>
      </c>
      <c r="C40">
        <v>6233</v>
      </c>
      <c r="D40">
        <v>4740</v>
      </c>
      <c r="F40" t="s">
        <v>52</v>
      </c>
      <c r="G40">
        <v>4259</v>
      </c>
      <c r="H40">
        <v>386.6247945527</v>
      </c>
      <c r="I40">
        <v>4434</v>
      </c>
      <c r="J40">
        <v>2240</v>
      </c>
      <c r="K40">
        <v>5736</v>
      </c>
      <c r="L40">
        <v>4072</v>
      </c>
      <c r="M40">
        <v>1589</v>
      </c>
      <c r="N40">
        <v>1356</v>
      </c>
      <c r="O40">
        <v>2385</v>
      </c>
      <c r="P40">
        <v>1938</v>
      </c>
      <c r="Q40">
        <v>83</v>
      </c>
      <c r="R40">
        <v>169</v>
      </c>
      <c r="T40" t="s">
        <v>8</v>
      </c>
      <c r="U40">
        <v>200</v>
      </c>
      <c r="V40">
        <v>78.254999999999995</v>
      </c>
      <c r="W40">
        <v>186</v>
      </c>
      <c r="X40">
        <v>64</v>
      </c>
      <c r="Y40">
        <v>471</v>
      </c>
      <c r="Z40">
        <v>166</v>
      </c>
      <c r="AA40">
        <v>27</v>
      </c>
      <c r="AB40">
        <v>25</v>
      </c>
      <c r="AC40">
        <v>147</v>
      </c>
      <c r="AD40">
        <v>20</v>
      </c>
      <c r="AE40">
        <v>60</v>
      </c>
      <c r="AF40">
        <v>16</v>
      </c>
      <c r="AH40" t="s">
        <v>419</v>
      </c>
      <c r="AI40">
        <v>10164</v>
      </c>
      <c r="AJ40">
        <v>384.4966548603</v>
      </c>
      <c r="AK40">
        <v>5853</v>
      </c>
      <c r="AL40">
        <v>2211</v>
      </c>
      <c r="AM40">
        <v>12905</v>
      </c>
      <c r="AN40">
        <v>8677</v>
      </c>
      <c r="AO40">
        <v>3568</v>
      </c>
      <c r="AP40">
        <v>3033</v>
      </c>
      <c r="AQ40">
        <v>1434</v>
      </c>
      <c r="AR40">
        <v>691</v>
      </c>
      <c r="AS40">
        <v>2</v>
      </c>
      <c r="AT40">
        <v>77</v>
      </c>
      <c r="AV40" t="s">
        <v>420</v>
      </c>
      <c r="AW40">
        <v>615</v>
      </c>
      <c r="AX40">
        <v>45.3804878049</v>
      </c>
      <c r="AY40">
        <v>1448</v>
      </c>
      <c r="AZ40">
        <v>63</v>
      </c>
      <c r="BA40">
        <v>1188</v>
      </c>
      <c r="BB40">
        <v>80</v>
      </c>
      <c r="BC40">
        <v>14</v>
      </c>
      <c r="BD40">
        <v>13</v>
      </c>
      <c r="BE40">
        <v>63</v>
      </c>
      <c r="BF40">
        <v>29</v>
      </c>
      <c r="BG40">
        <v>943</v>
      </c>
      <c r="BH40">
        <v>283</v>
      </c>
      <c r="BJ40" t="s">
        <v>552</v>
      </c>
      <c r="BK40" t="s">
        <v>379</v>
      </c>
      <c r="BL40">
        <v>11719</v>
      </c>
      <c r="BM40">
        <v>4007</v>
      </c>
      <c r="BN40">
        <v>118.91765509</v>
      </c>
      <c r="BO40">
        <v>30114</v>
      </c>
      <c r="BP40">
        <v>1007</v>
      </c>
      <c r="BQ40">
        <v>214.92508467819999</v>
      </c>
      <c r="BR40">
        <v>174.1112214499</v>
      </c>
      <c r="BS40">
        <v>12213</v>
      </c>
      <c r="BT40">
        <v>4132</v>
      </c>
      <c r="BU40">
        <v>115.3856546303</v>
      </c>
      <c r="BV40">
        <v>28836</v>
      </c>
      <c r="BW40">
        <v>1044</v>
      </c>
      <c r="BX40">
        <v>203.51366347620001</v>
      </c>
      <c r="BY40">
        <v>166.48180076630001</v>
      </c>
      <c r="CA40" t="s">
        <v>385</v>
      </c>
      <c r="CB40" t="s">
        <v>873</v>
      </c>
      <c r="CC40" t="s">
        <v>1012</v>
      </c>
      <c r="CD40">
        <v>9529</v>
      </c>
      <c r="CE40">
        <v>3414</v>
      </c>
      <c r="CF40">
        <v>131.14786441390001</v>
      </c>
      <c r="CG40">
        <v>26695</v>
      </c>
      <c r="CH40">
        <v>773</v>
      </c>
      <c r="CI40">
        <v>216.1603296497</v>
      </c>
      <c r="CJ40">
        <v>174.99611901680001</v>
      </c>
      <c r="CL40" t="s">
        <v>385</v>
      </c>
      <c r="CM40" t="s">
        <v>842</v>
      </c>
      <c r="CN40" t="s">
        <v>852</v>
      </c>
      <c r="CO40">
        <v>696</v>
      </c>
      <c r="CP40">
        <v>79</v>
      </c>
      <c r="CQ40">
        <v>63.558908045999999</v>
      </c>
      <c r="CR40">
        <v>4770</v>
      </c>
      <c r="CS40">
        <v>119</v>
      </c>
      <c r="CT40">
        <v>68.857442348000006</v>
      </c>
      <c r="CU40">
        <v>82.806722689099999</v>
      </c>
      <c r="CW40" t="s">
        <v>385</v>
      </c>
      <c r="CX40" t="s">
        <v>858</v>
      </c>
      <c r="CY40" t="s">
        <v>868</v>
      </c>
      <c r="CZ40">
        <v>168</v>
      </c>
      <c r="DA40">
        <v>30</v>
      </c>
      <c r="DB40">
        <v>73.559523809500007</v>
      </c>
      <c r="DC40">
        <v>400</v>
      </c>
      <c r="DD40">
        <v>6</v>
      </c>
      <c r="DE40">
        <v>132.7525</v>
      </c>
      <c r="DF40">
        <v>189.1666666667</v>
      </c>
      <c r="DH40" t="s">
        <v>385</v>
      </c>
      <c r="DI40" t="s">
        <v>826</v>
      </c>
      <c r="DJ40" t="s">
        <v>836</v>
      </c>
      <c r="DK40">
        <v>91</v>
      </c>
      <c r="DL40">
        <v>15</v>
      </c>
      <c r="DM40">
        <v>74.230769230799993</v>
      </c>
      <c r="DN40">
        <v>272</v>
      </c>
      <c r="DO40">
        <v>10</v>
      </c>
      <c r="DP40">
        <v>152.5294117647</v>
      </c>
      <c r="DQ40">
        <v>153.69999999999999</v>
      </c>
    </row>
    <row r="41" spans="2:121" x14ac:dyDescent="0.2">
      <c r="B41" t="s">
        <v>119</v>
      </c>
      <c r="C41">
        <v>12992</v>
      </c>
      <c r="D41">
        <v>2198</v>
      </c>
      <c r="F41" t="s">
        <v>25</v>
      </c>
      <c r="G41">
        <v>13246</v>
      </c>
      <c r="H41">
        <v>371.8533897026</v>
      </c>
      <c r="I41">
        <v>15631</v>
      </c>
      <c r="J41">
        <v>5622</v>
      </c>
      <c r="K41">
        <v>18082</v>
      </c>
      <c r="L41">
        <v>12722</v>
      </c>
      <c r="M41">
        <v>4397</v>
      </c>
      <c r="N41">
        <v>3863</v>
      </c>
      <c r="O41">
        <v>12999</v>
      </c>
      <c r="P41">
        <v>8860</v>
      </c>
      <c r="Q41">
        <v>61</v>
      </c>
      <c r="R41">
        <v>28</v>
      </c>
      <c r="T41" t="s">
        <v>395</v>
      </c>
      <c r="U41">
        <v>1800</v>
      </c>
      <c r="V41">
        <v>54.0477777778</v>
      </c>
      <c r="W41">
        <v>2966</v>
      </c>
      <c r="X41">
        <v>146</v>
      </c>
      <c r="Y41">
        <v>3122</v>
      </c>
      <c r="Z41">
        <v>263</v>
      </c>
      <c r="AA41">
        <v>40</v>
      </c>
      <c r="AB41">
        <v>38</v>
      </c>
      <c r="AC41">
        <v>188</v>
      </c>
      <c r="AD41">
        <v>67</v>
      </c>
      <c r="AE41">
        <v>2393</v>
      </c>
      <c r="AF41">
        <v>492</v>
      </c>
      <c r="AH41" t="s">
        <v>8</v>
      </c>
      <c r="AI41">
        <v>9037</v>
      </c>
      <c r="AJ41">
        <v>406.64424034519999</v>
      </c>
      <c r="AK41">
        <v>4440</v>
      </c>
      <c r="AL41">
        <v>2106</v>
      </c>
      <c r="AM41">
        <v>10927</v>
      </c>
      <c r="AN41">
        <v>8117</v>
      </c>
      <c r="AO41">
        <v>1329</v>
      </c>
      <c r="AP41">
        <v>1140</v>
      </c>
      <c r="AQ41">
        <v>16228</v>
      </c>
      <c r="AR41">
        <v>10437</v>
      </c>
      <c r="AS41">
        <v>378</v>
      </c>
      <c r="AT41">
        <v>140</v>
      </c>
      <c r="AV41" t="s">
        <v>421</v>
      </c>
      <c r="AW41">
        <v>204</v>
      </c>
      <c r="AX41">
        <v>64.950980392199995</v>
      </c>
      <c r="AY41">
        <v>185</v>
      </c>
      <c r="AZ41">
        <v>15</v>
      </c>
      <c r="BA41">
        <v>328</v>
      </c>
      <c r="BB41">
        <v>36</v>
      </c>
      <c r="BC41">
        <v>7</v>
      </c>
      <c r="BD41">
        <v>7</v>
      </c>
      <c r="BE41">
        <v>28</v>
      </c>
      <c r="BF41">
        <v>7</v>
      </c>
      <c r="BG41">
        <v>258</v>
      </c>
      <c r="BH41">
        <v>21</v>
      </c>
      <c r="BJ41" t="s">
        <v>644</v>
      </c>
      <c r="BK41" t="s">
        <v>379</v>
      </c>
      <c r="BL41">
        <v>1232</v>
      </c>
      <c r="BM41">
        <v>237</v>
      </c>
      <c r="BN41">
        <v>93.952922077899998</v>
      </c>
      <c r="BO41">
        <v>3453</v>
      </c>
      <c r="BP41">
        <v>115</v>
      </c>
      <c r="BQ41">
        <v>129.06139588760001</v>
      </c>
      <c r="BR41">
        <v>153.01739130429999</v>
      </c>
      <c r="BS41">
        <v>5882</v>
      </c>
      <c r="BT41">
        <v>2129</v>
      </c>
      <c r="BU41">
        <v>135.38286297179999</v>
      </c>
      <c r="BV41">
        <v>15321</v>
      </c>
      <c r="BW41">
        <v>526</v>
      </c>
      <c r="BX41">
        <v>213.8708308857</v>
      </c>
      <c r="BY41">
        <v>198.3269961977</v>
      </c>
      <c r="CA41" t="s">
        <v>382</v>
      </c>
      <c r="CB41" t="s">
        <v>873</v>
      </c>
      <c r="CC41" t="s">
        <v>1013</v>
      </c>
      <c r="CD41">
        <v>895</v>
      </c>
      <c r="CE41">
        <v>231</v>
      </c>
      <c r="CF41">
        <v>98.464804469300006</v>
      </c>
      <c r="CG41">
        <v>2441</v>
      </c>
      <c r="CH41">
        <v>73</v>
      </c>
      <c r="CI41">
        <v>115.5358459648</v>
      </c>
      <c r="CJ41">
        <v>101.8630136986</v>
      </c>
      <c r="CL41" t="s">
        <v>382</v>
      </c>
      <c r="CM41" t="s">
        <v>842</v>
      </c>
      <c r="CN41" t="s">
        <v>853</v>
      </c>
      <c r="CO41">
        <v>56</v>
      </c>
      <c r="CP41">
        <v>2</v>
      </c>
      <c r="CQ41">
        <v>52.660714285700003</v>
      </c>
      <c r="CR41">
        <v>265</v>
      </c>
      <c r="CS41">
        <v>14</v>
      </c>
      <c r="CT41">
        <v>70.622641509399998</v>
      </c>
      <c r="CU41">
        <v>73.142857142899999</v>
      </c>
      <c r="CW41" t="s">
        <v>382</v>
      </c>
      <c r="CX41" t="s">
        <v>858</v>
      </c>
      <c r="CY41" t="s">
        <v>869</v>
      </c>
      <c r="CZ41">
        <v>5</v>
      </c>
      <c r="DA41">
        <v>0</v>
      </c>
      <c r="DB41">
        <v>47.8</v>
      </c>
      <c r="DC41">
        <v>28</v>
      </c>
      <c r="DD41">
        <v>0</v>
      </c>
      <c r="DE41">
        <v>100.3928571429</v>
      </c>
      <c r="DF41">
        <v>0</v>
      </c>
      <c r="DH41" t="s">
        <v>382</v>
      </c>
      <c r="DI41" t="s">
        <v>826</v>
      </c>
      <c r="DJ41" t="s">
        <v>837</v>
      </c>
      <c r="DK41">
        <v>3</v>
      </c>
      <c r="DL41">
        <v>0</v>
      </c>
      <c r="DM41">
        <v>36.333333333299997</v>
      </c>
      <c r="DN41">
        <v>13</v>
      </c>
      <c r="DO41">
        <v>0</v>
      </c>
      <c r="DP41">
        <v>145.92307692310001</v>
      </c>
      <c r="DQ41">
        <v>0</v>
      </c>
    </row>
    <row r="42" spans="2:121" x14ac:dyDescent="0.2">
      <c r="B42" t="s">
        <v>118</v>
      </c>
      <c r="C42">
        <v>5151</v>
      </c>
      <c r="D42">
        <v>288</v>
      </c>
      <c r="F42" t="s">
        <v>69</v>
      </c>
      <c r="G42">
        <v>9141</v>
      </c>
      <c r="H42">
        <v>391.2314845203</v>
      </c>
      <c r="I42">
        <v>5718</v>
      </c>
      <c r="J42">
        <v>2141</v>
      </c>
      <c r="K42">
        <v>11405</v>
      </c>
      <c r="L42">
        <v>7514</v>
      </c>
      <c r="M42">
        <v>3798</v>
      </c>
      <c r="N42">
        <v>3239</v>
      </c>
      <c r="O42">
        <v>1241</v>
      </c>
      <c r="P42">
        <v>704</v>
      </c>
      <c r="Q42">
        <v>0</v>
      </c>
      <c r="R42">
        <v>73</v>
      </c>
      <c r="T42" t="s">
        <v>414</v>
      </c>
      <c r="U42">
        <v>1381</v>
      </c>
      <c r="V42">
        <v>43.4308472122</v>
      </c>
      <c r="W42">
        <v>3639</v>
      </c>
      <c r="X42">
        <v>145</v>
      </c>
      <c r="Y42">
        <v>2371</v>
      </c>
      <c r="Z42">
        <v>184</v>
      </c>
      <c r="AA42">
        <v>32</v>
      </c>
      <c r="AB42">
        <v>30</v>
      </c>
      <c r="AC42">
        <v>114</v>
      </c>
      <c r="AD42">
        <v>56</v>
      </c>
      <c r="AE42">
        <v>2117</v>
      </c>
      <c r="AF42">
        <v>629</v>
      </c>
      <c r="AH42" t="s">
        <v>385</v>
      </c>
      <c r="AI42">
        <v>8256</v>
      </c>
      <c r="AJ42">
        <v>398.71547965119998</v>
      </c>
      <c r="AK42">
        <v>9757</v>
      </c>
      <c r="AL42">
        <v>3470</v>
      </c>
      <c r="AM42">
        <v>11947</v>
      </c>
      <c r="AN42">
        <v>7776</v>
      </c>
      <c r="AO42">
        <v>984</v>
      </c>
      <c r="AP42">
        <v>661</v>
      </c>
      <c r="AQ42">
        <v>6125</v>
      </c>
      <c r="AR42">
        <v>3517</v>
      </c>
      <c r="AS42">
        <v>779</v>
      </c>
      <c r="AT42">
        <v>12</v>
      </c>
      <c r="AV42" t="s">
        <v>63</v>
      </c>
      <c r="AW42">
        <v>1019</v>
      </c>
      <c r="AX42">
        <v>88.271835132500001</v>
      </c>
      <c r="AY42">
        <v>1421</v>
      </c>
      <c r="AZ42">
        <v>250</v>
      </c>
      <c r="BA42">
        <v>1704</v>
      </c>
      <c r="BB42">
        <v>455</v>
      </c>
      <c r="BC42">
        <v>63</v>
      </c>
      <c r="BD42">
        <v>62</v>
      </c>
      <c r="BE42">
        <v>523</v>
      </c>
      <c r="BF42">
        <v>82</v>
      </c>
      <c r="BG42">
        <v>135</v>
      </c>
      <c r="BH42">
        <v>306</v>
      </c>
      <c r="BJ42" t="s">
        <v>646</v>
      </c>
      <c r="BK42" t="s">
        <v>379</v>
      </c>
      <c r="BL42">
        <v>413</v>
      </c>
      <c r="BM42">
        <v>123</v>
      </c>
      <c r="BN42">
        <v>113.014527845</v>
      </c>
      <c r="BO42">
        <v>1206</v>
      </c>
      <c r="BP42">
        <v>21</v>
      </c>
      <c r="BQ42">
        <v>173.02321724710001</v>
      </c>
      <c r="BR42">
        <v>172.09523809519999</v>
      </c>
      <c r="BS42">
        <v>648</v>
      </c>
      <c r="BT42">
        <v>329</v>
      </c>
      <c r="BU42">
        <v>142.2962962963</v>
      </c>
      <c r="BV42">
        <v>1829</v>
      </c>
      <c r="BW42">
        <v>48</v>
      </c>
      <c r="BX42">
        <v>193.67851284860001</v>
      </c>
      <c r="BY42">
        <v>170.6666666667</v>
      </c>
      <c r="CA42" t="s">
        <v>427</v>
      </c>
      <c r="CB42" t="s">
        <v>873</v>
      </c>
      <c r="CC42" t="s">
        <v>1014</v>
      </c>
      <c r="CD42">
        <v>435</v>
      </c>
      <c r="CE42">
        <v>111</v>
      </c>
      <c r="CF42">
        <v>101.9563218391</v>
      </c>
      <c r="CG42">
        <v>1208</v>
      </c>
      <c r="CH42">
        <v>24</v>
      </c>
      <c r="CI42">
        <v>169.3700331126</v>
      </c>
      <c r="CJ42">
        <v>211.4166666667</v>
      </c>
      <c r="CL42" t="s">
        <v>427</v>
      </c>
      <c r="CM42" t="s">
        <v>842</v>
      </c>
      <c r="CN42" t="s">
        <v>854</v>
      </c>
      <c r="CO42">
        <v>17</v>
      </c>
      <c r="CP42">
        <v>3</v>
      </c>
      <c r="CQ42">
        <v>83.117647058800003</v>
      </c>
      <c r="CR42">
        <v>106</v>
      </c>
      <c r="CS42">
        <v>4</v>
      </c>
      <c r="CT42">
        <v>84.047169811299995</v>
      </c>
      <c r="CU42">
        <v>100.75</v>
      </c>
      <c r="CW42" t="s">
        <v>427</v>
      </c>
      <c r="CX42" t="s">
        <v>858</v>
      </c>
      <c r="CY42" t="s">
        <v>870</v>
      </c>
      <c r="CZ42">
        <v>3</v>
      </c>
      <c r="DA42">
        <v>1</v>
      </c>
      <c r="DB42">
        <v>82.666666666699996</v>
      </c>
      <c r="DC42">
        <v>21</v>
      </c>
      <c r="DD42">
        <v>1</v>
      </c>
      <c r="DE42">
        <v>138.28571428570001</v>
      </c>
      <c r="DF42">
        <v>131</v>
      </c>
      <c r="DH42" t="s">
        <v>427</v>
      </c>
      <c r="DI42" t="s">
        <v>826</v>
      </c>
      <c r="DJ42" t="s">
        <v>838</v>
      </c>
      <c r="DK42">
        <v>4</v>
      </c>
      <c r="DL42">
        <v>0</v>
      </c>
      <c r="DM42">
        <v>73.75</v>
      </c>
      <c r="DN42">
        <v>14</v>
      </c>
      <c r="DO42">
        <v>0</v>
      </c>
      <c r="DP42">
        <v>160.57142857139999</v>
      </c>
      <c r="DQ42">
        <v>0</v>
      </c>
    </row>
    <row r="43" spans="2:121" x14ac:dyDescent="0.2">
      <c r="B43" t="s">
        <v>133</v>
      </c>
      <c r="C43">
        <v>57293</v>
      </c>
      <c r="D43">
        <v>46939</v>
      </c>
      <c r="F43" t="s">
        <v>78</v>
      </c>
      <c r="G43">
        <v>4897</v>
      </c>
      <c r="H43">
        <v>270.05901572390002</v>
      </c>
      <c r="I43">
        <v>5067</v>
      </c>
      <c r="J43">
        <v>1544</v>
      </c>
      <c r="K43">
        <v>7653</v>
      </c>
      <c r="L43">
        <v>4914</v>
      </c>
      <c r="M43">
        <v>2359</v>
      </c>
      <c r="N43">
        <v>2241</v>
      </c>
      <c r="O43">
        <v>5768</v>
      </c>
      <c r="P43">
        <v>4675</v>
      </c>
      <c r="Q43">
        <v>44</v>
      </c>
      <c r="R43">
        <v>121</v>
      </c>
      <c r="AH43" t="s">
        <v>437</v>
      </c>
      <c r="AI43">
        <v>2830</v>
      </c>
      <c r="AJ43">
        <v>285.19858657240002</v>
      </c>
      <c r="AK43">
        <v>2829</v>
      </c>
      <c r="AL43">
        <v>966</v>
      </c>
      <c r="AM43">
        <v>4799</v>
      </c>
      <c r="AN43">
        <v>3128</v>
      </c>
      <c r="AO43">
        <v>727</v>
      </c>
      <c r="AP43">
        <v>627</v>
      </c>
      <c r="AQ43">
        <v>1803</v>
      </c>
      <c r="AR43">
        <v>1282</v>
      </c>
      <c r="AS43">
        <v>180</v>
      </c>
      <c r="AT43">
        <v>4</v>
      </c>
      <c r="AV43" t="s">
        <v>426</v>
      </c>
      <c r="AW43">
        <v>107</v>
      </c>
      <c r="AX43">
        <v>88.523364486000006</v>
      </c>
      <c r="AY43">
        <v>68</v>
      </c>
      <c r="AZ43">
        <v>8</v>
      </c>
      <c r="BA43">
        <v>171</v>
      </c>
      <c r="BB43">
        <v>49</v>
      </c>
      <c r="BC43">
        <v>5</v>
      </c>
      <c r="BD43">
        <v>5</v>
      </c>
      <c r="BE43">
        <v>52</v>
      </c>
      <c r="BF43">
        <v>9</v>
      </c>
      <c r="BG43">
        <v>12</v>
      </c>
      <c r="BH43">
        <v>23</v>
      </c>
      <c r="BJ43" t="s">
        <v>660</v>
      </c>
      <c r="BK43" t="s">
        <v>379</v>
      </c>
      <c r="BL43">
        <v>851</v>
      </c>
      <c r="BM43">
        <v>307</v>
      </c>
      <c r="BN43">
        <v>136.99882491189999</v>
      </c>
      <c r="BO43">
        <v>2145</v>
      </c>
      <c r="BP43">
        <v>55</v>
      </c>
      <c r="BQ43">
        <v>224.5827505828</v>
      </c>
      <c r="BR43">
        <v>239.8545454545</v>
      </c>
      <c r="BS43">
        <v>673</v>
      </c>
      <c r="BT43">
        <v>200</v>
      </c>
      <c r="BU43">
        <v>130.73997028229999</v>
      </c>
      <c r="BV43">
        <v>1700</v>
      </c>
      <c r="BW43">
        <v>34</v>
      </c>
      <c r="BX43">
        <v>230.15352941180001</v>
      </c>
      <c r="BY43">
        <v>272.3529411765</v>
      </c>
      <c r="CA43" t="s">
        <v>388</v>
      </c>
      <c r="CB43" t="s">
        <v>873</v>
      </c>
      <c r="CC43" t="s">
        <v>1015</v>
      </c>
      <c r="CD43">
        <v>12253</v>
      </c>
      <c r="CE43">
        <v>4180</v>
      </c>
      <c r="CF43">
        <v>119.9189586224</v>
      </c>
      <c r="CG43">
        <v>32343</v>
      </c>
      <c r="CH43">
        <v>1081</v>
      </c>
      <c r="CI43">
        <v>204.06189901990001</v>
      </c>
      <c r="CJ43">
        <v>163.18316373729999</v>
      </c>
      <c r="CL43" t="s">
        <v>388</v>
      </c>
      <c r="CM43" t="s">
        <v>842</v>
      </c>
      <c r="CN43" t="s">
        <v>855</v>
      </c>
      <c r="CO43">
        <v>412</v>
      </c>
      <c r="CP43">
        <v>65</v>
      </c>
      <c r="CQ43">
        <v>76.055825242699996</v>
      </c>
      <c r="CR43">
        <v>2634</v>
      </c>
      <c r="CS43">
        <v>87</v>
      </c>
      <c r="CT43">
        <v>82.494305239200003</v>
      </c>
      <c r="CU43">
        <v>93.321839080499998</v>
      </c>
      <c r="CW43" t="s">
        <v>388</v>
      </c>
      <c r="CX43" t="s">
        <v>858</v>
      </c>
      <c r="CY43" t="s">
        <v>871</v>
      </c>
      <c r="CZ43">
        <v>572</v>
      </c>
      <c r="DA43">
        <v>121</v>
      </c>
      <c r="DB43">
        <v>80.5</v>
      </c>
      <c r="DC43">
        <v>1205</v>
      </c>
      <c r="DD43">
        <v>38</v>
      </c>
      <c r="DE43">
        <v>149.89128630709999</v>
      </c>
      <c r="DF43">
        <v>156.26315789469999</v>
      </c>
      <c r="DH43" t="s">
        <v>388</v>
      </c>
      <c r="DI43" t="s">
        <v>826</v>
      </c>
      <c r="DJ43" t="s">
        <v>839</v>
      </c>
      <c r="DK43">
        <v>823</v>
      </c>
      <c r="DL43">
        <v>164</v>
      </c>
      <c r="DM43">
        <v>72.021871202900002</v>
      </c>
      <c r="DN43">
        <v>1433</v>
      </c>
      <c r="DO43">
        <v>56</v>
      </c>
      <c r="DP43">
        <v>140.52337752970001</v>
      </c>
      <c r="DQ43">
        <v>158.3928571429</v>
      </c>
    </row>
    <row r="44" spans="2:121" x14ac:dyDescent="0.2">
      <c r="B44" t="s">
        <v>132</v>
      </c>
      <c r="C44">
        <v>9165</v>
      </c>
      <c r="D44">
        <v>5913</v>
      </c>
      <c r="F44" t="s">
        <v>35</v>
      </c>
      <c r="G44">
        <v>2369</v>
      </c>
      <c r="H44">
        <v>511.13761080619997</v>
      </c>
      <c r="I44">
        <v>950</v>
      </c>
      <c r="J44">
        <v>160</v>
      </c>
      <c r="K44">
        <v>2982</v>
      </c>
      <c r="L44">
        <v>2234</v>
      </c>
      <c r="M44">
        <v>1935</v>
      </c>
      <c r="N44">
        <v>1743</v>
      </c>
      <c r="O44">
        <v>129</v>
      </c>
      <c r="P44">
        <v>90</v>
      </c>
      <c r="Q44">
        <v>0</v>
      </c>
      <c r="R44">
        <v>2</v>
      </c>
      <c r="AH44" t="s">
        <v>382</v>
      </c>
      <c r="AI44">
        <v>463</v>
      </c>
      <c r="AJ44">
        <v>233.47732181430001</v>
      </c>
      <c r="AK44">
        <v>851</v>
      </c>
      <c r="AL44">
        <v>232</v>
      </c>
      <c r="AM44">
        <v>1182</v>
      </c>
      <c r="AN44">
        <v>464</v>
      </c>
      <c r="AO44">
        <v>361</v>
      </c>
      <c r="AP44">
        <v>140</v>
      </c>
      <c r="AQ44">
        <v>94</v>
      </c>
      <c r="AR44">
        <v>50</v>
      </c>
      <c r="AS44">
        <v>93</v>
      </c>
      <c r="AT44">
        <v>2</v>
      </c>
      <c r="AV44" t="s">
        <v>404</v>
      </c>
      <c r="AW44">
        <v>454</v>
      </c>
      <c r="AX44">
        <v>59.085903083700003</v>
      </c>
      <c r="AY44">
        <v>625</v>
      </c>
      <c r="AZ44">
        <v>47</v>
      </c>
      <c r="BA44">
        <v>641</v>
      </c>
      <c r="BB44">
        <v>64</v>
      </c>
      <c r="BC44">
        <v>5</v>
      </c>
      <c r="BD44">
        <v>4</v>
      </c>
      <c r="BE44">
        <v>63</v>
      </c>
      <c r="BF44">
        <v>21</v>
      </c>
      <c r="BG44">
        <v>538</v>
      </c>
      <c r="BH44">
        <v>51</v>
      </c>
      <c r="BJ44" t="s">
        <v>560</v>
      </c>
      <c r="BK44" t="s">
        <v>379</v>
      </c>
      <c r="BL44">
        <v>18493</v>
      </c>
      <c r="BM44">
        <v>6761</v>
      </c>
      <c r="BN44">
        <v>127.9809116963</v>
      </c>
      <c r="BO44">
        <v>43655</v>
      </c>
      <c r="BP44">
        <v>1366</v>
      </c>
      <c r="BQ44">
        <v>210.68839766350001</v>
      </c>
      <c r="BR44">
        <v>175.8711566618</v>
      </c>
      <c r="BS44">
        <v>12162</v>
      </c>
      <c r="BT44">
        <v>4107</v>
      </c>
      <c r="BU44">
        <v>125.3272488078</v>
      </c>
      <c r="BV44">
        <v>31649</v>
      </c>
      <c r="BW44">
        <v>875</v>
      </c>
      <c r="BX44">
        <v>217.49597143669999</v>
      </c>
      <c r="BY44">
        <v>173.6697142857</v>
      </c>
      <c r="CA44" t="s">
        <v>389</v>
      </c>
      <c r="CB44" t="s">
        <v>873</v>
      </c>
      <c r="CC44" t="s">
        <v>1016</v>
      </c>
      <c r="CD44">
        <v>2763</v>
      </c>
      <c r="CE44">
        <v>708</v>
      </c>
      <c r="CF44">
        <v>100.29424538550001</v>
      </c>
      <c r="CG44">
        <v>7347</v>
      </c>
      <c r="CH44">
        <v>343</v>
      </c>
      <c r="CI44">
        <v>150.56022866480001</v>
      </c>
      <c r="CJ44">
        <v>131.74927113699999</v>
      </c>
      <c r="CL44" t="s">
        <v>389</v>
      </c>
      <c r="CM44" t="s">
        <v>842</v>
      </c>
      <c r="CN44" t="s">
        <v>856</v>
      </c>
      <c r="CO44">
        <v>120</v>
      </c>
      <c r="CP44">
        <v>17</v>
      </c>
      <c r="CQ44">
        <v>73.349999999999994</v>
      </c>
      <c r="CR44">
        <v>748</v>
      </c>
      <c r="CS44">
        <v>28</v>
      </c>
      <c r="CT44">
        <v>79.024064171099994</v>
      </c>
      <c r="CU44">
        <v>58.25</v>
      </c>
      <c r="CW44" t="s">
        <v>389</v>
      </c>
      <c r="CX44" t="s">
        <v>858</v>
      </c>
      <c r="CY44" t="s">
        <v>872</v>
      </c>
      <c r="CZ44">
        <v>13</v>
      </c>
      <c r="DA44">
        <v>1</v>
      </c>
      <c r="DB44">
        <v>56.538461538500002</v>
      </c>
      <c r="DC44">
        <v>58</v>
      </c>
      <c r="DD44">
        <v>3</v>
      </c>
      <c r="DE44">
        <v>128.43103448279999</v>
      </c>
      <c r="DF44">
        <v>136</v>
      </c>
      <c r="DH44" t="s">
        <v>389</v>
      </c>
      <c r="DI44" t="s">
        <v>826</v>
      </c>
      <c r="DJ44" t="s">
        <v>840</v>
      </c>
      <c r="DK44">
        <v>21</v>
      </c>
      <c r="DL44">
        <v>3</v>
      </c>
      <c r="DM44">
        <v>59.047619047600001</v>
      </c>
      <c r="DN44">
        <v>53</v>
      </c>
      <c r="DO44">
        <v>1</v>
      </c>
      <c r="DP44">
        <v>160.09433962259999</v>
      </c>
      <c r="DQ44">
        <v>160</v>
      </c>
    </row>
    <row r="45" spans="2:121" x14ac:dyDescent="0.2">
      <c r="B45" t="s">
        <v>106</v>
      </c>
      <c r="C45">
        <v>192</v>
      </c>
      <c r="D45">
        <v>191</v>
      </c>
      <c r="F45" t="s">
        <v>66</v>
      </c>
      <c r="G45">
        <v>5639</v>
      </c>
      <c r="H45">
        <v>430.16226281259998</v>
      </c>
      <c r="I45">
        <v>10318</v>
      </c>
      <c r="J45">
        <v>3752</v>
      </c>
      <c r="K45">
        <v>8445</v>
      </c>
      <c r="L45">
        <v>5520</v>
      </c>
      <c r="M45">
        <v>1785</v>
      </c>
      <c r="N45">
        <v>436</v>
      </c>
      <c r="O45">
        <v>7981</v>
      </c>
      <c r="P45">
        <v>4483</v>
      </c>
      <c r="Q45">
        <v>7094</v>
      </c>
      <c r="R45">
        <v>0</v>
      </c>
      <c r="AH45" t="s">
        <v>393</v>
      </c>
      <c r="AI45">
        <v>11404</v>
      </c>
      <c r="AJ45">
        <v>338.79822869169999</v>
      </c>
      <c r="AK45">
        <v>10071</v>
      </c>
      <c r="AL45">
        <v>3170</v>
      </c>
      <c r="AM45">
        <v>16295</v>
      </c>
      <c r="AN45">
        <v>11402</v>
      </c>
      <c r="AO45">
        <v>1689</v>
      </c>
      <c r="AP45">
        <v>1082</v>
      </c>
      <c r="AQ45">
        <v>2649</v>
      </c>
      <c r="AR45">
        <v>1605</v>
      </c>
      <c r="AS45">
        <v>362</v>
      </c>
      <c r="AT45">
        <v>60</v>
      </c>
      <c r="AV45" t="s">
        <v>431</v>
      </c>
      <c r="AW45">
        <v>17</v>
      </c>
      <c r="AX45">
        <v>44</v>
      </c>
      <c r="AY45">
        <v>37</v>
      </c>
      <c r="AZ45">
        <v>1</v>
      </c>
      <c r="BA45">
        <v>30</v>
      </c>
      <c r="BB45">
        <v>5</v>
      </c>
      <c r="BC45">
        <v>0</v>
      </c>
      <c r="BE45">
        <v>2</v>
      </c>
      <c r="BF45">
        <v>1</v>
      </c>
      <c r="BG45">
        <v>25</v>
      </c>
      <c r="BH45">
        <v>3</v>
      </c>
      <c r="BJ45" t="s">
        <v>8</v>
      </c>
      <c r="BK45" t="s">
        <v>8</v>
      </c>
      <c r="BL45">
        <v>843</v>
      </c>
      <c r="BM45">
        <v>295</v>
      </c>
      <c r="BN45">
        <v>114.64887307239999</v>
      </c>
      <c r="BO45">
        <v>686</v>
      </c>
      <c r="BP45">
        <v>41</v>
      </c>
      <c r="BQ45">
        <v>211.9562682216</v>
      </c>
      <c r="BR45">
        <v>154.46341463409999</v>
      </c>
      <c r="BS45">
        <v>3058</v>
      </c>
      <c r="BT45">
        <v>607</v>
      </c>
      <c r="BU45">
        <v>90.8724656638</v>
      </c>
      <c r="BV45">
        <v>4997</v>
      </c>
      <c r="BW45">
        <v>98</v>
      </c>
      <c r="BX45">
        <v>186.25635381230001</v>
      </c>
      <c r="BY45">
        <v>171.5306122449</v>
      </c>
      <c r="CA45" t="s">
        <v>379</v>
      </c>
      <c r="CB45" t="s">
        <v>873</v>
      </c>
      <c r="CD45">
        <v>75100</v>
      </c>
      <c r="CE45">
        <v>26018</v>
      </c>
      <c r="CF45">
        <v>124.74640479359999</v>
      </c>
      <c r="CG45">
        <v>196430</v>
      </c>
      <c r="CH45">
        <v>6249</v>
      </c>
      <c r="CI45">
        <v>200.85285343379999</v>
      </c>
      <c r="CJ45">
        <v>171.0593694991</v>
      </c>
      <c r="CL45" t="s">
        <v>379</v>
      </c>
      <c r="CM45" t="s">
        <v>842</v>
      </c>
      <c r="CO45">
        <v>3530</v>
      </c>
      <c r="CP45">
        <v>473</v>
      </c>
      <c r="CQ45">
        <v>70.376770538200006</v>
      </c>
      <c r="CR45">
        <v>23052</v>
      </c>
      <c r="CS45">
        <v>698</v>
      </c>
      <c r="CT45">
        <v>74.901353461699998</v>
      </c>
      <c r="CU45">
        <v>82.138968481399999</v>
      </c>
      <c r="CW45" t="s">
        <v>379</v>
      </c>
      <c r="CX45" t="s">
        <v>858</v>
      </c>
      <c r="CZ45">
        <v>1961</v>
      </c>
      <c r="DA45">
        <v>322</v>
      </c>
      <c r="DB45">
        <v>74.104028556900005</v>
      </c>
      <c r="DC45">
        <v>4288</v>
      </c>
      <c r="DD45">
        <v>125</v>
      </c>
      <c r="DE45">
        <v>141.58908582090001</v>
      </c>
      <c r="DF45">
        <v>144.792</v>
      </c>
      <c r="DH45" t="s">
        <v>379</v>
      </c>
      <c r="DI45" t="s">
        <v>826</v>
      </c>
      <c r="DK45">
        <v>2586</v>
      </c>
      <c r="DL45">
        <v>421</v>
      </c>
      <c r="DM45">
        <v>68.684454756400001</v>
      </c>
      <c r="DN45">
        <v>4461</v>
      </c>
      <c r="DO45">
        <v>150</v>
      </c>
      <c r="DP45">
        <v>139.66980497649999</v>
      </c>
      <c r="DQ45">
        <v>145.68</v>
      </c>
    </row>
    <row r="46" spans="2:121" x14ac:dyDescent="0.2">
      <c r="B46" t="s">
        <v>114</v>
      </c>
      <c r="C46">
        <v>532</v>
      </c>
      <c r="D46">
        <v>487</v>
      </c>
      <c r="F46" t="s">
        <v>81</v>
      </c>
      <c r="G46">
        <v>1130</v>
      </c>
      <c r="H46">
        <v>276.01061946900001</v>
      </c>
      <c r="I46">
        <v>1168</v>
      </c>
      <c r="J46">
        <v>235</v>
      </c>
      <c r="K46">
        <v>1734</v>
      </c>
      <c r="L46">
        <v>1029</v>
      </c>
      <c r="M46">
        <v>624</v>
      </c>
      <c r="N46">
        <v>527</v>
      </c>
      <c r="O46">
        <v>965</v>
      </c>
      <c r="P46">
        <v>891</v>
      </c>
      <c r="Q46">
        <v>0</v>
      </c>
      <c r="R46">
        <v>1</v>
      </c>
      <c r="AH46" t="s">
        <v>430</v>
      </c>
      <c r="AI46">
        <v>999</v>
      </c>
      <c r="AJ46">
        <v>123.84684684680001</v>
      </c>
      <c r="AK46">
        <v>955</v>
      </c>
      <c r="AL46">
        <v>263</v>
      </c>
      <c r="AM46">
        <v>1349</v>
      </c>
      <c r="AN46">
        <v>304</v>
      </c>
      <c r="AO46">
        <v>697</v>
      </c>
      <c r="AP46">
        <v>119</v>
      </c>
      <c r="AQ46">
        <v>113</v>
      </c>
      <c r="AR46">
        <v>44</v>
      </c>
      <c r="AS46">
        <v>1</v>
      </c>
      <c r="AT46">
        <v>1</v>
      </c>
      <c r="AV46" t="s">
        <v>399</v>
      </c>
      <c r="AW46">
        <v>250</v>
      </c>
      <c r="AX46">
        <v>72.867999999999995</v>
      </c>
      <c r="AY46">
        <v>204</v>
      </c>
      <c r="AZ46">
        <v>15</v>
      </c>
      <c r="BA46">
        <v>366</v>
      </c>
      <c r="BB46">
        <v>43</v>
      </c>
      <c r="BC46">
        <v>6</v>
      </c>
      <c r="BD46">
        <v>6</v>
      </c>
      <c r="BE46">
        <v>30</v>
      </c>
      <c r="BF46">
        <v>4</v>
      </c>
      <c r="BG46">
        <v>208</v>
      </c>
      <c r="BH46">
        <v>23</v>
      </c>
      <c r="BJ46" t="s">
        <v>703</v>
      </c>
      <c r="BK46" t="s">
        <v>8</v>
      </c>
      <c r="BL46">
        <v>843</v>
      </c>
      <c r="BM46">
        <v>295</v>
      </c>
      <c r="BN46">
        <v>114.64887307239999</v>
      </c>
      <c r="BO46">
        <v>686</v>
      </c>
      <c r="BP46">
        <v>41</v>
      </c>
      <c r="BQ46">
        <v>211.9562682216</v>
      </c>
      <c r="BR46">
        <v>154.46341463409999</v>
      </c>
      <c r="BS46">
        <v>3058</v>
      </c>
      <c r="BT46">
        <v>607</v>
      </c>
      <c r="BU46">
        <v>90.8724656638</v>
      </c>
      <c r="BV46">
        <v>4997</v>
      </c>
      <c r="BW46">
        <v>98</v>
      </c>
      <c r="BX46">
        <v>186.25635381230001</v>
      </c>
      <c r="BY46">
        <v>171.5306122449</v>
      </c>
      <c r="CA46" t="s">
        <v>8</v>
      </c>
      <c r="CB46" t="s">
        <v>703</v>
      </c>
      <c r="CC46" t="s">
        <v>703</v>
      </c>
      <c r="CD46">
        <v>4070</v>
      </c>
      <c r="CE46">
        <v>1926</v>
      </c>
      <c r="CF46">
        <v>160.23562653560001</v>
      </c>
      <c r="CG46">
        <v>8193</v>
      </c>
      <c r="CH46">
        <v>288</v>
      </c>
      <c r="CI46">
        <v>208.67069449530001</v>
      </c>
      <c r="CJ46">
        <v>188.99305555559999</v>
      </c>
      <c r="CL46" t="s">
        <v>8</v>
      </c>
      <c r="CM46" t="s">
        <v>875</v>
      </c>
      <c r="CN46" t="s">
        <v>875</v>
      </c>
      <c r="CO46">
        <v>197</v>
      </c>
      <c r="CP46">
        <v>42</v>
      </c>
      <c r="CQ46">
        <v>96.0304568528</v>
      </c>
      <c r="CR46">
        <v>857</v>
      </c>
      <c r="CS46">
        <v>35</v>
      </c>
      <c r="CT46">
        <v>97.218203033799995</v>
      </c>
      <c r="CU46">
        <v>112.1714285714</v>
      </c>
      <c r="CW46" t="s">
        <v>8</v>
      </c>
      <c r="CX46" t="s">
        <v>876</v>
      </c>
      <c r="CY46" t="s">
        <v>876</v>
      </c>
      <c r="CZ46">
        <v>20</v>
      </c>
      <c r="DA46">
        <v>7</v>
      </c>
      <c r="DB46">
        <v>102.35</v>
      </c>
      <c r="DC46">
        <v>50</v>
      </c>
      <c r="DD46">
        <v>1</v>
      </c>
      <c r="DE46">
        <v>141.36000000000001</v>
      </c>
      <c r="DF46">
        <v>143</v>
      </c>
      <c r="DH46" t="s">
        <v>8</v>
      </c>
      <c r="DI46" t="s">
        <v>874</v>
      </c>
      <c r="DJ46" t="s">
        <v>874</v>
      </c>
      <c r="DK46">
        <v>58</v>
      </c>
      <c r="DL46">
        <v>8</v>
      </c>
      <c r="DM46">
        <v>67.568965517199999</v>
      </c>
      <c r="DN46">
        <v>167</v>
      </c>
      <c r="DO46">
        <v>9</v>
      </c>
      <c r="DP46">
        <v>149.35329341319999</v>
      </c>
      <c r="DQ46">
        <v>107</v>
      </c>
    </row>
    <row r="47" spans="2:121" x14ac:dyDescent="0.2">
      <c r="B47" t="s">
        <v>107</v>
      </c>
      <c r="C47">
        <v>16780</v>
      </c>
      <c r="D47">
        <v>12777</v>
      </c>
      <c r="F47" t="s">
        <v>84</v>
      </c>
      <c r="G47">
        <v>1793</v>
      </c>
      <c r="H47">
        <v>123.5995538204</v>
      </c>
      <c r="I47">
        <v>2583</v>
      </c>
      <c r="J47">
        <v>766</v>
      </c>
      <c r="K47">
        <v>2749</v>
      </c>
      <c r="L47">
        <v>993</v>
      </c>
      <c r="M47">
        <v>292</v>
      </c>
      <c r="N47">
        <v>155</v>
      </c>
      <c r="O47">
        <v>174</v>
      </c>
      <c r="P47">
        <v>99</v>
      </c>
      <c r="Q47">
        <v>0</v>
      </c>
      <c r="R47">
        <v>10</v>
      </c>
      <c r="AH47" t="s">
        <v>394</v>
      </c>
      <c r="AI47">
        <v>7411</v>
      </c>
      <c r="AJ47">
        <v>268.13210093100002</v>
      </c>
      <c r="AK47">
        <v>9889</v>
      </c>
      <c r="AL47">
        <v>2826</v>
      </c>
      <c r="AM47">
        <v>10447</v>
      </c>
      <c r="AN47">
        <v>5842</v>
      </c>
      <c r="AO47">
        <v>1255</v>
      </c>
      <c r="AP47">
        <v>1053</v>
      </c>
      <c r="AQ47">
        <v>1709</v>
      </c>
      <c r="AR47">
        <v>992</v>
      </c>
      <c r="AS47">
        <v>38</v>
      </c>
      <c r="AT47">
        <v>211</v>
      </c>
      <c r="AV47" t="s">
        <v>433</v>
      </c>
      <c r="AW47">
        <v>52</v>
      </c>
      <c r="AX47">
        <v>95.769230769200007</v>
      </c>
      <c r="AY47">
        <v>64</v>
      </c>
      <c r="AZ47">
        <v>12</v>
      </c>
      <c r="BA47">
        <v>77</v>
      </c>
      <c r="BB47">
        <v>24</v>
      </c>
      <c r="BC47">
        <v>6</v>
      </c>
      <c r="BD47">
        <v>6</v>
      </c>
      <c r="BE47">
        <v>53</v>
      </c>
      <c r="BF47">
        <v>9</v>
      </c>
      <c r="BG47">
        <v>11</v>
      </c>
      <c r="BH47">
        <v>19</v>
      </c>
      <c r="BJ47" t="s">
        <v>603</v>
      </c>
      <c r="BK47" t="s">
        <v>414</v>
      </c>
      <c r="BL47">
        <v>3186</v>
      </c>
      <c r="BM47">
        <v>1033</v>
      </c>
      <c r="BN47">
        <v>114.0175768989</v>
      </c>
      <c r="BO47">
        <v>6759</v>
      </c>
      <c r="BP47">
        <v>216</v>
      </c>
      <c r="BQ47">
        <v>181.6484687084</v>
      </c>
      <c r="BR47">
        <v>190.1111111111</v>
      </c>
      <c r="BS47">
        <v>2750</v>
      </c>
      <c r="BT47">
        <v>847</v>
      </c>
      <c r="BU47">
        <v>112.17454545450001</v>
      </c>
      <c r="BV47">
        <v>6866</v>
      </c>
      <c r="BW47">
        <v>207</v>
      </c>
      <c r="BX47">
        <v>184.22676958930001</v>
      </c>
      <c r="BY47">
        <v>193.63285024149999</v>
      </c>
      <c r="CA47" t="s">
        <v>8</v>
      </c>
      <c r="CB47" t="s">
        <v>703</v>
      </c>
      <c r="CC47" t="s">
        <v>703</v>
      </c>
      <c r="CD47">
        <v>4070</v>
      </c>
      <c r="CE47">
        <v>1926</v>
      </c>
      <c r="CF47">
        <v>160.23562653560001</v>
      </c>
      <c r="CG47">
        <v>8193</v>
      </c>
      <c r="CH47">
        <v>288</v>
      </c>
      <c r="CI47">
        <v>208.67069449530001</v>
      </c>
      <c r="CJ47">
        <v>188.99305555559999</v>
      </c>
      <c r="CL47" t="s">
        <v>8</v>
      </c>
      <c r="CM47" t="s">
        <v>875</v>
      </c>
      <c r="CN47" t="s">
        <v>875</v>
      </c>
      <c r="CO47">
        <v>197</v>
      </c>
      <c r="CP47">
        <v>42</v>
      </c>
      <c r="CQ47">
        <v>96.0304568528</v>
      </c>
      <c r="CR47">
        <v>857</v>
      </c>
      <c r="CS47">
        <v>35</v>
      </c>
      <c r="CT47">
        <v>97.218203033799995</v>
      </c>
      <c r="CU47">
        <v>112.1714285714</v>
      </c>
      <c r="CW47" t="s">
        <v>8</v>
      </c>
      <c r="CX47" t="s">
        <v>876</v>
      </c>
      <c r="CY47" t="s">
        <v>876</v>
      </c>
      <c r="CZ47">
        <v>20</v>
      </c>
      <c r="DA47">
        <v>7</v>
      </c>
      <c r="DB47">
        <v>102.35</v>
      </c>
      <c r="DC47">
        <v>50</v>
      </c>
      <c r="DD47">
        <v>1</v>
      </c>
      <c r="DE47">
        <v>141.36000000000001</v>
      </c>
      <c r="DF47">
        <v>143</v>
      </c>
      <c r="DH47" t="s">
        <v>8</v>
      </c>
      <c r="DI47" t="s">
        <v>874</v>
      </c>
      <c r="DJ47" t="s">
        <v>874</v>
      </c>
      <c r="DK47">
        <v>58</v>
      </c>
      <c r="DL47">
        <v>8</v>
      </c>
      <c r="DM47">
        <v>67.568965517199999</v>
      </c>
      <c r="DN47">
        <v>167</v>
      </c>
      <c r="DO47">
        <v>9</v>
      </c>
      <c r="DP47">
        <v>149.35329341319999</v>
      </c>
      <c r="DQ47">
        <v>107</v>
      </c>
    </row>
    <row r="48" spans="2:121" x14ac:dyDescent="0.2">
      <c r="B48" t="s">
        <v>123</v>
      </c>
      <c r="C48">
        <v>4072</v>
      </c>
      <c r="D48">
        <v>722</v>
      </c>
      <c r="F48" t="s">
        <v>79</v>
      </c>
      <c r="G48">
        <v>5661</v>
      </c>
      <c r="H48">
        <v>145.92050874399999</v>
      </c>
      <c r="I48">
        <v>10391</v>
      </c>
      <c r="J48">
        <v>2454</v>
      </c>
      <c r="K48">
        <v>11474</v>
      </c>
      <c r="L48">
        <v>2829</v>
      </c>
      <c r="M48">
        <v>540</v>
      </c>
      <c r="N48">
        <v>410</v>
      </c>
      <c r="O48">
        <v>1377</v>
      </c>
      <c r="P48">
        <v>560</v>
      </c>
      <c r="Q48">
        <v>24</v>
      </c>
      <c r="R48">
        <v>0</v>
      </c>
      <c r="AH48" t="s">
        <v>420</v>
      </c>
      <c r="AI48">
        <v>33959</v>
      </c>
      <c r="AJ48">
        <v>327.36994611149998</v>
      </c>
      <c r="AK48">
        <v>39148</v>
      </c>
      <c r="AL48">
        <v>13927</v>
      </c>
      <c r="AM48">
        <v>46160</v>
      </c>
      <c r="AN48">
        <v>27572</v>
      </c>
      <c r="AO48">
        <v>4259</v>
      </c>
      <c r="AP48">
        <v>3326</v>
      </c>
      <c r="AQ48">
        <v>9892</v>
      </c>
      <c r="AR48">
        <v>6345</v>
      </c>
      <c r="AS48">
        <v>25</v>
      </c>
      <c r="AT48">
        <v>445</v>
      </c>
      <c r="AV48" t="s">
        <v>429</v>
      </c>
      <c r="AW48">
        <v>24</v>
      </c>
      <c r="AX48">
        <v>39.458333333299997</v>
      </c>
      <c r="AY48">
        <v>29</v>
      </c>
      <c r="BA48">
        <v>33</v>
      </c>
      <c r="BC48">
        <v>1</v>
      </c>
      <c r="BD48">
        <v>1</v>
      </c>
      <c r="BE48">
        <v>1</v>
      </c>
      <c r="BF48">
        <v>1</v>
      </c>
      <c r="BG48">
        <v>42</v>
      </c>
      <c r="BH48">
        <v>6</v>
      </c>
      <c r="BJ48" t="s">
        <v>662</v>
      </c>
      <c r="BK48" t="s">
        <v>414</v>
      </c>
      <c r="BL48">
        <v>1124</v>
      </c>
      <c r="BM48">
        <v>167</v>
      </c>
      <c r="BN48">
        <v>78.664590747299997</v>
      </c>
      <c r="BO48">
        <v>2593</v>
      </c>
      <c r="BP48">
        <v>19</v>
      </c>
      <c r="BQ48">
        <v>149.5406864636</v>
      </c>
      <c r="BR48">
        <v>126.94736842109999</v>
      </c>
      <c r="BS48">
        <v>1292</v>
      </c>
      <c r="BT48">
        <v>222</v>
      </c>
      <c r="BU48">
        <v>87.245356037199997</v>
      </c>
      <c r="BV48">
        <v>2565</v>
      </c>
      <c r="BW48">
        <v>17</v>
      </c>
      <c r="BX48">
        <v>151.1539961014</v>
      </c>
      <c r="BY48">
        <v>150.23529411760001</v>
      </c>
      <c r="CA48" t="s">
        <v>8</v>
      </c>
      <c r="CB48" t="s">
        <v>703</v>
      </c>
      <c r="CC48" t="s">
        <v>703</v>
      </c>
      <c r="CD48">
        <v>4070</v>
      </c>
      <c r="CE48">
        <v>1926</v>
      </c>
      <c r="CF48">
        <v>160.23562653560001</v>
      </c>
      <c r="CG48">
        <v>8193</v>
      </c>
      <c r="CH48">
        <v>288</v>
      </c>
      <c r="CI48">
        <v>208.67069449530001</v>
      </c>
      <c r="CJ48">
        <v>188.99305555559999</v>
      </c>
      <c r="CL48" t="s">
        <v>8</v>
      </c>
      <c r="CM48" t="s">
        <v>875</v>
      </c>
      <c r="CN48" t="s">
        <v>875</v>
      </c>
      <c r="CO48">
        <v>197</v>
      </c>
      <c r="CP48">
        <v>42</v>
      </c>
      <c r="CQ48">
        <v>96.0304568528</v>
      </c>
      <c r="CR48">
        <v>857</v>
      </c>
      <c r="CS48">
        <v>35</v>
      </c>
      <c r="CT48">
        <v>97.218203033799995</v>
      </c>
      <c r="CU48">
        <v>112.1714285714</v>
      </c>
      <c r="CW48" t="s">
        <v>8</v>
      </c>
      <c r="CX48" t="s">
        <v>876</v>
      </c>
      <c r="CY48" t="s">
        <v>876</v>
      </c>
      <c r="CZ48">
        <v>20</v>
      </c>
      <c r="DA48">
        <v>7</v>
      </c>
      <c r="DB48">
        <v>102.35</v>
      </c>
      <c r="DC48">
        <v>50</v>
      </c>
      <c r="DD48">
        <v>1</v>
      </c>
      <c r="DE48">
        <v>141.36000000000001</v>
      </c>
      <c r="DF48">
        <v>143</v>
      </c>
      <c r="DH48" t="s">
        <v>8</v>
      </c>
      <c r="DI48" t="s">
        <v>874</v>
      </c>
      <c r="DJ48" t="s">
        <v>874</v>
      </c>
      <c r="DK48">
        <v>58</v>
      </c>
      <c r="DL48">
        <v>8</v>
      </c>
      <c r="DM48">
        <v>67.568965517199999</v>
      </c>
      <c r="DN48">
        <v>167</v>
      </c>
      <c r="DO48">
        <v>9</v>
      </c>
      <c r="DP48">
        <v>149.35329341319999</v>
      </c>
      <c r="DQ48">
        <v>107</v>
      </c>
    </row>
    <row r="49" spans="2:121" x14ac:dyDescent="0.2">
      <c r="B49" t="s">
        <v>21</v>
      </c>
      <c r="C49">
        <v>42393</v>
      </c>
      <c r="D49">
        <v>17127</v>
      </c>
      <c r="F49" t="s">
        <v>43</v>
      </c>
      <c r="G49">
        <v>7481</v>
      </c>
      <c r="H49">
        <v>432.228579067</v>
      </c>
      <c r="I49">
        <v>7650</v>
      </c>
      <c r="J49">
        <v>3431</v>
      </c>
      <c r="K49">
        <v>9812</v>
      </c>
      <c r="L49">
        <v>6730</v>
      </c>
      <c r="M49">
        <v>2045</v>
      </c>
      <c r="N49">
        <v>1781</v>
      </c>
      <c r="O49">
        <v>5144</v>
      </c>
      <c r="P49">
        <v>3417</v>
      </c>
      <c r="Q49">
        <v>1</v>
      </c>
      <c r="R49">
        <v>54</v>
      </c>
      <c r="AH49" t="s">
        <v>416</v>
      </c>
      <c r="AI49">
        <v>2501</v>
      </c>
      <c r="AJ49">
        <v>313.70611755300001</v>
      </c>
      <c r="AK49">
        <v>1987</v>
      </c>
      <c r="AL49">
        <v>556</v>
      </c>
      <c r="AM49">
        <v>4020</v>
      </c>
      <c r="AN49">
        <v>2138</v>
      </c>
      <c r="AO49">
        <v>620</v>
      </c>
      <c r="AP49">
        <v>453</v>
      </c>
      <c r="AQ49">
        <v>229</v>
      </c>
      <c r="AR49">
        <v>129</v>
      </c>
      <c r="AS49">
        <v>0</v>
      </c>
      <c r="AT49">
        <v>4</v>
      </c>
      <c r="AV49" t="s">
        <v>388</v>
      </c>
      <c r="AW49">
        <v>667</v>
      </c>
      <c r="AX49">
        <v>89.977511244400006</v>
      </c>
      <c r="AY49">
        <v>586</v>
      </c>
      <c r="AZ49">
        <v>108</v>
      </c>
      <c r="BA49">
        <v>1054</v>
      </c>
      <c r="BB49">
        <v>236</v>
      </c>
      <c r="BC49">
        <v>161</v>
      </c>
      <c r="BD49">
        <v>161</v>
      </c>
      <c r="BE49">
        <v>313</v>
      </c>
      <c r="BF49">
        <v>43</v>
      </c>
      <c r="BG49">
        <v>144</v>
      </c>
      <c r="BH49">
        <v>225</v>
      </c>
      <c r="BJ49" t="s">
        <v>618</v>
      </c>
      <c r="BK49" t="s">
        <v>414</v>
      </c>
      <c r="BL49">
        <v>1561</v>
      </c>
      <c r="BM49">
        <v>449</v>
      </c>
      <c r="BN49">
        <v>99.885329916700002</v>
      </c>
      <c r="BO49">
        <v>3771</v>
      </c>
      <c r="BP49">
        <v>129</v>
      </c>
      <c r="BQ49">
        <v>146.49854150089999</v>
      </c>
      <c r="BR49">
        <v>151.6666666667</v>
      </c>
      <c r="BS49">
        <v>1956</v>
      </c>
      <c r="BT49">
        <v>795</v>
      </c>
      <c r="BU49">
        <v>126.1114519427</v>
      </c>
      <c r="BV49">
        <v>5058</v>
      </c>
      <c r="BW49">
        <v>185</v>
      </c>
      <c r="BX49">
        <v>164.03697113480001</v>
      </c>
      <c r="BY49">
        <v>180.48648648650001</v>
      </c>
      <c r="CA49" t="s">
        <v>8</v>
      </c>
      <c r="CB49" t="s">
        <v>703</v>
      </c>
      <c r="CD49">
        <v>4070</v>
      </c>
      <c r="CE49">
        <v>1926</v>
      </c>
      <c r="CF49">
        <v>160.23562653560001</v>
      </c>
      <c r="CG49">
        <v>8193</v>
      </c>
      <c r="CH49">
        <v>288</v>
      </c>
      <c r="CI49">
        <v>208.67069449530001</v>
      </c>
      <c r="CJ49">
        <v>188.99305555559999</v>
      </c>
      <c r="CL49" t="s">
        <v>8</v>
      </c>
      <c r="CM49" t="s">
        <v>875</v>
      </c>
      <c r="CO49">
        <v>197</v>
      </c>
      <c r="CP49">
        <v>42</v>
      </c>
      <c r="CQ49">
        <v>96.0304568528</v>
      </c>
      <c r="CR49">
        <v>857</v>
      </c>
      <c r="CS49">
        <v>35</v>
      </c>
      <c r="CT49">
        <v>97.218203033799995</v>
      </c>
      <c r="CU49">
        <v>112.1714285714</v>
      </c>
      <c r="CW49" t="s">
        <v>8</v>
      </c>
      <c r="CX49" t="s">
        <v>876</v>
      </c>
      <c r="CZ49">
        <v>20</v>
      </c>
      <c r="DA49">
        <v>7</v>
      </c>
      <c r="DB49">
        <v>102.35</v>
      </c>
      <c r="DC49">
        <v>50</v>
      </c>
      <c r="DD49">
        <v>1</v>
      </c>
      <c r="DE49">
        <v>141.36000000000001</v>
      </c>
      <c r="DF49">
        <v>143</v>
      </c>
      <c r="DH49" t="s">
        <v>8</v>
      </c>
      <c r="DI49" t="s">
        <v>874</v>
      </c>
      <c r="DK49">
        <v>58</v>
      </c>
      <c r="DL49">
        <v>8</v>
      </c>
      <c r="DM49">
        <v>67.568965517199999</v>
      </c>
      <c r="DN49">
        <v>167</v>
      </c>
      <c r="DO49">
        <v>9</v>
      </c>
      <c r="DP49">
        <v>149.35329341319999</v>
      </c>
      <c r="DQ49">
        <v>107</v>
      </c>
    </row>
    <row r="50" spans="2:121" x14ac:dyDescent="0.2">
      <c r="B50" t="s">
        <v>104</v>
      </c>
      <c r="C50">
        <v>221284</v>
      </c>
      <c r="D50">
        <v>168545</v>
      </c>
      <c r="F50" t="s">
        <v>56</v>
      </c>
      <c r="G50">
        <v>10037</v>
      </c>
      <c r="H50">
        <v>455.47055893200002</v>
      </c>
      <c r="I50">
        <v>6830</v>
      </c>
      <c r="J50">
        <v>3658</v>
      </c>
      <c r="K50">
        <v>13899</v>
      </c>
      <c r="L50">
        <v>9438</v>
      </c>
      <c r="M50">
        <v>2294</v>
      </c>
      <c r="N50">
        <v>2127</v>
      </c>
      <c r="O50">
        <v>1206</v>
      </c>
      <c r="P50">
        <v>747</v>
      </c>
      <c r="Q50">
        <v>79</v>
      </c>
      <c r="R50">
        <v>244</v>
      </c>
      <c r="AH50" t="s">
        <v>427</v>
      </c>
      <c r="AI50">
        <v>536</v>
      </c>
      <c r="AJ50">
        <v>333.71455223880002</v>
      </c>
      <c r="AK50">
        <v>441</v>
      </c>
      <c r="AL50">
        <v>114</v>
      </c>
      <c r="AM50">
        <v>884</v>
      </c>
      <c r="AN50">
        <v>485</v>
      </c>
      <c r="AO50">
        <v>155</v>
      </c>
      <c r="AP50">
        <v>102</v>
      </c>
      <c r="AQ50">
        <v>96</v>
      </c>
      <c r="AR50">
        <v>64</v>
      </c>
      <c r="AS50">
        <v>30</v>
      </c>
      <c r="AT50">
        <v>1</v>
      </c>
      <c r="AV50" t="s">
        <v>383</v>
      </c>
      <c r="AW50">
        <v>134</v>
      </c>
      <c r="AX50">
        <v>87.738805970100003</v>
      </c>
      <c r="AY50">
        <v>258</v>
      </c>
      <c r="AZ50">
        <v>45</v>
      </c>
      <c r="BA50">
        <v>209</v>
      </c>
      <c r="BB50">
        <v>55</v>
      </c>
      <c r="BC50">
        <v>8</v>
      </c>
      <c r="BD50">
        <v>8</v>
      </c>
      <c r="BE50">
        <v>89</v>
      </c>
      <c r="BF50">
        <v>9</v>
      </c>
      <c r="BG50">
        <v>19</v>
      </c>
      <c r="BH50">
        <v>60</v>
      </c>
      <c r="BJ50" t="s">
        <v>658</v>
      </c>
      <c r="BK50" t="s">
        <v>414</v>
      </c>
      <c r="BL50">
        <v>2663</v>
      </c>
      <c r="BM50">
        <v>947</v>
      </c>
      <c r="BN50">
        <v>118.85767930900001</v>
      </c>
      <c r="BO50">
        <v>6613</v>
      </c>
      <c r="BP50">
        <v>183</v>
      </c>
      <c r="BQ50">
        <v>199.86692877670001</v>
      </c>
      <c r="BR50">
        <v>179.30054644809999</v>
      </c>
      <c r="BS50">
        <v>2198</v>
      </c>
      <c r="BT50">
        <v>755</v>
      </c>
      <c r="BU50">
        <v>110.5814376706</v>
      </c>
      <c r="BV50">
        <v>5412</v>
      </c>
      <c r="BW50">
        <v>143</v>
      </c>
      <c r="BX50">
        <v>195.22228381369999</v>
      </c>
      <c r="BY50">
        <v>176.7762237762</v>
      </c>
      <c r="CA50" t="s">
        <v>434</v>
      </c>
      <c r="CB50" t="s">
        <v>907</v>
      </c>
      <c r="CC50" t="s">
        <v>1038</v>
      </c>
      <c r="CD50">
        <v>1180</v>
      </c>
      <c r="CE50">
        <v>201</v>
      </c>
      <c r="CF50">
        <v>84.212711864400006</v>
      </c>
      <c r="CG50">
        <v>3362</v>
      </c>
      <c r="CH50">
        <v>38</v>
      </c>
      <c r="CI50">
        <v>131.0672218917</v>
      </c>
      <c r="CJ50">
        <v>84.605263157899998</v>
      </c>
      <c r="CL50" t="s">
        <v>434</v>
      </c>
      <c r="CM50" t="s">
        <v>888</v>
      </c>
      <c r="CN50" t="s">
        <v>887</v>
      </c>
      <c r="CO50">
        <v>25</v>
      </c>
      <c r="CP50">
        <v>3</v>
      </c>
      <c r="CQ50">
        <v>77.56</v>
      </c>
      <c r="CR50">
        <v>173</v>
      </c>
      <c r="CS50">
        <v>6</v>
      </c>
      <c r="CT50">
        <v>58.913294797699997</v>
      </c>
      <c r="CU50">
        <v>81.333333333300004</v>
      </c>
      <c r="CW50" t="s">
        <v>434</v>
      </c>
      <c r="CX50" t="s">
        <v>898</v>
      </c>
      <c r="CY50" t="s">
        <v>897</v>
      </c>
      <c r="CZ50">
        <v>29</v>
      </c>
      <c r="DA50">
        <v>4</v>
      </c>
      <c r="DB50">
        <v>70.241379310300005</v>
      </c>
      <c r="DC50">
        <v>81</v>
      </c>
      <c r="DD50">
        <v>3</v>
      </c>
      <c r="DE50">
        <v>125.7283950617</v>
      </c>
      <c r="DF50">
        <v>170.3333333333</v>
      </c>
      <c r="DH50" t="s">
        <v>434</v>
      </c>
      <c r="DI50" t="s">
        <v>878</v>
      </c>
      <c r="DJ50" t="s">
        <v>877</v>
      </c>
      <c r="DK50">
        <v>50</v>
      </c>
      <c r="DL50">
        <v>9</v>
      </c>
      <c r="DM50">
        <v>68.680000000000007</v>
      </c>
      <c r="DN50">
        <v>98</v>
      </c>
      <c r="DO50">
        <v>5</v>
      </c>
      <c r="DP50">
        <v>177.84693877550001</v>
      </c>
      <c r="DQ50">
        <v>137.19999999999999</v>
      </c>
    </row>
    <row r="51" spans="2:121" x14ac:dyDescent="0.2">
      <c r="B51" t="s">
        <v>126</v>
      </c>
      <c r="C51">
        <v>718</v>
      </c>
      <c r="D51">
        <v>709</v>
      </c>
      <c r="F51" t="s">
        <v>75</v>
      </c>
      <c r="G51">
        <v>2225</v>
      </c>
      <c r="H51">
        <v>276.39505617980001</v>
      </c>
      <c r="I51">
        <v>2778</v>
      </c>
      <c r="J51">
        <v>961</v>
      </c>
      <c r="K51">
        <v>3805</v>
      </c>
      <c r="L51">
        <v>2623</v>
      </c>
      <c r="M51">
        <v>678</v>
      </c>
      <c r="N51">
        <v>637</v>
      </c>
      <c r="O51">
        <v>1550</v>
      </c>
      <c r="P51">
        <v>1227</v>
      </c>
      <c r="Q51">
        <v>0</v>
      </c>
      <c r="R51">
        <v>5</v>
      </c>
      <c r="AH51" t="s">
        <v>388</v>
      </c>
      <c r="AI51">
        <v>18248</v>
      </c>
      <c r="AJ51">
        <v>398.6184239369</v>
      </c>
      <c r="AK51">
        <v>13058</v>
      </c>
      <c r="AL51">
        <v>4149</v>
      </c>
      <c r="AM51">
        <v>22829</v>
      </c>
      <c r="AN51">
        <v>15578</v>
      </c>
      <c r="AO51">
        <v>3057</v>
      </c>
      <c r="AP51">
        <v>2454</v>
      </c>
      <c r="AQ51">
        <v>5623</v>
      </c>
      <c r="AR51">
        <v>4347</v>
      </c>
      <c r="AS51">
        <v>561</v>
      </c>
      <c r="AT51">
        <v>38</v>
      </c>
      <c r="AV51" t="s">
        <v>416</v>
      </c>
      <c r="AW51">
        <v>51</v>
      </c>
      <c r="AX51">
        <v>41.490196078399997</v>
      </c>
      <c r="AY51">
        <v>164</v>
      </c>
      <c r="AZ51">
        <v>10</v>
      </c>
      <c r="BA51">
        <v>101</v>
      </c>
      <c r="BB51">
        <v>5</v>
      </c>
      <c r="BC51">
        <v>0</v>
      </c>
      <c r="BE51">
        <v>5</v>
      </c>
      <c r="BF51">
        <v>3</v>
      </c>
      <c r="BG51">
        <v>88</v>
      </c>
      <c r="BH51">
        <v>22</v>
      </c>
      <c r="BJ51" t="s">
        <v>610</v>
      </c>
      <c r="BK51" t="s">
        <v>414</v>
      </c>
      <c r="BL51">
        <v>11001</v>
      </c>
      <c r="BM51">
        <v>4426</v>
      </c>
      <c r="BN51">
        <v>131.54713207890001</v>
      </c>
      <c r="BO51">
        <v>26418</v>
      </c>
      <c r="BP51">
        <v>1066</v>
      </c>
      <c r="BQ51">
        <v>227.19047619049999</v>
      </c>
      <c r="BR51">
        <v>180.5</v>
      </c>
      <c r="BS51">
        <v>6721</v>
      </c>
      <c r="BT51">
        <v>2406</v>
      </c>
      <c r="BU51">
        <v>121.2166344294</v>
      </c>
      <c r="BV51">
        <v>17643</v>
      </c>
      <c r="BW51">
        <v>668</v>
      </c>
      <c r="BX51">
        <v>233.9792552287</v>
      </c>
      <c r="BY51">
        <v>165.82035928139999</v>
      </c>
      <c r="CA51" t="s">
        <v>436</v>
      </c>
      <c r="CB51" t="s">
        <v>907</v>
      </c>
      <c r="CC51" t="s">
        <v>1039</v>
      </c>
      <c r="CD51">
        <v>6466</v>
      </c>
      <c r="CE51">
        <v>2029</v>
      </c>
      <c r="CF51">
        <v>108.63996288280001</v>
      </c>
      <c r="CG51">
        <v>18164</v>
      </c>
      <c r="CH51">
        <v>626</v>
      </c>
      <c r="CI51">
        <v>169.98563091829999</v>
      </c>
      <c r="CJ51">
        <v>142.07348242809999</v>
      </c>
      <c r="CL51" t="s">
        <v>436</v>
      </c>
      <c r="CM51" t="s">
        <v>888</v>
      </c>
      <c r="CN51" t="s">
        <v>889</v>
      </c>
      <c r="CO51">
        <v>530</v>
      </c>
      <c r="CP51">
        <v>46</v>
      </c>
      <c r="CQ51">
        <v>58.305660377400002</v>
      </c>
      <c r="CR51">
        <v>2926</v>
      </c>
      <c r="CS51">
        <v>85</v>
      </c>
      <c r="CT51">
        <v>69.584757347899995</v>
      </c>
      <c r="CU51">
        <v>65.070588235299994</v>
      </c>
      <c r="CW51" t="s">
        <v>436</v>
      </c>
      <c r="CX51" t="s">
        <v>898</v>
      </c>
      <c r="CY51" t="s">
        <v>899</v>
      </c>
      <c r="CZ51">
        <v>194</v>
      </c>
      <c r="DA51">
        <v>46</v>
      </c>
      <c r="DB51">
        <v>82.860824742299997</v>
      </c>
      <c r="DC51">
        <v>415</v>
      </c>
      <c r="DD51">
        <v>10</v>
      </c>
      <c r="DE51">
        <v>140.91807228920001</v>
      </c>
      <c r="DF51">
        <v>156.9</v>
      </c>
      <c r="DH51" t="s">
        <v>436</v>
      </c>
      <c r="DI51" t="s">
        <v>878</v>
      </c>
      <c r="DJ51" t="s">
        <v>879</v>
      </c>
      <c r="DK51">
        <v>116</v>
      </c>
      <c r="DL51">
        <v>18</v>
      </c>
      <c r="DM51">
        <v>73.629310344800004</v>
      </c>
      <c r="DN51">
        <v>372</v>
      </c>
      <c r="DO51">
        <v>13</v>
      </c>
      <c r="DP51">
        <v>177.44892473120001</v>
      </c>
      <c r="DQ51">
        <v>144.23076923080001</v>
      </c>
    </row>
    <row r="52" spans="2:121" x14ac:dyDescent="0.2">
      <c r="B52" t="s">
        <v>131</v>
      </c>
      <c r="C52">
        <v>18902</v>
      </c>
      <c r="D52">
        <v>2022</v>
      </c>
      <c r="F52" t="s">
        <v>53</v>
      </c>
      <c r="G52">
        <v>2676</v>
      </c>
      <c r="H52">
        <v>122.4973841555</v>
      </c>
      <c r="I52">
        <v>2215</v>
      </c>
      <c r="J52">
        <v>435</v>
      </c>
      <c r="K52">
        <v>5083</v>
      </c>
      <c r="L52">
        <v>1122</v>
      </c>
      <c r="M52">
        <v>571</v>
      </c>
      <c r="N52">
        <v>488</v>
      </c>
      <c r="O52">
        <v>268</v>
      </c>
      <c r="P52">
        <v>200</v>
      </c>
      <c r="Q52">
        <v>0</v>
      </c>
      <c r="R52">
        <v>15</v>
      </c>
      <c r="AH52" t="s">
        <v>83</v>
      </c>
      <c r="AI52">
        <v>16131</v>
      </c>
      <c r="AJ52">
        <v>395.71991817000003</v>
      </c>
      <c r="AK52">
        <v>8422</v>
      </c>
      <c r="AL52">
        <v>2842</v>
      </c>
      <c r="AM52">
        <v>21517</v>
      </c>
      <c r="AN52">
        <v>15295</v>
      </c>
      <c r="AO52">
        <v>3670</v>
      </c>
      <c r="AP52">
        <v>3331</v>
      </c>
      <c r="AQ52">
        <v>6563</v>
      </c>
      <c r="AR52">
        <v>5047</v>
      </c>
      <c r="AS52">
        <v>8</v>
      </c>
      <c r="AT52">
        <v>142</v>
      </c>
      <c r="AV52" t="s">
        <v>402</v>
      </c>
      <c r="AW52">
        <v>299</v>
      </c>
      <c r="AX52">
        <v>65.953177257500002</v>
      </c>
      <c r="AY52">
        <v>495</v>
      </c>
      <c r="AZ52">
        <v>37</v>
      </c>
      <c r="BA52">
        <v>518</v>
      </c>
      <c r="BB52">
        <v>56</v>
      </c>
      <c r="BC52">
        <v>6</v>
      </c>
      <c r="BD52">
        <v>6</v>
      </c>
      <c r="BE52">
        <v>35</v>
      </c>
      <c r="BF52">
        <v>15</v>
      </c>
      <c r="BG52">
        <v>329</v>
      </c>
      <c r="BH52">
        <v>37</v>
      </c>
      <c r="BJ52" t="s">
        <v>632</v>
      </c>
      <c r="BK52" t="s">
        <v>414</v>
      </c>
      <c r="BL52">
        <v>1072</v>
      </c>
      <c r="BM52">
        <v>437</v>
      </c>
      <c r="BN52">
        <v>133.31716417909999</v>
      </c>
      <c r="BO52">
        <v>3084</v>
      </c>
      <c r="BP52">
        <v>129</v>
      </c>
      <c r="BQ52">
        <v>167.7292477302</v>
      </c>
      <c r="BR52">
        <v>168.7441860465</v>
      </c>
      <c r="BS52">
        <v>2099</v>
      </c>
      <c r="BT52">
        <v>1089</v>
      </c>
      <c r="BU52">
        <v>167.40019056689999</v>
      </c>
      <c r="BV52">
        <v>5882</v>
      </c>
      <c r="BW52">
        <v>231</v>
      </c>
      <c r="BX52">
        <v>214.63617817069999</v>
      </c>
      <c r="BY52">
        <v>203.03030303029999</v>
      </c>
      <c r="CA52" t="s">
        <v>417</v>
      </c>
      <c r="CB52" t="s">
        <v>907</v>
      </c>
      <c r="CC52" t="s">
        <v>1040</v>
      </c>
      <c r="CD52">
        <v>33017</v>
      </c>
      <c r="CE52">
        <v>11225</v>
      </c>
      <c r="CF52">
        <v>121.7746918254</v>
      </c>
      <c r="CG52">
        <v>83298</v>
      </c>
      <c r="CH52">
        <v>3149</v>
      </c>
      <c r="CI52">
        <v>201.58283512209999</v>
      </c>
      <c r="CJ52">
        <v>169.0660527151</v>
      </c>
      <c r="CL52" t="s">
        <v>417</v>
      </c>
      <c r="CM52" t="s">
        <v>888</v>
      </c>
      <c r="CN52" t="s">
        <v>890</v>
      </c>
      <c r="CO52">
        <v>2130</v>
      </c>
      <c r="CP52">
        <v>122</v>
      </c>
      <c r="CQ52">
        <v>54.438028168999999</v>
      </c>
      <c r="CR52">
        <v>11498</v>
      </c>
      <c r="CS52">
        <v>324</v>
      </c>
      <c r="CT52">
        <v>63.4300747956</v>
      </c>
      <c r="CU52">
        <v>70.632716049400003</v>
      </c>
      <c r="CW52" t="s">
        <v>417</v>
      </c>
      <c r="CX52" t="s">
        <v>898</v>
      </c>
      <c r="CY52" t="s">
        <v>900</v>
      </c>
      <c r="CZ52">
        <v>1185</v>
      </c>
      <c r="DA52">
        <v>131</v>
      </c>
      <c r="DB52">
        <v>63.372151898699997</v>
      </c>
      <c r="DC52">
        <v>3154</v>
      </c>
      <c r="DD52">
        <v>82</v>
      </c>
      <c r="DE52">
        <v>119.097653773</v>
      </c>
      <c r="DF52">
        <v>119.8780487805</v>
      </c>
      <c r="DH52" t="s">
        <v>417</v>
      </c>
      <c r="DI52" t="s">
        <v>878</v>
      </c>
      <c r="DJ52" t="s">
        <v>880</v>
      </c>
      <c r="DK52">
        <v>560</v>
      </c>
      <c r="DL52">
        <v>105</v>
      </c>
      <c r="DM52">
        <v>72.428571428599994</v>
      </c>
      <c r="DN52">
        <v>1596</v>
      </c>
      <c r="DO52">
        <v>43</v>
      </c>
      <c r="DP52">
        <v>166.69674185459999</v>
      </c>
      <c r="DQ52">
        <v>164.13953488370001</v>
      </c>
    </row>
    <row r="53" spans="2:121" x14ac:dyDescent="0.2">
      <c r="B53" t="s">
        <v>109</v>
      </c>
      <c r="C53">
        <v>1353</v>
      </c>
      <c r="D53">
        <v>364</v>
      </c>
      <c r="F53" t="s">
        <v>51</v>
      </c>
      <c r="G53">
        <v>8895</v>
      </c>
      <c r="H53">
        <v>516.25137717819996</v>
      </c>
      <c r="I53">
        <v>4973</v>
      </c>
      <c r="J53">
        <v>1749</v>
      </c>
      <c r="K53">
        <v>14563</v>
      </c>
      <c r="L53">
        <v>8428</v>
      </c>
      <c r="M53">
        <v>1065</v>
      </c>
      <c r="N53">
        <v>937</v>
      </c>
      <c r="O53">
        <v>1950</v>
      </c>
      <c r="P53">
        <v>1308</v>
      </c>
      <c r="Q53">
        <v>3</v>
      </c>
      <c r="R53">
        <v>206</v>
      </c>
      <c r="AH53" t="s">
        <v>389</v>
      </c>
      <c r="AI53">
        <v>2402</v>
      </c>
      <c r="AJ53">
        <v>246.15070774349999</v>
      </c>
      <c r="AK53">
        <v>2673</v>
      </c>
      <c r="AL53">
        <v>729</v>
      </c>
      <c r="AM53">
        <v>3629</v>
      </c>
      <c r="AN53">
        <v>1967</v>
      </c>
      <c r="AO53">
        <v>316</v>
      </c>
      <c r="AP53">
        <v>258</v>
      </c>
      <c r="AQ53">
        <v>1058</v>
      </c>
      <c r="AR53">
        <v>739</v>
      </c>
      <c r="AS53">
        <v>234</v>
      </c>
      <c r="AT53">
        <v>20</v>
      </c>
      <c r="AV53" t="s">
        <v>411</v>
      </c>
      <c r="AW53">
        <v>136</v>
      </c>
      <c r="AX53">
        <v>36.198529411800003</v>
      </c>
      <c r="AY53">
        <v>321</v>
      </c>
      <c r="AZ53">
        <v>14</v>
      </c>
      <c r="BA53">
        <v>223</v>
      </c>
      <c r="BB53">
        <v>2</v>
      </c>
      <c r="BC53">
        <v>1</v>
      </c>
      <c r="BD53">
        <v>1</v>
      </c>
      <c r="BE53">
        <v>11</v>
      </c>
      <c r="BF53">
        <v>2</v>
      </c>
      <c r="BG53">
        <v>400</v>
      </c>
      <c r="BH53">
        <v>46</v>
      </c>
      <c r="BJ53" t="s">
        <v>608</v>
      </c>
      <c r="BK53" t="s">
        <v>414</v>
      </c>
      <c r="BL53">
        <v>12505</v>
      </c>
      <c r="BM53">
        <v>4713</v>
      </c>
      <c r="BN53">
        <v>133.91251499399999</v>
      </c>
      <c r="BO53">
        <v>29190</v>
      </c>
      <c r="BP53">
        <v>1191</v>
      </c>
      <c r="BQ53">
        <v>232.3205207263</v>
      </c>
      <c r="BR53">
        <v>190.17296389590001</v>
      </c>
      <c r="BS53">
        <v>6289</v>
      </c>
      <c r="BT53">
        <v>2178</v>
      </c>
      <c r="BU53">
        <v>124.749244713</v>
      </c>
      <c r="BV53">
        <v>17520</v>
      </c>
      <c r="BW53">
        <v>581</v>
      </c>
      <c r="BX53">
        <v>241.0300799087</v>
      </c>
      <c r="BY53">
        <v>171.19621342510001</v>
      </c>
      <c r="CA53" t="s">
        <v>438</v>
      </c>
      <c r="CB53" t="s">
        <v>907</v>
      </c>
      <c r="CC53" t="s">
        <v>1041</v>
      </c>
      <c r="CD53">
        <v>2090</v>
      </c>
      <c r="CE53">
        <v>716</v>
      </c>
      <c r="CF53">
        <v>116.73253588519999</v>
      </c>
      <c r="CG53">
        <v>6314</v>
      </c>
      <c r="CH53">
        <v>195</v>
      </c>
      <c r="CI53">
        <v>169.6617041495</v>
      </c>
      <c r="CJ53">
        <v>145.46666666670001</v>
      </c>
      <c r="CL53" t="s">
        <v>438</v>
      </c>
      <c r="CM53" t="s">
        <v>888</v>
      </c>
      <c r="CN53" t="s">
        <v>891</v>
      </c>
      <c r="CO53">
        <v>59</v>
      </c>
      <c r="CP53">
        <v>8</v>
      </c>
      <c r="CQ53">
        <v>68.915254237300005</v>
      </c>
      <c r="CR53">
        <v>301</v>
      </c>
      <c r="CS53">
        <v>2</v>
      </c>
      <c r="CT53">
        <v>65.172757475099999</v>
      </c>
      <c r="CU53">
        <v>61.5</v>
      </c>
      <c r="CW53" t="s">
        <v>438</v>
      </c>
      <c r="CX53" t="s">
        <v>898</v>
      </c>
      <c r="CY53" t="s">
        <v>901</v>
      </c>
      <c r="CZ53">
        <v>31</v>
      </c>
      <c r="DA53">
        <v>5</v>
      </c>
      <c r="DB53">
        <v>66.354838709700005</v>
      </c>
      <c r="DC53">
        <v>93</v>
      </c>
      <c r="DD53">
        <v>5</v>
      </c>
      <c r="DE53">
        <v>127.3870967742</v>
      </c>
      <c r="DF53">
        <v>143.4</v>
      </c>
      <c r="DH53" t="s">
        <v>438</v>
      </c>
      <c r="DI53" t="s">
        <v>878</v>
      </c>
      <c r="DJ53" t="s">
        <v>881</v>
      </c>
      <c r="DK53">
        <v>75</v>
      </c>
      <c r="DL53">
        <v>12</v>
      </c>
      <c r="DM53">
        <v>72.813333333299994</v>
      </c>
      <c r="DN53">
        <v>212</v>
      </c>
      <c r="DO53">
        <v>7</v>
      </c>
      <c r="DP53">
        <v>165.00471698109999</v>
      </c>
      <c r="DQ53">
        <v>123.57142857140001</v>
      </c>
    </row>
    <row r="54" spans="2:121" x14ac:dyDescent="0.2">
      <c r="F54" t="s">
        <v>440</v>
      </c>
      <c r="G54">
        <v>44907</v>
      </c>
      <c r="H54">
        <v>423.15284922170002</v>
      </c>
      <c r="I54">
        <v>1072</v>
      </c>
      <c r="J54">
        <v>370</v>
      </c>
      <c r="K54">
        <v>45448</v>
      </c>
      <c r="L54">
        <v>41910</v>
      </c>
      <c r="M54">
        <v>116</v>
      </c>
      <c r="N54">
        <v>111</v>
      </c>
      <c r="O54">
        <v>1123</v>
      </c>
      <c r="P54">
        <v>1055</v>
      </c>
      <c r="Q54">
        <v>0</v>
      </c>
      <c r="R54">
        <v>2</v>
      </c>
      <c r="AH54" t="s">
        <v>406</v>
      </c>
      <c r="AI54">
        <v>5542</v>
      </c>
      <c r="AJ54">
        <v>221.29321544570001</v>
      </c>
      <c r="AK54">
        <v>4071</v>
      </c>
      <c r="AL54">
        <v>1204</v>
      </c>
      <c r="AM54">
        <v>7419</v>
      </c>
      <c r="AN54">
        <v>3870</v>
      </c>
      <c r="AO54">
        <v>326</v>
      </c>
      <c r="AP54">
        <v>256</v>
      </c>
      <c r="AQ54">
        <v>668</v>
      </c>
      <c r="AR54">
        <v>287</v>
      </c>
      <c r="AS54">
        <v>9</v>
      </c>
      <c r="AT54">
        <v>8</v>
      </c>
      <c r="AV54" t="s">
        <v>434</v>
      </c>
      <c r="AW54">
        <v>7</v>
      </c>
      <c r="AX54">
        <v>44.857142857100001</v>
      </c>
      <c r="AY54">
        <v>10</v>
      </c>
      <c r="BA54">
        <v>21</v>
      </c>
      <c r="BB54">
        <v>3</v>
      </c>
      <c r="BC54">
        <v>0</v>
      </c>
      <c r="BE54">
        <v>1</v>
      </c>
      <c r="BF54">
        <v>1</v>
      </c>
      <c r="BG54">
        <v>19</v>
      </c>
      <c r="BH54">
        <v>6</v>
      </c>
      <c r="BJ54" t="s">
        <v>414</v>
      </c>
      <c r="BK54" t="s">
        <v>414</v>
      </c>
      <c r="BL54">
        <v>68121</v>
      </c>
      <c r="BM54">
        <v>22778</v>
      </c>
      <c r="BN54">
        <v>119.4661411312</v>
      </c>
      <c r="BO54">
        <v>198905</v>
      </c>
      <c r="BP54">
        <v>7080</v>
      </c>
      <c r="BQ54">
        <v>181.00372539649999</v>
      </c>
      <c r="BR54">
        <v>151.01016949149999</v>
      </c>
      <c r="BS54">
        <v>59754</v>
      </c>
      <c r="BT54">
        <v>19636</v>
      </c>
      <c r="BU54">
        <v>116.9405562808</v>
      </c>
      <c r="BV54">
        <v>183857</v>
      </c>
      <c r="BW54">
        <v>6407</v>
      </c>
      <c r="BX54">
        <v>178.63492823230001</v>
      </c>
      <c r="BY54">
        <v>147.16778523490001</v>
      </c>
      <c r="CA54" t="s">
        <v>418</v>
      </c>
      <c r="CB54" t="s">
        <v>907</v>
      </c>
      <c r="CC54" t="s">
        <v>1042</v>
      </c>
      <c r="CD54">
        <v>1673</v>
      </c>
      <c r="CE54">
        <v>509</v>
      </c>
      <c r="CF54">
        <v>105.7770472206</v>
      </c>
      <c r="CG54">
        <v>4157</v>
      </c>
      <c r="CH54">
        <v>147</v>
      </c>
      <c r="CI54">
        <v>146.86985807069999</v>
      </c>
      <c r="CJ54">
        <v>154.30612244899999</v>
      </c>
      <c r="CL54" t="s">
        <v>418</v>
      </c>
      <c r="CM54" t="s">
        <v>888</v>
      </c>
      <c r="CN54" t="s">
        <v>892</v>
      </c>
      <c r="CO54">
        <v>135</v>
      </c>
      <c r="CP54">
        <v>9</v>
      </c>
      <c r="CQ54">
        <v>54.740740740699998</v>
      </c>
      <c r="CR54">
        <v>671</v>
      </c>
      <c r="CS54">
        <v>18</v>
      </c>
      <c r="CT54">
        <v>58.681073025300002</v>
      </c>
      <c r="CU54">
        <v>48.722222222200003</v>
      </c>
      <c r="CW54" t="s">
        <v>418</v>
      </c>
      <c r="CX54" t="s">
        <v>898</v>
      </c>
      <c r="CY54" t="s">
        <v>902</v>
      </c>
      <c r="CZ54">
        <v>31</v>
      </c>
      <c r="DA54">
        <v>5</v>
      </c>
      <c r="DB54">
        <v>78.4838709677</v>
      </c>
      <c r="DC54">
        <v>101</v>
      </c>
      <c r="DD54">
        <v>1</v>
      </c>
      <c r="DE54">
        <v>129.61386138610001</v>
      </c>
      <c r="DF54">
        <v>157</v>
      </c>
      <c r="DH54" t="s">
        <v>418</v>
      </c>
      <c r="DI54" t="s">
        <v>878</v>
      </c>
      <c r="DJ54" t="s">
        <v>882</v>
      </c>
      <c r="DK54">
        <v>41</v>
      </c>
      <c r="DL54">
        <v>6</v>
      </c>
      <c r="DM54">
        <v>58.3414634146</v>
      </c>
      <c r="DN54">
        <v>54</v>
      </c>
      <c r="DO54">
        <v>1</v>
      </c>
      <c r="DP54">
        <v>175.74074074070001</v>
      </c>
      <c r="DQ54">
        <v>588</v>
      </c>
    </row>
    <row r="55" spans="2:121" x14ac:dyDescent="0.2">
      <c r="F55" t="s">
        <v>45</v>
      </c>
      <c r="G55">
        <v>3003</v>
      </c>
      <c r="H55">
        <v>230.73126873129999</v>
      </c>
      <c r="I55">
        <v>7871</v>
      </c>
      <c r="J55">
        <v>2365</v>
      </c>
      <c r="K55">
        <v>5384</v>
      </c>
      <c r="L55">
        <v>2633</v>
      </c>
      <c r="M55">
        <v>855</v>
      </c>
      <c r="N55">
        <v>716</v>
      </c>
      <c r="O55">
        <v>798</v>
      </c>
      <c r="P55">
        <v>583</v>
      </c>
      <c r="Q55">
        <v>3</v>
      </c>
      <c r="R55">
        <v>207</v>
      </c>
      <c r="AH55" t="s">
        <v>431</v>
      </c>
      <c r="AI55">
        <v>779</v>
      </c>
      <c r="AJ55">
        <v>259.16431322210002</v>
      </c>
      <c r="AK55">
        <v>958</v>
      </c>
      <c r="AL55">
        <v>247</v>
      </c>
      <c r="AM55">
        <v>1155</v>
      </c>
      <c r="AN55">
        <v>534</v>
      </c>
      <c r="AO55">
        <v>204</v>
      </c>
      <c r="AP55">
        <v>169</v>
      </c>
      <c r="AQ55">
        <v>154</v>
      </c>
      <c r="AR55">
        <v>81</v>
      </c>
      <c r="AS55">
        <v>25</v>
      </c>
      <c r="AT55">
        <v>7</v>
      </c>
      <c r="AV55" t="s">
        <v>389</v>
      </c>
      <c r="AW55">
        <v>239</v>
      </c>
      <c r="AX55">
        <v>95.179916317999997</v>
      </c>
      <c r="AY55">
        <v>192</v>
      </c>
      <c r="AZ55">
        <v>35</v>
      </c>
      <c r="BA55">
        <v>332</v>
      </c>
      <c r="BB55">
        <v>77</v>
      </c>
      <c r="BC55">
        <v>16</v>
      </c>
      <c r="BD55">
        <v>15</v>
      </c>
      <c r="BE55">
        <v>102</v>
      </c>
      <c r="BF55">
        <v>9</v>
      </c>
      <c r="BG55">
        <v>46</v>
      </c>
      <c r="BH55">
        <v>63</v>
      </c>
      <c r="BJ55" t="s">
        <v>612</v>
      </c>
      <c r="BK55" t="s">
        <v>414</v>
      </c>
      <c r="BL55">
        <v>5644</v>
      </c>
      <c r="BM55">
        <v>1781</v>
      </c>
      <c r="BN55">
        <v>105.99184975190001</v>
      </c>
      <c r="BO55">
        <v>15904</v>
      </c>
      <c r="BP55">
        <v>520</v>
      </c>
      <c r="BQ55">
        <v>173.91687625750001</v>
      </c>
      <c r="BR55">
        <v>148.01923076919999</v>
      </c>
      <c r="BS55">
        <v>8807</v>
      </c>
      <c r="BT55">
        <v>3315</v>
      </c>
      <c r="BU55">
        <v>119.24242080160001</v>
      </c>
      <c r="BV55">
        <v>22555</v>
      </c>
      <c r="BW55">
        <v>857</v>
      </c>
      <c r="BX55">
        <v>189.1863001552</v>
      </c>
      <c r="BY55">
        <v>167.59276546090001</v>
      </c>
      <c r="CA55" t="s">
        <v>423</v>
      </c>
      <c r="CB55" t="s">
        <v>907</v>
      </c>
      <c r="CC55" t="s">
        <v>1043</v>
      </c>
      <c r="CD55">
        <v>4321</v>
      </c>
      <c r="CE55">
        <v>1637</v>
      </c>
      <c r="CF55">
        <v>136.03170562369999</v>
      </c>
      <c r="CG55">
        <v>10217</v>
      </c>
      <c r="CH55">
        <v>372</v>
      </c>
      <c r="CI55">
        <v>234.95272584910001</v>
      </c>
      <c r="CJ55">
        <v>199.61290322580001</v>
      </c>
      <c r="CL55" t="s">
        <v>423</v>
      </c>
      <c r="CM55" t="s">
        <v>888</v>
      </c>
      <c r="CN55" t="s">
        <v>893</v>
      </c>
      <c r="CO55">
        <v>212</v>
      </c>
      <c r="CP55">
        <v>15</v>
      </c>
      <c r="CQ55">
        <v>58.056603773600003</v>
      </c>
      <c r="CR55">
        <v>1312</v>
      </c>
      <c r="CS55">
        <v>40</v>
      </c>
      <c r="CT55">
        <v>72.245426829300001</v>
      </c>
      <c r="CU55">
        <v>61.2</v>
      </c>
      <c r="CW55" t="s">
        <v>423</v>
      </c>
      <c r="CX55" t="s">
        <v>898</v>
      </c>
      <c r="CY55" t="s">
        <v>903</v>
      </c>
      <c r="CZ55">
        <v>71</v>
      </c>
      <c r="DA55">
        <v>11</v>
      </c>
      <c r="DB55">
        <v>71.169014084500006</v>
      </c>
      <c r="DC55">
        <v>231</v>
      </c>
      <c r="DD55">
        <v>7</v>
      </c>
      <c r="DE55">
        <v>122.51948051949999</v>
      </c>
      <c r="DF55">
        <v>116.8571428571</v>
      </c>
      <c r="DH55" t="s">
        <v>423</v>
      </c>
      <c r="DI55" t="s">
        <v>878</v>
      </c>
      <c r="DJ55" t="s">
        <v>883</v>
      </c>
      <c r="DK55">
        <v>80</v>
      </c>
      <c r="DL55">
        <v>19</v>
      </c>
      <c r="DM55">
        <v>78.1875</v>
      </c>
      <c r="DN55">
        <v>248</v>
      </c>
      <c r="DO55">
        <v>3</v>
      </c>
      <c r="DP55">
        <v>170.4556451613</v>
      </c>
      <c r="DQ55">
        <v>138</v>
      </c>
    </row>
    <row r="56" spans="2:121" x14ac:dyDescent="0.2">
      <c r="F56" t="s">
        <v>65</v>
      </c>
      <c r="G56">
        <v>10079</v>
      </c>
      <c r="H56">
        <v>417.49489036609998</v>
      </c>
      <c r="I56">
        <v>12204</v>
      </c>
      <c r="J56">
        <v>4453</v>
      </c>
      <c r="K56">
        <v>13674</v>
      </c>
      <c r="L56">
        <v>10575</v>
      </c>
      <c r="M56">
        <v>3605</v>
      </c>
      <c r="N56">
        <v>3012</v>
      </c>
      <c r="O56">
        <v>4007</v>
      </c>
      <c r="P56">
        <v>3364</v>
      </c>
      <c r="Q56">
        <v>0</v>
      </c>
      <c r="R56">
        <v>44</v>
      </c>
      <c r="BJ56" t="s">
        <v>620</v>
      </c>
      <c r="BK56" t="s">
        <v>414</v>
      </c>
      <c r="BL56">
        <v>6075</v>
      </c>
      <c r="BM56">
        <v>2173</v>
      </c>
      <c r="BN56">
        <v>123.69613168719999</v>
      </c>
      <c r="BO56">
        <v>13875</v>
      </c>
      <c r="BP56">
        <v>474</v>
      </c>
      <c r="BQ56">
        <v>195.1925765766</v>
      </c>
      <c r="BR56">
        <v>149.5210970464</v>
      </c>
      <c r="BS56">
        <v>5109</v>
      </c>
      <c r="BT56">
        <v>2046</v>
      </c>
      <c r="BU56">
        <v>129.06283029950001</v>
      </c>
      <c r="BV56">
        <v>13805</v>
      </c>
      <c r="BW56">
        <v>448</v>
      </c>
      <c r="BX56">
        <v>195.65143064110001</v>
      </c>
      <c r="BY56">
        <v>153.17633928570001</v>
      </c>
      <c r="CA56" t="s">
        <v>415</v>
      </c>
      <c r="CB56" t="s">
        <v>907</v>
      </c>
      <c r="CC56" t="s">
        <v>1044</v>
      </c>
      <c r="CD56">
        <v>3253</v>
      </c>
      <c r="CE56">
        <v>1080</v>
      </c>
      <c r="CF56">
        <v>117.1979711036</v>
      </c>
      <c r="CG56">
        <v>7265</v>
      </c>
      <c r="CH56">
        <v>231</v>
      </c>
      <c r="CI56">
        <v>177.0293186511</v>
      </c>
      <c r="CJ56">
        <v>180.61904761900001</v>
      </c>
      <c r="CL56" t="s">
        <v>415</v>
      </c>
      <c r="CM56" t="s">
        <v>888</v>
      </c>
      <c r="CN56" t="s">
        <v>894</v>
      </c>
      <c r="CO56">
        <v>213</v>
      </c>
      <c r="CP56">
        <v>17</v>
      </c>
      <c r="CQ56">
        <v>62.206572770000001</v>
      </c>
      <c r="CR56">
        <v>1051</v>
      </c>
      <c r="CS56">
        <v>40</v>
      </c>
      <c r="CT56">
        <v>59.502378686999997</v>
      </c>
      <c r="CU56">
        <v>64.075000000000003</v>
      </c>
      <c r="CW56" t="s">
        <v>415</v>
      </c>
      <c r="CX56" t="s">
        <v>898</v>
      </c>
      <c r="CY56" t="s">
        <v>904</v>
      </c>
      <c r="CZ56">
        <v>74</v>
      </c>
      <c r="DA56">
        <v>15</v>
      </c>
      <c r="DB56">
        <v>79.189189189199993</v>
      </c>
      <c r="DC56">
        <v>117</v>
      </c>
      <c r="DD56">
        <v>2</v>
      </c>
      <c r="DE56">
        <v>128.37606837609999</v>
      </c>
      <c r="DF56">
        <v>118</v>
      </c>
      <c r="DH56" t="s">
        <v>415</v>
      </c>
      <c r="DI56" t="s">
        <v>878</v>
      </c>
      <c r="DJ56" t="s">
        <v>884</v>
      </c>
      <c r="DK56">
        <v>61</v>
      </c>
      <c r="DL56">
        <v>7</v>
      </c>
      <c r="DM56">
        <v>64.704918032799995</v>
      </c>
      <c r="DN56">
        <v>128</v>
      </c>
      <c r="DO56">
        <v>5</v>
      </c>
      <c r="DP56">
        <v>172.078125</v>
      </c>
      <c r="DQ56">
        <v>114</v>
      </c>
    </row>
    <row r="57" spans="2:121" x14ac:dyDescent="0.2">
      <c r="F57" t="s">
        <v>67</v>
      </c>
      <c r="G57">
        <v>6359</v>
      </c>
      <c r="H57">
        <v>275.09545526030001</v>
      </c>
      <c r="I57">
        <v>5475</v>
      </c>
      <c r="J57">
        <v>1722</v>
      </c>
      <c r="K57">
        <v>7614</v>
      </c>
      <c r="L57">
        <v>4415</v>
      </c>
      <c r="M57">
        <v>234</v>
      </c>
      <c r="N57">
        <v>194</v>
      </c>
      <c r="O57">
        <v>2995</v>
      </c>
      <c r="P57">
        <v>2466</v>
      </c>
      <c r="Q57">
        <v>0</v>
      </c>
      <c r="R57">
        <v>68</v>
      </c>
      <c r="BJ57" t="s">
        <v>628</v>
      </c>
      <c r="BK57" t="s">
        <v>414</v>
      </c>
      <c r="BL57">
        <v>4192</v>
      </c>
      <c r="BM57">
        <v>1633</v>
      </c>
      <c r="BN57">
        <v>139.55701335879999</v>
      </c>
      <c r="BO57">
        <v>9569</v>
      </c>
      <c r="BP57">
        <v>367</v>
      </c>
      <c r="BQ57">
        <v>246.12895809380001</v>
      </c>
      <c r="BR57">
        <v>210.98365122620001</v>
      </c>
      <c r="BS57">
        <v>2040</v>
      </c>
      <c r="BT57">
        <v>718</v>
      </c>
      <c r="BU57">
        <v>134.66372549019999</v>
      </c>
      <c r="BV57">
        <v>4760</v>
      </c>
      <c r="BW57">
        <v>194</v>
      </c>
      <c r="BX57">
        <v>278.32521008399999</v>
      </c>
      <c r="BY57">
        <v>223.6804123711</v>
      </c>
      <c r="CA57" t="s">
        <v>419</v>
      </c>
      <c r="CB57" t="s">
        <v>907</v>
      </c>
      <c r="CC57" t="s">
        <v>1045</v>
      </c>
      <c r="CD57">
        <v>5964</v>
      </c>
      <c r="CE57">
        <v>2205</v>
      </c>
      <c r="CF57">
        <v>126.3341716968</v>
      </c>
      <c r="CG57">
        <v>14393</v>
      </c>
      <c r="CH57">
        <v>485</v>
      </c>
      <c r="CI57">
        <v>193.21010213299999</v>
      </c>
      <c r="CJ57">
        <v>150.52783505150001</v>
      </c>
      <c r="CL57" t="s">
        <v>419</v>
      </c>
      <c r="CM57" t="s">
        <v>888</v>
      </c>
      <c r="CN57" t="s">
        <v>895</v>
      </c>
      <c r="CO57">
        <v>319</v>
      </c>
      <c r="CP57">
        <v>21</v>
      </c>
      <c r="CQ57">
        <v>60.561128526600001</v>
      </c>
      <c r="CR57">
        <v>1844</v>
      </c>
      <c r="CS57">
        <v>50</v>
      </c>
      <c r="CT57">
        <v>65.299349240799998</v>
      </c>
      <c r="CU57">
        <v>69.959999999999994</v>
      </c>
      <c r="CW57" t="s">
        <v>419</v>
      </c>
      <c r="CX57" t="s">
        <v>898</v>
      </c>
      <c r="CY57" t="s">
        <v>905</v>
      </c>
      <c r="CZ57">
        <v>106</v>
      </c>
      <c r="DA57">
        <v>9</v>
      </c>
      <c r="DB57">
        <v>53.009433962300001</v>
      </c>
      <c r="DC57">
        <v>185</v>
      </c>
      <c r="DD57">
        <v>11</v>
      </c>
      <c r="DE57">
        <v>121.36756756760001</v>
      </c>
      <c r="DF57">
        <v>110</v>
      </c>
      <c r="DH57" t="s">
        <v>419</v>
      </c>
      <c r="DI57" t="s">
        <v>878</v>
      </c>
      <c r="DJ57" t="s">
        <v>885</v>
      </c>
      <c r="DK57">
        <v>33</v>
      </c>
      <c r="DL57">
        <v>6</v>
      </c>
      <c r="DM57">
        <v>78.181818181799997</v>
      </c>
      <c r="DN57">
        <v>133</v>
      </c>
      <c r="DO57">
        <v>1</v>
      </c>
      <c r="DP57">
        <v>160.80451127820001</v>
      </c>
      <c r="DQ57">
        <v>117</v>
      </c>
    </row>
    <row r="58" spans="2:121" x14ac:dyDescent="0.2">
      <c r="F58" t="s">
        <v>57</v>
      </c>
      <c r="G58">
        <v>2061</v>
      </c>
      <c r="H58">
        <v>360.02037845709998</v>
      </c>
      <c r="I58">
        <v>1195</v>
      </c>
      <c r="J58">
        <v>311</v>
      </c>
      <c r="K58">
        <v>2500</v>
      </c>
      <c r="L58">
        <v>1687</v>
      </c>
      <c r="M58">
        <v>620</v>
      </c>
      <c r="N58">
        <v>604</v>
      </c>
      <c r="O58">
        <v>101</v>
      </c>
      <c r="P58">
        <v>76</v>
      </c>
      <c r="Q58">
        <v>0</v>
      </c>
      <c r="R58">
        <v>1</v>
      </c>
      <c r="BJ58" t="s">
        <v>641</v>
      </c>
      <c r="BK58" t="s">
        <v>414</v>
      </c>
      <c r="BL58">
        <v>10196</v>
      </c>
      <c r="BM58">
        <v>2203</v>
      </c>
      <c r="BN58">
        <v>93.304727344100002</v>
      </c>
      <c r="BO58">
        <v>25541</v>
      </c>
      <c r="BP58">
        <v>910</v>
      </c>
      <c r="BQ58">
        <v>157.9459300732</v>
      </c>
      <c r="BR58">
        <v>131.27582417580001</v>
      </c>
      <c r="BS58">
        <v>12653</v>
      </c>
      <c r="BT58">
        <v>3215</v>
      </c>
      <c r="BU58">
        <v>105.93550936539999</v>
      </c>
      <c r="BV58">
        <v>31511</v>
      </c>
      <c r="BW58">
        <v>1119</v>
      </c>
      <c r="BX58">
        <v>174.4192186855</v>
      </c>
      <c r="BY58">
        <v>155.55764075069999</v>
      </c>
      <c r="CA58" t="s">
        <v>83</v>
      </c>
      <c r="CB58" t="s">
        <v>907</v>
      </c>
      <c r="CC58" t="s">
        <v>1046</v>
      </c>
      <c r="CD58">
        <v>7801</v>
      </c>
      <c r="CE58">
        <v>2776</v>
      </c>
      <c r="CF58">
        <v>131.64107165749999</v>
      </c>
      <c r="CG58">
        <v>25276</v>
      </c>
      <c r="CH58">
        <v>985</v>
      </c>
      <c r="CI58">
        <v>231.85852191800001</v>
      </c>
      <c r="CJ58">
        <v>166.4984771574</v>
      </c>
      <c r="CL58" t="s">
        <v>83</v>
      </c>
      <c r="CM58" t="s">
        <v>888</v>
      </c>
      <c r="CN58" t="s">
        <v>896</v>
      </c>
      <c r="CO58">
        <v>536</v>
      </c>
      <c r="CP58">
        <v>42</v>
      </c>
      <c r="CQ58">
        <v>58.664179104500001</v>
      </c>
      <c r="CR58">
        <v>2886</v>
      </c>
      <c r="CS58">
        <v>80</v>
      </c>
      <c r="CT58">
        <v>69.338184338199994</v>
      </c>
      <c r="CU58">
        <v>58.15</v>
      </c>
      <c r="CW58" t="s">
        <v>83</v>
      </c>
      <c r="CX58" t="s">
        <v>898</v>
      </c>
      <c r="CY58" t="s">
        <v>906</v>
      </c>
      <c r="CZ58">
        <v>233</v>
      </c>
      <c r="DA58">
        <v>34</v>
      </c>
      <c r="DB58">
        <v>68.532188841199996</v>
      </c>
      <c r="DC58">
        <v>734</v>
      </c>
      <c r="DD58">
        <v>15</v>
      </c>
      <c r="DE58">
        <v>126.8215258856</v>
      </c>
      <c r="DF58">
        <v>121.8</v>
      </c>
      <c r="DH58" t="s">
        <v>83</v>
      </c>
      <c r="DI58" t="s">
        <v>878</v>
      </c>
      <c r="DJ58" t="s">
        <v>886</v>
      </c>
      <c r="DK58">
        <v>450</v>
      </c>
      <c r="DL58">
        <v>57</v>
      </c>
      <c r="DM58">
        <v>67.311111111100004</v>
      </c>
      <c r="DN58">
        <v>1051</v>
      </c>
      <c r="DO58">
        <v>44</v>
      </c>
      <c r="DP58">
        <v>167.75832540440001</v>
      </c>
      <c r="DQ58">
        <v>131.0681818182</v>
      </c>
    </row>
    <row r="59" spans="2:121" x14ac:dyDescent="0.2">
      <c r="F59" t="s">
        <v>49</v>
      </c>
      <c r="G59">
        <v>12782</v>
      </c>
      <c r="H59">
        <v>340.85416992649999</v>
      </c>
      <c r="I59">
        <v>17662</v>
      </c>
      <c r="J59">
        <v>6862</v>
      </c>
      <c r="K59">
        <v>17072</v>
      </c>
      <c r="L59">
        <v>11417</v>
      </c>
      <c r="M59">
        <v>1780</v>
      </c>
      <c r="N59">
        <v>1440</v>
      </c>
      <c r="O59">
        <v>5196</v>
      </c>
      <c r="P59">
        <v>4227</v>
      </c>
      <c r="Q59">
        <v>1</v>
      </c>
      <c r="R59">
        <v>237</v>
      </c>
      <c r="BJ59" t="s">
        <v>614</v>
      </c>
      <c r="BK59" t="s">
        <v>414</v>
      </c>
      <c r="BL59">
        <v>8902</v>
      </c>
      <c r="BM59">
        <v>2816</v>
      </c>
      <c r="BN59">
        <v>119.4521455853</v>
      </c>
      <c r="BO59">
        <v>55588</v>
      </c>
      <c r="BP59">
        <v>1876</v>
      </c>
      <c r="BQ59">
        <v>132.19853205730001</v>
      </c>
      <c r="BR59">
        <v>100.1529850746</v>
      </c>
      <c r="BS59">
        <v>7840</v>
      </c>
      <c r="BT59">
        <v>2050</v>
      </c>
      <c r="BU59">
        <v>102.2256377551</v>
      </c>
      <c r="BV59">
        <v>50280</v>
      </c>
      <c r="BW59">
        <v>1757</v>
      </c>
      <c r="BX59">
        <v>117.382239459</v>
      </c>
      <c r="BY59">
        <v>88.077973818999993</v>
      </c>
      <c r="CA59" t="s">
        <v>414</v>
      </c>
      <c r="CB59" t="s">
        <v>907</v>
      </c>
      <c r="CD59">
        <v>65765</v>
      </c>
      <c r="CE59">
        <v>22378</v>
      </c>
      <c r="CF59">
        <v>121.5363035049</v>
      </c>
      <c r="CG59">
        <v>172446</v>
      </c>
      <c r="CH59">
        <v>6228</v>
      </c>
      <c r="CI59">
        <v>199.07365204179999</v>
      </c>
      <c r="CJ59">
        <v>165.1536608863</v>
      </c>
      <c r="CL59" t="s">
        <v>414</v>
      </c>
      <c r="CM59" t="s">
        <v>888</v>
      </c>
      <c r="CO59">
        <v>4159</v>
      </c>
      <c r="CP59">
        <v>283</v>
      </c>
      <c r="CQ59">
        <v>56.881702332300002</v>
      </c>
      <c r="CR59">
        <v>22662</v>
      </c>
      <c r="CS59">
        <v>645</v>
      </c>
      <c r="CT59">
        <v>65.305489365499994</v>
      </c>
      <c r="CU59">
        <v>66.7674418605</v>
      </c>
      <c r="CW59" t="s">
        <v>414</v>
      </c>
      <c r="CX59" t="s">
        <v>898</v>
      </c>
      <c r="CZ59">
        <v>1954</v>
      </c>
      <c r="DA59">
        <v>260</v>
      </c>
      <c r="DB59">
        <v>66.631525076800003</v>
      </c>
      <c r="DC59">
        <v>5111</v>
      </c>
      <c r="DD59">
        <v>136</v>
      </c>
      <c r="DE59">
        <v>122.8916063393</v>
      </c>
      <c r="DF59">
        <v>124.08088235290001</v>
      </c>
      <c r="DH59" t="s">
        <v>414</v>
      </c>
      <c r="DI59" t="s">
        <v>878</v>
      </c>
      <c r="DK59">
        <v>1466</v>
      </c>
      <c r="DL59">
        <v>239</v>
      </c>
      <c r="DM59">
        <v>70.572987721700002</v>
      </c>
      <c r="DN59">
        <v>3892</v>
      </c>
      <c r="DO59">
        <v>122</v>
      </c>
      <c r="DP59">
        <v>168.54033915720001</v>
      </c>
      <c r="DQ59">
        <v>147.04918032789999</v>
      </c>
    </row>
    <row r="60" spans="2:121" x14ac:dyDescent="0.2">
      <c r="F60" t="s">
        <v>141</v>
      </c>
      <c r="G60">
        <v>481</v>
      </c>
      <c r="H60">
        <v>336.27858627860002</v>
      </c>
      <c r="I60">
        <v>406</v>
      </c>
      <c r="J60">
        <v>122</v>
      </c>
      <c r="K60">
        <v>724</v>
      </c>
      <c r="L60">
        <v>464</v>
      </c>
      <c r="M60">
        <v>77</v>
      </c>
      <c r="N60">
        <v>69</v>
      </c>
      <c r="O60">
        <v>103</v>
      </c>
      <c r="P60">
        <v>68</v>
      </c>
      <c r="Q60">
        <v>0</v>
      </c>
      <c r="R60">
        <v>1</v>
      </c>
      <c r="BJ60" t="s">
        <v>556</v>
      </c>
      <c r="BK60" t="s">
        <v>390</v>
      </c>
      <c r="BL60">
        <v>15628</v>
      </c>
      <c r="BM60">
        <v>5702</v>
      </c>
      <c r="BN60">
        <v>124.18268492449999</v>
      </c>
      <c r="BO60">
        <v>43523</v>
      </c>
      <c r="BP60">
        <v>1565</v>
      </c>
      <c r="BQ60">
        <v>199.99947154380001</v>
      </c>
      <c r="BR60">
        <v>151.0479233227</v>
      </c>
      <c r="BS60">
        <v>13012</v>
      </c>
      <c r="BT60">
        <v>3839</v>
      </c>
      <c r="BU60">
        <v>114.8987088841</v>
      </c>
      <c r="BV60">
        <v>36994</v>
      </c>
      <c r="BW60">
        <v>1241</v>
      </c>
      <c r="BX60">
        <v>194.0207871547</v>
      </c>
      <c r="BY60">
        <v>145.6962127317</v>
      </c>
      <c r="CA60" t="s">
        <v>398</v>
      </c>
      <c r="CB60" t="s">
        <v>932</v>
      </c>
      <c r="CC60" t="s">
        <v>1047</v>
      </c>
      <c r="CD60">
        <v>8333</v>
      </c>
      <c r="CE60">
        <v>3155</v>
      </c>
      <c r="CF60">
        <v>124.7875915037</v>
      </c>
      <c r="CG60">
        <v>20873</v>
      </c>
      <c r="CH60">
        <v>470</v>
      </c>
      <c r="CI60">
        <v>198.34360178220001</v>
      </c>
      <c r="CJ60">
        <v>185</v>
      </c>
      <c r="CL60" t="s">
        <v>398</v>
      </c>
      <c r="CM60" t="s">
        <v>917</v>
      </c>
      <c r="CN60" t="s">
        <v>916</v>
      </c>
      <c r="CO60">
        <v>480</v>
      </c>
      <c r="CP60">
        <v>37</v>
      </c>
      <c r="CQ60">
        <v>56.475000000000001</v>
      </c>
      <c r="CR60">
        <v>3671</v>
      </c>
      <c r="CS60">
        <v>91</v>
      </c>
      <c r="CT60">
        <v>49.499318986699997</v>
      </c>
      <c r="CU60">
        <v>60.626373626400003</v>
      </c>
      <c r="CW60" t="s">
        <v>398</v>
      </c>
      <c r="CX60" t="s">
        <v>925</v>
      </c>
      <c r="CY60" t="s">
        <v>924</v>
      </c>
      <c r="CZ60">
        <v>147</v>
      </c>
      <c r="DA60">
        <v>33</v>
      </c>
      <c r="DB60">
        <v>78.374149659899999</v>
      </c>
      <c r="DC60">
        <v>310</v>
      </c>
      <c r="DD60">
        <v>7</v>
      </c>
      <c r="DE60">
        <v>142.00967741939999</v>
      </c>
      <c r="DF60">
        <v>129.57142857139999</v>
      </c>
      <c r="DH60" t="s">
        <v>398</v>
      </c>
      <c r="DI60" t="s">
        <v>909</v>
      </c>
      <c r="DJ60" t="s">
        <v>908</v>
      </c>
      <c r="DK60">
        <v>145</v>
      </c>
      <c r="DL60">
        <v>31</v>
      </c>
      <c r="DM60">
        <v>75.344827586199997</v>
      </c>
      <c r="DN60">
        <v>322</v>
      </c>
      <c r="DO60">
        <v>8</v>
      </c>
      <c r="DP60">
        <v>144.54658385089999</v>
      </c>
      <c r="DQ60">
        <v>135.25</v>
      </c>
    </row>
    <row r="61" spans="2:121" x14ac:dyDescent="0.2">
      <c r="F61" t="s">
        <v>59</v>
      </c>
      <c r="G61">
        <v>6914</v>
      </c>
      <c r="H61">
        <v>182.64521261210001</v>
      </c>
      <c r="I61">
        <v>5658</v>
      </c>
      <c r="J61">
        <v>1384</v>
      </c>
      <c r="K61">
        <v>9294</v>
      </c>
      <c r="L61">
        <v>3813</v>
      </c>
      <c r="M61">
        <v>305</v>
      </c>
      <c r="N61">
        <v>210</v>
      </c>
      <c r="O61">
        <v>343</v>
      </c>
      <c r="P61">
        <v>154</v>
      </c>
      <c r="Q61">
        <v>125</v>
      </c>
      <c r="R61">
        <v>0</v>
      </c>
      <c r="BJ61" t="s">
        <v>564</v>
      </c>
      <c r="BK61" t="s">
        <v>390</v>
      </c>
      <c r="BL61">
        <v>9428</v>
      </c>
      <c r="BM61">
        <v>2928</v>
      </c>
      <c r="BN61">
        <v>115.21202800170001</v>
      </c>
      <c r="BO61">
        <v>25754</v>
      </c>
      <c r="BP61">
        <v>995</v>
      </c>
      <c r="BQ61">
        <v>199.61959307289999</v>
      </c>
      <c r="BR61">
        <v>151.3547738693</v>
      </c>
      <c r="BS61">
        <v>9294</v>
      </c>
      <c r="BT61">
        <v>3244</v>
      </c>
      <c r="BU61">
        <v>120.56229825689999</v>
      </c>
      <c r="BV61">
        <v>24288</v>
      </c>
      <c r="BW61">
        <v>1008</v>
      </c>
      <c r="BX61">
        <v>195.29207839259999</v>
      </c>
      <c r="BY61">
        <v>151.05059523809999</v>
      </c>
      <c r="CA61" t="s">
        <v>435</v>
      </c>
      <c r="CB61" t="s">
        <v>932</v>
      </c>
      <c r="CC61" t="s">
        <v>1048</v>
      </c>
      <c r="CD61">
        <v>26153</v>
      </c>
      <c r="CE61">
        <v>10660</v>
      </c>
      <c r="CF61">
        <v>138.92215042250001</v>
      </c>
      <c r="CG61">
        <v>67308</v>
      </c>
      <c r="CH61">
        <v>1538</v>
      </c>
      <c r="CI61">
        <v>209.28819753970001</v>
      </c>
      <c r="CJ61">
        <v>179.07672301689999</v>
      </c>
      <c r="CL61" t="s">
        <v>435</v>
      </c>
      <c r="CM61" t="s">
        <v>917</v>
      </c>
      <c r="CN61" t="s">
        <v>918</v>
      </c>
      <c r="CO61">
        <v>1211</v>
      </c>
      <c r="CP61">
        <v>174</v>
      </c>
      <c r="CQ61">
        <v>71.356729975199997</v>
      </c>
      <c r="CR61">
        <v>9074</v>
      </c>
      <c r="CS61">
        <v>278</v>
      </c>
      <c r="CT61">
        <v>74.365770332799997</v>
      </c>
      <c r="CU61">
        <v>86.514388489200002</v>
      </c>
      <c r="CW61" t="s">
        <v>435</v>
      </c>
      <c r="CX61" t="s">
        <v>925</v>
      </c>
      <c r="CY61" t="s">
        <v>926</v>
      </c>
      <c r="CZ61">
        <v>745</v>
      </c>
      <c r="DA61">
        <v>172</v>
      </c>
      <c r="DB61">
        <v>84.089932885899998</v>
      </c>
      <c r="DC61">
        <v>1568</v>
      </c>
      <c r="DD61">
        <v>38</v>
      </c>
      <c r="DE61">
        <v>142.1543367347</v>
      </c>
      <c r="DF61">
        <v>142.2105263158</v>
      </c>
      <c r="DH61" t="s">
        <v>435</v>
      </c>
      <c r="DI61" t="s">
        <v>909</v>
      </c>
      <c r="DJ61" t="s">
        <v>910</v>
      </c>
      <c r="DK61">
        <v>826</v>
      </c>
      <c r="DL61">
        <v>166</v>
      </c>
      <c r="DM61">
        <v>74.162227602900003</v>
      </c>
      <c r="DN61">
        <v>1699</v>
      </c>
      <c r="DO61">
        <v>54</v>
      </c>
      <c r="DP61">
        <v>141.61742201289999</v>
      </c>
      <c r="DQ61">
        <v>139.5925925926</v>
      </c>
    </row>
    <row r="62" spans="2:121" x14ac:dyDescent="0.2">
      <c r="BJ62" t="s">
        <v>580</v>
      </c>
      <c r="BK62" t="s">
        <v>390</v>
      </c>
      <c r="BL62">
        <v>7084</v>
      </c>
      <c r="BM62">
        <v>3572</v>
      </c>
      <c r="BN62">
        <v>177.63678712590001</v>
      </c>
      <c r="BO62">
        <v>16148</v>
      </c>
      <c r="BP62">
        <v>419</v>
      </c>
      <c r="BQ62">
        <v>227.79842704980001</v>
      </c>
      <c r="BR62">
        <v>203.46062052510001</v>
      </c>
      <c r="BS62">
        <v>7413</v>
      </c>
      <c r="BT62">
        <v>3747</v>
      </c>
      <c r="BU62">
        <v>173.41737488199999</v>
      </c>
      <c r="BV62">
        <v>16794</v>
      </c>
      <c r="BW62">
        <v>433</v>
      </c>
      <c r="BX62">
        <v>229.01720852689999</v>
      </c>
      <c r="BY62">
        <v>196.6743648961</v>
      </c>
      <c r="CA62" t="s">
        <v>391</v>
      </c>
      <c r="CB62" t="s">
        <v>932</v>
      </c>
      <c r="CC62" t="s">
        <v>1049</v>
      </c>
      <c r="CD62">
        <v>16724</v>
      </c>
      <c r="CE62">
        <v>5944</v>
      </c>
      <c r="CF62">
        <v>122.7033006458</v>
      </c>
      <c r="CG62">
        <v>48279</v>
      </c>
      <c r="CH62">
        <v>1679</v>
      </c>
      <c r="CI62">
        <v>191.8343793368</v>
      </c>
      <c r="CJ62">
        <v>146.28052412150001</v>
      </c>
      <c r="CL62" t="s">
        <v>391</v>
      </c>
      <c r="CM62" t="s">
        <v>917</v>
      </c>
      <c r="CN62" t="s">
        <v>919</v>
      </c>
      <c r="CO62">
        <v>687</v>
      </c>
      <c r="CP62">
        <v>109</v>
      </c>
      <c r="CQ62">
        <v>81.248908296899998</v>
      </c>
      <c r="CR62">
        <v>4299</v>
      </c>
      <c r="CS62">
        <v>127</v>
      </c>
      <c r="CT62">
        <v>73.756687601799996</v>
      </c>
      <c r="CU62">
        <v>83.125984251999995</v>
      </c>
      <c r="CW62" t="s">
        <v>391</v>
      </c>
      <c r="CX62" t="s">
        <v>925</v>
      </c>
      <c r="CY62" t="s">
        <v>927</v>
      </c>
      <c r="CZ62">
        <v>417</v>
      </c>
      <c r="DA62">
        <v>82</v>
      </c>
      <c r="DB62">
        <v>78.705035971200004</v>
      </c>
      <c r="DC62">
        <v>866</v>
      </c>
      <c r="DD62">
        <v>19</v>
      </c>
      <c r="DE62">
        <v>155.1304849885</v>
      </c>
      <c r="DF62">
        <v>146.73684210530001</v>
      </c>
      <c r="DH62" t="s">
        <v>391</v>
      </c>
      <c r="DI62" t="s">
        <v>909</v>
      </c>
      <c r="DJ62" t="s">
        <v>911</v>
      </c>
      <c r="DK62">
        <v>421</v>
      </c>
      <c r="DL62">
        <v>96</v>
      </c>
      <c r="DM62">
        <v>80.254156769600002</v>
      </c>
      <c r="DN62">
        <v>879</v>
      </c>
      <c r="DO62">
        <v>31</v>
      </c>
      <c r="DP62">
        <v>151.24345847550001</v>
      </c>
      <c r="DQ62">
        <v>133.1612903226</v>
      </c>
    </row>
    <row r="63" spans="2:121" x14ac:dyDescent="0.2">
      <c r="BJ63" t="s">
        <v>570</v>
      </c>
      <c r="BK63" t="s">
        <v>390</v>
      </c>
      <c r="BL63">
        <v>7946</v>
      </c>
      <c r="BM63">
        <v>3011</v>
      </c>
      <c r="BN63">
        <v>124.4414799899</v>
      </c>
      <c r="BO63">
        <v>19179</v>
      </c>
      <c r="BP63">
        <v>426</v>
      </c>
      <c r="BQ63">
        <v>206.10907763700001</v>
      </c>
      <c r="BR63">
        <v>197.8779342723</v>
      </c>
      <c r="BS63">
        <v>7433</v>
      </c>
      <c r="BT63">
        <v>2462</v>
      </c>
      <c r="BU63">
        <v>118.3170994215</v>
      </c>
      <c r="BV63">
        <v>19120</v>
      </c>
      <c r="BW63">
        <v>371</v>
      </c>
      <c r="BX63">
        <v>207.9864016736</v>
      </c>
      <c r="BY63">
        <v>200.56064690029999</v>
      </c>
      <c r="CA63" t="s">
        <v>403</v>
      </c>
      <c r="CB63" t="s">
        <v>932</v>
      </c>
      <c r="CC63" t="s">
        <v>1050</v>
      </c>
      <c r="CD63">
        <v>4649</v>
      </c>
      <c r="CE63">
        <v>1614</v>
      </c>
      <c r="CF63">
        <v>131.60550656059999</v>
      </c>
      <c r="CG63">
        <v>12800</v>
      </c>
      <c r="CH63">
        <v>339</v>
      </c>
      <c r="CI63">
        <v>172.16624999999999</v>
      </c>
      <c r="CJ63">
        <v>150.43952802359999</v>
      </c>
      <c r="CL63" t="s">
        <v>403</v>
      </c>
      <c r="CM63" t="s">
        <v>917</v>
      </c>
      <c r="CN63" t="s">
        <v>920</v>
      </c>
      <c r="CO63">
        <v>239</v>
      </c>
      <c r="CP63">
        <v>27</v>
      </c>
      <c r="CQ63">
        <v>63.8075313808</v>
      </c>
      <c r="CR63">
        <v>1834</v>
      </c>
      <c r="CS63">
        <v>41</v>
      </c>
      <c r="CT63">
        <v>56.424209378400001</v>
      </c>
      <c r="CU63">
        <v>53.097560975599997</v>
      </c>
      <c r="CW63" t="s">
        <v>403</v>
      </c>
      <c r="CX63" t="s">
        <v>925</v>
      </c>
      <c r="CY63" t="s">
        <v>928</v>
      </c>
      <c r="CZ63">
        <v>91</v>
      </c>
      <c r="DA63">
        <v>17</v>
      </c>
      <c r="DB63">
        <v>77.703296703299998</v>
      </c>
      <c r="DC63">
        <v>214</v>
      </c>
      <c r="DD63">
        <v>9</v>
      </c>
      <c r="DE63">
        <v>137.57009345789999</v>
      </c>
      <c r="DF63">
        <v>117.1111111111</v>
      </c>
      <c r="DH63" t="s">
        <v>403</v>
      </c>
      <c r="DI63" t="s">
        <v>909</v>
      </c>
      <c r="DJ63" t="s">
        <v>912</v>
      </c>
      <c r="DK63">
        <v>120</v>
      </c>
      <c r="DL63">
        <v>24</v>
      </c>
      <c r="DM63">
        <v>75.583333333300004</v>
      </c>
      <c r="DN63">
        <v>260</v>
      </c>
      <c r="DO63">
        <v>5</v>
      </c>
      <c r="DP63">
        <v>130.31153846149999</v>
      </c>
      <c r="DQ63">
        <v>133.6</v>
      </c>
    </row>
    <row r="64" spans="2:121" x14ac:dyDescent="0.2">
      <c r="BJ64" t="s">
        <v>566</v>
      </c>
      <c r="BK64" t="s">
        <v>390</v>
      </c>
      <c r="BL64">
        <v>9873</v>
      </c>
      <c r="BM64">
        <v>2605</v>
      </c>
      <c r="BN64">
        <v>102.60245112929999</v>
      </c>
      <c r="BO64">
        <v>23789</v>
      </c>
      <c r="BP64">
        <v>797</v>
      </c>
      <c r="BQ64">
        <v>156.89928118040001</v>
      </c>
      <c r="BR64">
        <v>139.84316185700001</v>
      </c>
      <c r="BS64">
        <v>10611</v>
      </c>
      <c r="BT64">
        <v>3624</v>
      </c>
      <c r="BU64">
        <v>125.629441146</v>
      </c>
      <c r="BV64">
        <v>27442</v>
      </c>
      <c r="BW64">
        <v>905</v>
      </c>
      <c r="BX64">
        <v>170.98451279060001</v>
      </c>
      <c r="BY64">
        <v>165.70497237570001</v>
      </c>
      <c r="CA64" t="s">
        <v>437</v>
      </c>
      <c r="CB64" t="s">
        <v>932</v>
      </c>
      <c r="CC64" t="s">
        <v>1051</v>
      </c>
      <c r="CD64">
        <v>2797</v>
      </c>
      <c r="CE64">
        <v>951</v>
      </c>
      <c r="CF64">
        <v>115.981766178</v>
      </c>
      <c r="CG64">
        <v>7540</v>
      </c>
      <c r="CH64">
        <v>150</v>
      </c>
      <c r="CI64">
        <v>163.71684350129999</v>
      </c>
      <c r="CJ64">
        <v>130.52666666670001</v>
      </c>
      <c r="CL64" t="s">
        <v>437</v>
      </c>
      <c r="CM64" t="s">
        <v>917</v>
      </c>
      <c r="CN64" t="s">
        <v>921</v>
      </c>
      <c r="CO64">
        <v>261</v>
      </c>
      <c r="CP64">
        <v>33</v>
      </c>
      <c r="CQ64">
        <v>65.455938697299999</v>
      </c>
      <c r="CR64">
        <v>1997</v>
      </c>
      <c r="CS64">
        <v>50</v>
      </c>
      <c r="CT64">
        <v>80.9954932399</v>
      </c>
      <c r="CU64">
        <v>89.56</v>
      </c>
      <c r="CW64" t="s">
        <v>437</v>
      </c>
      <c r="CX64" t="s">
        <v>925</v>
      </c>
      <c r="CY64" t="s">
        <v>929</v>
      </c>
      <c r="CZ64">
        <v>10</v>
      </c>
      <c r="DA64">
        <v>2</v>
      </c>
      <c r="DB64">
        <v>93.9</v>
      </c>
      <c r="DC64">
        <v>22</v>
      </c>
      <c r="DD64">
        <v>0</v>
      </c>
      <c r="DE64">
        <v>116</v>
      </c>
      <c r="DF64">
        <v>0</v>
      </c>
      <c r="DH64" t="s">
        <v>437</v>
      </c>
      <c r="DI64" t="s">
        <v>909</v>
      </c>
      <c r="DJ64" t="s">
        <v>913</v>
      </c>
      <c r="DK64">
        <v>9</v>
      </c>
      <c r="DL64">
        <v>1</v>
      </c>
      <c r="DM64">
        <v>60.444444444399998</v>
      </c>
      <c r="DN64">
        <v>37</v>
      </c>
      <c r="DO64">
        <v>0</v>
      </c>
      <c r="DP64">
        <v>159.7567567568</v>
      </c>
      <c r="DQ64">
        <v>0</v>
      </c>
    </row>
    <row r="65" spans="62:121" x14ac:dyDescent="0.2">
      <c r="BJ65" t="s">
        <v>630</v>
      </c>
      <c r="BK65" t="s">
        <v>390</v>
      </c>
      <c r="BL65">
        <v>2833</v>
      </c>
      <c r="BM65">
        <v>969</v>
      </c>
      <c r="BN65">
        <v>116.0324744088</v>
      </c>
      <c r="BO65">
        <v>7342</v>
      </c>
      <c r="BP65">
        <v>139</v>
      </c>
      <c r="BQ65">
        <v>164.88463633890001</v>
      </c>
      <c r="BR65">
        <v>130.23021582729999</v>
      </c>
      <c r="BS65">
        <v>3457</v>
      </c>
      <c r="BT65">
        <v>1604</v>
      </c>
      <c r="BU65">
        <v>139.5415099798</v>
      </c>
      <c r="BV65">
        <v>9200</v>
      </c>
      <c r="BW65">
        <v>167</v>
      </c>
      <c r="BX65">
        <v>172.58413043479999</v>
      </c>
      <c r="BY65">
        <v>147.12574850300001</v>
      </c>
      <c r="CA65" t="s">
        <v>393</v>
      </c>
      <c r="CB65" t="s">
        <v>932</v>
      </c>
      <c r="CC65" t="s">
        <v>1052</v>
      </c>
      <c r="CD65">
        <v>9700</v>
      </c>
      <c r="CE65">
        <v>3067</v>
      </c>
      <c r="CF65">
        <v>117.5675257732</v>
      </c>
      <c r="CG65">
        <v>27193</v>
      </c>
      <c r="CH65">
        <v>1024</v>
      </c>
      <c r="CI65">
        <v>195.3828926562</v>
      </c>
      <c r="CJ65">
        <v>148.7158203125</v>
      </c>
      <c r="CL65" t="s">
        <v>393</v>
      </c>
      <c r="CM65" t="s">
        <v>917</v>
      </c>
      <c r="CN65" t="s">
        <v>922</v>
      </c>
      <c r="CO65">
        <v>380</v>
      </c>
      <c r="CP65">
        <v>63</v>
      </c>
      <c r="CQ65">
        <v>72.739473684199993</v>
      </c>
      <c r="CR65">
        <v>2736</v>
      </c>
      <c r="CS65">
        <v>73</v>
      </c>
      <c r="CT65">
        <v>72.721491228100007</v>
      </c>
      <c r="CU65">
        <v>77.301369863000005</v>
      </c>
      <c r="CW65" t="s">
        <v>393</v>
      </c>
      <c r="CX65" t="s">
        <v>925</v>
      </c>
      <c r="CY65" t="s">
        <v>930</v>
      </c>
      <c r="CZ65">
        <v>216</v>
      </c>
      <c r="DA65">
        <v>43</v>
      </c>
      <c r="DB65">
        <v>71.657407407400001</v>
      </c>
      <c r="DC65">
        <v>550</v>
      </c>
      <c r="DD65">
        <v>10</v>
      </c>
      <c r="DE65">
        <v>153.0127272727</v>
      </c>
      <c r="DF65">
        <v>146</v>
      </c>
      <c r="DH65" t="s">
        <v>393</v>
      </c>
      <c r="DI65" t="s">
        <v>909</v>
      </c>
      <c r="DJ65" t="s">
        <v>914</v>
      </c>
      <c r="DK65">
        <v>223</v>
      </c>
      <c r="DL65">
        <v>53</v>
      </c>
      <c r="DM65">
        <v>80.076233183900001</v>
      </c>
      <c r="DN65">
        <v>418</v>
      </c>
      <c r="DO65">
        <v>15</v>
      </c>
      <c r="DP65">
        <v>140.44019138760001</v>
      </c>
      <c r="DQ65">
        <v>152.3333333333</v>
      </c>
    </row>
    <row r="66" spans="62:121" x14ac:dyDescent="0.2">
      <c r="BJ66" t="s">
        <v>390</v>
      </c>
      <c r="BK66" t="s">
        <v>390</v>
      </c>
      <c r="BL66">
        <v>77719</v>
      </c>
      <c r="BM66">
        <v>28862</v>
      </c>
      <c r="BN66">
        <v>129.60654408830001</v>
      </c>
      <c r="BO66">
        <v>199039</v>
      </c>
      <c r="BP66">
        <v>5720</v>
      </c>
      <c r="BQ66">
        <v>201.13045182100001</v>
      </c>
      <c r="BR66">
        <v>165.0073426573</v>
      </c>
      <c r="BS66">
        <v>71555</v>
      </c>
      <c r="BT66">
        <v>25397</v>
      </c>
      <c r="BU66">
        <v>127.69417930260001</v>
      </c>
      <c r="BV66">
        <v>185160</v>
      </c>
      <c r="BW66">
        <v>5021</v>
      </c>
      <c r="BX66">
        <v>199.67996327500001</v>
      </c>
      <c r="BY66">
        <v>162.90260904199999</v>
      </c>
      <c r="CA66" t="s">
        <v>394</v>
      </c>
      <c r="CB66" t="s">
        <v>932</v>
      </c>
      <c r="CC66" t="s">
        <v>1053</v>
      </c>
      <c r="CD66">
        <v>9979</v>
      </c>
      <c r="CE66">
        <v>2718</v>
      </c>
      <c r="CF66">
        <v>105.1111333801</v>
      </c>
      <c r="CG66">
        <v>25596</v>
      </c>
      <c r="CH66">
        <v>831</v>
      </c>
      <c r="CI66">
        <v>153.06141584619999</v>
      </c>
      <c r="CJ66">
        <v>134.8146811071</v>
      </c>
      <c r="CL66" t="s">
        <v>394</v>
      </c>
      <c r="CM66" t="s">
        <v>917</v>
      </c>
      <c r="CN66" t="s">
        <v>923</v>
      </c>
      <c r="CO66">
        <v>466</v>
      </c>
      <c r="CP66">
        <v>33</v>
      </c>
      <c r="CQ66">
        <v>53.244635193100002</v>
      </c>
      <c r="CR66">
        <v>3555</v>
      </c>
      <c r="CS66">
        <v>94</v>
      </c>
      <c r="CT66">
        <v>51.623628691999997</v>
      </c>
      <c r="CU66">
        <v>46.606382978699997</v>
      </c>
      <c r="CW66" t="s">
        <v>394</v>
      </c>
      <c r="CX66" t="s">
        <v>925</v>
      </c>
      <c r="CY66" t="s">
        <v>931</v>
      </c>
      <c r="CZ66">
        <v>198</v>
      </c>
      <c r="DA66">
        <v>28</v>
      </c>
      <c r="DB66">
        <v>76.005050505100002</v>
      </c>
      <c r="DC66">
        <v>416</v>
      </c>
      <c r="DD66">
        <v>16</v>
      </c>
      <c r="DE66">
        <v>151.41826923080001</v>
      </c>
      <c r="DF66">
        <v>128.625</v>
      </c>
      <c r="DH66" t="s">
        <v>394</v>
      </c>
      <c r="DI66" t="s">
        <v>909</v>
      </c>
      <c r="DJ66" t="s">
        <v>915</v>
      </c>
      <c r="DK66">
        <v>321</v>
      </c>
      <c r="DL66">
        <v>51</v>
      </c>
      <c r="DM66">
        <v>71.034267912800004</v>
      </c>
      <c r="DN66">
        <v>600</v>
      </c>
      <c r="DO66">
        <v>20</v>
      </c>
      <c r="DP66">
        <v>133.61500000000001</v>
      </c>
      <c r="DQ66">
        <v>155.15</v>
      </c>
    </row>
    <row r="67" spans="62:121" x14ac:dyDescent="0.2">
      <c r="BJ67" t="s">
        <v>558</v>
      </c>
      <c r="BK67" t="s">
        <v>390</v>
      </c>
      <c r="BL67">
        <v>24927</v>
      </c>
      <c r="BM67">
        <v>10075</v>
      </c>
      <c r="BN67">
        <v>138.68656476909999</v>
      </c>
      <c r="BO67">
        <v>63304</v>
      </c>
      <c r="BP67">
        <v>1379</v>
      </c>
      <c r="BQ67">
        <v>215.03710665989999</v>
      </c>
      <c r="BR67">
        <v>186.91153009429999</v>
      </c>
      <c r="BS67">
        <v>20335</v>
      </c>
      <c r="BT67">
        <v>6877</v>
      </c>
      <c r="BU67">
        <v>124.96415047950001</v>
      </c>
      <c r="BV67">
        <v>51322</v>
      </c>
      <c r="BW67">
        <v>896</v>
      </c>
      <c r="BX67">
        <v>213.3419780991</v>
      </c>
      <c r="BY67">
        <v>168.26450892860001</v>
      </c>
      <c r="CA67" t="s">
        <v>390</v>
      </c>
      <c r="CB67" t="s">
        <v>932</v>
      </c>
      <c r="CD67">
        <v>78335</v>
      </c>
      <c r="CE67">
        <v>28109</v>
      </c>
      <c r="CF67">
        <v>125.751196783</v>
      </c>
      <c r="CG67">
        <v>209589</v>
      </c>
      <c r="CH67">
        <v>6031</v>
      </c>
      <c r="CI67">
        <v>191.600360706</v>
      </c>
      <c r="CJ67">
        <v>156.3370916929</v>
      </c>
      <c r="CL67" t="s">
        <v>390</v>
      </c>
      <c r="CM67" t="s">
        <v>917</v>
      </c>
      <c r="CO67">
        <v>3724</v>
      </c>
      <c r="CP67">
        <v>476</v>
      </c>
      <c r="CQ67">
        <v>68.240064446800005</v>
      </c>
      <c r="CR67">
        <v>27166</v>
      </c>
      <c r="CS67">
        <v>754</v>
      </c>
      <c r="CT67">
        <v>67.043547080899998</v>
      </c>
      <c r="CU67">
        <v>75.336870026499994</v>
      </c>
      <c r="CW67" t="s">
        <v>390</v>
      </c>
      <c r="CX67" t="s">
        <v>925</v>
      </c>
      <c r="CZ67">
        <v>1824</v>
      </c>
      <c r="DA67">
        <v>377</v>
      </c>
      <c r="DB67">
        <v>79.783442982500006</v>
      </c>
      <c r="DC67">
        <v>3946</v>
      </c>
      <c r="DD67">
        <v>99</v>
      </c>
      <c r="DE67">
        <v>147.08641662439999</v>
      </c>
      <c r="DF67">
        <v>138.0909090909</v>
      </c>
      <c r="DH67" t="s">
        <v>390</v>
      </c>
      <c r="DI67" t="s">
        <v>909</v>
      </c>
      <c r="DK67">
        <v>2065</v>
      </c>
      <c r="DL67">
        <v>422</v>
      </c>
      <c r="DM67">
        <v>75.662469733699993</v>
      </c>
      <c r="DN67">
        <v>4215</v>
      </c>
      <c r="DO67">
        <v>133</v>
      </c>
      <c r="DP67">
        <v>142.05456702250001</v>
      </c>
      <c r="DQ67">
        <v>141.38345864659999</v>
      </c>
    </row>
    <row r="68" spans="62:121" x14ac:dyDescent="0.2">
      <c r="BJ68" t="s">
        <v>317</v>
      </c>
      <c r="BK68" t="s">
        <v>712</v>
      </c>
      <c r="BL68">
        <v>1814</v>
      </c>
      <c r="BM68">
        <v>246</v>
      </c>
      <c r="BN68">
        <v>64.315325248099995</v>
      </c>
      <c r="BO68">
        <v>1869</v>
      </c>
      <c r="BP68">
        <v>80</v>
      </c>
      <c r="BQ68">
        <v>147.7651150348</v>
      </c>
      <c r="BR68">
        <v>129.03749999999999</v>
      </c>
      <c r="BS68">
        <v>806</v>
      </c>
      <c r="BT68">
        <v>132</v>
      </c>
      <c r="BU68">
        <v>76.003722084399996</v>
      </c>
      <c r="BV68">
        <v>1618</v>
      </c>
      <c r="BW68">
        <v>43</v>
      </c>
      <c r="BX68">
        <v>149.88875154510001</v>
      </c>
      <c r="BY68">
        <v>112.86046511630001</v>
      </c>
      <c r="CA68" t="s">
        <v>715</v>
      </c>
      <c r="CD68">
        <v>384092</v>
      </c>
      <c r="CE68">
        <v>123897</v>
      </c>
      <c r="CF68">
        <v>117.7405595534</v>
      </c>
      <c r="CG68">
        <v>1074587</v>
      </c>
      <c r="CH68">
        <v>34029</v>
      </c>
      <c r="CI68">
        <v>175.49751578979999</v>
      </c>
      <c r="CJ68">
        <v>152.41805518819999</v>
      </c>
      <c r="CL68" t="s">
        <v>715</v>
      </c>
      <c r="CO68">
        <v>384092</v>
      </c>
      <c r="CP68">
        <v>123897</v>
      </c>
      <c r="CQ68">
        <v>117.7405595534</v>
      </c>
      <c r="CR68">
        <v>1074587</v>
      </c>
      <c r="CS68">
        <v>34029</v>
      </c>
      <c r="CT68">
        <v>175.49751578979999</v>
      </c>
      <c r="CU68">
        <v>152.41805518819999</v>
      </c>
      <c r="CW68" t="s">
        <v>715</v>
      </c>
      <c r="CZ68">
        <v>384092</v>
      </c>
      <c r="DA68">
        <v>123897</v>
      </c>
      <c r="DB68">
        <v>117.7405595534</v>
      </c>
      <c r="DC68">
        <v>1074587</v>
      </c>
      <c r="DD68">
        <v>34029</v>
      </c>
      <c r="DE68">
        <v>175.49751578979999</v>
      </c>
      <c r="DF68">
        <v>152.41805518819999</v>
      </c>
      <c r="DH68" t="s">
        <v>715</v>
      </c>
      <c r="DK68">
        <v>384092</v>
      </c>
      <c r="DL68">
        <v>123897</v>
      </c>
      <c r="DM68">
        <v>117.7405595534</v>
      </c>
      <c r="DN68">
        <v>1074587</v>
      </c>
      <c r="DO68">
        <v>34029</v>
      </c>
      <c r="DP68">
        <v>175.49751578979999</v>
      </c>
      <c r="DQ68">
        <v>152.41805518819999</v>
      </c>
    </row>
    <row r="69" spans="62:121" x14ac:dyDescent="0.2">
      <c r="BJ69" t="s">
        <v>219</v>
      </c>
      <c r="BK69" t="s">
        <v>712</v>
      </c>
      <c r="BL69">
        <v>3317</v>
      </c>
      <c r="BM69">
        <v>550</v>
      </c>
      <c r="BN69">
        <v>73.321374736199999</v>
      </c>
      <c r="BO69">
        <v>10601</v>
      </c>
      <c r="BP69">
        <v>331</v>
      </c>
      <c r="BQ69">
        <v>172.71163097819999</v>
      </c>
      <c r="BR69">
        <v>135.43504531720001</v>
      </c>
      <c r="BS69">
        <v>3300</v>
      </c>
      <c r="BT69">
        <v>555</v>
      </c>
      <c r="BU69">
        <v>73.498787878800002</v>
      </c>
      <c r="BV69">
        <v>10614</v>
      </c>
      <c r="BW69">
        <v>332</v>
      </c>
      <c r="BX69">
        <v>172.7495760317</v>
      </c>
      <c r="BY69">
        <v>136.79819277109999</v>
      </c>
    </row>
    <row r="70" spans="62:121" x14ac:dyDescent="0.2">
      <c r="BJ70" t="s">
        <v>712</v>
      </c>
      <c r="BK70" t="s">
        <v>712</v>
      </c>
      <c r="BL70">
        <v>8924</v>
      </c>
      <c r="BM70">
        <v>1540</v>
      </c>
      <c r="BN70">
        <v>71.815777678200007</v>
      </c>
      <c r="BO70">
        <v>20175</v>
      </c>
      <c r="BP70">
        <v>662</v>
      </c>
      <c r="BQ70">
        <v>153.7656009913</v>
      </c>
      <c r="BR70">
        <v>139.4637462236</v>
      </c>
      <c r="BS70">
        <v>8924</v>
      </c>
      <c r="BT70">
        <v>1540</v>
      </c>
      <c r="BU70">
        <v>71.815777678200007</v>
      </c>
      <c r="BV70">
        <v>20175</v>
      </c>
      <c r="BW70">
        <v>662</v>
      </c>
      <c r="BX70">
        <v>153.7656009913</v>
      </c>
      <c r="BY70">
        <v>139.4637462236</v>
      </c>
    </row>
    <row r="71" spans="62:121" x14ac:dyDescent="0.2">
      <c r="BJ71" t="s">
        <v>221</v>
      </c>
      <c r="BK71" t="s">
        <v>712</v>
      </c>
      <c r="BL71">
        <v>3793</v>
      </c>
      <c r="BM71">
        <v>744</v>
      </c>
      <c r="BN71">
        <v>74.086211442099994</v>
      </c>
      <c r="BO71">
        <v>7705</v>
      </c>
      <c r="BP71">
        <v>251</v>
      </c>
      <c r="BQ71">
        <v>129.15405580789999</v>
      </c>
      <c r="BR71">
        <v>148.0996015936</v>
      </c>
      <c r="BS71">
        <v>4818</v>
      </c>
      <c r="BT71">
        <v>853</v>
      </c>
      <c r="BU71">
        <v>69.962432544600006</v>
      </c>
      <c r="BV71">
        <v>7943</v>
      </c>
      <c r="BW71">
        <v>287</v>
      </c>
      <c r="BX71">
        <v>129.18758655420001</v>
      </c>
      <c r="BY71">
        <v>146.53310104529999</v>
      </c>
    </row>
    <row r="72" spans="62:121" x14ac:dyDescent="0.2">
      <c r="BJ72" t="s">
        <v>217</v>
      </c>
      <c r="BK72" t="s">
        <v>713</v>
      </c>
      <c r="BL72">
        <v>4478</v>
      </c>
      <c r="BM72">
        <v>389</v>
      </c>
      <c r="BN72">
        <v>55.794551138899998</v>
      </c>
      <c r="BO72">
        <v>33581</v>
      </c>
      <c r="BP72">
        <v>795</v>
      </c>
      <c r="BQ72">
        <v>55.062446026000003</v>
      </c>
      <c r="BR72">
        <v>56.474213836499999</v>
      </c>
      <c r="BS72">
        <v>4489</v>
      </c>
      <c r="BT72">
        <v>393</v>
      </c>
      <c r="BU72">
        <v>55.984629093300001</v>
      </c>
      <c r="BV72">
        <v>33660</v>
      </c>
      <c r="BW72">
        <v>801</v>
      </c>
      <c r="BX72">
        <v>55.386007130099998</v>
      </c>
      <c r="BY72">
        <v>57.3645443196</v>
      </c>
    </row>
    <row r="73" spans="62:121" x14ac:dyDescent="0.2">
      <c r="BJ73" t="s">
        <v>232</v>
      </c>
      <c r="BK73" t="s">
        <v>713</v>
      </c>
      <c r="BL73">
        <v>514</v>
      </c>
      <c r="BM73">
        <v>239</v>
      </c>
      <c r="BN73">
        <v>165.88521400779999</v>
      </c>
      <c r="BO73">
        <v>4466</v>
      </c>
      <c r="BP73">
        <v>137</v>
      </c>
      <c r="BQ73">
        <v>67.653605015699995</v>
      </c>
      <c r="BR73">
        <v>77.007299270100006</v>
      </c>
      <c r="BS73">
        <v>449</v>
      </c>
      <c r="BT73">
        <v>217</v>
      </c>
      <c r="BU73">
        <v>173.31403118040001</v>
      </c>
      <c r="BV73">
        <v>4203</v>
      </c>
      <c r="BW73">
        <v>116</v>
      </c>
      <c r="BX73">
        <v>59.974304068499997</v>
      </c>
      <c r="BY73">
        <v>62.517241379300003</v>
      </c>
    </row>
    <row r="74" spans="62:121" x14ac:dyDescent="0.2">
      <c r="BJ74" t="s">
        <v>218</v>
      </c>
      <c r="BK74" t="s">
        <v>713</v>
      </c>
      <c r="BL74">
        <v>5847</v>
      </c>
      <c r="BM74">
        <v>702</v>
      </c>
      <c r="BN74">
        <v>66.257739011499993</v>
      </c>
      <c r="BO74">
        <v>37842</v>
      </c>
      <c r="BP74">
        <v>1117</v>
      </c>
      <c r="BQ74">
        <v>72.519000052899997</v>
      </c>
      <c r="BR74">
        <v>75.313339301699997</v>
      </c>
      <c r="BS74">
        <v>5878</v>
      </c>
      <c r="BT74">
        <v>716</v>
      </c>
      <c r="BU74">
        <v>66.549336509</v>
      </c>
      <c r="BV74">
        <v>37919</v>
      </c>
      <c r="BW74">
        <v>1125</v>
      </c>
      <c r="BX74">
        <v>72.804741686200003</v>
      </c>
      <c r="BY74">
        <v>76.017777777800006</v>
      </c>
    </row>
    <row r="75" spans="62:121" x14ac:dyDescent="0.2">
      <c r="BJ75" t="s">
        <v>220</v>
      </c>
      <c r="BK75" t="s">
        <v>713</v>
      </c>
      <c r="BL75">
        <v>7996</v>
      </c>
      <c r="BM75">
        <v>488</v>
      </c>
      <c r="BN75">
        <v>55.108929464699997</v>
      </c>
      <c r="BO75">
        <v>43125</v>
      </c>
      <c r="BP75">
        <v>1263</v>
      </c>
      <c r="BQ75">
        <v>64.671211594200003</v>
      </c>
      <c r="BR75">
        <v>71.031670625499999</v>
      </c>
      <c r="BS75">
        <v>8019</v>
      </c>
      <c r="BT75">
        <v>492</v>
      </c>
      <c r="BU75">
        <v>55.226711559999998</v>
      </c>
      <c r="BV75">
        <v>43233</v>
      </c>
      <c r="BW75">
        <v>1270</v>
      </c>
      <c r="BX75">
        <v>64.945435200000006</v>
      </c>
      <c r="BY75">
        <v>71.310236220500002</v>
      </c>
    </row>
    <row r="76" spans="62:121" x14ac:dyDescent="0.2">
      <c r="BJ76" t="s">
        <v>713</v>
      </c>
      <c r="BK76" t="s">
        <v>713</v>
      </c>
      <c r="BL76">
        <v>18835</v>
      </c>
      <c r="BM76">
        <v>1818</v>
      </c>
      <c r="BN76">
        <v>61.755933103300002</v>
      </c>
      <c r="BO76">
        <v>119014</v>
      </c>
      <c r="BP76">
        <v>3312</v>
      </c>
      <c r="BQ76">
        <v>64.567218982599996</v>
      </c>
      <c r="BR76">
        <v>69.228562801899997</v>
      </c>
      <c r="BS76">
        <v>18835</v>
      </c>
      <c r="BT76">
        <v>1818</v>
      </c>
      <c r="BU76">
        <v>61.755933103300002</v>
      </c>
      <c r="BV76">
        <v>119015</v>
      </c>
      <c r="BW76">
        <v>3312</v>
      </c>
      <c r="BX76">
        <v>64.570297861599997</v>
      </c>
      <c r="BY76">
        <v>69.228562801899997</v>
      </c>
    </row>
    <row r="77" spans="62:121" x14ac:dyDescent="0.2">
      <c r="BJ77" t="s">
        <v>316</v>
      </c>
      <c r="BK77" t="s">
        <v>714</v>
      </c>
      <c r="BL77">
        <v>2702</v>
      </c>
      <c r="BM77">
        <v>290</v>
      </c>
      <c r="BN77">
        <v>63.062916358300001</v>
      </c>
      <c r="BO77">
        <v>2788</v>
      </c>
      <c r="BP77">
        <v>107</v>
      </c>
      <c r="BQ77">
        <v>126.8654949785</v>
      </c>
      <c r="BR77">
        <v>132.9252336449</v>
      </c>
      <c r="BS77">
        <v>614</v>
      </c>
      <c r="BT77">
        <v>66</v>
      </c>
      <c r="BU77">
        <v>55.5293159609</v>
      </c>
      <c r="BV77">
        <v>542</v>
      </c>
      <c r="BW77">
        <v>12</v>
      </c>
      <c r="BX77">
        <v>196.48339483390001</v>
      </c>
      <c r="BY77">
        <v>113.6666666667</v>
      </c>
    </row>
    <row r="78" spans="62:121" x14ac:dyDescent="0.2">
      <c r="BJ78" t="s">
        <v>978</v>
      </c>
      <c r="BK78" t="s">
        <v>714</v>
      </c>
      <c r="BL78">
        <v>2719</v>
      </c>
      <c r="BM78">
        <v>415</v>
      </c>
      <c r="BN78">
        <v>67.687752850300001</v>
      </c>
      <c r="BO78">
        <v>8407</v>
      </c>
      <c r="BP78">
        <v>239</v>
      </c>
      <c r="BQ78">
        <v>120.760556679</v>
      </c>
      <c r="BR78">
        <v>123.8075313808</v>
      </c>
      <c r="BS78">
        <v>3684</v>
      </c>
      <c r="BT78">
        <v>503</v>
      </c>
      <c r="BU78">
        <v>66.002442996699997</v>
      </c>
      <c r="BV78">
        <v>10328</v>
      </c>
      <c r="BW78">
        <v>296</v>
      </c>
      <c r="BX78">
        <v>117.9394848954</v>
      </c>
      <c r="BY78">
        <v>124.5337837838</v>
      </c>
    </row>
    <row r="79" spans="62:121" x14ac:dyDescent="0.2">
      <c r="BJ79" t="s">
        <v>714</v>
      </c>
      <c r="BK79" t="s">
        <v>714</v>
      </c>
      <c r="BL79">
        <v>8406</v>
      </c>
      <c r="BM79">
        <v>1412</v>
      </c>
      <c r="BN79">
        <v>72.938972162699997</v>
      </c>
      <c r="BO79">
        <v>19952</v>
      </c>
      <c r="BP79">
        <v>554</v>
      </c>
      <c r="BQ79">
        <v>135.22985164389999</v>
      </c>
      <c r="BR79">
        <v>134.6119133574</v>
      </c>
      <c r="BS79">
        <v>8406</v>
      </c>
      <c r="BT79">
        <v>1412</v>
      </c>
      <c r="BU79">
        <v>72.938972162699997</v>
      </c>
      <c r="BV79">
        <v>19952</v>
      </c>
      <c r="BW79">
        <v>554</v>
      </c>
      <c r="BX79">
        <v>135.22985164389999</v>
      </c>
      <c r="BY79">
        <v>134.6119133574</v>
      </c>
    </row>
    <row r="80" spans="62:121" x14ac:dyDescent="0.2">
      <c r="BJ80" t="s">
        <v>979</v>
      </c>
      <c r="BK80" t="s">
        <v>714</v>
      </c>
      <c r="BL80">
        <v>2985</v>
      </c>
      <c r="BM80">
        <v>707</v>
      </c>
      <c r="BN80">
        <v>86.661976549399995</v>
      </c>
      <c r="BO80">
        <v>8757</v>
      </c>
      <c r="BP80">
        <v>208</v>
      </c>
      <c r="BQ80">
        <v>151.78383007880001</v>
      </c>
      <c r="BR80">
        <v>147.89423076919999</v>
      </c>
      <c r="BS80">
        <v>4108</v>
      </c>
      <c r="BT80">
        <v>843</v>
      </c>
      <c r="BU80">
        <v>81.761684517999996</v>
      </c>
      <c r="BV80">
        <v>9082</v>
      </c>
      <c r="BW80">
        <v>246</v>
      </c>
      <c r="BX80">
        <v>151.23684210530001</v>
      </c>
      <c r="BY80">
        <v>147.7601626016</v>
      </c>
    </row>
    <row r="81" spans="62:77" x14ac:dyDescent="0.2">
      <c r="BJ81" t="s">
        <v>715</v>
      </c>
      <c r="BL81">
        <v>384092</v>
      </c>
      <c r="BM81">
        <v>123897</v>
      </c>
      <c r="BN81" s="154">
        <v>117.7405595534</v>
      </c>
      <c r="BO81">
        <v>1074587</v>
      </c>
      <c r="BP81">
        <v>34029</v>
      </c>
      <c r="BQ81">
        <v>175.49751578979999</v>
      </c>
      <c r="BR81">
        <v>152.41805518819999</v>
      </c>
      <c r="BS81">
        <v>384092</v>
      </c>
      <c r="BT81">
        <v>123897</v>
      </c>
      <c r="BU81">
        <v>117.7405595534</v>
      </c>
      <c r="BV81">
        <v>1074587</v>
      </c>
      <c r="BW81">
        <v>34029</v>
      </c>
      <c r="BX81">
        <v>175.49751578979999</v>
      </c>
      <c r="BY81">
        <v>152.41805518819999</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407638</CP_Inventory>
    <Fiscal_Year xmlns="c9744be7-b815-40bc-84fa-afc9c406d9bc">2015</Fiscal_Year>
    <CP_Backlog xmlns="c9744be7-b815-40bc-84fa-afc9c406d9bc">140703</CP_Backlog>
    <Creation_date xmlns="c9744be7-b815-40bc-84fa-afc9c406d9bc">2015-06-01T00:00:00-04:00</Creation_date>
    <Data_date xmlns="c9744be7-b815-40bc-84fa-afc9c406d9bc">2015-05-30T00:00:00-04:00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documentManagement/types"/>
    <ds:schemaRef ds:uri="fef9c9dc-374b-4157-9e06-089f148416e5"/>
    <ds:schemaRef ds:uri="http://purl.org/dc/elements/1.1/"/>
    <ds:schemaRef ds:uri="http://schemas.microsoft.com/office/2006/metadata/properties"/>
    <ds:schemaRef ds:uri="http://www.w3.org/XML/1998/namespace"/>
    <ds:schemaRef ds:uri="c9744be7-b815-40bc-84fa-afc9c406d9bc"/>
    <ds:schemaRef ds:uri="http://schemas.microsoft.com/office/infopath/2007/PartnerControl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30,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2015-07-13T13:46:01Z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