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PPEALS DATA" sheetId="62" state="veryHidden" r:id="rId10"/>
    <sheet name="ACCURACY DATA" sheetId="74"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10" hidden="1">'ACCURACY DATA'!$B$2:$P$74</definedName>
    <definedName name="MMWR_CONNECTOR" localSheetId="9"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9" hidden="1">'APPEALS DATA'!$AL$2:$AY$63</definedName>
    <definedName name="MMWR_CONNECTOR_2" localSheetId="8" hidden="1">'CP DATA'!$T$2:$AF$7</definedName>
    <definedName name="MMWR_CONNECTOR_3" localSheetId="9" hidden="1">'APPEALS DATA'!$F$2:$S$72</definedName>
    <definedName name="MMWR_CONNECTOR_3" localSheetId="8" hidden="1">'CP DATA'!$AH$2:$AT$55</definedName>
    <definedName name="MMWR_CONNECTOR_4" localSheetId="9"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SOJ'!$A$1:$Y$49</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O13" i="46"/>
  <c r="N13" i="46"/>
  <c r="M13" i="46"/>
  <c r="L13" i="46"/>
  <c r="K13" i="46"/>
  <c r="J13"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H30" i="35" s="1"/>
  <c r="M7" i="35"/>
  <c r="M18" i="35"/>
  <c r="J6" i="7"/>
  <c r="I10" i="7"/>
  <c r="M11" i="35"/>
  <c r="H5" i="7"/>
  <c r="G22" i="35"/>
  <c r="H22" i="35" s="1"/>
  <c r="I5" i="7"/>
  <c r="L11" i="35"/>
  <c r="G7" i="35"/>
  <c r="H7" i="35" l="1"/>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<sst xmlns="http://schemas.openxmlformats.org/spreadsheetml/2006/main" count="4099" uniqueCount="1066">
  <si>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</si>
  <si>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</si>
  <si>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</si>
  <si>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</si>
  <si>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</si>
  <si>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</si>
  <si>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</si>
  <si>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</si>
  <si>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</si>
  <si>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</si>
  <si>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</si>
  <si>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</si>
  <si>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</si>
  <si>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</si>
  <si>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</si>
  <si>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</si>
  <si>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</si>
  <si>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</si>
  <si>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</si>
  <si>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</si>
  <si>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</si>
  <si>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</si>
  <si>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</si>
  <si>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</si>
  <si>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</si>
  <si>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</si>
  <si>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</si>
  <si>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</si>
  <si>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</si>
  <si>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</si>
  <si>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</si>
  <si>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</si>
  <si>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</si>
  <si>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</si>
  <si>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</si>
  <si>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</si>
  <si>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</si>
  <si>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</si>
  <si>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</si>
  <si>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</si>
  <si>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</si>
  <si>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</si>
  <si>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</si>
  <si>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</si>
  <si>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</si>
  <si>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</si>
  <si>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</si>
  <si>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</si>
  <si>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</si>
  <si>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</si>
  <si>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</si>
  <si>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</si>
  <si>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</si>
  <si>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</si>
  <si>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</si>
  <si>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</si>
  <si>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</si>
  <si>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</si>
  <si>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</si>
  <si>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</si>
  <si>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</si>
  <si>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</si>
  <si>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</si>
  <si>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</si>
  <si>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</si>
  <si>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</si>
  <si>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</si>
  <si>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</si>
  <si>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</si>
  <si>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</si>
  <si>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</si>
  <si>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</si>
  <si>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</si>
  <si>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</si>
  <si>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</si>
  <si>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</si>
  <si>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</si>
  <si>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</si>
  <si>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</si>
  <si>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</si>
  <si>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</si>
  <si>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</si>
  <si>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</si>
  <si>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</si>
  <si>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</si>
  <si>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</si>
  <si>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</si>
  <si>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</si>
  <si>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</si>
  <si>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</si>
  <si>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</si>
  <si>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</si>
  <si>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</si>
  <si>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</si>
  <si>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</si>
  <si>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</si>
  <si>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</si>
  <si>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</si>
  <si>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</si>
  <si>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</si>
  <si>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</si>
  <si>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</si>
  <si>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</si>
  <si>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</si>
  <si>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</si>
  <si>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</si>
  <si>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</si>
  <si>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</si>
  <si>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</si>
  <si>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</si>
  <si>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</si>
  <si>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</si>
  <si>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</si>
  <si>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</si>
  <si>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</si>
  <si>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</si>
  <si>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</si>
  <si>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</si>
  <si>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</si>
  <si>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</si>
  <si>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</si>
  <si>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</si>
  <si>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</si>
  <si>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</si>
  <si>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</si>
  <si>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</si>
  <si>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</si>
  <si>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</si>
  <si>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</si>
  <si>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</si>
  <si>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</si>
  <si>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</si>
  <si>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</si>
  <si>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</si>
  <si>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</si>
  <si>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</si>
  <si>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</si>
  <si>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</si>
  <si>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</si>
  <si>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</si>
  <si>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</si>
  <si>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</si>
  <si>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</si>
  <si>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</si>
  <si>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</si>
  <si>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</si>
  <si>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</si>
  <si>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</si>
  <si>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</si>
  <si>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</si>
  <si>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</si>
  <si>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</si>
  <si>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</si>
  <si>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</si>
  <si>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</si>
  <si>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</si>
  <si>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</si>
  <si>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</si>
  <si>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</si>
  <si>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</si>
  <si>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</si>
  <si>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</si>
  <si>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</si>
  <si>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</si>
  <si>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</si>
  <si>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</si>
  <si>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</si>
  <si>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</si>
  <si>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</si>
  <si>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</si>
  <si>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</si>
  <si>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</si>
  <si>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</si>
  <si>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</si>
  <si>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</si>
  <si>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</si>
  <si>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</si>
  <si>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</si>
  <si>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</si>
  <si>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</si>
  <si>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</si>
  <si>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</si>
  <si>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</si>
  <si>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</si>
  <si>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</si>
  <si>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</si>
  <si>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</si>
  <si>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</si>
  <si>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</si>
  <si>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</si>
  <si>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</si>
  <si>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</si>
  <si>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</si>
  <si>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</si>
  <si>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</si>
  <si>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</si>
  <si>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12 Month Authorization Accuracy - Claim Level</t>
  </si>
  <si>
    <t>12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</si>
  <si>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</si>
  <si>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</si>
  <si>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</si>
  <si>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</si>
  <si>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</si>
  <si>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</si>
  <si>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</si>
  <si>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</si>
  <si>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</si>
  <si>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</si>
  <si>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</si>
  <si>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</si>
  <si>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</si>
  <si>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</si>
  <si>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</si>
  <si>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</si>
  <si>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</si>
  <si>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</si>
  <si>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</si>
  <si>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</si>
  <si>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</si>
  <si>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</si>
  <si>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</si>
  <si>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</si>
  <si>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</si>
  <si>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</si>
  <si>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</si>
  <si>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</si>
  <si>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</si>
  <si>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</si>
  <si>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</si>
  <si>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</si>
  <si>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</si>
  <si>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</si>
  <si>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</si>
  <si>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</si>
  <si>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</si>
  <si>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</si>
  <si>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</si>
  <si>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</si>
  <si>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</si>
  <si>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</si>
  <si>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</si>
  <si>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</si>
  <si>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</si>
  <si>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</si>
  <si>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</si>
  <si>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</si>
  <si>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</si>
  <si>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</si>
  <si>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</si>
  <si>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</si>
  <si>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</si>
  <si>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</si>
  <si>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</si>
  <si>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</si>
  <si>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</si>
  <si>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</si>
  <si>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</si>
  <si>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</si>
  <si>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</si>
  <si>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</si>
  <si>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</si>
  <si>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</si>
  <si>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</si>
  <si>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</si>
  <si>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</si>
  <si>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</si>
  <si>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</si>
  <si>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</si>
  <si>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</si>
  <si>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</si>
  <si>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</si>
  <si>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</si>
  <si>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</si>
  <si>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</si>
  <si>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</si>
  <si>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</si>
  <si>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</si>
  <si>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</si>
  <si>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</si>
  <si>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</si>
  <si>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</si>
  <si>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</si>
  <si>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</si>
  <si>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</si>
  <si>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</si>
  <si>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</si>
  <si>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</si>
  <si>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</si>
  <si>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</si>
  <si>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</si>
  <si>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</si>
  <si>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</si>
  <si>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</si>
  <si>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</si>
  <si>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</si>
  <si>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</si>
  <si>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</si>
  <si>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</si>
  <si>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</si>
  <si>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</si>
  <si>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</si>
  <si>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</si>
  <si>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</si>
  <si>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</si>
  <si>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</si>
  <si>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</si>
  <si>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</si>
  <si>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</si>
  <si>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</si>
  <si>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</si>
  <si>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</si>
  <si>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</si>
  <si>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</si>
  <si>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</si>
  <si>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</si>
  <si>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</si>
  <si>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</si>
  <si>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</si>
  <si>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</si>
  <si>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</si>
  <si>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</si>
  <si>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</si>
  <si>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</si>
  <si>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</si>
  <si>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</si>
  <si>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</si>
  <si>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</si>
  <si>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</si>
  <si>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</si>
  <si>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</si>
  <si>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</si>
  <si>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</si>
  <si>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</si>
  <si>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</si>
  <si>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</si>
  <si>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</si>
  <si>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</si>
  <si>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</si>
  <si>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</si>
  <si>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</si>
  <si>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</si>
  <si>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</si>
  <si>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</si>
  <si>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</si>
  <si>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</si>
  <si>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</si>
  <si>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</si>
  <si>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</si>
  <si>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</si>
  <si>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</si>
  <si>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</si>
  <si>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</si>
  <si>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</si>
  <si>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</si>
  <si>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</si>
  <si>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</si>
  <si>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</si>
  <si>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</si>
  <si>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</si>
  <si>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</si>
  <si>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</si>
  <si>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</si>
  <si>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</si>
  <si>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</si>
  <si>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</si>
  <si>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</si>
  <si>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</si>
  <si>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</si>
  <si>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</si>
  <si>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</si>
  <si>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</si>
  <si>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</si>
  <si>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</si>
  <si>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</si>
  <si>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</si>
  <si>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</si>
  <si>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</si>
  <si>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</si>
  <si>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</si>
  <si>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</si>
  <si>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</si>
  <si>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</si>
  <si>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</si>
  <si>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</si>
  <si>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</si>
  <si>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</si>
  <si>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</si>
  <si>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</si>
  <si>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</si>
  <si>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</si>
  <si>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</si>
  <si>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</si>
  <si>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</si>
  <si>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</si>
  <si>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</si>
  <si>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</si>
  <si>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</si>
  <si>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</si>
  <si>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</si>
  <si>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</si>
  <si>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</si>
  <si>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</si>
  <si>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</si>
  <si>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</si>
  <si>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</si>
  <si>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</si>
  <si>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</si>
  <si>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</si>
  <si>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</si>
  <si>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</si>
  <si>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</si>
  <si>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</si>
  <si>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</si>
  <si>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</si>
  <si>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</si>
  <si>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</si>
  <si>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</si>
  <si>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</si>
  <si>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</si>
  <si>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</si>
  <si>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</si>
  <si>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</si>
  <si>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</si>
  <si>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</si>
  <si>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</si>
  <si>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</si>
  <si>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</si>
  <si>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</si>
  <si>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</si>
  <si>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</si>
  <si>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</si>
  <si>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</si>
  <si>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</si>
  <si>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</si>
  <si>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</si>
  <si>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</si>
  <si>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</si>
  <si>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</si>
  <si>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</si>
  <si>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</si>
  <si>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</si>
  <si>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</si>
  <si>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</si>
  <si>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</si>
  <si>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</si>
  <si>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</si>
  <si>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</si>
  <si>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</si>
  <si>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</si>
  <si>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</si>
  <si>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</si>
  <si>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</si>
  <si>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</si>
  <si>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</si>
  <si>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</si>
  <si>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</si>
  <si>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</si>
  <si>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</si>
  <si>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</si>
  <si>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</si>
  <si>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</si>
  <si>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</si>
  <si>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</si>
  <si>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</si>
  <si>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</si>
  <si>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</si>
  <si>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</si>
  <si>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</si>
  <si>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</si>
  <si>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</si>
  <si>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</si>
  <si>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</si>
  <si>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</si>
  <si>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</si>
  <si>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</si>
  <si>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</si>
  <si>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</si>
  <si>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</si>
  <si>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</si>
  <si>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</si>
  <si>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</si>
  <si>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</si>
  <si>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</si>
  <si>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</si>
  <si>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</si>
  <si>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</si>
  <si>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</si>
  <si>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</si>
  <si>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</si>
  <si>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</si>
  <si>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</si>
  <si>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</si>
  <si>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</si>
  <si>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</si>
  <si>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</si>
  <si>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</si>
  <si>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</si>
  <si>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</si>
  <si>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</si>
  <si>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</si>
  <si>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</si>
  <si>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</si>
  <si>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</si>
  <si>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</si>
  <si>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</si>
  <si>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</si>
  <si>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</si>
  <si>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</si>
  <si>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</si>
  <si>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</si>
  <si>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</si>
  <si>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</si>
  <si>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</si>
  <si>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</si>
  <si>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</si>
  <si>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</si>
  <si>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</si>
  <si>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</si>
  <si>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USA All</t>
  </si>
  <si>
    <t>USA Radiation</t>
  </si>
  <si>
    <t>USA BDD</t>
  </si>
  <si>
    <t>USA Foreign</t>
  </si>
  <si>
    <t>USA DES</t>
  </si>
  <si>
    <t>USA CLCW</t>
  </si>
  <si>
    <t>USA Other</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</si>
  <si>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</si>
  <si>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</si>
  <si>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</si>
  <si>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</si>
  <si>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</si>
  <si>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</si>
  <si>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</si>
  <si>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</si>
  <si>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</si>
  <si>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</si>
  <si>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</si>
  <si>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</si>
  <si>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</si>
  <si>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</si>
  <si>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</si>
  <si>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</si>
  <si>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</si>
  <si>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</si>
  <si>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</si>
  <si>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</si>
  <si>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</si>
  <si>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</si>
  <si>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</si>
  <si>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</si>
  <si>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</si>
  <si>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</si>
  <si>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</si>
  <si>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</si>
  <si>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</si>
  <si>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</si>
  <si>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</si>
  <si>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</si>
  <si>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</si>
  <si>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</si>
  <si>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</si>
  <si>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</si>
  <si>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</si>
  <si>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</si>
  <si>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</si>
  <si>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</si>
  <si>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</si>
  <si>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</si>
  <si>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</si>
  <si>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</si>
  <si>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</si>
  <si>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</si>
  <si>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</si>
  <si>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</si>
  <si>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</si>
  <si>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</si>
  <si>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</si>
  <si>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</si>
  <si>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</si>
  <si>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</si>
  <si>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</si>
  <si>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</si>
  <si>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</si>
  <si>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</si>
  <si>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</si>
  <si>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</si>
  <si>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</si>
  <si>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</si>
  <si>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</si>
  <si>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</si>
  <si>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</si>
  <si>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</si>
  <si>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</si>
  <si>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</si>
  <si>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</si>
  <si>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</si>
  <si>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</si>
  <si>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</si>
  <si>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</si>
  <si>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</si>
  <si>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</si>
  <si>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</si>
  <si>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</si>
  <si>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</si>
  <si>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</si>
  <si>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</si>
  <si>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</si>
  <si>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</si>
  <si>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</si>
  <si>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</si>
  <si>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</si>
  <si>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</si>
  <si>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</si>
  <si>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</si>
  <si>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</si>
  <si>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</si>
  <si>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</si>
  <si>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</si>
  <si>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</si>
  <si>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</si>
  <si>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</si>
  <si>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</si>
  <si>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</si>
  <si>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</si>
  <si>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</si>
  <si>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</si>
  <si>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</si>
  <si>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</si>
  <si>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</si>
  <si>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</si>
  <si>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</si>
  <si>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</si>
  <si>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</si>
  <si>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</si>
  <si>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</si>
  <si>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</si>
  <si>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</si>
  <si>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</si>
  <si>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</si>
  <si>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</si>
  <si>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</si>
  <si>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</si>
  <si>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</si>
  <si>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</si>
  <si>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</si>
  <si>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</si>
  <si>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</si>
  <si>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</si>
  <si>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</si>
  <si>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</si>
  <si>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</si>
  <si>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</si>
  <si>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</si>
  <si>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</si>
  <si>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</si>
  <si>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</si>
  <si>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</si>
  <si>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</si>
  <si>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</si>
  <si>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</si>
  <si>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</si>
  <si>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</si>
  <si>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</si>
  <si>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</si>
  <si>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</si>
  <si>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</si>
  <si>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</si>
  <si>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</si>
  <si>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</si>
  <si>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</si>
  <si>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</si>
  <si>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</si>
  <si>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</si>
  <si>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</si>
  <si>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</si>
  <si>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</si>
  <si>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</si>
  <si>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</si>
  <si>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</si>
  <si>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</si>
  <si>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</si>
  <si>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</si>
  <si>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</si>
  <si>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</si>
  <si>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</si>
  <si>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</si>
  <si>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</si>
  <si>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</si>
  <si>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</si>
  <si>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</si>
  <si>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</si>
  <si>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</si>
  <si>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</si>
  <si>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</si>
  <si>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</si>
  <si>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</si>
  <si>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</si>
  <si>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</si>
  <si>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</si>
  <si>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</si>
  <si>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</si>
  <si>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</si>
  <si>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</si>
  <si>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</si>
  <si>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</si>
  <si>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</si>
  <si>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</si>
  <si>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</si>
  <si>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</si>
  <si>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</si>
  <si>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</si>
  <si>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</si>
  <si>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</si>
  <si>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</si>
  <si>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</si>
  <si>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</si>
  <si>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</si>
  <si>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</si>
  <si>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</si>
  <si>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</si>
  <si>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</si>
  <si>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</si>
  <si>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</si>
  <si>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</si>
  <si>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</si>
  <si>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</si>
  <si>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</si>
  <si>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</si>
  <si>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</si>
  <si>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</si>
  <si>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</si>
  <si>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</si>
  <si>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</si>
  <si>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</si>
  <si>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</si>
  <si>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</si>
  <si>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</si>
  <si>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</si>
  <si>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</si>
  <si>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</si>
  <si>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</si>
  <si>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</si>
  <si>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</si>
  <si>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</si>
  <si>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</si>
  <si>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</si>
  <si>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</si>
  <si>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</si>
  <si>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</si>
  <si>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</si>
  <si>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</si>
  <si>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</si>
  <si>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</si>
  <si>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</si>
  <si>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</si>
  <si>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</si>
  <si>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</si>
  <si>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</si>
  <si>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</si>
  <si>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</si>
  <si>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</si>
  <si>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</si>
  <si>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</si>
  <si>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</si>
  <si>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</si>
  <si>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</si>
  <si>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</si>
  <si>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</si>
  <si>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</si>
  <si>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</si>
  <si>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</si>
  <si>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</si>
  <si>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</si>
  <si>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</si>
  <si>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</si>
  <si>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</si>
  <si>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</si>
  <si>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</si>
  <si>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</si>
  <si>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</si>
  <si>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</si>
  <si>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</si>
  <si>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</si>
  <si>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</si>
  <si>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</si>
  <si>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</si>
  <si>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</si>
  <si>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</si>
  <si>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</si>
  <si>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</si>
  <si>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</si>
  <si>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</si>
  <si>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</si>
  <si>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</si>
  <si>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</si>
  <si>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</si>
  <si>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</si>
  <si>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</si>
  <si>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</si>
  <si>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</si>
  <si>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</si>
  <si>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</si>
  <si>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</si>
  <si>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</si>
  <si>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</si>
  <si>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</si>
  <si>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</si>
  <si>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</si>
  <si>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</si>
  <si>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</si>
  <si>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</si>
  <si>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</si>
  <si>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</si>
  <si>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</si>
  <si>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</si>
  <si>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</si>
  <si>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</si>
  <si>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</si>
  <si>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</si>
  <si>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</si>
  <si>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</si>
  <si>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</si>
  <si>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</si>
  <si>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</si>
  <si>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</si>
  <si>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</si>
  <si>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</si>
  <si>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</si>
  <si>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</si>
  <si>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</si>
  <si>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</si>
  <si>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</si>
  <si>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</si>
  <si>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</si>
  <si>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</si>
  <si>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</si>
  <si>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</si>
  <si>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</si>
  <si>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</si>
  <si>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</si>
  <si>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</si>
  <si>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</si>
  <si>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</si>
  <si>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</si>
  <si>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</si>
  <si>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</si>
  <si>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</si>
  <si>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</si>
  <si>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</si>
  <si>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</si>
  <si>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</si>
  <si>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</si>
  <si>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</si>
  <si>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</si>
  <si>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</si>
  <si>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</si>
  <si>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</si>
  <si>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</si>
  <si>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</si>
  <si>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</si>
  <si>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</si>
  <si>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</si>
  <si>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</si>
  <si>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</si>
  <si>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</si>
  <si>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</si>
  <si>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</si>
  <si>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</si>
  <si>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</si>
  <si>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</si>
  <si>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</si>
  <si>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</si>
  <si>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</si>
  <si>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</si>
  <si>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</si>
  <si>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</si>
  <si>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</si>
  <si>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</si>
  <si>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</si>
  <si>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</si>
  <si>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</si>
  <si>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</si>
  <si>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</si>
  <si>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</si>
  <si>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</si>
  <si>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</si>
  <si>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</si>
  <si>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</si>
  <si>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</si>
  <si>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</si>
  <si>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</si>
  <si>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</si>
  <si>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</si>
  <si>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</si>
  <si>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</si>
  <si>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</si>
  <si>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</si>
  <si>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</si>
  <si>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</si>
  <si>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</si>
  <si>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</si>
  <si>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</si>
  <si>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</si>
  <si>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</si>
  <si>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</si>
  <si>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</si>
  <si>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</si>
  <si>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</si>
  <si>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</si>
  <si>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</si>
  <si>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</si>
  <si>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</si>
  <si>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</si>
  <si>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</si>
  <si>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</si>
  <si>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</si>
  <si>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</si>
  <si>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</si>
  <si>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</si>
  <si>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</si>
  <si>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</si>
  <si>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</si>
  <si>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</si>
  <si>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</si>
  <si>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</si>
  <si>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</si>
  <si>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</si>
  <si>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</si>
  <si>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</si>
  <si>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</si>
  <si>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</si>
  <si>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</si>
  <si>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</si>
  <si>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</si>
  <si>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</si>
  <si>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</si>
  <si>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</si>
  <si>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</si>
  <si>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</si>
  <si>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</si>
  <si>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</si>
  <si>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</si>
  <si>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COMP12_RTNG_CLAIMS_MOE</t>
  </si>
  <si>
    <t>COMP12_AUTH_CLM_WGHTED_ACC</t>
  </si>
  <si>
    <t>COMP12_AUTH_CLM_MOE</t>
  </si>
  <si>
    <t>% Correct</t>
  </si>
  <si>
    <t>MMWR_ACCURACY_RO</t>
  </si>
  <si>
    <t>Nation</t>
  </si>
  <si>
    <t>3 Month Entitlement Accuracy - 
Issue Based
% Correct</t>
  </si>
  <si>
    <t>3 month Entitlement Accuracy - 
Claim Level
%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</si>
  <si>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</si>
  <si>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</si>
  <si>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</si>
  <si>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</si>
  <si>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</si>
  <si>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</si>
  <si>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</si>
  <si>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</si>
  <si>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</si>
  <si>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</si>
  <si>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</si>
  <si>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</si>
  <si>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</si>
  <si>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</si>
  <si>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</si>
  <si>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</si>
  <si>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</si>
  <si>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</si>
  <si>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</si>
  <si>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</si>
  <si>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</si>
  <si>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</si>
  <si>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</si>
  <si>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</si>
  <si>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</si>
  <si>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</si>
  <si>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</si>
  <si>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</si>
  <si>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</si>
  <si>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</si>
  <si>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</si>
  <si>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USA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</si>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</sst>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5"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23">
    <xf numFmtId="0" fontId="0" fillId="0" borderId="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40" fillId="29" borderId="0" applyNumberFormat="0" applyBorder="0" applyAlignment="0" applyProtection="0"/>
    <xf numFmtId="0" fontId="41" fillId="30" borderId="54" applyNumberFormat="0" applyAlignment="0" applyProtection="0"/>
    <xf numFmtId="0" fontId="42" fillId="31" borderId="55" applyNumberFormat="0" applyAlignment="0" applyProtection="0"/>
    <xf numFmtId="43" fontId="3"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0" fontId="7" fillId="0" borderId="0"/>
    <xf numFmtId="43" fontId="2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23" fillId="0" borderId="0" applyFont="0" applyFill="0" applyBorder="0" applyAlignment="0" applyProtection="0"/>
    <xf numFmtId="43" fontId="26" fillId="0" borderId="0" applyFont="0" applyFill="0" applyBorder="0" applyAlignment="0" applyProtection="0"/>
    <xf numFmtId="43" fontId="38" fillId="0" borderId="0" applyFont="0" applyFill="0" applyBorder="0" applyAlignment="0" applyProtection="0"/>
    <xf numFmtId="44" fontId="19" fillId="0" borderId="0" applyFont="0" applyFill="0" applyBorder="0" applyAlignment="0" applyProtection="0"/>
    <xf numFmtId="44" fontId="7" fillId="0" borderId="0" applyFont="0" applyFill="0" applyBorder="0" applyAlignment="0" applyProtection="0"/>
    <xf numFmtId="44" fontId="20" fillId="0" borderId="0" applyFont="0" applyFill="0" applyBorder="0" applyAlignment="0" applyProtection="0"/>
    <xf numFmtId="44" fontId="7" fillId="0" borderId="0" applyFont="0" applyFill="0" applyBorder="0" applyAlignment="0" applyProtection="0"/>
    <xf numFmtId="0" fontId="43" fillId="0" borderId="0" applyNumberFormat="0" applyFill="0" applyBorder="0" applyAlignment="0" applyProtection="0"/>
    <xf numFmtId="0" fontId="44" fillId="32" borderId="0" applyNumberFormat="0" applyBorder="0" applyAlignment="0" applyProtection="0"/>
    <xf numFmtId="0" fontId="45" fillId="0" borderId="56" applyNumberFormat="0" applyFill="0" applyAlignment="0" applyProtection="0"/>
    <xf numFmtId="0" fontId="46" fillId="0" borderId="57" applyNumberFormat="0" applyFill="0" applyAlignment="0" applyProtection="0"/>
    <xf numFmtId="0" fontId="47" fillId="0" borderId="58" applyNumberFormat="0" applyFill="0" applyAlignment="0" applyProtection="0"/>
    <xf numFmtId="0" fontId="47" fillId="0" borderId="0" applyNumberFormat="0" applyFill="0" applyBorder="0" applyAlignment="0" applyProtection="0"/>
    <xf numFmtId="0" fontId="15" fillId="0" borderId="0" applyNumberFormat="0" applyFill="0" applyBorder="0" applyAlignment="0" applyProtection="0">
      <alignment vertical="top"/>
      <protection locked="0"/>
    </xf>
    <xf numFmtId="0" fontId="48" fillId="33" borderId="54" applyNumberFormat="0" applyAlignment="0" applyProtection="0"/>
    <xf numFmtId="0" fontId="49" fillId="0" borderId="59" applyNumberFormat="0" applyFill="0" applyAlignment="0" applyProtection="0"/>
    <xf numFmtId="0" fontId="50" fillId="34" borderId="0" applyNumberFormat="0" applyBorder="0" applyAlignment="0" applyProtection="0"/>
    <xf numFmtId="0" fontId="7" fillId="0" borderId="0"/>
    <xf numFmtId="0" fontId="38" fillId="0" borderId="0"/>
    <xf numFmtId="0" fontId="38" fillId="0" borderId="0"/>
    <xf numFmtId="0" fontId="38" fillId="35" borderId="60" applyNumberFormat="0" applyFont="0" applyAlignment="0" applyProtection="0"/>
    <xf numFmtId="0" fontId="51" fillId="30" borderId="61" applyNumberFormat="0" applyAlignment="0" applyProtection="0"/>
    <xf numFmtId="9" fontId="3"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3" fillId="0" borderId="0" applyFont="0" applyFill="0" applyBorder="0" applyAlignment="0" applyProtection="0"/>
    <xf numFmtId="9" fontId="26" fillId="0" borderId="0" applyFont="0" applyFill="0" applyBorder="0" applyAlignment="0" applyProtection="0"/>
    <xf numFmtId="0" fontId="52" fillId="0" borderId="0" applyNumberFormat="0" applyFill="0" applyBorder="0" applyAlignment="0" applyProtection="0"/>
    <xf numFmtId="0" fontId="53" fillId="0" borderId="62" applyNumberFormat="0" applyFill="0" applyAlignment="0" applyProtection="0"/>
    <xf numFmtId="0" fontId="54" fillId="0" borderId="0" applyNumberFormat="0" applyFill="0" applyBorder="0" applyAlignment="0" applyProtection="0"/>
    <xf numFmtId="0" fontId="3" fillId="0" borderId="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0" fontId="2" fillId="0" borderId="0"/>
    <xf numFmtId="0" fontId="2" fillId="35" borderId="6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5" borderId="60" applyNumberFormat="0" applyFont="0" applyAlignment="0" applyProtection="0"/>
  </cellStyleXfs>
  <cellXfs count="461">
    <xf numFmtId="0" fontId="0" fillId="0" borderId="0" xfId="0"/>
    <xf numFmtId="0" fontId="7"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4" fillId="38" borderId="18" xfId="0" applyNumberFormat="1" applyFont="1" applyFill="1" applyBorder="1" applyAlignment="1" applyProtection="1">
      <alignment vertical="center" wrapText="1"/>
      <protection hidden="1"/>
    </xf>
    <xf numFmtId="0" fontId="7" fillId="0" borderId="0" xfId="0" applyFont="1" applyBorder="1" applyProtection="1"/>
    <xf numFmtId="4" fontId="7" fillId="0" borderId="0" xfId="0" applyNumberFormat="1" applyFont="1" applyFill="1" applyBorder="1" applyProtection="1"/>
    <xf numFmtId="4" fontId="8" fillId="38" borderId="3" xfId="0" applyNumberFormat="1" applyFont="1" applyFill="1" applyBorder="1" applyAlignment="1" applyProtection="1">
      <protection hidden="1"/>
    </xf>
    <xf numFmtId="4" fontId="7" fillId="38" borderId="3" xfId="0" applyNumberFormat="1" applyFont="1" applyFill="1" applyBorder="1" applyAlignment="1" applyProtection="1">
      <protection hidden="1"/>
    </xf>
    <xf numFmtId="4" fontId="7" fillId="38" borderId="5" xfId="0" applyNumberFormat="1" applyFont="1" applyFill="1" applyBorder="1" applyAlignment="1" applyProtection="1">
      <protection hidden="1"/>
    </xf>
    <xf numFmtId="0" fontId="56" fillId="0" borderId="94" xfId="0" applyFont="1" applyBorder="1"/>
    <xf numFmtId="0" fontId="56" fillId="0" borderId="95" xfId="0" applyFont="1" applyBorder="1"/>
    <xf numFmtId="0" fontId="56" fillId="0" borderId="96" xfId="0" applyFont="1" applyBorder="1"/>
    <xf numFmtId="0" fontId="56" fillId="0" borderId="97" xfId="0" applyFont="1" applyBorder="1"/>
    <xf numFmtId="14" fontId="0" fillId="0" borderId="0" xfId="0" applyNumberFormat="1"/>
    <xf numFmtId="9" fontId="0" fillId="0" borderId="0" xfId="58" applyFont="1"/>
    <xf numFmtId="4" fontId="55" fillId="0" borderId="0" xfId="0" applyNumberFormat="1" applyFont="1" applyFill="1" applyBorder="1" applyProtection="1"/>
    <xf numFmtId="0" fontId="7" fillId="39" borderId="0" xfId="0" applyFont="1" applyFill="1" applyBorder="1"/>
    <xf numFmtId="0" fontId="28" fillId="0" borderId="17" xfId="0" applyFont="1" applyBorder="1" applyAlignment="1">
      <alignment vertical="center" wrapText="1"/>
    </xf>
    <xf numFmtId="0" fontId="28" fillId="0" borderId="38" xfId="0" applyFont="1" applyBorder="1" applyAlignment="1">
      <alignment vertical="center" wrapText="1"/>
    </xf>
    <xf numFmtId="0" fontId="0" fillId="0" borderId="0" xfId="0" applyProtection="1"/>
    <xf numFmtId="0" fontId="7" fillId="39" borderId="0" xfId="0" applyFont="1" applyFill="1" applyBorder="1" applyProtection="1">
      <protection hidden="1"/>
    </xf>
    <xf numFmtId="4" fontId="7" fillId="39" borderId="0" xfId="0" applyNumberFormat="1" applyFont="1" applyFill="1" applyBorder="1" applyProtection="1">
      <protection hidden="1"/>
    </xf>
    <xf numFmtId="4" fontId="55" fillId="39" borderId="0" xfId="0" applyNumberFormat="1" applyFont="1" applyFill="1" applyBorder="1" applyProtection="1">
      <protection hidden="1"/>
    </xf>
    <xf numFmtId="0" fontId="0" fillId="39" borderId="0" xfId="0" applyFill="1" applyProtection="1">
      <protection hidden="1"/>
    </xf>
    <xf numFmtId="4" fontId="24" fillId="39" borderId="9" xfId="0" applyNumberFormat="1" applyFont="1" applyFill="1" applyBorder="1" applyAlignment="1" applyProtection="1">
      <alignment vertical="center" wrapText="1"/>
      <protection hidden="1"/>
    </xf>
    <xf numFmtId="0" fontId="3" fillId="39" borderId="0" xfId="0" applyFont="1" applyFill="1" applyBorder="1" applyProtection="1">
      <protection hidden="1"/>
    </xf>
    <xf numFmtId="4" fontId="3" fillId="39" borderId="0" xfId="0" applyNumberFormat="1" applyFont="1" applyFill="1" applyBorder="1" applyProtection="1">
      <protection hidden="1"/>
    </xf>
    <xf numFmtId="0" fontId="16" fillId="0" borderId="12"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hidden="1"/>
    </xf>
    <xf numFmtId="4" fontId="3" fillId="39" borderId="9" xfId="0" applyNumberFormat="1" applyFont="1" applyFill="1" applyBorder="1" applyProtection="1">
      <protection hidden="1"/>
    </xf>
    <xf numFmtId="0" fontId="16" fillId="0" borderId="13"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55" fillId="39" borderId="0" xfId="0" applyFont="1" applyFill="1" applyProtection="1">
      <protection hidden="1"/>
    </xf>
    <xf numFmtId="4" fontId="3" fillId="36" borderId="2" xfId="96" applyNumberFormat="1" applyFont="1" applyFill="1" applyBorder="1" applyAlignment="1" applyProtection="1">
      <alignment horizontal="center" vertical="center" wrapText="1"/>
      <protection hidden="1"/>
    </xf>
    <xf numFmtId="4" fontId="8" fillId="38" borderId="21" xfId="0" applyNumberFormat="1" applyFont="1" applyFill="1" applyBorder="1" applyProtection="1">
      <protection hidden="1"/>
    </xf>
    <xf numFmtId="4" fontId="7" fillId="4" borderId="2" xfId="53" applyNumberFormat="1" applyFont="1" applyFill="1" applyBorder="1" applyAlignment="1" applyProtection="1">
      <alignment horizontal="center" vertical="center" wrapText="1"/>
      <protection hidden="1"/>
    </xf>
    <xf numFmtId="167" fontId="7" fillId="4" borderId="2" xfId="58" applyNumberFormat="1" applyFont="1" applyFill="1" applyBorder="1" applyAlignment="1" applyProtection="1">
      <alignment horizontal="center" vertical="center" wrapText="1"/>
      <protection hidden="1"/>
    </xf>
    <xf numFmtId="0" fontId="7" fillId="39" borderId="4" xfId="0" applyFont="1" applyFill="1" applyBorder="1" applyProtection="1">
      <protection hidden="1"/>
    </xf>
    <xf numFmtId="4" fontId="8" fillId="38" borderId="3" xfId="0" applyNumberFormat="1" applyFont="1" applyFill="1" applyBorder="1" applyAlignment="1" applyProtection="1">
      <alignment wrapText="1"/>
      <protection hidden="1"/>
    </xf>
    <xf numFmtId="4" fontId="7" fillId="38" borderId="3" xfId="0" applyNumberFormat="1" applyFont="1" applyFill="1" applyBorder="1" applyProtection="1">
      <protection hidden="1"/>
    </xf>
    <xf numFmtId="4" fontId="7" fillId="38" borderId="5" xfId="0" applyNumberFormat="1" applyFont="1" applyFill="1" applyBorder="1" applyProtection="1">
      <protection hidden="1"/>
    </xf>
    <xf numFmtId="4" fontId="7" fillId="38" borderId="5" xfId="0" applyNumberFormat="1" applyFont="1" applyFill="1" applyBorder="1" applyAlignment="1" applyProtection="1">
      <alignment wrapText="1"/>
      <protection hidden="1"/>
    </xf>
    <xf numFmtId="4" fontId="7" fillId="39" borderId="9" xfId="0" applyNumberFormat="1" applyFont="1" applyFill="1" applyBorder="1" applyProtection="1">
      <protection hidden="1"/>
    </xf>
    <xf numFmtId="0" fontId="7" fillId="0" borderId="10" xfId="0"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4" fontId="7" fillId="36" borderId="2" xfId="53" applyNumberFormat="1" applyFont="1" applyFill="1" applyBorder="1" applyAlignment="1" applyProtection="1">
      <alignment horizontal="center" vertical="center" wrapText="1"/>
      <protection hidden="1"/>
    </xf>
    <xf numFmtId="4" fontId="3" fillId="38" borderId="3" xfId="0" applyNumberFormat="1" applyFont="1" applyFill="1" applyBorder="1" applyProtection="1">
      <protection hidden="1"/>
    </xf>
    <xf numFmtId="4" fontId="7" fillId="39" borderId="0" xfId="0" applyNumberFormat="1" applyFont="1" applyFill="1" applyBorder="1" applyAlignment="1" applyProtection="1">
      <alignment vertical="center" wrapText="1"/>
      <protection hidden="1"/>
    </xf>
    <xf numFmtId="0" fontId="14" fillId="39" borderId="9" xfId="0" applyFont="1" applyFill="1" applyBorder="1" applyAlignment="1" applyProtection="1">
      <alignment vertical="center" wrapText="1"/>
      <protection hidden="1"/>
    </xf>
    <xf numFmtId="0" fontId="12" fillId="39" borderId="0" xfId="0" applyFont="1" applyFill="1" applyBorder="1" applyAlignment="1" applyProtection="1">
      <alignment horizontal="center" wrapText="1"/>
      <protection hidden="1"/>
    </xf>
    <xf numFmtId="0" fontId="8" fillId="0" borderId="3" xfId="0" applyFont="1" applyFill="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7" fillId="39" borderId="0" xfId="0"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vertical="center" wrapText="1"/>
      <protection hidden="1"/>
    </xf>
    <xf numFmtId="0" fontId="8" fillId="0" borderId="98" xfId="0" applyFont="1" applyFill="1" applyBorder="1" applyAlignment="1" applyProtection="1">
      <alignment horizontal="center" vertical="center" wrapText="1"/>
      <protection hidden="1"/>
    </xf>
    <xf numFmtId="3" fontId="14" fillId="39" borderId="0" xfId="0" applyNumberFormat="1" applyFont="1" applyFill="1" applyBorder="1" applyAlignment="1" applyProtection="1">
      <alignment horizontal="center" vertical="center" wrapText="1"/>
      <protection hidden="1"/>
    </xf>
    <xf numFmtId="3" fontId="21" fillId="41" borderId="38" xfId="0" applyNumberFormat="1" applyFont="1" applyFill="1" applyBorder="1" applyAlignment="1" applyProtection="1">
      <alignment horizontal="center" vertical="center" wrapText="1"/>
      <protection hidden="1"/>
    </xf>
    <xf numFmtId="0" fontId="57" fillId="39" borderId="0" xfId="0" applyFont="1" applyFill="1" applyBorder="1" applyAlignment="1" applyProtection="1">
      <alignment horizontal="left" vertical="center"/>
      <protection hidden="1"/>
    </xf>
    <xf numFmtId="3" fontId="17"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3" fillId="39" borderId="9" xfId="0" applyFont="1" applyFill="1" applyBorder="1" applyAlignment="1" applyProtection="1">
      <protection hidden="1"/>
    </xf>
    <xf numFmtId="3" fontId="17" fillId="39" borderId="0" xfId="28" applyNumberFormat="1" applyFont="1" applyFill="1" applyBorder="1" applyAlignment="1" applyProtection="1">
      <alignment horizontal="center" vertical="center" wrapText="1"/>
      <protection hidden="1"/>
    </xf>
    <xf numFmtId="0" fontId="17" fillId="39" borderId="0" xfId="0" quotePrefix="1" applyFont="1" applyFill="1" applyBorder="1" applyAlignment="1" applyProtection="1">
      <alignment horizontal="center" vertical="center" wrapText="1"/>
      <protection hidden="1"/>
    </xf>
    <xf numFmtId="0" fontId="7" fillId="39" borderId="9" xfId="0" applyFont="1" applyFill="1" applyBorder="1" applyAlignment="1" applyProtection="1">
      <protection hidden="1"/>
    </xf>
    <xf numFmtId="0" fontId="7" fillId="39" borderId="0" xfId="0" applyFont="1" applyFill="1" applyBorder="1" applyAlignment="1" applyProtection="1">
      <alignment horizontal="center"/>
      <protection hidden="1"/>
    </xf>
    <xf numFmtId="3" fontId="12" fillId="39" borderId="0" xfId="0" applyNumberFormat="1" applyFont="1" applyFill="1" applyBorder="1" applyAlignment="1" applyProtection="1">
      <alignment horizontal="center" wrapText="1"/>
      <protection hidden="1"/>
    </xf>
    <xf numFmtId="0" fontId="12" fillId="39" borderId="16" xfId="0" applyFont="1" applyFill="1" applyBorder="1" applyAlignment="1" applyProtection="1">
      <alignment horizontal="center" wrapText="1"/>
      <protection hidden="1"/>
    </xf>
    <xf numFmtId="0" fontId="7" fillId="39" borderId="30" xfId="0" applyFont="1" applyFill="1" applyBorder="1" applyAlignment="1" applyProtection="1">
      <protection hidden="1"/>
    </xf>
    <xf numFmtId="3" fontId="55" fillId="39" borderId="0" xfId="0" applyNumberFormat="1" applyFont="1" applyFill="1" applyBorder="1" applyProtection="1">
      <protection hidden="1"/>
    </xf>
    <xf numFmtId="3" fontId="55" fillId="39" borderId="0" xfId="0" applyNumberFormat="1" applyFont="1" applyFill="1" applyBorder="1" applyAlignment="1" applyProtection="1">
      <alignment horizontal="center"/>
      <protection hidden="1"/>
    </xf>
    <xf numFmtId="0" fontId="8" fillId="40" borderId="1" xfId="0" applyFont="1" applyFill="1" applyBorder="1" applyAlignment="1" applyProtection="1">
      <alignment horizontal="center"/>
      <protection hidden="1"/>
    </xf>
    <xf numFmtId="0" fontId="8" fillId="40" borderId="2" xfId="0" applyFont="1" applyFill="1" applyBorder="1" applyAlignment="1" applyProtection="1">
      <alignment horizontal="center"/>
      <protection hidden="1"/>
    </xf>
    <xf numFmtId="0" fontId="55" fillId="39" borderId="0" xfId="0" applyFont="1" applyFill="1" applyBorder="1" applyAlignment="1" applyProtection="1">
      <alignment vertical="center" wrapText="1"/>
      <protection hidden="1"/>
    </xf>
    <xf numFmtId="0" fontId="7" fillId="0" borderId="69" xfId="0" applyFont="1" applyFill="1" applyBorder="1" applyAlignment="1" applyProtection="1">
      <alignment horizontal="center" vertical="center" wrapText="1"/>
      <protection hidden="1"/>
    </xf>
    <xf numFmtId="4" fontId="7" fillId="0" borderId="70" xfId="0" applyNumberFormat="1" applyFont="1" applyFill="1" applyBorder="1" applyAlignment="1" applyProtection="1">
      <alignment horizontal="center" vertical="center" wrapText="1"/>
      <protection hidden="1"/>
    </xf>
    <xf numFmtId="0" fontId="7" fillId="0" borderId="77" xfId="0" applyFont="1" applyFill="1" applyBorder="1" applyAlignment="1" applyProtection="1">
      <alignment horizontal="center" vertical="center" wrapText="1"/>
      <protection hidden="1"/>
    </xf>
    <xf numFmtId="0" fontId="7" fillId="0" borderId="78" xfId="0" applyFont="1" applyBorder="1" applyAlignment="1" applyProtection="1">
      <alignment horizontal="center" vertical="center" wrapText="1"/>
      <protection hidden="1"/>
    </xf>
    <xf numFmtId="0" fontId="7" fillId="0" borderId="79"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51" xfId="0" applyFont="1" applyFill="1" applyBorder="1" applyAlignment="1" applyProtection="1">
      <alignment horizontal="center" vertical="center" wrapText="1"/>
      <protection hidden="1"/>
    </xf>
    <xf numFmtId="0" fontId="7" fillId="39" borderId="0" xfId="0" applyFont="1" applyFill="1" applyBorder="1" applyAlignment="1" applyProtection="1">
      <alignment vertical="center" wrapText="1"/>
      <protection hidden="1"/>
    </xf>
    <xf numFmtId="0" fontId="55" fillId="39" borderId="0" xfId="0" applyFont="1" applyFill="1" applyBorder="1" applyProtection="1">
      <protection hidden="1"/>
    </xf>
    <xf numFmtId="4" fontId="5" fillId="0" borderId="21" xfId="0" applyNumberFormat="1" applyFont="1" applyFill="1" applyBorder="1" applyAlignment="1" applyProtection="1">
      <alignment vertical="center" wrapText="1"/>
      <protection hidden="1"/>
    </xf>
    <xf numFmtId="166" fontId="5" fillId="0" borderId="71" xfId="28" applyNumberFormat="1" applyFont="1" applyFill="1" applyBorder="1" applyAlignment="1" applyProtection="1">
      <alignment vertical="center" wrapText="1"/>
      <protection hidden="1"/>
    </xf>
    <xf numFmtId="164" fontId="5" fillId="0" borderId="72" xfId="58" applyNumberFormat="1" applyFont="1" applyFill="1" applyBorder="1" applyAlignment="1" applyProtection="1">
      <alignment horizontal="right" vertical="center" wrapText="1"/>
      <protection hidden="1"/>
    </xf>
    <xf numFmtId="166" fontId="5" fillId="0" borderId="80" xfId="28" applyNumberFormat="1" applyFont="1" applyFill="1" applyBorder="1" applyAlignment="1" applyProtection="1">
      <alignment horizontal="right" vertical="center" wrapText="1"/>
      <protection hidden="1"/>
    </xf>
    <xf numFmtId="166" fontId="5" fillId="0" borderId="81" xfId="28" applyNumberFormat="1" applyFont="1" applyFill="1" applyBorder="1" applyAlignment="1" applyProtection="1">
      <alignment horizontal="right" vertical="center" wrapText="1"/>
      <protection hidden="1"/>
    </xf>
    <xf numFmtId="9" fontId="8" fillId="0" borderId="82" xfId="58" applyNumberFormat="1" applyFont="1" applyFill="1" applyBorder="1" applyAlignment="1" applyProtection="1">
      <alignment horizontal="right"/>
      <protection hidden="1"/>
    </xf>
    <xf numFmtId="9" fontId="8" fillId="0" borderId="82" xfId="58" applyFont="1" applyFill="1" applyBorder="1" applyAlignment="1" applyProtection="1">
      <alignment horizontal="right"/>
      <protection hidden="1"/>
    </xf>
    <xf numFmtId="166" fontId="5" fillId="0" borderId="2" xfId="28" applyNumberFormat="1" applyFont="1" applyFill="1" applyBorder="1" applyAlignment="1" applyProtection="1">
      <alignment horizontal="right" vertical="center" wrapText="1"/>
      <protection hidden="1"/>
    </xf>
    <xf numFmtId="0" fontId="59" fillId="0" borderId="90" xfId="0" applyFont="1" applyBorder="1" applyAlignment="1" applyProtection="1">
      <alignment horizontal="left"/>
      <protection hidden="1"/>
    </xf>
    <xf numFmtId="166" fontId="56" fillId="0" borderId="91" xfId="28" applyNumberFormat="1" applyFont="1" applyBorder="1" applyAlignment="1" applyProtection="1">
      <alignment horizontal="left"/>
      <protection hidden="1"/>
    </xf>
    <xf numFmtId="164" fontId="4" fillId="0" borderId="92" xfId="65" applyNumberFormat="1" applyFont="1" applyFill="1" applyBorder="1" applyAlignment="1" applyProtection="1">
      <alignment horizontal="right" vertical="center" wrapText="1"/>
      <protection hidden="1"/>
    </xf>
    <xf numFmtId="9" fontId="3" fillId="0" borderId="93" xfId="58" applyNumberFormat="1" applyFont="1" applyFill="1" applyBorder="1" applyAlignment="1" applyProtection="1">
      <alignment horizontal="right"/>
      <protection hidden="1"/>
    </xf>
    <xf numFmtId="9" fontId="3" fillId="0" borderId="93" xfId="58" applyFont="1" applyFill="1" applyBorder="1" applyAlignment="1" applyProtection="1">
      <alignment horizontal="right"/>
      <protection hidden="1"/>
    </xf>
    <xf numFmtId="166" fontId="56" fillId="0" borderId="89" xfId="28" applyNumberFormat="1" applyFont="1" applyBorder="1" applyAlignment="1" applyProtection="1">
      <alignment horizontal="left"/>
      <protection hidden="1"/>
    </xf>
    <xf numFmtId="49" fontId="55"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4" fillId="0" borderId="73" xfId="28" applyNumberFormat="1" applyFont="1" applyFill="1" applyBorder="1" applyAlignment="1" applyProtection="1">
      <alignment horizontal="right" vertical="center" wrapText="1"/>
      <protection hidden="1"/>
    </xf>
    <xf numFmtId="164" fontId="4" fillId="0" borderId="74" xfId="65" applyNumberFormat="1" applyFont="1" applyFill="1" applyBorder="1" applyAlignment="1" applyProtection="1">
      <alignment horizontal="right" vertical="center" wrapText="1"/>
      <protection hidden="1"/>
    </xf>
    <xf numFmtId="166" fontId="4" fillId="0" borderId="83" xfId="28" applyNumberFormat="1" applyFont="1" applyFill="1" applyBorder="1" applyAlignment="1" applyProtection="1">
      <alignment horizontal="right" vertical="center" wrapText="1"/>
      <protection hidden="1"/>
    </xf>
    <xf numFmtId="166" fontId="4" fillId="0" borderId="84" xfId="28" applyNumberFormat="1" applyFont="1" applyFill="1" applyBorder="1" applyAlignment="1" applyProtection="1">
      <alignment horizontal="right" vertical="center" wrapText="1"/>
      <protection hidden="1"/>
    </xf>
    <xf numFmtId="9" fontId="3" fillId="0" borderId="85" xfId="58" applyNumberFormat="1" applyFont="1" applyFill="1" applyBorder="1" applyAlignment="1" applyProtection="1">
      <alignment horizontal="right"/>
      <protection hidden="1"/>
    </xf>
    <xf numFmtId="9" fontId="3" fillId="0" borderId="85" xfId="58" applyFont="1" applyFill="1" applyBorder="1" applyAlignment="1" applyProtection="1">
      <alignment horizontal="right"/>
      <protection hidden="1"/>
    </xf>
    <xf numFmtId="166" fontId="4"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7" fillId="39" borderId="7" xfId="0" applyNumberFormat="1" applyFont="1" applyFill="1" applyBorder="1" applyProtection="1">
      <protection hidden="1"/>
    </xf>
    <xf numFmtId="4" fontId="7" fillId="39" borderId="5" xfId="0" applyNumberFormat="1" applyFont="1" applyFill="1" applyBorder="1" applyAlignment="1" applyProtection="1">
      <alignment vertical="center" wrapText="1"/>
      <protection hidden="1"/>
    </xf>
    <xf numFmtId="166" fontId="59"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166" fontId="59" fillId="0" borderId="89" xfId="28" applyNumberFormat="1" applyFont="1" applyBorder="1" applyAlignment="1" applyProtection="1">
      <alignment horizontal="left"/>
      <protection hidden="1"/>
    </xf>
    <xf numFmtId="4" fontId="7" fillId="0" borderId="18" xfId="0" applyNumberFormat="1" applyFont="1" applyFill="1" applyBorder="1" applyProtection="1">
      <protection hidden="1"/>
    </xf>
    <xf numFmtId="0" fontId="0" fillId="0" borderId="0" xfId="0" applyProtection="1">
      <protection hidden="1"/>
    </xf>
    <xf numFmtId="4" fontId="7" fillId="0" borderId="0"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0" fontId="59"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59" fillId="0" borderId="5" xfId="0" applyFont="1" applyBorder="1" applyAlignment="1" applyProtection="1">
      <alignment horizontal="left"/>
      <protection hidden="1"/>
    </xf>
    <xf numFmtId="0" fontId="59" fillId="0" borderId="89" xfId="0" applyFont="1" applyBorder="1" applyAlignment="1" applyProtection="1">
      <alignment horizontal="left"/>
      <protection hidden="1"/>
    </xf>
    <xf numFmtId="0" fontId="13" fillId="2" borderId="0" xfId="0" applyFont="1" applyFill="1" applyBorder="1" applyAlignment="1" applyProtection="1">
      <alignment vertical="center" wrapText="1"/>
      <protection hidden="1"/>
    </xf>
    <xf numFmtId="0" fontId="13"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7" fillId="37" borderId="32"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10" fontId="13" fillId="0" borderId="0" xfId="58" applyNumberFormat="1" applyFont="1" applyFill="1" applyBorder="1" applyAlignment="1" applyProtection="1">
      <alignment vertical="center" wrapText="1"/>
      <protection hidden="1"/>
    </xf>
    <xf numFmtId="0" fontId="21" fillId="41" borderId="17" xfId="0" applyFont="1" applyFill="1" applyBorder="1" applyAlignment="1" applyProtection="1">
      <alignment horizontal="left" vertical="center" wrapText="1"/>
      <protection hidden="1"/>
    </xf>
    <xf numFmtId="49" fontId="16" fillId="38" borderId="4" xfId="0" applyNumberFormat="1" applyFont="1" applyFill="1" applyBorder="1" applyAlignment="1" applyProtection="1">
      <alignment horizontal="center" vertical="center" wrapText="1"/>
      <protection hidden="1"/>
    </xf>
    <xf numFmtId="0" fontId="16" fillId="38" borderId="4" xfId="0" applyFont="1" applyFill="1" applyBorder="1" applyAlignment="1" applyProtection="1">
      <alignment horizontal="center" vertical="center" wrapText="1"/>
      <protection hidden="1"/>
    </xf>
    <xf numFmtId="0" fontId="16" fillId="38" borderId="4" xfId="0" quotePrefix="1" applyFont="1" applyFill="1" applyBorder="1" applyAlignment="1" applyProtection="1">
      <alignment horizontal="center" vertical="center" wrapText="1"/>
      <protection hidden="1"/>
    </xf>
    <xf numFmtId="0" fontId="16" fillId="38" borderId="0" xfId="0" quotePrefix="1" applyFont="1" applyFill="1" applyBorder="1" applyAlignment="1" applyProtection="1">
      <alignment horizontal="center" vertical="center" wrapText="1"/>
      <protection hidden="1"/>
    </xf>
    <xf numFmtId="49" fontId="16" fillId="38" borderId="0" xfId="0" applyNumberFormat="1" applyFont="1" applyFill="1" applyBorder="1" applyAlignment="1" applyProtection="1">
      <alignment horizontal="center" vertical="center" wrapText="1"/>
      <protection hidden="1"/>
    </xf>
    <xf numFmtId="0" fontId="25" fillId="39" borderId="0" xfId="0" applyFont="1" applyFill="1" applyProtection="1">
      <protection hidden="1"/>
    </xf>
    <xf numFmtId="0" fontId="15" fillId="39" borderId="16" xfId="49" applyFill="1" applyBorder="1" applyAlignment="1" applyProtection="1">
      <alignment horizontal="center" vertical="center" wrapText="1"/>
      <protection hidden="1"/>
    </xf>
    <xf numFmtId="0" fontId="15" fillId="39" borderId="0" xfId="49" applyFill="1" applyBorder="1" applyAlignment="1" applyProtection="1">
      <alignment horizontal="center" vertical="center" wrapText="1"/>
      <protection hidden="1"/>
    </xf>
    <xf numFmtId="0" fontId="10" fillId="39" borderId="0" xfId="0" applyFont="1" applyFill="1" applyBorder="1" applyAlignment="1" applyProtection="1">
      <alignment vertical="center" wrapText="1"/>
      <protection hidden="1"/>
    </xf>
    <xf numFmtId="0" fontId="14" fillId="2" borderId="6" xfId="0" applyFont="1" applyFill="1" applyBorder="1" applyAlignment="1" applyProtection="1">
      <alignment vertical="center" wrapText="1"/>
      <protection hidden="1"/>
    </xf>
    <xf numFmtId="0" fontId="7" fillId="0" borderId="20" xfId="0" applyFont="1" applyFill="1" applyBorder="1" applyAlignment="1" applyProtection="1">
      <alignment horizontal="center" vertical="center" wrapText="1"/>
      <protection hidden="1"/>
    </xf>
    <xf numFmtId="0" fontId="13" fillId="39" borderId="0"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7" fillId="38" borderId="2" xfId="53" applyNumberFormat="1" applyFont="1" applyFill="1" applyBorder="1" applyAlignment="1" applyProtection="1">
      <alignment horizontal="right" vertical="center" wrapText="1" indent="1"/>
      <protection hidden="1"/>
    </xf>
    <xf numFmtId="165" fontId="7" fillId="38" borderId="2" xfId="53" applyNumberFormat="1" applyFont="1" applyFill="1" applyBorder="1" applyAlignment="1" applyProtection="1">
      <alignment horizontal="right" vertical="center" wrapText="1" indent="1"/>
      <protection hidden="1"/>
    </xf>
    <xf numFmtId="167" fontId="7" fillId="38" borderId="2" xfId="53" applyNumberFormat="1" applyFont="1" applyFill="1" applyBorder="1" applyAlignment="1" applyProtection="1">
      <alignment horizontal="right" vertical="center" wrapText="1" indent="1"/>
      <protection hidden="1"/>
    </xf>
    <xf numFmtId="10" fontId="7" fillId="38" borderId="2" xfId="58" applyNumberFormat="1" applyFont="1" applyFill="1" applyBorder="1" applyAlignment="1" applyProtection="1">
      <alignment horizontal="right" vertical="center" wrapText="1" indent="1"/>
      <protection hidden="1"/>
    </xf>
    <xf numFmtId="4" fontId="7" fillId="4" borderId="2" xfId="53" applyNumberFormat="1" applyFont="1" applyFill="1" applyBorder="1" applyAlignment="1" applyProtection="1">
      <alignment horizontal="right" vertical="center" wrapText="1" indent="1"/>
      <protection hidden="1"/>
    </xf>
    <xf numFmtId="167" fontId="7" fillId="38" borderId="2" xfId="58" applyNumberFormat="1" applyFont="1" applyFill="1" applyBorder="1" applyAlignment="1" applyProtection="1">
      <alignment horizontal="right" vertical="center" wrapText="1" indent="1"/>
      <protection hidden="1"/>
    </xf>
    <xf numFmtId="3" fontId="21" fillId="41" borderId="39" xfId="28" applyNumberFormat="1" applyFont="1" applyFill="1" applyBorder="1" applyAlignment="1" applyProtection="1">
      <alignment horizontal="right" vertical="center" wrapText="1" indent="1"/>
      <protection hidden="1"/>
    </xf>
    <xf numFmtId="167" fontId="21" fillId="41" borderId="38" xfId="58" applyNumberFormat="1" applyFont="1" applyFill="1" applyBorder="1" applyAlignment="1" applyProtection="1">
      <alignment horizontal="right" vertical="center" wrapText="1" indent="1"/>
      <protection hidden="1"/>
    </xf>
    <xf numFmtId="3" fontId="17" fillId="38" borderId="4" xfId="30" applyNumberFormat="1" applyFont="1" applyFill="1" applyBorder="1" applyAlignment="1" applyProtection="1">
      <alignment horizontal="right" vertical="center" wrapText="1" indent="1"/>
      <protection hidden="1"/>
    </xf>
    <xf numFmtId="167" fontId="17" fillId="38" borderId="9" xfId="60" applyNumberFormat="1" applyFont="1" applyFill="1" applyBorder="1" applyAlignment="1" applyProtection="1">
      <alignment horizontal="right" vertical="center" wrapText="1" indent="1"/>
      <protection hidden="1"/>
    </xf>
    <xf numFmtId="3" fontId="17" fillId="38" borderId="34" xfId="30" applyNumberFormat="1" applyFont="1" applyFill="1" applyBorder="1" applyAlignment="1" applyProtection="1">
      <alignment horizontal="right" vertical="center" wrapText="1" indent="1"/>
      <protection hidden="1"/>
    </xf>
    <xf numFmtId="3" fontId="17" fillId="38" borderId="3" xfId="30" applyNumberFormat="1" applyFont="1" applyFill="1" applyBorder="1" applyAlignment="1" applyProtection="1">
      <alignment horizontal="right" vertical="center" wrapText="1" indent="1"/>
      <protection hidden="1"/>
    </xf>
    <xf numFmtId="3" fontId="17" fillId="38" borderId="31" xfId="30" applyNumberFormat="1" applyFont="1" applyFill="1" applyBorder="1" applyAlignment="1" applyProtection="1">
      <alignment horizontal="right" vertical="center" wrapText="1" indent="1"/>
      <protection hidden="1"/>
    </xf>
    <xf numFmtId="167" fontId="17" fillId="38" borderId="26" xfId="60" applyNumberFormat="1" applyFont="1" applyFill="1" applyBorder="1" applyAlignment="1" applyProtection="1">
      <alignment horizontal="right" vertical="center" wrapText="1" indent="1"/>
      <protection hidden="1"/>
    </xf>
    <xf numFmtId="3" fontId="21" fillId="41" borderId="17" xfId="0" applyNumberFormat="1" applyFont="1" applyFill="1" applyBorder="1" applyAlignment="1" applyProtection="1">
      <alignment horizontal="right" vertical="center" wrapText="1" indent="1"/>
      <protection hidden="1"/>
    </xf>
    <xf numFmtId="3" fontId="21" fillId="41" borderId="17" xfId="28" applyNumberFormat="1" applyFont="1" applyFill="1" applyBorder="1" applyAlignment="1" applyProtection="1">
      <alignment horizontal="right" vertical="center" wrapText="1" indent="1"/>
      <protection hidden="1"/>
    </xf>
    <xf numFmtId="167" fontId="21" fillId="41" borderId="38" xfId="28" applyNumberFormat="1" applyFont="1" applyFill="1" applyBorder="1" applyAlignment="1" applyProtection="1">
      <alignment horizontal="right" vertical="center" wrapText="1" indent="1"/>
      <protection hidden="1"/>
    </xf>
    <xf numFmtId="3" fontId="13" fillId="38" borderId="3" xfId="28" applyNumberFormat="1" applyFont="1" applyFill="1" applyBorder="1" applyAlignment="1" applyProtection="1">
      <alignment horizontal="right" vertical="center" wrapText="1" indent="1"/>
      <protection hidden="1"/>
    </xf>
    <xf numFmtId="3" fontId="13" fillId="38" borderId="4" xfId="28" applyNumberFormat="1" applyFont="1" applyFill="1" applyBorder="1" applyAlignment="1" applyProtection="1">
      <alignment horizontal="right" vertical="center" wrapText="1" indent="1"/>
      <protection hidden="1"/>
    </xf>
    <xf numFmtId="167" fontId="13" fillId="38" borderId="9" xfId="60" applyNumberFormat="1" applyFont="1" applyFill="1" applyBorder="1" applyAlignment="1" applyProtection="1">
      <alignment horizontal="right" vertical="center" wrapText="1" indent="1"/>
      <protection hidden="1"/>
    </xf>
    <xf numFmtId="3" fontId="13" fillId="38" borderId="34" xfId="28" applyNumberFormat="1" applyFont="1" applyFill="1" applyBorder="1" applyAlignment="1" applyProtection="1">
      <alignment horizontal="right" vertical="center" wrapText="1" indent="1"/>
      <protection hidden="1"/>
    </xf>
    <xf numFmtId="3" fontId="13" fillId="38" borderId="35" xfId="28" applyNumberFormat="1" applyFont="1" applyFill="1" applyBorder="1" applyAlignment="1" applyProtection="1">
      <alignment horizontal="right" vertical="center" wrapText="1" indent="1"/>
      <protection hidden="1"/>
    </xf>
    <xf numFmtId="167" fontId="13" fillId="38" borderId="19" xfId="60" applyNumberFormat="1" applyFont="1" applyFill="1" applyBorder="1" applyAlignment="1" applyProtection="1">
      <alignment horizontal="right" vertical="center" wrapText="1" indent="1"/>
      <protection hidden="1"/>
    </xf>
    <xf numFmtId="3" fontId="13" fillId="38" borderId="31" xfId="28" applyNumberFormat="1" applyFont="1" applyFill="1" applyBorder="1" applyAlignment="1" applyProtection="1">
      <alignment horizontal="right" vertical="center" wrapText="1" indent="1"/>
      <protection hidden="1"/>
    </xf>
    <xf numFmtId="3" fontId="13" fillId="38" borderId="29" xfId="28" applyNumberFormat="1" applyFont="1" applyFill="1" applyBorder="1" applyAlignment="1" applyProtection="1">
      <alignment horizontal="right" vertical="center" wrapText="1" indent="1"/>
      <protection hidden="1"/>
    </xf>
    <xf numFmtId="167" fontId="13" fillId="38" borderId="30" xfId="60" applyNumberFormat="1" applyFont="1" applyFill="1" applyBorder="1" applyAlignment="1" applyProtection="1">
      <alignment horizontal="right" vertical="center" wrapText="1" indent="1"/>
      <protection hidden="1"/>
    </xf>
    <xf numFmtId="167" fontId="21" fillId="41" borderId="38" xfId="0" applyNumberFormat="1" applyFont="1" applyFill="1" applyBorder="1" applyAlignment="1" applyProtection="1">
      <alignment horizontal="right" vertical="center" wrapText="1" indent="1"/>
      <protection hidden="1"/>
    </xf>
    <xf numFmtId="3" fontId="21" fillId="41" borderId="38" xfId="0" applyNumberFormat="1" applyFont="1" applyFill="1" applyBorder="1" applyAlignment="1" applyProtection="1">
      <alignment horizontal="right" vertical="center" wrapText="1" indent="1"/>
      <protection hidden="1"/>
    </xf>
    <xf numFmtId="3" fontId="13" fillId="38" borderId="34" xfId="0" applyNumberFormat="1" applyFont="1" applyFill="1" applyBorder="1" applyAlignment="1" applyProtection="1">
      <alignment horizontal="right" vertical="center" wrapText="1" indent="1"/>
      <protection hidden="1"/>
    </xf>
    <xf numFmtId="165" fontId="13" fillId="38" borderId="33" xfId="0" applyNumberFormat="1" applyFont="1" applyFill="1" applyBorder="1" applyAlignment="1" applyProtection="1">
      <alignment horizontal="right" vertical="center" wrapText="1" indent="1"/>
      <protection hidden="1"/>
    </xf>
    <xf numFmtId="3" fontId="13" fillId="38" borderId="3" xfId="0" applyNumberFormat="1" applyFont="1" applyFill="1" applyBorder="1" applyAlignment="1" applyProtection="1">
      <alignment horizontal="right" vertical="center" wrapText="1" indent="1"/>
      <protection hidden="1"/>
    </xf>
    <xf numFmtId="165" fontId="13" fillId="38" borderId="26" xfId="0" applyNumberFormat="1" applyFont="1" applyFill="1" applyBorder="1" applyAlignment="1" applyProtection="1">
      <alignment horizontal="right" vertical="center" wrapText="1" indent="1"/>
      <protection hidden="1"/>
    </xf>
    <xf numFmtId="3" fontId="21" fillId="41" borderId="105" xfId="28" applyNumberFormat="1" applyFont="1" applyFill="1" applyBorder="1" applyAlignment="1" applyProtection="1">
      <alignment horizontal="right" vertical="center" wrapText="1" indent="1"/>
      <protection hidden="1"/>
    </xf>
    <xf numFmtId="3" fontId="21" fillId="41" borderId="104" xfId="28" applyNumberFormat="1" applyFont="1" applyFill="1" applyBorder="1" applyAlignment="1" applyProtection="1">
      <alignment horizontal="right" vertical="center" wrapText="1" indent="1"/>
      <protection hidden="1"/>
    </xf>
    <xf numFmtId="169" fontId="5" fillId="0" borderId="72" xfId="28" applyNumberFormat="1" applyFont="1" applyFill="1" applyBorder="1" applyAlignment="1" applyProtection="1">
      <alignment horizontal="right" vertical="center" wrapText="1" indent="1"/>
      <protection hidden="1"/>
    </xf>
    <xf numFmtId="166" fontId="5" fillId="0" borderId="80" xfId="28" applyNumberFormat="1" applyFont="1" applyFill="1" applyBorder="1" applyAlignment="1" applyProtection="1">
      <alignment horizontal="right" vertical="center" wrapText="1" indent="1"/>
      <protection hidden="1"/>
    </xf>
    <xf numFmtId="166" fontId="5" fillId="0" borderId="81" xfId="28" applyNumberFormat="1" applyFont="1" applyFill="1" applyBorder="1" applyAlignment="1" applyProtection="1">
      <alignment horizontal="right" vertical="center" wrapText="1" indent="1"/>
      <protection hidden="1"/>
    </xf>
    <xf numFmtId="169" fontId="4" fillId="0" borderId="92" xfId="28" applyNumberFormat="1" applyFont="1" applyFill="1" applyBorder="1" applyAlignment="1" applyProtection="1">
      <alignment horizontal="right" vertical="center" wrapText="1" indent="1"/>
      <protection hidden="1"/>
    </xf>
    <xf numFmtId="166" fontId="4" fillId="0" borderId="83" xfId="28" applyNumberFormat="1" applyFont="1" applyFill="1" applyBorder="1" applyAlignment="1" applyProtection="1">
      <alignment horizontal="right" vertical="center" wrapText="1" indent="1"/>
      <protection hidden="1"/>
    </xf>
    <xf numFmtId="166" fontId="4" fillId="0" borderId="84" xfId="28" applyNumberFormat="1" applyFont="1" applyFill="1" applyBorder="1" applyAlignment="1" applyProtection="1">
      <alignment horizontal="right" vertical="center" wrapText="1" indent="1"/>
      <protection hidden="1"/>
    </xf>
    <xf numFmtId="166" fontId="4" fillId="0" borderId="86" xfId="28" applyNumberFormat="1" applyFont="1" applyFill="1" applyBorder="1" applyAlignment="1" applyProtection="1">
      <alignment horizontal="right" vertical="center" wrapText="1" indent="1"/>
      <protection hidden="1"/>
    </xf>
    <xf numFmtId="166" fontId="4" fillId="0" borderId="87" xfId="28" applyNumberFormat="1" applyFont="1" applyFill="1" applyBorder="1" applyAlignment="1" applyProtection="1">
      <alignment horizontal="right" vertical="center" wrapText="1" indent="1"/>
      <protection hidden="1"/>
    </xf>
    <xf numFmtId="3" fontId="5" fillId="0" borderId="80" xfId="28" applyNumberFormat="1" applyFont="1" applyFill="1" applyBorder="1" applyAlignment="1" applyProtection="1">
      <alignment horizontal="right" vertical="center" wrapText="1" indent="1"/>
      <protection hidden="1"/>
    </xf>
    <xf numFmtId="3" fontId="4" fillId="0" borderId="83" xfId="28" applyNumberFormat="1" applyFont="1" applyFill="1" applyBorder="1" applyAlignment="1" applyProtection="1">
      <alignment horizontal="right" vertical="center" wrapText="1" indent="1"/>
      <protection hidden="1"/>
    </xf>
    <xf numFmtId="3" fontId="4" fillId="0" borderId="86" xfId="28" applyNumberFormat="1" applyFont="1" applyFill="1" applyBorder="1" applyAlignment="1" applyProtection="1">
      <alignment horizontal="right" vertical="center" wrapText="1" indent="1"/>
      <protection hidden="1"/>
    </xf>
    <xf numFmtId="171" fontId="4" fillId="0" borderId="92" xfId="28" applyNumberFormat="1" applyFont="1" applyFill="1" applyBorder="1" applyAlignment="1" applyProtection="1">
      <alignment horizontal="right" vertical="center" wrapText="1" indent="1"/>
      <protection hidden="1"/>
    </xf>
    <xf numFmtId="171" fontId="4" fillId="0" borderId="74" xfId="28" applyNumberFormat="1" applyFont="1" applyFill="1" applyBorder="1" applyAlignment="1" applyProtection="1">
      <alignment horizontal="right" vertical="center" wrapText="1" indent="1"/>
      <protection hidden="1"/>
    </xf>
    <xf numFmtId="171" fontId="4" fillId="0" borderId="76" xfId="2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37" fontId="4" fillId="0" borderId="3" xfId="28" applyNumberFormat="1" applyFont="1" applyFill="1" applyBorder="1" applyAlignment="1" applyProtection="1">
      <alignment horizontal="right" vertical="center" wrapText="1" indent="1"/>
      <protection hidden="1"/>
    </xf>
    <xf numFmtId="37" fontId="4" fillId="0" borderId="5" xfId="28" applyNumberFormat="1" applyFont="1" applyFill="1" applyBorder="1" applyAlignment="1" applyProtection="1">
      <alignment horizontal="right" vertical="center" wrapText="1" indent="1"/>
      <protection hidden="1"/>
    </xf>
    <xf numFmtId="37" fontId="8" fillId="0" borderId="2" xfId="28" applyNumberFormat="1" applyFont="1" applyFill="1" applyBorder="1" applyAlignment="1" applyProtection="1">
      <alignment horizontal="right" vertical="center" wrapText="1" indent="1"/>
      <protection hidden="1"/>
    </xf>
    <xf numFmtId="37" fontId="4" fillId="0" borderId="83" xfId="28" applyNumberFormat="1" applyFont="1" applyFill="1" applyBorder="1" applyAlignment="1" applyProtection="1">
      <alignment horizontal="right" vertical="center" wrapText="1" indent="1"/>
      <protection hidden="1"/>
    </xf>
    <xf numFmtId="37" fontId="4" fillId="0" borderId="84" xfId="28" applyNumberFormat="1" applyFont="1" applyFill="1" applyBorder="1" applyAlignment="1" applyProtection="1">
      <alignment horizontal="right" vertical="center" wrapText="1" indent="1"/>
      <protection hidden="1"/>
    </xf>
    <xf numFmtId="37" fontId="4" fillId="0" borderId="86" xfId="28" applyNumberFormat="1" applyFont="1" applyFill="1" applyBorder="1" applyAlignment="1" applyProtection="1">
      <alignment horizontal="right" vertical="center" wrapText="1" indent="1"/>
      <protection hidden="1"/>
    </xf>
    <xf numFmtId="37" fontId="4" fillId="0" borderId="87" xfId="28" applyNumberFormat="1" applyFont="1" applyFill="1" applyBorder="1" applyAlignment="1" applyProtection="1">
      <alignment horizontal="right" vertical="center" wrapText="1" indent="1"/>
      <protection hidden="1"/>
    </xf>
    <xf numFmtId="37" fontId="5" fillId="0" borderId="71" xfId="28" applyNumberFormat="1" applyFont="1" applyFill="1" applyBorder="1" applyAlignment="1" applyProtection="1">
      <alignment horizontal="right" vertical="center" wrapText="1" indent="1"/>
      <protection hidden="1"/>
    </xf>
    <xf numFmtId="37" fontId="4" fillId="0" borderId="73" xfId="28" applyNumberFormat="1" applyFont="1" applyFill="1" applyBorder="1" applyAlignment="1" applyProtection="1">
      <alignment horizontal="right" vertical="center" wrapText="1" indent="1"/>
      <protection hidden="1"/>
    </xf>
    <xf numFmtId="37" fontId="4" fillId="0" borderId="75" xfId="28" applyNumberFormat="1" applyFont="1" applyFill="1" applyBorder="1" applyAlignment="1" applyProtection="1">
      <alignment horizontal="right" vertical="center" wrapText="1" indent="1"/>
      <protection hidden="1"/>
    </xf>
    <xf numFmtId="167" fontId="8" fillId="0" borderId="82" xfId="58" applyNumberFormat="1" applyFont="1" applyFill="1" applyBorder="1" applyAlignment="1" applyProtection="1">
      <alignment horizontal="right" vertical="center" wrapText="1" indent="1"/>
      <protection hidden="1"/>
    </xf>
    <xf numFmtId="37" fontId="56" fillId="0" borderId="91" xfId="28" applyNumberFormat="1" applyFont="1" applyBorder="1" applyAlignment="1" applyProtection="1">
      <alignment horizontal="right" vertical="center" wrapText="1" indent="1"/>
      <protection hidden="1"/>
    </xf>
    <xf numFmtId="3" fontId="56" fillId="0" borderId="91" xfId="28" applyNumberFormat="1" applyFont="1" applyBorder="1" applyAlignment="1" applyProtection="1">
      <alignment horizontal="right" vertical="center" wrapText="1" indent="1"/>
      <protection hidden="1"/>
    </xf>
    <xf numFmtId="167" fontId="3" fillId="0" borderId="93" xfId="58" applyNumberFormat="1" applyFont="1" applyFill="1" applyBorder="1" applyAlignment="1" applyProtection="1">
      <alignment horizontal="right" vertical="center" wrapText="1" indent="1"/>
      <protection hidden="1"/>
    </xf>
    <xf numFmtId="37" fontId="56" fillId="0" borderId="89" xfId="28" applyNumberFormat="1" applyFont="1" applyBorder="1" applyAlignment="1" applyProtection="1">
      <alignment horizontal="right" vertical="center" wrapText="1" indent="1"/>
      <protection hidden="1"/>
    </xf>
    <xf numFmtId="167" fontId="3" fillId="0" borderId="85" xfId="58" applyNumberFormat="1" applyFont="1" applyFill="1" applyBorder="1" applyAlignment="1" applyProtection="1">
      <alignment horizontal="right" vertical="center" wrapText="1" indent="1"/>
      <protection hidden="1"/>
    </xf>
    <xf numFmtId="167" fontId="3" fillId="0" borderId="88" xfId="58" applyNumberFormat="1" applyFont="1" applyFill="1" applyBorder="1" applyAlignment="1" applyProtection="1">
      <alignment horizontal="right" vertical="center" wrapText="1" indent="1"/>
      <protection hidden="1"/>
    </xf>
    <xf numFmtId="166" fontId="56" fillId="0" borderId="91" xfId="28" applyNumberFormat="1" applyFont="1" applyBorder="1" applyAlignment="1" applyProtection="1">
      <alignment horizontal="right" vertical="center" wrapText="1" indent="1"/>
      <protection hidden="1"/>
    </xf>
    <xf numFmtId="37" fontId="3" fillId="0" borderId="73" xfId="28" applyNumberFormat="1" applyFont="1" applyBorder="1" applyAlignment="1" applyProtection="1">
      <alignment horizontal="right" vertical="center" wrapText="1" indent="1"/>
      <protection hidden="1"/>
    </xf>
    <xf numFmtId="171" fontId="3" fillId="0" borderId="74" xfId="28" applyNumberFormat="1" applyFont="1" applyBorder="1" applyAlignment="1" applyProtection="1">
      <alignment horizontal="right" vertical="center" wrapText="1" indent="1"/>
      <protection hidden="1"/>
    </xf>
    <xf numFmtId="3" fontId="3" fillId="0" borderId="83" xfId="28" applyNumberFormat="1" applyFont="1" applyBorder="1" applyAlignment="1" applyProtection="1">
      <alignment horizontal="right" vertical="center" wrapText="1" indent="1"/>
      <protection hidden="1"/>
    </xf>
    <xf numFmtId="166" fontId="3" fillId="0" borderId="84" xfId="28" applyNumberFormat="1" applyFont="1" applyBorder="1" applyAlignment="1" applyProtection="1">
      <alignment horizontal="right" vertical="center" wrapText="1" indent="1"/>
      <protection hidden="1"/>
    </xf>
    <xf numFmtId="167" fontId="3" fillId="0" borderId="85" xfId="58" applyNumberFormat="1" applyFont="1" applyBorder="1" applyAlignment="1" applyProtection="1">
      <alignment horizontal="right" vertical="center" wrapText="1" indent="1"/>
      <protection hidden="1"/>
    </xf>
    <xf numFmtId="166" fontId="3" fillId="0" borderId="83" xfId="28" applyNumberFormat="1" applyFont="1" applyBorder="1" applyAlignment="1" applyProtection="1">
      <alignment horizontal="right" vertical="center" wrapText="1" indent="1"/>
      <protection hidden="1"/>
    </xf>
    <xf numFmtId="37" fontId="3" fillId="0" borderId="83" xfId="28" applyNumberFormat="1" applyFont="1" applyBorder="1" applyAlignment="1" applyProtection="1">
      <alignment horizontal="right" vertical="center" wrapText="1" indent="1"/>
      <protection hidden="1"/>
    </xf>
    <xf numFmtId="37" fontId="3" fillId="0" borderId="84" xfId="28" applyNumberFormat="1" applyFont="1" applyBorder="1" applyAlignment="1" applyProtection="1">
      <alignment horizontal="right" vertical="center" wrapText="1" indent="1"/>
      <protection hidden="1"/>
    </xf>
    <xf numFmtId="37" fontId="3" fillId="0" borderId="3" xfId="28" applyNumberFormat="1" applyFont="1" applyBorder="1" applyAlignment="1" applyProtection="1">
      <alignment horizontal="right" vertical="center" wrapText="1" indent="1"/>
      <protection hidden="1"/>
    </xf>
    <xf numFmtId="37" fontId="3" fillId="0" borderId="75" xfId="28" applyNumberFormat="1" applyFont="1" applyBorder="1" applyAlignment="1" applyProtection="1">
      <alignment horizontal="right" vertical="center" wrapText="1" indent="1"/>
      <protection hidden="1"/>
    </xf>
    <xf numFmtId="171" fontId="3" fillId="0" borderId="76" xfId="28" applyNumberFormat="1" applyFont="1" applyBorder="1" applyAlignment="1" applyProtection="1">
      <alignment horizontal="right" vertical="center" wrapText="1" indent="1"/>
      <protection hidden="1"/>
    </xf>
    <xf numFmtId="3" fontId="3" fillId="0" borderId="86" xfId="28" applyNumberFormat="1" applyFont="1" applyBorder="1" applyAlignment="1" applyProtection="1">
      <alignment horizontal="right" vertical="center" wrapText="1" indent="1"/>
      <protection hidden="1"/>
    </xf>
    <xf numFmtId="166" fontId="3" fillId="0" borderId="87" xfId="28" applyNumberFormat="1" applyFont="1" applyBorder="1" applyAlignment="1" applyProtection="1">
      <alignment horizontal="right" vertical="center" wrapText="1" indent="1"/>
      <protection hidden="1"/>
    </xf>
    <xf numFmtId="167" fontId="3" fillId="0" borderId="88" xfId="58" applyNumberFormat="1" applyFont="1" applyBorder="1" applyAlignment="1" applyProtection="1">
      <alignment horizontal="right" vertical="center" wrapText="1" indent="1"/>
      <protection hidden="1"/>
    </xf>
    <xf numFmtId="166" fontId="3" fillId="0" borderId="86" xfId="28" applyNumberFormat="1" applyFont="1" applyBorder="1" applyAlignment="1" applyProtection="1">
      <alignment horizontal="right" vertical="center" wrapText="1" indent="1"/>
      <protection hidden="1"/>
    </xf>
    <xf numFmtId="37" fontId="3" fillId="0" borderId="86" xfId="28" applyNumberFormat="1" applyFont="1" applyBorder="1" applyAlignment="1" applyProtection="1">
      <alignment horizontal="right" vertical="center" wrapText="1" indent="1"/>
      <protection hidden="1"/>
    </xf>
    <xf numFmtId="37" fontId="3" fillId="0" borderId="87" xfId="28" applyNumberFormat="1" applyFont="1" applyBorder="1" applyAlignment="1" applyProtection="1">
      <alignment horizontal="right" vertical="center" wrapText="1" indent="1"/>
      <protection hidden="1"/>
    </xf>
    <xf numFmtId="37" fontId="3" fillId="0" borderId="5" xfId="28" applyNumberFormat="1" applyFont="1" applyBorder="1" applyAlignment="1" applyProtection="1">
      <alignment horizontal="right" vertical="center" wrapText="1" indent="1"/>
      <protection hidden="1"/>
    </xf>
    <xf numFmtId="166" fontId="59" fillId="0" borderId="91" xfId="28" applyNumberFormat="1" applyFont="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7" fontId="8" fillId="0" borderId="93" xfId="58" applyNumberFormat="1" applyFont="1" applyFill="1" applyBorder="1" applyAlignment="1" applyProtection="1">
      <alignment horizontal="right" vertical="center" wrapText="1" indent="1"/>
      <protection hidden="1"/>
    </xf>
    <xf numFmtId="166" fontId="59" fillId="0" borderId="89" xfId="28" applyNumberFormat="1" applyFont="1" applyBorder="1" applyAlignment="1" applyProtection="1">
      <alignment horizontal="right" vertical="center" wrapText="1" indent="1"/>
      <protection hidden="1"/>
    </xf>
    <xf numFmtId="166" fontId="3" fillId="0" borderId="73" xfId="28" applyNumberFormat="1" applyFont="1" applyBorder="1" applyAlignment="1" applyProtection="1">
      <alignment horizontal="right" vertical="center" wrapText="1" indent="1"/>
      <protection hidden="1"/>
    </xf>
    <xf numFmtId="169" fontId="3" fillId="0" borderId="73" xfId="28" applyNumberFormat="1" applyFont="1" applyBorder="1" applyAlignment="1" applyProtection="1">
      <alignment horizontal="right" vertical="center" wrapText="1" indent="1"/>
      <protection hidden="1"/>
    </xf>
    <xf numFmtId="166" fontId="3" fillId="0" borderId="3" xfId="28" applyNumberFormat="1" applyFont="1" applyBorder="1" applyAlignment="1" applyProtection="1">
      <alignment horizontal="right" vertical="center" wrapText="1" indent="1"/>
      <protection hidden="1"/>
    </xf>
    <xf numFmtId="166" fontId="56" fillId="0" borderId="89" xfId="28" applyNumberFormat="1" applyFont="1" applyBorder="1" applyAlignment="1" applyProtection="1">
      <alignment horizontal="right" vertical="center" wrapText="1" indent="1"/>
      <protection hidden="1"/>
    </xf>
    <xf numFmtId="4" fontId="55" fillId="39" borderId="0" xfId="0" applyNumberFormat="1" applyFont="1" applyFill="1" applyBorder="1" applyProtection="1">
      <protection locked="0" hidden="1"/>
    </xf>
    <xf numFmtId="4" fontId="64" fillId="39" borderId="9" xfId="0" applyNumberFormat="1" applyFont="1" applyFill="1" applyBorder="1" applyAlignment="1" applyProtection="1">
      <alignment horizontal="left" wrapText="1" indent="2"/>
      <protection hidden="1"/>
    </xf>
    <xf numFmtId="4" fontId="5" fillId="43" borderId="7" xfId="0" applyNumberFormat="1" applyFont="1" applyFill="1" applyBorder="1" applyAlignment="1" applyProtection="1">
      <alignment vertical="center" wrapText="1"/>
      <protection locked="0" hidden="1"/>
    </xf>
    <xf numFmtId="4" fontId="5" fillId="43" borderId="7" xfId="0" applyNumberFormat="1" applyFont="1" applyFill="1" applyBorder="1" applyAlignment="1" applyProtection="1">
      <alignment vertical="center" wrapText="1"/>
      <protection hidden="1"/>
    </xf>
    <xf numFmtId="4" fontId="4" fillId="38" borderId="22" xfId="0" applyNumberFormat="1" applyFont="1" applyFill="1" applyBorder="1" applyAlignment="1" applyProtection="1">
      <alignment vertical="center" wrapText="1"/>
      <protection hidden="1"/>
    </xf>
    <xf numFmtId="4" fontId="8" fillId="38" borderId="2" xfId="0" applyNumberFormat="1" applyFont="1" applyFill="1" applyBorder="1" applyAlignment="1" applyProtection="1">
      <alignment wrapText="1"/>
      <protection hidden="1"/>
    </xf>
    <xf numFmtId="167" fontId="3"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3" fillId="38" borderId="27" xfId="101" applyNumberFormat="1" applyFont="1" applyFill="1" applyBorder="1"/>
    <xf numFmtId="167" fontId="3" fillId="38" borderId="26" xfId="101" applyNumberFormat="1" applyFont="1" applyFill="1" applyBorder="1"/>
    <xf numFmtId="167" fontId="3" fillId="38" borderId="37" xfId="101" applyNumberFormat="1" applyFont="1" applyFill="1" applyBorder="1"/>
    <xf numFmtId="3" fontId="21" fillId="41" borderId="2" xfId="0" applyNumberFormat="1" applyFont="1" applyFill="1" applyBorder="1" applyAlignment="1">
      <alignment horizontal="center" vertical="center" wrapText="1"/>
    </xf>
    <xf numFmtId="10" fontId="21" fillId="41" borderId="23" xfId="0" applyNumberFormat="1" applyFont="1" applyFill="1" applyBorder="1" applyAlignment="1">
      <alignment horizontal="center" vertical="center" wrapText="1"/>
    </xf>
    <xf numFmtId="166" fontId="3" fillId="38" borderId="7" xfId="0" applyNumberFormat="1" applyFont="1" applyFill="1" applyBorder="1"/>
    <xf numFmtId="166" fontId="3" fillId="38" borderId="3" xfId="0" applyNumberFormat="1" applyFont="1" applyFill="1" applyBorder="1"/>
    <xf numFmtId="166" fontId="3" fillId="38" borderId="5" xfId="0" applyNumberFormat="1" applyFont="1" applyFill="1" applyBorder="1"/>
    <xf numFmtId="0" fontId="24" fillId="38" borderId="28" xfId="0" applyFont="1" applyFill="1" applyBorder="1" applyAlignment="1">
      <alignment horizontal="center" vertical="center"/>
    </xf>
    <xf numFmtId="0" fontId="24" fillId="38" borderId="17" xfId="0" applyFont="1" applyFill="1" applyBorder="1" applyAlignment="1">
      <alignment horizontal="center" vertical="center"/>
    </xf>
    <xf numFmtId="0" fontId="24" fillId="38" borderId="38" xfId="0" applyFont="1" applyFill="1" applyBorder="1" applyAlignment="1">
      <alignment horizontal="center" vertical="center"/>
    </xf>
    <xf numFmtId="0" fontId="31" fillId="0" borderId="8" xfId="0" applyFont="1" applyBorder="1" applyAlignment="1">
      <alignment horizontal="left" vertical="top" wrapText="1"/>
    </xf>
    <xf numFmtId="0" fontId="31" fillId="0" borderId="0" xfId="0" applyFont="1" applyBorder="1" applyAlignment="1">
      <alignment horizontal="left" vertical="top" wrapText="1"/>
    </xf>
    <xf numFmtId="0" fontId="31" fillId="0" borderId="9" xfId="0" applyFont="1" applyBorder="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30" xfId="0" applyFont="1" applyBorder="1" applyAlignment="1">
      <alignment horizontal="left" vertical="top" wrapText="1"/>
    </xf>
    <xf numFmtId="0" fontId="6" fillId="38" borderId="28" xfId="0" applyFont="1" applyFill="1" applyBorder="1" applyAlignment="1">
      <alignment horizontal="center" vertical="center"/>
    </xf>
    <xf numFmtId="0" fontId="6" fillId="38" borderId="17" xfId="0" applyFont="1" applyFill="1" applyBorder="1" applyAlignment="1">
      <alignment horizontal="center" vertical="center"/>
    </xf>
    <xf numFmtId="0" fontId="6"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3" fillId="38" borderId="6" xfId="0" applyNumberFormat="1" applyFont="1" applyFill="1" applyBorder="1" applyAlignment="1" applyProtection="1">
      <alignment horizontal="left" vertical="center" wrapText="1"/>
      <protection hidden="1"/>
    </xf>
    <xf numFmtId="49" fontId="13" fillId="38" borderId="40" xfId="0" applyNumberFormat="1" applyFont="1" applyFill="1" applyBorder="1" applyAlignment="1" applyProtection="1">
      <alignment horizontal="left" vertical="center" wrapText="1"/>
      <protection hidden="1"/>
    </xf>
    <xf numFmtId="49" fontId="13" fillId="38" borderId="8" xfId="0" applyNumberFormat="1" applyFont="1" applyFill="1" applyBorder="1" applyAlignment="1" applyProtection="1">
      <alignment horizontal="left" vertical="center" wrapText="1"/>
      <protection hidden="1"/>
    </xf>
    <xf numFmtId="49" fontId="13" fillId="38" borderId="0" xfId="0" applyNumberFormat="1" applyFont="1" applyFill="1" applyBorder="1" applyAlignment="1" applyProtection="1">
      <alignment horizontal="left" vertical="center" wrapText="1"/>
      <protection hidden="1"/>
    </xf>
    <xf numFmtId="0" fontId="13" fillId="38" borderId="8" xfId="0" applyFont="1" applyFill="1" applyBorder="1" applyAlignment="1" applyProtection="1">
      <alignment horizontal="left" vertical="center" wrapText="1"/>
      <protection hidden="1"/>
    </xf>
    <xf numFmtId="0" fontId="13" fillId="38" borderId="0" xfId="0" applyFont="1" applyFill="1" applyBorder="1" applyAlignment="1" applyProtection="1">
      <alignment horizontal="left" vertical="center" wrapText="1"/>
      <protection hidden="1"/>
    </xf>
    <xf numFmtId="0" fontId="13" fillId="3" borderId="28" xfId="0" applyFont="1" applyFill="1" applyBorder="1" applyAlignment="1" applyProtection="1">
      <alignment horizontal="center" wrapText="1"/>
      <protection hidden="1"/>
    </xf>
    <xf numFmtId="0" fontId="13" fillId="3" borderId="17" xfId="0" applyFont="1" applyFill="1" applyBorder="1" applyAlignment="1" applyProtection="1">
      <alignment horizontal="center" wrapText="1"/>
      <protection hidden="1"/>
    </xf>
    <xf numFmtId="0" fontId="13" fillId="3" borderId="38" xfId="0" applyFont="1" applyFill="1" applyBorder="1" applyAlignment="1" applyProtection="1">
      <alignment horizontal="center" wrapText="1"/>
      <protection hidden="1"/>
    </xf>
    <xf numFmtId="0" fontId="13" fillId="38" borderId="15" xfId="0" applyFont="1" applyFill="1" applyBorder="1" applyAlignment="1" applyProtection="1">
      <alignment horizontal="left" vertical="center" wrapText="1"/>
      <protection hidden="1"/>
    </xf>
    <xf numFmtId="0" fontId="13" fillId="38" borderId="16" xfId="0" applyFont="1" applyFill="1" applyBorder="1" applyAlignment="1" applyProtection="1">
      <alignment horizontal="left" vertical="center" wrapText="1"/>
      <protection hidden="1"/>
    </xf>
    <xf numFmtId="0" fontId="21" fillId="41" borderId="101" xfId="0" applyFont="1" applyFill="1" applyBorder="1" applyAlignment="1" applyProtection="1">
      <alignment horizontal="left" vertical="center" wrapText="1"/>
      <protection hidden="1"/>
    </xf>
    <xf numFmtId="0" fontId="21" fillId="41" borderId="42" xfId="0" applyFont="1" applyFill="1" applyBorder="1" applyAlignment="1" applyProtection="1">
      <alignment horizontal="left" vertical="center" wrapText="1"/>
      <protection hidden="1"/>
    </xf>
    <xf numFmtId="0" fontId="21" fillId="41" borderId="1" xfId="0" applyFont="1" applyFill="1" applyBorder="1" applyAlignment="1" applyProtection="1">
      <alignment horizontal="left" vertical="center" wrapText="1"/>
      <protection hidden="1"/>
    </xf>
    <xf numFmtId="0" fontId="14" fillId="37" borderId="6" xfId="0" applyFont="1" applyFill="1" applyBorder="1" applyAlignment="1" applyProtection="1">
      <alignment horizontal="center" vertical="center" wrapText="1"/>
      <protection hidden="1"/>
    </xf>
    <xf numFmtId="0" fontId="14" fillId="37" borderId="40" xfId="0" applyFont="1" applyFill="1" applyBorder="1" applyAlignment="1" applyProtection="1">
      <alignment horizontal="center" vertical="center" wrapText="1"/>
      <protection hidden="1"/>
    </xf>
    <xf numFmtId="0" fontId="14" fillId="37" borderId="19"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center" vertical="center" wrapText="1"/>
      <protection hidden="1"/>
    </xf>
    <xf numFmtId="0" fontId="14" fillId="37" borderId="16" xfId="0" applyFont="1" applyFill="1" applyBorder="1" applyAlignment="1" applyProtection="1">
      <alignment horizontal="center" vertical="center" wrapText="1"/>
      <protection hidden="1"/>
    </xf>
    <xf numFmtId="0" fontId="14" fillId="37" borderId="30" xfId="0" applyFont="1" applyFill="1" applyBorder="1" applyAlignment="1" applyProtection="1">
      <alignment horizontal="center" vertical="center" wrapText="1"/>
      <protection hidden="1"/>
    </xf>
    <xf numFmtId="0" fontId="7" fillId="38" borderId="8" xfId="0" applyFont="1" applyFill="1" applyBorder="1" applyProtection="1">
      <protection hidden="1"/>
    </xf>
    <xf numFmtId="0" fontId="7" fillId="38" borderId="0" xfId="0" applyFont="1" applyFill="1" applyBorder="1" applyProtection="1">
      <protection hidden="1"/>
    </xf>
    <xf numFmtId="0" fontId="7" fillId="38" borderId="4" xfId="0" applyFont="1" applyFill="1" applyBorder="1" applyProtection="1">
      <protection hidden="1"/>
    </xf>
    <xf numFmtId="4" fontId="7" fillId="38" borderId="8" xfId="0" applyNumberFormat="1" applyFont="1" applyFill="1" applyBorder="1" applyProtection="1">
      <protection hidden="1"/>
    </xf>
    <xf numFmtId="4" fontId="7" fillId="38" borderId="0" xfId="0" applyNumberFormat="1" applyFont="1" applyFill="1" applyBorder="1" applyProtection="1">
      <protection hidden="1"/>
    </xf>
    <xf numFmtId="4" fontId="7" fillId="38" borderId="4" xfId="0" applyNumberFormat="1" applyFont="1" applyFill="1" applyBorder="1" applyProtection="1">
      <protection hidden="1"/>
    </xf>
    <xf numFmtId="4" fontId="7" fillId="38" borderId="15" xfId="0" applyNumberFormat="1" applyFont="1" applyFill="1" applyBorder="1" applyProtection="1">
      <protection hidden="1"/>
    </xf>
    <xf numFmtId="4" fontId="7" fillId="38" borderId="16" xfId="0" applyNumberFormat="1" applyFont="1" applyFill="1" applyBorder="1" applyProtection="1">
      <protection hidden="1"/>
    </xf>
    <xf numFmtId="4" fontId="7" fillId="38" borderId="29" xfId="0" applyNumberFormat="1" applyFont="1" applyFill="1" applyBorder="1" applyProtection="1">
      <protection hidden="1"/>
    </xf>
    <xf numFmtId="0" fontId="62" fillId="40" borderId="6" xfId="49" applyFont="1" applyFill="1" applyBorder="1" applyAlignment="1" applyProtection="1">
      <alignment horizontal="center" vertical="center" wrapText="1"/>
      <protection hidden="1"/>
    </xf>
    <xf numFmtId="0" fontId="62" fillId="40" borderId="40" xfId="49" applyFont="1" applyFill="1" applyBorder="1" applyAlignment="1" applyProtection="1">
      <alignment horizontal="center" vertical="center" wrapText="1"/>
      <protection hidden="1"/>
    </xf>
    <xf numFmtId="0" fontId="62" fillId="40" borderId="19" xfId="49" applyFont="1" applyFill="1" applyBorder="1" applyAlignment="1" applyProtection="1">
      <alignment horizontal="center" vertical="center" wrapText="1"/>
      <protection hidden="1"/>
    </xf>
    <xf numFmtId="0" fontId="62" fillId="40" borderId="15" xfId="49" applyFont="1" applyFill="1" applyBorder="1" applyAlignment="1" applyProtection="1">
      <alignment horizontal="center" vertical="center" wrapText="1"/>
      <protection hidden="1"/>
    </xf>
    <xf numFmtId="0" fontId="62" fillId="40" borderId="16" xfId="49" applyFont="1" applyFill="1" applyBorder="1" applyAlignment="1" applyProtection="1">
      <alignment horizontal="center" vertical="center" wrapText="1"/>
      <protection hidden="1"/>
    </xf>
    <xf numFmtId="0" fontId="62" fillId="40" borderId="30" xfId="49" applyFont="1" applyFill="1" applyBorder="1" applyAlignment="1" applyProtection="1">
      <alignment horizontal="center" vertical="center" wrapText="1"/>
      <protection hidden="1"/>
    </xf>
    <xf numFmtId="0" fontId="21" fillId="41" borderId="28" xfId="0" applyFont="1" applyFill="1" applyBorder="1" applyAlignment="1" applyProtection="1">
      <alignment horizontal="left" vertical="center" wrapText="1"/>
      <protection hidden="1"/>
    </xf>
    <xf numFmtId="0" fontId="21" fillId="41" borderId="17" xfId="0" applyFont="1" applyFill="1" applyBorder="1" applyAlignment="1" applyProtection="1">
      <alignment horizontal="left" vertical="center" wrapText="1"/>
      <protection hidden="1"/>
    </xf>
    <xf numFmtId="3" fontId="6" fillId="37" borderId="32" xfId="0" applyNumberFormat="1" applyFont="1" applyFill="1" applyBorder="1" applyAlignment="1" applyProtection="1">
      <alignment horizontal="right" vertical="center" wrapText="1" indent="1"/>
      <protection hidden="1"/>
    </xf>
    <xf numFmtId="3" fontId="6" fillId="37" borderId="41" xfId="0" applyNumberFormat="1" applyFont="1" applyFill="1" applyBorder="1" applyAlignment="1" applyProtection="1">
      <alignment horizontal="right" vertical="center" wrapText="1" indent="1"/>
      <protection hidden="1"/>
    </xf>
    <xf numFmtId="167" fontId="6" fillId="37" borderId="19" xfId="60" applyNumberFormat="1" applyFont="1" applyFill="1" applyBorder="1" applyAlignment="1" applyProtection="1">
      <alignment horizontal="right" vertical="center" wrapText="1" indent="1"/>
      <protection hidden="1"/>
    </xf>
    <xf numFmtId="167" fontId="6" fillId="37" borderId="9" xfId="60" applyNumberFormat="1" applyFont="1" applyFill="1" applyBorder="1" applyAlignment="1" applyProtection="1">
      <alignment horizontal="right" vertical="center" wrapText="1" indent="1"/>
      <protection hidden="1"/>
    </xf>
    <xf numFmtId="0" fontId="6" fillId="37" borderId="6" xfId="0" applyFont="1" applyFill="1" applyBorder="1" applyAlignment="1" applyProtection="1">
      <alignment horizontal="center" vertical="center" wrapText="1"/>
      <protection hidden="1"/>
    </xf>
    <xf numFmtId="0" fontId="6" fillId="37" borderId="40" xfId="0" applyFont="1" applyFill="1" applyBorder="1" applyAlignment="1" applyProtection="1">
      <alignment horizontal="center" vertical="center" wrapText="1"/>
      <protection hidden="1"/>
    </xf>
    <xf numFmtId="0" fontId="6" fillId="37" borderId="19" xfId="0" applyFont="1" applyFill="1" applyBorder="1" applyAlignment="1" applyProtection="1">
      <alignment horizontal="center" vertical="center" wrapText="1"/>
      <protection hidden="1"/>
    </xf>
    <xf numFmtId="0" fontId="6" fillId="37" borderId="8" xfId="0" applyFont="1" applyFill="1" applyBorder="1" applyAlignment="1" applyProtection="1">
      <alignment horizontal="center" vertical="center" wrapText="1"/>
      <protection hidden="1"/>
    </xf>
    <xf numFmtId="0" fontId="6" fillId="37" borderId="0" xfId="0" applyFont="1" applyFill="1" applyBorder="1" applyAlignment="1" applyProtection="1">
      <alignment horizontal="center" vertical="center" wrapText="1"/>
      <protection hidden="1"/>
    </xf>
    <xf numFmtId="0" fontId="13" fillId="37" borderId="15" xfId="0" applyFont="1" applyFill="1" applyBorder="1" applyAlignment="1" applyProtection="1">
      <alignment horizontal="left" vertical="center"/>
      <protection hidden="1"/>
    </xf>
    <xf numFmtId="0" fontId="13" fillId="37" borderId="16" xfId="0" applyFont="1" applyFill="1" applyBorder="1" applyAlignment="1" applyProtection="1">
      <alignment horizontal="left" vertical="center"/>
      <protection hidden="1"/>
    </xf>
    <xf numFmtId="0" fontId="13" fillId="37" borderId="30" xfId="0" applyFont="1" applyFill="1" applyBorder="1" applyAlignment="1" applyProtection="1">
      <alignment horizontal="left" vertical="center"/>
      <protection hidden="1"/>
    </xf>
    <xf numFmtId="4" fontId="7" fillId="38" borderId="53" xfId="0" applyNumberFormat="1" applyFont="1" applyFill="1" applyBorder="1" applyProtection="1">
      <protection hidden="1"/>
    </xf>
    <xf numFmtId="4" fontId="7" fillId="38" borderId="50" xfId="0" applyNumberFormat="1" applyFont="1" applyFill="1" applyBorder="1" applyProtection="1">
      <protection hidden="1"/>
    </xf>
    <xf numFmtId="4" fontId="7" fillId="38" borderId="51" xfId="0" applyNumberFormat="1" applyFont="1" applyFill="1" applyBorder="1" applyProtection="1">
      <protection hidden="1"/>
    </xf>
    <xf numFmtId="4" fontId="7" fillId="38" borderId="25" xfId="0" applyNumberFormat="1" applyFont="1" applyFill="1" applyBorder="1" applyProtection="1">
      <protection hidden="1"/>
    </xf>
    <xf numFmtId="4" fontId="7" fillId="38" borderId="43" xfId="0" applyNumberFormat="1" applyFont="1" applyFill="1" applyBorder="1" applyProtection="1">
      <protection hidden="1"/>
    </xf>
    <xf numFmtId="4" fontId="7" fillId="38" borderId="36" xfId="0" applyNumberFormat="1" applyFont="1" applyFill="1" applyBorder="1" applyProtection="1">
      <protection hidden="1"/>
    </xf>
    <xf numFmtId="0" fontId="16" fillId="2" borderId="107" xfId="0" applyFont="1" applyFill="1" applyBorder="1" applyAlignment="1" applyProtection="1">
      <alignment horizontal="center" vertical="center" wrapText="1"/>
      <protection hidden="1"/>
    </xf>
    <xf numFmtId="0" fontId="16" fillId="2" borderId="45" xfId="0" applyFont="1" applyFill="1" applyBorder="1" applyAlignment="1" applyProtection="1">
      <alignment horizontal="center" vertical="center" wrapText="1"/>
      <protection hidden="1"/>
    </xf>
    <xf numFmtId="0" fontId="7" fillId="0" borderId="2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7" fillId="0" borderId="48" xfId="0"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4" fontId="7" fillId="36" borderId="7" xfId="53" applyNumberFormat="1" applyFont="1" applyFill="1" applyBorder="1" applyAlignment="1" applyProtection="1">
      <alignment horizontal="center" vertical="center" wrapText="1"/>
      <protection hidden="1"/>
    </xf>
    <xf numFmtId="4" fontId="7" fillId="36" borderId="5" xfId="53" applyNumberFormat="1" applyFont="1" applyFill="1" applyBorder="1" applyAlignment="1" applyProtection="1">
      <alignment horizontal="center" vertical="center" wrapText="1"/>
      <protection hidden="1"/>
    </xf>
    <xf numFmtId="4" fontId="3" fillId="36" borderId="21" xfId="96" applyNumberFormat="1" applyFont="1" applyFill="1" applyBorder="1" applyAlignment="1" applyProtection="1">
      <alignment horizontal="center" vertical="center" wrapText="1"/>
      <protection hidden="1"/>
    </xf>
    <xf numFmtId="4" fontId="3" fillId="36" borderId="1" xfId="96" applyNumberFormat="1" applyFont="1" applyFill="1" applyBorder="1" applyAlignment="1" applyProtection="1">
      <alignment horizontal="center" vertical="center" wrapText="1"/>
      <protection hidden="1"/>
    </xf>
    <xf numFmtId="4" fontId="3" fillId="36" borderId="7" xfId="96" applyNumberFormat="1" applyFont="1" applyFill="1" applyBorder="1" applyAlignment="1" applyProtection="1">
      <alignment horizontal="center" vertical="center" wrapText="1"/>
      <protection hidden="1"/>
    </xf>
    <xf numFmtId="4" fontId="3" fillId="36" borderId="5" xfId="96" applyNumberFormat="1" applyFont="1" applyFill="1" applyBorder="1" applyAlignment="1" applyProtection="1">
      <alignment horizontal="center" vertical="center" wrapText="1"/>
      <protection hidden="1"/>
    </xf>
    <xf numFmtId="0" fontId="7" fillId="0" borderId="18"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9" xfId="0" applyFont="1" applyFill="1" applyBorder="1" applyAlignment="1" applyProtection="1">
      <alignment horizontal="center" vertical="center" wrapText="1"/>
      <protection hidden="1"/>
    </xf>
    <xf numFmtId="0" fontId="22" fillId="37" borderId="6" xfId="0" applyFont="1" applyFill="1" applyBorder="1" applyAlignment="1" applyProtection="1">
      <alignment horizontal="center" wrapText="1"/>
      <protection hidden="1"/>
    </xf>
    <xf numFmtId="0" fontId="22" fillId="37" borderId="40" xfId="0" applyFont="1" applyFill="1" applyBorder="1" applyAlignment="1" applyProtection="1">
      <alignment horizontal="center" wrapText="1"/>
      <protection hidden="1"/>
    </xf>
    <xf numFmtId="0" fontId="22" fillId="37" borderId="19" xfId="0" applyFont="1" applyFill="1" applyBorder="1" applyAlignment="1" applyProtection="1">
      <alignment horizontal="center" wrapText="1"/>
      <protection hidden="1"/>
    </xf>
    <xf numFmtId="0" fontId="22" fillId="37" borderId="15" xfId="0" applyFont="1" applyFill="1" applyBorder="1" applyAlignment="1" applyProtection="1">
      <alignment horizontal="center" wrapText="1"/>
      <protection hidden="1"/>
    </xf>
    <xf numFmtId="0" fontId="22" fillId="37" borderId="16" xfId="0" applyFont="1" applyFill="1" applyBorder="1" applyAlignment="1" applyProtection="1">
      <alignment horizontal="center" wrapText="1"/>
      <protection hidden="1"/>
    </xf>
    <xf numFmtId="0" fontId="22" fillId="37" borderId="30" xfId="0" applyFont="1" applyFill="1" applyBorder="1" applyAlignment="1" applyProtection="1">
      <alignment horizontal="center" wrapText="1"/>
      <protection hidden="1"/>
    </xf>
    <xf numFmtId="0" fontId="28" fillId="0" borderId="28" xfId="0" applyFont="1" applyBorder="1" applyAlignment="1" applyProtection="1">
      <alignment horizontal="left" vertical="center" wrapText="1"/>
      <protection hidden="1"/>
    </xf>
    <xf numFmtId="0" fontId="28" fillId="0" borderId="17" xfId="0" applyFont="1" applyBorder="1" applyAlignment="1" applyProtection="1">
      <alignment horizontal="left" vertical="center" wrapText="1"/>
      <protection hidden="1"/>
    </xf>
    <xf numFmtId="0" fontId="28" fillId="0" borderId="38" xfId="0" applyFont="1" applyBorder="1" applyAlignment="1" applyProtection="1">
      <alignment horizontal="left" vertical="center" wrapText="1"/>
      <protection hidden="1"/>
    </xf>
    <xf numFmtId="0" fontId="16" fillId="0" borderId="28" xfId="0" applyFont="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protection hidden="1"/>
    </xf>
    <xf numFmtId="0" fontId="7"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7" fillId="0" borderId="45" xfId="0" applyFont="1" applyBorder="1" applyAlignment="1" applyProtection="1">
      <alignment horizontal="center" vertical="center" wrapText="1"/>
      <protection hidden="1"/>
    </xf>
    <xf numFmtId="0" fontId="3" fillId="0" borderId="100" xfId="0" applyFont="1" applyFill="1" applyBorder="1" applyAlignment="1" applyProtection="1">
      <alignment horizontal="center" vertical="center" wrapText="1"/>
      <protection hidden="1"/>
    </xf>
    <xf numFmtId="0" fontId="7" fillId="0" borderId="40" xfId="0" applyFont="1" applyFill="1" applyBorder="1" applyAlignment="1" applyProtection="1">
      <alignment horizontal="center" vertical="center" wrapText="1"/>
      <protection hidden="1"/>
    </xf>
    <xf numFmtId="0" fontId="7" fillId="0" borderId="19" xfId="0" applyFont="1" applyFill="1" applyBorder="1" applyAlignment="1" applyProtection="1">
      <alignment horizontal="center" vertical="center" wrapText="1"/>
      <protection hidden="1"/>
    </xf>
    <xf numFmtId="0" fontId="7" fillId="0" borderId="44" xfId="0" applyFont="1" applyFill="1" applyBorder="1" applyAlignment="1" applyProtection="1">
      <alignment horizontal="center" vertical="center" wrapText="1"/>
      <protection hidden="1"/>
    </xf>
    <xf numFmtId="0" fontId="7" fillId="0" borderId="45" xfId="0" applyFont="1" applyFill="1" applyBorder="1" applyAlignment="1" applyProtection="1">
      <alignment horizontal="center" vertical="center" wrapText="1"/>
      <protection hidden="1"/>
    </xf>
    <xf numFmtId="4" fontId="8" fillId="37" borderId="21" xfId="0" applyNumberFormat="1" applyFont="1" applyFill="1" applyBorder="1" applyAlignment="1" applyProtection="1">
      <alignment horizontal="center"/>
      <protection hidden="1"/>
    </xf>
    <xf numFmtId="4" fontId="8" fillId="37" borderId="42" xfId="0" applyNumberFormat="1" applyFont="1" applyFill="1" applyBorder="1" applyAlignment="1" applyProtection="1">
      <alignment horizontal="center"/>
      <protection hidden="1"/>
    </xf>
    <xf numFmtId="0" fontId="7"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49" fontId="7"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4" fontId="8" fillId="37" borderId="2" xfId="0" applyNumberFormat="1" applyFont="1" applyFill="1" applyBorder="1" applyAlignment="1" applyProtection="1">
      <alignment horizontal="center"/>
      <protection hidden="1"/>
    </xf>
    <xf numFmtId="0" fontId="7" fillId="0" borderId="106" xfId="0" applyFont="1" applyFill="1" applyBorder="1" applyAlignment="1" applyProtection="1">
      <alignment horizontal="center" vertical="center" wrapText="1"/>
      <protection hidden="1"/>
    </xf>
    <xf numFmtId="0" fontId="7" fillId="0" borderId="16" xfId="0" applyFont="1" applyFill="1" applyBorder="1" applyAlignment="1" applyProtection="1">
      <alignment horizontal="center" vertical="center" wrapText="1"/>
      <protection hidden="1"/>
    </xf>
    <xf numFmtId="0" fontId="7" fillId="0" borderId="30"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8" fillId="37" borderId="1" xfId="0" applyNumberFormat="1" applyFont="1" applyFill="1" applyBorder="1" applyAlignment="1" applyProtection="1">
      <alignment horizontal="center"/>
      <protection hidden="1"/>
    </xf>
    <xf numFmtId="4" fontId="3" fillId="36" borderId="21" xfId="53" applyNumberFormat="1" applyFont="1" applyFill="1" applyBorder="1" applyAlignment="1" applyProtection="1">
      <alignment horizontal="center" vertical="center" wrapText="1"/>
      <protection hidden="1"/>
    </xf>
    <xf numFmtId="4" fontId="7" fillId="36" borderId="42" xfId="53" applyNumberFormat="1" applyFont="1" applyFill="1" applyBorder="1" applyAlignment="1" applyProtection="1">
      <alignment horizontal="center" vertical="center" wrapText="1"/>
      <protection hidden="1"/>
    </xf>
    <xf numFmtId="4" fontId="7" fillId="36" borderId="1" xfId="53" applyNumberFormat="1"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0" fontId="7" fillId="0" borderId="47" xfId="0" applyFont="1" applyFill="1" applyBorder="1" applyAlignment="1" applyProtection="1">
      <alignment horizontal="center" vertical="center" wrapText="1"/>
      <protection hidden="1"/>
    </xf>
    <xf numFmtId="0" fontId="7" fillId="0" borderId="46" xfId="0" applyFont="1" applyFill="1" applyBorder="1" applyAlignment="1" applyProtection="1">
      <alignment horizontal="center" vertical="center" wrapText="1"/>
      <protection hidden="1"/>
    </xf>
    <xf numFmtId="0" fontId="13" fillId="38" borderId="4" xfId="0" applyFont="1" applyFill="1" applyBorder="1" applyAlignment="1" applyProtection="1">
      <alignment horizontal="left" vertical="center" wrapText="1"/>
      <protection hidden="1"/>
    </xf>
    <xf numFmtId="0" fontId="13" fillId="38" borderId="8" xfId="0" applyFont="1" applyFill="1" applyBorder="1" applyAlignment="1" applyProtection="1">
      <alignment vertical="center" wrapText="1"/>
      <protection hidden="1"/>
    </xf>
    <xf numFmtId="0" fontId="13" fillId="38" borderId="0" xfId="0" applyFont="1" applyFill="1" applyBorder="1" applyAlignment="1" applyProtection="1">
      <alignment vertical="center" wrapText="1"/>
      <protection hidden="1"/>
    </xf>
    <xf numFmtId="0" fontId="13" fillId="38" borderId="4" xfId="0" applyFont="1" applyFill="1" applyBorder="1" applyAlignment="1" applyProtection="1">
      <alignment vertical="center" wrapText="1"/>
      <protection hidden="1"/>
    </xf>
    <xf numFmtId="0" fontId="13" fillId="38" borderId="29" xfId="0" applyFont="1" applyFill="1" applyBorder="1" applyAlignment="1" applyProtection="1">
      <alignment horizontal="left" vertical="center" wrapText="1"/>
      <protection hidden="1"/>
    </xf>
    <xf numFmtId="0" fontId="21" fillId="41" borderId="28" xfId="0" applyFont="1" applyFill="1" applyBorder="1" applyAlignment="1" applyProtection="1">
      <alignment horizontal="center" vertical="center" wrapText="1"/>
      <protection hidden="1"/>
    </xf>
    <xf numFmtId="0" fontId="21" fillId="41" borderId="17" xfId="0" applyFont="1" applyFill="1" applyBorder="1" applyAlignment="1" applyProtection="1">
      <alignment horizontal="center" vertical="center" wrapText="1"/>
      <protection hidden="1"/>
    </xf>
    <xf numFmtId="0" fontId="13" fillId="38" borderId="6" xfId="0" applyFont="1" applyFill="1" applyBorder="1" applyAlignment="1" applyProtection="1">
      <alignment horizontal="left" vertical="center" wrapText="1"/>
      <protection hidden="1"/>
    </xf>
    <xf numFmtId="0" fontId="13" fillId="38" borderId="40" xfId="0" applyFont="1" applyFill="1" applyBorder="1" applyAlignment="1" applyProtection="1">
      <alignment horizontal="left" vertical="center" wrapText="1"/>
      <protection hidden="1"/>
    </xf>
    <xf numFmtId="0" fontId="13" fillId="38" borderId="35" xfId="0" applyFont="1" applyFill="1" applyBorder="1" applyAlignment="1" applyProtection="1">
      <alignment horizontal="left" vertical="center" wrapText="1"/>
      <protection hidden="1"/>
    </xf>
    <xf numFmtId="0" fontId="13" fillId="38" borderId="100" xfId="0" applyFont="1" applyFill="1" applyBorder="1" applyAlignment="1" applyProtection="1">
      <alignment horizontal="left" vertical="center" wrapText="1"/>
      <protection hidden="1"/>
    </xf>
    <xf numFmtId="0" fontId="16" fillId="0" borderId="6" xfId="0" applyFont="1" applyFill="1" applyBorder="1" applyAlignment="1" applyProtection="1">
      <alignment horizontal="center" vertical="center" wrapText="1"/>
      <protection hidden="1"/>
    </xf>
    <xf numFmtId="0" fontId="16" fillId="0" borderId="19" xfId="0" applyFont="1" applyFill="1" applyBorder="1" applyAlignment="1" applyProtection="1">
      <alignment horizontal="center" vertical="center" wrapText="1"/>
      <protection hidden="1"/>
    </xf>
    <xf numFmtId="0" fontId="58" fillId="39" borderId="63" xfId="0" applyFont="1" applyFill="1" applyBorder="1" applyAlignment="1" applyProtection="1">
      <alignment horizontal="center" vertical="center" wrapText="1"/>
      <protection hidden="1"/>
    </xf>
    <xf numFmtId="0" fontId="58" fillId="39" borderId="64" xfId="0" applyFont="1" applyFill="1" applyBorder="1" applyAlignment="1" applyProtection="1">
      <alignment horizontal="center" vertical="center" wrapText="1"/>
      <protection hidden="1"/>
    </xf>
    <xf numFmtId="0" fontId="58" fillId="39" borderId="65" xfId="0" applyFont="1" applyFill="1" applyBorder="1" applyAlignment="1" applyProtection="1">
      <alignment horizontal="center" vertical="center" wrapText="1"/>
      <protection hidden="1"/>
    </xf>
    <xf numFmtId="0" fontId="58" fillId="39" borderId="66" xfId="0" applyFont="1" applyFill="1" applyBorder="1" applyAlignment="1" applyProtection="1">
      <alignment horizontal="center" vertical="center" wrapText="1"/>
      <protection hidden="1"/>
    </xf>
    <xf numFmtId="0" fontId="58" fillId="39" borderId="67" xfId="0" applyFont="1" applyFill="1" applyBorder="1" applyAlignment="1" applyProtection="1">
      <alignment horizontal="center" vertical="center" wrapText="1"/>
      <protection hidden="1"/>
    </xf>
    <xf numFmtId="0" fontId="58" fillId="39" borderId="68" xfId="0" applyFont="1" applyFill="1" applyBorder="1" applyAlignment="1" applyProtection="1">
      <alignment horizontal="center" vertical="center" wrapText="1"/>
      <protection hidden="1"/>
    </xf>
    <xf numFmtId="0" fontId="12" fillId="37" borderId="28" xfId="0" applyFont="1" applyFill="1" applyBorder="1" applyAlignment="1" applyProtection="1">
      <alignment horizontal="center" wrapText="1"/>
      <protection hidden="1"/>
    </xf>
    <xf numFmtId="0" fontId="12" fillId="37" borderId="17" xfId="0" applyFont="1" applyFill="1" applyBorder="1" applyAlignment="1" applyProtection="1">
      <alignment horizontal="center" wrapText="1"/>
      <protection hidden="1"/>
    </xf>
    <xf numFmtId="0" fontId="12" fillId="37" borderId="38" xfId="0" applyFont="1" applyFill="1" applyBorder="1" applyAlignment="1" applyProtection="1">
      <alignment horizontal="center" wrapText="1"/>
      <protection hidden="1"/>
    </xf>
    <xf numFmtId="0" fontId="16" fillId="0" borderId="8"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16" fillId="0" borderId="9" xfId="0" applyFont="1" applyFill="1" applyBorder="1" applyAlignment="1" applyProtection="1">
      <alignment horizontal="center" vertical="center" wrapText="1"/>
      <protection hidden="1"/>
    </xf>
    <xf numFmtId="168" fontId="25" fillId="0" borderId="28" xfId="0" applyNumberFormat="1" applyFont="1" applyBorder="1" applyAlignment="1" applyProtection="1">
      <alignment horizontal="center" vertical="center" wrapText="1"/>
      <protection hidden="1"/>
    </xf>
    <xf numFmtId="168" fontId="25" fillId="0" borderId="17" xfId="0" applyNumberFormat="1" applyFont="1" applyBorder="1" applyAlignment="1" applyProtection="1">
      <alignment horizontal="center" vertical="center" wrapText="1"/>
      <protection hidden="1"/>
    </xf>
    <xf numFmtId="168" fontId="25" fillId="0" borderId="38" xfId="0" applyNumberFormat="1" applyFont="1" applyBorder="1" applyAlignment="1" applyProtection="1">
      <alignment horizontal="center" vertical="center" wrapText="1"/>
      <protection hidden="1"/>
    </xf>
    <xf numFmtId="4" fontId="31" fillId="0" borderId="28" xfId="0" applyNumberFormat="1" applyFont="1" applyFill="1" applyBorder="1" applyAlignment="1" applyProtection="1">
      <alignment horizontal="center" vertical="center" wrapText="1"/>
      <protection hidden="1"/>
    </xf>
    <xf numFmtId="4" fontId="31" fillId="0" borderId="17" xfId="0" applyNumberFormat="1" applyFont="1" applyFill="1" applyBorder="1" applyAlignment="1" applyProtection="1">
      <alignment horizontal="center" vertical="center" wrapText="1"/>
      <protection hidden="1"/>
    </xf>
    <xf numFmtId="4" fontId="31" fillId="0" borderId="38" xfId="0" applyNumberFormat="1" applyFont="1" applyFill="1" applyBorder="1" applyAlignment="1" applyProtection="1">
      <alignment horizontal="center" vertical="center" wrapText="1"/>
      <protection hidden="1"/>
    </xf>
    <xf numFmtId="49" fontId="13" fillId="38" borderId="4" xfId="0" applyNumberFormat="1" applyFont="1" applyFill="1" applyBorder="1" applyAlignment="1" applyProtection="1">
      <alignment horizontal="left" vertical="center" wrapText="1"/>
      <protection hidden="1"/>
    </xf>
    <xf numFmtId="0" fontId="14" fillId="42" borderId="15" xfId="0" applyFont="1" applyFill="1" applyBorder="1" applyAlignment="1" applyProtection="1">
      <alignment horizontal="center" vertical="center" wrapText="1"/>
      <protection hidden="1"/>
    </xf>
    <xf numFmtId="0" fontId="14" fillId="42" borderId="16" xfId="0" applyFont="1" applyFill="1" applyBorder="1" applyAlignment="1" applyProtection="1">
      <alignment horizontal="center" vertical="center" wrapText="1"/>
      <protection hidden="1"/>
    </xf>
    <xf numFmtId="0" fontId="14" fillId="42" borderId="30" xfId="0" applyFont="1" applyFill="1" applyBorder="1" applyAlignment="1" applyProtection="1">
      <alignment horizontal="center" vertical="center" wrapText="1"/>
      <protection hidden="1"/>
    </xf>
    <xf numFmtId="0" fontId="14" fillId="42" borderId="28" xfId="0" applyFont="1" applyFill="1" applyBorder="1" applyAlignment="1" applyProtection="1">
      <alignment horizontal="center" vertical="center" wrapText="1"/>
      <protection hidden="1"/>
    </xf>
    <xf numFmtId="0" fontId="14" fillId="42" borderId="17" xfId="0" applyFont="1" applyFill="1" applyBorder="1" applyAlignment="1" applyProtection="1">
      <alignment horizontal="center" vertical="center" wrapText="1"/>
      <protection hidden="1"/>
    </xf>
    <xf numFmtId="0" fontId="14" fillId="42" borderId="38" xfId="0" applyFont="1" applyFill="1" applyBorder="1" applyAlignment="1" applyProtection="1">
      <alignment horizontal="center" vertical="center" wrapText="1"/>
      <protection hidden="1"/>
    </xf>
    <xf numFmtId="0" fontId="16" fillId="2" borderId="8"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0" fontId="16" fillId="2" borderId="15" xfId="0" applyFont="1" applyFill="1" applyBorder="1" applyAlignment="1" applyProtection="1">
      <alignment horizontal="center" vertical="center" wrapText="1"/>
      <protection hidden="1"/>
    </xf>
    <xf numFmtId="0" fontId="16" fillId="2" borderId="30" xfId="0" applyFont="1" applyFill="1" applyBorder="1" applyAlignment="1" applyProtection="1">
      <alignment horizontal="center" vertical="center" wrapText="1"/>
      <protection hidden="1"/>
    </xf>
    <xf numFmtId="0" fontId="13" fillId="38" borderId="99" xfId="0" applyFont="1" applyFill="1" applyBorder="1" applyAlignment="1" applyProtection="1">
      <alignment horizontal="left" vertical="center" wrapText="1"/>
      <protection hidden="1"/>
    </xf>
    <xf numFmtId="0" fontId="13" fillId="38" borderId="34" xfId="0" applyFont="1" applyFill="1" applyBorder="1" applyAlignment="1" applyProtection="1">
      <alignment horizontal="left" vertical="center" wrapText="1"/>
      <protection hidden="1"/>
    </xf>
    <xf numFmtId="0" fontId="21" fillId="41" borderId="25" xfId="0" applyFont="1" applyFill="1" applyBorder="1" applyAlignment="1" applyProtection="1">
      <alignment horizontal="center" vertical="center" wrapText="1"/>
      <protection hidden="1"/>
    </xf>
    <xf numFmtId="0" fontId="21" fillId="41" borderId="43" xfId="0" applyFont="1" applyFill="1" applyBorder="1" applyAlignment="1" applyProtection="1">
      <alignment horizontal="center" vertical="center" wrapText="1"/>
      <protection hidden="1"/>
    </xf>
    <xf numFmtId="0" fontId="21" fillId="41" borderId="103" xfId="0" applyFont="1" applyFill="1" applyBorder="1" applyAlignment="1" applyProtection="1">
      <alignment horizontal="center" vertical="center" wrapText="1"/>
      <protection hidden="1"/>
    </xf>
    <xf numFmtId="0" fontId="21" fillId="41" borderId="52" xfId="0" applyFont="1" applyFill="1" applyBorder="1" applyAlignment="1" applyProtection="1">
      <alignment horizontal="center" vertical="center" wrapText="1"/>
      <protection hidden="1"/>
    </xf>
    <xf numFmtId="0" fontId="57" fillId="39" borderId="0" xfId="0" applyFont="1" applyFill="1" applyBorder="1" applyAlignment="1" applyProtection="1">
      <alignment horizontal="center" vertical="center"/>
      <protection hidden="1"/>
    </xf>
    <xf numFmtId="0" fontId="21" fillId="41" borderId="38" xfId="0" applyFont="1" applyFill="1" applyBorder="1" applyAlignment="1" applyProtection="1">
      <alignment horizontal="center" vertical="center" wrapText="1"/>
      <protection hidden="1"/>
    </xf>
    <xf numFmtId="37" fontId="21" fillId="41" borderId="28" xfId="28" applyNumberFormat="1" applyFont="1" applyFill="1" applyBorder="1" applyAlignment="1" applyProtection="1">
      <alignment horizontal="center" vertical="center" wrapText="1"/>
      <protection hidden="1"/>
    </xf>
    <xf numFmtId="37" fontId="21" fillId="41" borderId="17" xfId="28" applyNumberFormat="1" applyFont="1" applyFill="1" applyBorder="1" applyAlignment="1" applyProtection="1">
      <alignment horizontal="center" vertical="center" wrapText="1"/>
      <protection hidden="1"/>
    </xf>
    <xf numFmtId="37" fontId="21" fillId="41" borderId="38" xfId="28" applyNumberFormat="1" applyFont="1" applyFill="1" applyBorder="1" applyAlignment="1" applyProtection="1">
      <alignment horizontal="center" vertical="center" wrapText="1"/>
      <protection hidden="1"/>
    </xf>
    <xf numFmtId="0" fontId="13" fillId="38" borderId="24" xfId="0" applyFont="1" applyFill="1" applyBorder="1" applyAlignment="1" applyProtection="1">
      <alignment horizontal="left" vertical="center" wrapText="1"/>
      <protection hidden="1"/>
    </xf>
    <xf numFmtId="0" fontId="13" fillId="38" borderId="3" xfId="0" applyFont="1" applyFill="1" applyBorder="1" applyAlignment="1" applyProtection="1">
      <alignment horizontal="left" vertical="center" wrapText="1"/>
      <protection hidden="1"/>
    </xf>
    <xf numFmtId="0" fontId="13" fillId="38" borderId="18" xfId="0" applyFont="1" applyFill="1" applyBorder="1" applyAlignment="1" applyProtection="1">
      <alignment horizontal="left" vertical="center" wrapText="1"/>
      <protection hidden="1"/>
    </xf>
    <xf numFmtId="0" fontId="13" fillId="38" borderId="106" xfId="0" applyFont="1" applyFill="1" applyBorder="1" applyAlignment="1" applyProtection="1">
      <alignment horizontal="left" vertical="center" wrapText="1"/>
      <protection hidden="1"/>
    </xf>
    <xf numFmtId="0" fontId="12" fillId="37" borderId="21" xfId="0" applyFont="1" applyFill="1" applyBorder="1" applyAlignment="1" applyProtection="1">
      <alignment horizontal="center"/>
      <protection hidden="1"/>
    </xf>
    <xf numFmtId="0" fontId="12" fillId="37" borderId="42" xfId="0" applyFont="1" applyFill="1" applyBorder="1" applyAlignment="1" applyProtection="1">
      <alignment horizontal="center"/>
      <protection hidden="1"/>
    </xf>
    <xf numFmtId="0" fontId="12" fillId="37" borderId="1" xfId="0" applyFont="1" applyFill="1" applyBorder="1" applyAlignment="1" applyProtection="1">
      <alignment horizontal="center"/>
      <protection hidden="1"/>
    </xf>
    <xf numFmtId="0" fontId="8" fillId="40" borderId="21" xfId="53" applyFont="1" applyFill="1" applyBorder="1" applyAlignment="1" applyProtection="1">
      <alignment horizontal="center"/>
      <protection hidden="1"/>
    </xf>
    <xf numFmtId="0" fontId="8" fillId="40" borderId="1" xfId="53" applyFont="1" applyFill="1" applyBorder="1" applyAlignment="1" applyProtection="1">
      <alignment horizontal="center"/>
      <protection hidden="1"/>
    </xf>
    <xf numFmtId="0" fontId="8" fillId="40" borderId="21" xfId="0" applyFont="1" applyFill="1" applyBorder="1" applyAlignment="1" applyProtection="1">
      <alignment horizontal="center"/>
      <protection hidden="1"/>
    </xf>
    <xf numFmtId="0" fontId="8" fillId="40" borderId="42" xfId="0" applyFont="1" applyFill="1" applyBorder="1" applyAlignment="1" applyProtection="1">
      <alignment horizontal="center"/>
      <protection hidden="1"/>
    </xf>
    <xf numFmtId="0" fontId="8" fillId="40" borderId="1" xfId="0" applyFont="1" applyFill="1" applyBorder="1" applyAlignment="1" applyProtection="1">
      <alignment horizontal="center"/>
      <protection hidden="1"/>
    </xf>
    <xf numFmtId="0" fontId="8" fillId="40" borderId="2" xfId="53" applyFont="1" applyFill="1" applyBorder="1" applyAlignment="1" applyProtection="1">
      <alignment horizontal="center"/>
      <protection hidden="1"/>
    </xf>
  </cellXfs>
  <cellStyles count="123">
    <cellStyle name="20% - Accent1" xfId="1" builtinId="30" customBuiltin="1"/>
    <cellStyle name="20% - Accent1 2" xfId="70"/>
    <cellStyle name="20% - Accent1 3" xfId="107"/>
    <cellStyle name="20% - Accent2" xfId="2" builtinId="34" customBuiltin="1"/>
    <cellStyle name="20% - Accent2 2" xfId="71"/>
    <cellStyle name="20% - Accent2 3" xfId="108"/>
    <cellStyle name="20% - Accent3" xfId="3" builtinId="38" customBuiltin="1"/>
    <cellStyle name="20% - Accent3 2" xfId="72"/>
    <cellStyle name="20% - Accent3 3" xfId="109"/>
    <cellStyle name="20% - Accent4" xfId="4" builtinId="42" customBuiltin="1"/>
    <cellStyle name="20% - Accent4 2" xfId="73"/>
    <cellStyle name="20% - Accent4 3" xfId="110"/>
    <cellStyle name="20% - Accent5" xfId="5" builtinId="46" customBuiltin="1"/>
    <cellStyle name="20% - Accent5 2" xfId="74"/>
    <cellStyle name="20% - Accent5 3" xfId="111"/>
    <cellStyle name="20% - Accent6" xfId="6" builtinId="50" customBuiltin="1"/>
    <cellStyle name="20% - Accent6 2" xfId="75"/>
    <cellStyle name="20% - Accent6 3" xfId="112"/>
    <cellStyle name="40% - Accent1" xfId="7" builtinId="31" customBuiltin="1"/>
    <cellStyle name="40% - Accent1 2" xfId="76"/>
    <cellStyle name="40% - Accent1 3" xfId="113"/>
    <cellStyle name="40% - Accent2" xfId="8" builtinId="35" customBuiltin="1"/>
    <cellStyle name="40% - Accent2 2" xfId="77"/>
    <cellStyle name="40% - Accent2 3" xfId="114"/>
    <cellStyle name="40% - Accent3" xfId="9" builtinId="39" customBuiltin="1"/>
    <cellStyle name="40% - Accent3 2" xfId="78"/>
    <cellStyle name="40% - Accent3 3" xfId="115"/>
    <cellStyle name="40% - Accent4" xfId="10" builtinId="43" customBuiltin="1"/>
    <cellStyle name="40% - Accent4 2" xfId="79"/>
    <cellStyle name="40% - Accent4 3" xfId="116"/>
    <cellStyle name="40% - Accent5" xfId="11" builtinId="47" customBuiltin="1"/>
    <cellStyle name="40% - Accent5 2" xfId="80"/>
    <cellStyle name="40% - Accent5 3" xfId="117"/>
    <cellStyle name="40% - Accent6" xfId="12" builtinId="51" customBuiltin="1"/>
    <cellStyle name="40% - Accent6 2" xfId="81"/>
    <cellStyle name="40% - Accent6 3" xfId="118"/>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te 2" xfId="56"/>
    <cellStyle name="Note 2 2" xfId="99"/>
    <cellStyle name="Note 2 3" xfId="122"/>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8">
    <dxf>
      <numFmt numFmtId="27" formatCode="mm/d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19" formatCode="mm/dd/yyyy"/>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5.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8.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AIMS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5.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8.xml><?xml version="1.0" encoding="utf-8"?>
<table xmlns="http://schemas.openxmlformats.org/spreadsheetml/2006/main" id="20" name="MMWR_ACCURACY_RO" displayName="MMWR_ACCURACY_RO" ref="B2:P74" tableType="queryTable" totalsRowShown="0">
  <autoFilter ref="B2:P74"/>
  <tableColumns count="15">
    <tableColumn id="1" uniqueName="1" name="MMWR_ACCURACY_RO" queryTableFieldId="1"/>
    <tableColumn id="2" uniqueName="2" name="DEF_DIST" queryTableFieldId="2"/>
    <tableColumn id="3" uniqueName="3" name="RELEASE_DATE" queryTableFieldId="3" dataDxfId="15"/>
    <tableColumn id="4" uniqueName="4" name="RO" queryTableFieldId="4"/>
    <tableColumn id="5" uniqueName="5" name="COMP3_ISSUES_WGHTED_ACC" queryTableFieldId="5" dataDxfId="14" dataCellStyle="Percent"/>
    <tableColumn id="6" uniqueName="6" name="COMP3_RTNG_CLM_WGHTED_ACC" queryTableFieldId="6" dataDxfId="13" dataCellStyle="Percent"/>
    <tableColumn id="7" uniqueName="7" name="COMP12_RTNG_CLM_WGHTED_ACC" queryTableFieldId="7" dataDxfId="12" dataCellStyle="Percent"/>
    <tableColumn id="8" uniqueName="8" name="COMP12_RTNG_CLAIMS_MOE" queryTableFieldId="8" dataDxfId="11" dataCellStyle="Percent"/>
    <tableColumn id="9" uniqueName="9" name="COMP12_AUTH_CLM_WGHTED_ACC" queryTableFieldId="9" dataDxfId="10" dataCellStyle="Percent"/>
    <tableColumn id="10" uniqueName="10" name="COMP12_AUTH_CLM_MOE" queryTableFieldId="10" dataDxfId="9" dataCellStyle="Percent"/>
    <tableColumn id="11" uniqueName="11" name="PMC3_RTNG_CLM_WGHTED_ACC" queryTableFieldId="11" dataDxfId="8" dataCellStyle="Percent"/>
    <tableColumn id="12" uniqueName="12" name="PMC12_RTNG_CLM_WGHTED_ACC" queryTableFieldId="12" dataDxfId="7" dataCellStyle="Percent"/>
    <tableColumn id="13" uniqueName="13" name="PMC12_RTNG_CLM_MOE" queryTableFieldId="13" dataDxfId="6" dataCellStyle="Percent"/>
    <tableColumn id="14" uniqueName="14" name="PMC12_AUTH_CLM_WGHTED_ACC" queryTableFieldId="14" dataDxfId="5" dataCellStyle="Percent"/>
    <tableColumn id="15" uniqueName="15" name="PMC12_AUTH_CLM_MOE" queryTableFieldId="15" dataDxfId="4" dataCellStyle="Percent"/>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autoFilter ref="BJ2:BY81"/>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0.bin"/><Relationship Id="rId5" Type="http://schemas.openxmlformats.org/officeDocument/2006/relationships/table" Target="../tables/table17.xml"/><Relationship Id="rId4" Type="http://schemas.openxmlformats.org/officeDocument/2006/relationships/table" Target="../tables/table1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312</v>
      </c>
      <c r="B1" s="275"/>
      <c r="C1" s="275"/>
      <c r="D1" s="275"/>
      <c r="E1" s="275"/>
      <c r="F1" s="275"/>
      <c r="G1" s="275"/>
      <c r="H1" s="275"/>
      <c r="I1" s="275"/>
      <c r="J1" s="275"/>
      <c r="K1" s="275"/>
      <c r="L1" s="275"/>
      <c r="M1" s="275"/>
      <c r="N1" s="275"/>
      <c r="O1" s="275"/>
      <c r="P1" s="276"/>
    </row>
    <row r="2" spans="1:16" ht="29.25" customHeight="1" x14ac:dyDescent="0.2">
      <c r="A2" s="268" t="s">
        <v>314</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310</v>
      </c>
      <c r="B8" s="266"/>
      <c r="C8" s="266"/>
      <c r="D8" s="266"/>
      <c r="E8" s="266"/>
      <c r="F8" s="266"/>
      <c r="G8" s="267"/>
      <c r="H8" s="265" t="s">
        <v>311</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A3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70" zoomScaleNormal="70" workbookViewId="0"/>
  </sheetViews>
  <sheetFormatPr defaultRowHeight="12.75" x14ac:dyDescent="0.2"/>
  <cols>
    <col min="2" max="2" width="64.42578125" customWidth="1"/>
    <col min="3" max="3" width="14.85546875" customWidth="1"/>
    <col min="4" max="4" width="12.5703125" customWidth="1"/>
    <col min="6" max="6" width="20.28515625" bestFit="1" customWidth="1"/>
    <col min="7" max="7" width="27.28515625" bestFit="1" customWidth="1"/>
    <col min="8" max="8" width="21.140625" bestFit="1" customWidth="1"/>
    <col min="9" max="9" width="12.85546875" bestFit="1" customWidth="1"/>
    <col min="10" max="10" width="21" bestFit="1" customWidth="1"/>
    <col min="11" max="11" width="12.5703125" bestFit="1" customWidth="1"/>
    <col min="12" max="12" width="24.42578125" bestFit="1" customWidth="1"/>
    <col min="13" max="13" width="16" bestFit="1" customWidth="1"/>
    <col min="14" max="14" width="32.5703125" bestFit="1" customWidth="1"/>
    <col min="15" max="15" width="24.28515625" bestFit="1" customWidth="1"/>
    <col min="16" max="16" width="34.5703125" bestFit="1" customWidth="1"/>
    <col min="17" max="17" width="26.28515625" bestFit="1" customWidth="1"/>
    <col min="18" max="18" width="37.28515625" bestFit="1" customWidth="1"/>
    <col min="19" max="19" width="28.85546875" bestFit="1" customWidth="1"/>
    <col min="20" max="20" width="11.28515625" bestFit="1" customWidth="1"/>
    <col min="22" max="22" width="33.140625" customWidth="1"/>
    <col min="23" max="23" width="27.28515625" customWidth="1"/>
    <col min="24" max="24" width="21.140625" customWidth="1"/>
    <col min="25" max="25" width="12.85546875" customWidth="1"/>
    <col min="26" max="26" width="21" customWidth="1"/>
    <col min="27" max="27" width="12.5703125" customWidth="1"/>
    <col min="28" max="28" width="24.42578125" customWidth="1"/>
    <col min="29" max="29" width="16" customWidth="1"/>
    <col min="30" max="30" width="32.5703125" customWidth="1"/>
    <col min="31" max="31" width="24.28515625" customWidth="1"/>
    <col min="32" max="32" width="34.5703125" customWidth="1"/>
    <col min="33" max="33" width="26.28515625" customWidth="1"/>
    <col min="34" max="34" width="37.28515625" customWidth="1"/>
    <col min="35" max="35" width="28.85546875" customWidth="1"/>
    <col min="36" max="37" width="11.28515625" customWidth="1"/>
    <col min="38" max="38" width="30.7109375" customWidth="1"/>
    <col min="39" max="39" width="27.28515625" customWidth="1"/>
    <col min="40" max="40" width="21.140625" customWidth="1"/>
    <col min="41" max="41" width="12.85546875" customWidth="1"/>
    <col min="42" max="42" width="21" customWidth="1"/>
    <col min="43" max="43" width="12.5703125" customWidth="1"/>
    <col min="44" max="44" width="24.42578125" customWidth="1"/>
    <col min="45" max="45" width="16" customWidth="1"/>
    <col min="46" max="46" width="32.5703125" customWidth="1"/>
    <col min="47" max="47" width="24.28515625" customWidth="1"/>
    <col min="48" max="48" width="34.5703125" customWidth="1"/>
    <col min="49" max="49" width="26.28515625" customWidth="1"/>
    <col min="50" max="50" width="37.28515625" customWidth="1"/>
    <col min="51" max="51" width="28.85546875" customWidth="1"/>
  </cols>
  <sheetData>
    <row r="2" spans="2:51" x14ac:dyDescent="0.2">
      <c r="B2" t="s">
        <v>972</v>
      </c>
      <c r="C2" t="s">
        <v>973</v>
      </c>
      <c r="D2" t="s">
        <v>139</v>
      </c>
      <c r="F2" t="s">
        <v>967</v>
      </c>
      <c r="G2" t="s">
        <v>954</v>
      </c>
      <c r="H2" t="s">
        <v>955</v>
      </c>
      <c r="I2" t="s">
        <v>956</v>
      </c>
      <c r="J2" t="s">
        <v>957</v>
      </c>
      <c r="K2" t="s">
        <v>958</v>
      </c>
      <c r="L2" t="s">
        <v>959</v>
      </c>
      <c r="M2" t="s">
        <v>960</v>
      </c>
      <c r="N2" t="s">
        <v>961</v>
      </c>
      <c r="O2" t="s">
        <v>962</v>
      </c>
      <c r="P2" t="s">
        <v>963</v>
      </c>
      <c r="Q2" t="s">
        <v>964</v>
      </c>
      <c r="R2" t="s">
        <v>965</v>
      </c>
      <c r="S2" t="s">
        <v>966</v>
      </c>
      <c r="V2" t="s">
        <v>968</v>
      </c>
      <c r="W2" t="s">
        <v>954</v>
      </c>
      <c r="X2" t="s">
        <v>955</v>
      </c>
      <c r="Y2" t="s">
        <v>956</v>
      </c>
      <c r="Z2" t="s">
        <v>957</v>
      </c>
      <c r="AA2" t="s">
        <v>958</v>
      </c>
      <c r="AB2" t="s">
        <v>959</v>
      </c>
      <c r="AC2" t="s">
        <v>960</v>
      </c>
      <c r="AD2" t="s">
        <v>961</v>
      </c>
      <c r="AE2" t="s">
        <v>962</v>
      </c>
      <c r="AF2" t="s">
        <v>963</v>
      </c>
      <c r="AG2" t="s">
        <v>964</v>
      </c>
      <c r="AH2" t="s">
        <v>965</v>
      </c>
      <c r="AI2" t="s">
        <v>966</v>
      </c>
      <c r="AL2" t="s">
        <v>969</v>
      </c>
      <c r="AM2" t="s">
        <v>954</v>
      </c>
      <c r="AN2" t="s">
        <v>955</v>
      </c>
      <c r="AO2" t="s">
        <v>956</v>
      </c>
      <c r="AP2" t="s">
        <v>957</v>
      </c>
      <c r="AQ2" t="s">
        <v>958</v>
      </c>
      <c r="AR2" t="s">
        <v>959</v>
      </c>
      <c r="AS2" t="s">
        <v>960</v>
      </c>
      <c r="AT2" t="s">
        <v>961</v>
      </c>
      <c r="AU2" t="s">
        <v>962</v>
      </c>
      <c r="AV2" t="s">
        <v>963</v>
      </c>
      <c r="AW2" t="s">
        <v>964</v>
      </c>
      <c r="AX2" t="s">
        <v>965</v>
      </c>
      <c r="AY2" t="s">
        <v>966</v>
      </c>
    </row>
    <row r="3" spans="2:51" x14ac:dyDescent="0.2">
      <c r="B3" t="s">
        <v>975</v>
      </c>
      <c r="C3">
        <v>371305</v>
      </c>
      <c r="D3">
        <v>403.11351586500001</v>
      </c>
      <c r="F3" t="s">
        <v>8</v>
      </c>
      <c r="G3">
        <v>13017</v>
      </c>
      <c r="P3">
        <v>13017</v>
      </c>
      <c r="Q3">
        <v>180.65890758239999</v>
      </c>
      <c r="V3" t="s">
        <v>318</v>
      </c>
      <c r="W3">
        <v>365</v>
      </c>
      <c r="X3">
        <v>233</v>
      </c>
      <c r="Y3">
        <v>399.20171673819999</v>
      </c>
      <c r="Z3">
        <v>21</v>
      </c>
      <c r="AA3">
        <v>540.71428571429999</v>
      </c>
      <c r="AB3">
        <v>75</v>
      </c>
      <c r="AC3">
        <v>495.01333333330001</v>
      </c>
      <c r="AD3">
        <v>31</v>
      </c>
      <c r="AE3">
        <v>696.38709677420002</v>
      </c>
      <c r="AF3">
        <v>25</v>
      </c>
      <c r="AG3">
        <v>221.76</v>
      </c>
      <c r="AH3">
        <v>1</v>
      </c>
      <c r="AI3">
        <v>142</v>
      </c>
      <c r="AL3" t="s">
        <v>318</v>
      </c>
      <c r="AM3">
        <v>3</v>
      </c>
      <c r="AP3">
        <v>2</v>
      </c>
      <c r="AQ3">
        <v>412</v>
      </c>
      <c r="AR3">
        <v>2</v>
      </c>
      <c r="AS3">
        <v>93.5</v>
      </c>
      <c r="AT3">
        <v>1</v>
      </c>
      <c r="AU3">
        <v>75</v>
      </c>
    </row>
    <row r="4" spans="2:51" x14ac:dyDescent="0.2">
      <c r="B4" t="s">
        <v>974</v>
      </c>
      <c r="C4">
        <v>36779</v>
      </c>
      <c r="D4">
        <v>403.11351586500001</v>
      </c>
      <c r="F4" t="s">
        <v>8</v>
      </c>
      <c r="G4">
        <v>13017</v>
      </c>
      <c r="P4">
        <v>13017</v>
      </c>
      <c r="Q4">
        <v>180.65890758239999</v>
      </c>
      <c r="V4" t="s">
        <v>8</v>
      </c>
      <c r="W4">
        <v>4952</v>
      </c>
      <c r="X4">
        <v>3629</v>
      </c>
      <c r="Y4">
        <v>408.93689721689998</v>
      </c>
      <c r="Z4">
        <v>362</v>
      </c>
      <c r="AA4">
        <v>441.49447513809997</v>
      </c>
      <c r="AB4">
        <v>576</v>
      </c>
      <c r="AC4">
        <v>518.66145833329995</v>
      </c>
      <c r="AD4">
        <v>693</v>
      </c>
      <c r="AE4">
        <v>825.14141414139999</v>
      </c>
      <c r="AF4">
        <v>52</v>
      </c>
      <c r="AG4">
        <v>210</v>
      </c>
      <c r="AH4">
        <v>2</v>
      </c>
      <c r="AI4">
        <v>647</v>
      </c>
      <c r="AL4" t="s">
        <v>8</v>
      </c>
      <c r="AM4">
        <v>36</v>
      </c>
      <c r="AN4">
        <v>27</v>
      </c>
      <c r="AO4">
        <v>225.7777777778</v>
      </c>
      <c r="AP4">
        <v>14</v>
      </c>
      <c r="AQ4">
        <v>398.92857142859998</v>
      </c>
      <c r="AR4">
        <v>9</v>
      </c>
      <c r="AS4">
        <v>233</v>
      </c>
    </row>
    <row r="5" spans="2:51" x14ac:dyDescent="0.2">
      <c r="B5" t="s">
        <v>987</v>
      </c>
      <c r="C5">
        <v>20735</v>
      </c>
      <c r="D5">
        <v>563.46612008679995</v>
      </c>
      <c r="F5" t="s">
        <v>46</v>
      </c>
      <c r="G5">
        <v>465</v>
      </c>
      <c r="H5">
        <v>371</v>
      </c>
      <c r="I5">
        <v>219.06469002700001</v>
      </c>
      <c r="J5">
        <v>56</v>
      </c>
      <c r="K5">
        <v>469.64285714290003</v>
      </c>
      <c r="L5">
        <v>75</v>
      </c>
      <c r="M5">
        <v>121.7333333333</v>
      </c>
      <c r="N5">
        <v>19</v>
      </c>
      <c r="O5">
        <v>225.94736842110001</v>
      </c>
      <c r="V5" t="s">
        <v>8</v>
      </c>
      <c r="W5">
        <v>5317</v>
      </c>
      <c r="X5">
        <v>3862</v>
      </c>
      <c r="Y5">
        <v>408.34955981360002</v>
      </c>
      <c r="Z5">
        <v>383</v>
      </c>
      <c r="AA5">
        <v>446.93472584860001</v>
      </c>
      <c r="AB5">
        <v>651</v>
      </c>
      <c r="AC5">
        <v>515.93701996929997</v>
      </c>
      <c r="AD5">
        <v>724</v>
      </c>
      <c r="AE5">
        <v>819.62845303869994</v>
      </c>
      <c r="AF5">
        <v>77</v>
      </c>
      <c r="AG5">
        <v>213.8181818182</v>
      </c>
      <c r="AH5">
        <v>3</v>
      </c>
      <c r="AI5">
        <v>478.6666666667</v>
      </c>
      <c r="AL5" t="s">
        <v>8</v>
      </c>
      <c r="AM5">
        <v>39</v>
      </c>
      <c r="AN5">
        <v>27</v>
      </c>
      <c r="AO5">
        <v>225.7777777778</v>
      </c>
      <c r="AP5">
        <v>16</v>
      </c>
      <c r="AQ5">
        <v>400.5625</v>
      </c>
      <c r="AR5">
        <v>11</v>
      </c>
      <c r="AS5">
        <v>207.63636363640001</v>
      </c>
      <c r="AT5">
        <v>1</v>
      </c>
      <c r="AU5">
        <v>75</v>
      </c>
    </row>
    <row r="6" spans="2:51" x14ac:dyDescent="0.2">
      <c r="B6" t="s">
        <v>249</v>
      </c>
      <c r="C6">
        <v>57649</v>
      </c>
      <c r="D6">
        <v>617.46932297180001</v>
      </c>
      <c r="F6" t="s">
        <v>40</v>
      </c>
      <c r="G6">
        <v>7390</v>
      </c>
      <c r="H6">
        <v>5317</v>
      </c>
      <c r="I6">
        <v>453.61538461539999</v>
      </c>
      <c r="J6">
        <v>278</v>
      </c>
      <c r="K6">
        <v>933.16546762589996</v>
      </c>
      <c r="L6">
        <v>1448</v>
      </c>
      <c r="M6">
        <v>567.22582872930002</v>
      </c>
      <c r="N6">
        <v>617</v>
      </c>
      <c r="O6">
        <v>663.98379254459996</v>
      </c>
      <c r="R6">
        <v>8</v>
      </c>
      <c r="S6">
        <v>729</v>
      </c>
      <c r="V6" t="s">
        <v>409</v>
      </c>
      <c r="W6">
        <v>1262</v>
      </c>
      <c r="X6">
        <v>609</v>
      </c>
      <c r="Y6">
        <v>171.34811165849999</v>
      </c>
      <c r="Z6">
        <v>233</v>
      </c>
      <c r="AA6">
        <v>284.57081545059998</v>
      </c>
      <c r="AB6">
        <v>396</v>
      </c>
      <c r="AC6">
        <v>279.38636363640001</v>
      </c>
      <c r="AD6">
        <v>123</v>
      </c>
      <c r="AE6">
        <v>222.08130081300001</v>
      </c>
      <c r="AF6">
        <v>132</v>
      </c>
      <c r="AG6">
        <v>163.78787878790001</v>
      </c>
      <c r="AH6">
        <v>2</v>
      </c>
      <c r="AI6">
        <v>165</v>
      </c>
      <c r="AL6" t="s">
        <v>409</v>
      </c>
      <c r="AM6">
        <v>35</v>
      </c>
      <c r="AN6">
        <v>19</v>
      </c>
      <c r="AO6">
        <v>91.631578947400001</v>
      </c>
      <c r="AP6">
        <v>18</v>
      </c>
      <c r="AQ6">
        <v>286.55555555559999</v>
      </c>
      <c r="AR6">
        <v>13</v>
      </c>
      <c r="AS6">
        <v>296.15384615379998</v>
      </c>
      <c r="AT6">
        <v>3</v>
      </c>
      <c r="AU6">
        <v>41</v>
      </c>
    </row>
    <row r="7" spans="2:51" x14ac:dyDescent="0.2">
      <c r="B7" t="s">
        <v>248</v>
      </c>
      <c r="C7">
        <v>214398</v>
      </c>
      <c r="D7">
        <v>398.3805445946</v>
      </c>
      <c r="F7" t="s">
        <v>45</v>
      </c>
      <c r="G7">
        <v>6141</v>
      </c>
      <c r="H7">
        <v>4332</v>
      </c>
      <c r="I7">
        <v>384.47299168979998</v>
      </c>
      <c r="J7">
        <v>541</v>
      </c>
      <c r="K7">
        <v>441.12199630309999</v>
      </c>
      <c r="L7">
        <v>1252</v>
      </c>
      <c r="M7">
        <v>622.84185303510003</v>
      </c>
      <c r="N7">
        <v>555</v>
      </c>
      <c r="O7">
        <v>462.68468468470002</v>
      </c>
      <c r="R7">
        <v>2</v>
      </c>
      <c r="S7">
        <v>1441</v>
      </c>
      <c r="V7" t="s">
        <v>401</v>
      </c>
      <c r="W7">
        <v>13735</v>
      </c>
      <c r="X7">
        <v>9897</v>
      </c>
      <c r="Y7">
        <v>610.82489643329995</v>
      </c>
      <c r="Z7">
        <v>200</v>
      </c>
      <c r="AA7">
        <v>797.21500000000003</v>
      </c>
      <c r="AB7">
        <v>2741</v>
      </c>
      <c r="AC7">
        <v>1282.8431229478001</v>
      </c>
      <c r="AD7">
        <v>844</v>
      </c>
      <c r="AE7">
        <v>802.25118483409994</v>
      </c>
      <c r="AF7">
        <v>244</v>
      </c>
      <c r="AG7">
        <v>239.88114754099999</v>
      </c>
      <c r="AH7">
        <v>9</v>
      </c>
      <c r="AI7">
        <v>444.3333333333</v>
      </c>
      <c r="AL7" t="s">
        <v>401</v>
      </c>
      <c r="AM7">
        <v>221</v>
      </c>
      <c r="AN7">
        <v>199</v>
      </c>
      <c r="AO7">
        <v>338.16080402009999</v>
      </c>
      <c r="AP7">
        <v>39</v>
      </c>
      <c r="AQ7">
        <v>730.05128205129995</v>
      </c>
      <c r="AR7">
        <v>19</v>
      </c>
      <c r="AS7">
        <v>93.368421052599999</v>
      </c>
      <c r="AT7">
        <v>2</v>
      </c>
      <c r="AU7">
        <v>78.5</v>
      </c>
      <c r="AV7">
        <v>1</v>
      </c>
      <c r="AW7">
        <v>30</v>
      </c>
    </row>
    <row r="8" spans="2:51" x14ac:dyDescent="0.2">
      <c r="B8" t="s">
        <v>250</v>
      </c>
      <c r="C8">
        <v>23377</v>
      </c>
      <c r="D8">
        <v>525.92792060570002</v>
      </c>
      <c r="F8" t="s">
        <v>53</v>
      </c>
      <c r="G8">
        <v>1368</v>
      </c>
      <c r="H8">
        <v>440</v>
      </c>
      <c r="I8">
        <v>105.5431818182</v>
      </c>
      <c r="J8">
        <v>338</v>
      </c>
      <c r="K8">
        <v>227.6479289941</v>
      </c>
      <c r="L8">
        <v>690</v>
      </c>
      <c r="M8">
        <v>261.55362318840002</v>
      </c>
      <c r="N8">
        <v>233</v>
      </c>
      <c r="O8">
        <v>225.0214592275</v>
      </c>
      <c r="R8">
        <v>5</v>
      </c>
      <c r="S8">
        <v>158.19999999999999</v>
      </c>
      <c r="V8" t="s">
        <v>432</v>
      </c>
      <c r="W8">
        <v>1446</v>
      </c>
      <c r="X8">
        <v>974</v>
      </c>
      <c r="Y8">
        <v>253.2874743326</v>
      </c>
      <c r="Z8">
        <v>212</v>
      </c>
      <c r="AA8">
        <v>417.53773584909999</v>
      </c>
      <c r="AB8">
        <v>150</v>
      </c>
      <c r="AC8">
        <v>302.87333333330002</v>
      </c>
      <c r="AD8">
        <v>195</v>
      </c>
      <c r="AE8">
        <v>368.67179487179999</v>
      </c>
      <c r="AF8">
        <v>126</v>
      </c>
      <c r="AG8">
        <v>171.5238095238</v>
      </c>
      <c r="AH8">
        <v>1</v>
      </c>
      <c r="AI8">
        <v>389</v>
      </c>
      <c r="AL8" t="s">
        <v>432</v>
      </c>
      <c r="AM8">
        <v>23</v>
      </c>
      <c r="AN8">
        <v>18</v>
      </c>
      <c r="AO8">
        <v>166.7777777778</v>
      </c>
      <c r="AP8">
        <v>14</v>
      </c>
      <c r="AQ8">
        <v>249.28571428570001</v>
      </c>
      <c r="AR8">
        <v>4</v>
      </c>
      <c r="AS8">
        <v>404.25</v>
      </c>
      <c r="AT8">
        <v>1</v>
      </c>
      <c r="AU8">
        <v>58</v>
      </c>
    </row>
    <row r="9" spans="2:51" x14ac:dyDescent="0.2">
      <c r="B9" t="s">
        <v>251</v>
      </c>
      <c r="C9">
        <v>13017</v>
      </c>
      <c r="D9">
        <v>180.65890758239999</v>
      </c>
      <c r="F9" t="s">
        <v>84</v>
      </c>
      <c r="G9">
        <v>1336</v>
      </c>
      <c r="H9">
        <v>989</v>
      </c>
      <c r="I9">
        <v>251.25075834180001</v>
      </c>
      <c r="J9">
        <v>228</v>
      </c>
      <c r="K9">
        <v>441.38157894739999</v>
      </c>
      <c r="L9">
        <v>139</v>
      </c>
      <c r="M9">
        <v>235.5467625899</v>
      </c>
      <c r="N9">
        <v>206</v>
      </c>
      <c r="O9">
        <v>352.23786407770001</v>
      </c>
      <c r="R9">
        <v>2</v>
      </c>
      <c r="S9">
        <v>414</v>
      </c>
      <c r="V9" t="s">
        <v>402</v>
      </c>
      <c r="W9">
        <v>7977</v>
      </c>
      <c r="X9">
        <v>5817</v>
      </c>
      <c r="Y9">
        <v>470.15626611660002</v>
      </c>
      <c r="Z9">
        <v>257</v>
      </c>
      <c r="AA9">
        <v>722.47470817119995</v>
      </c>
      <c r="AB9">
        <v>1570</v>
      </c>
      <c r="AC9">
        <v>866.46496815290004</v>
      </c>
      <c r="AD9">
        <v>413</v>
      </c>
      <c r="AE9">
        <v>618.20823244550002</v>
      </c>
      <c r="AF9">
        <v>177</v>
      </c>
      <c r="AG9">
        <v>174.54802259889999</v>
      </c>
      <c r="AL9" t="s">
        <v>402</v>
      </c>
      <c r="AM9">
        <v>120</v>
      </c>
      <c r="AN9">
        <v>107</v>
      </c>
      <c r="AO9">
        <v>317.25233644859998</v>
      </c>
      <c r="AP9">
        <v>21</v>
      </c>
      <c r="AQ9">
        <v>565.33333333329995</v>
      </c>
      <c r="AR9">
        <v>12</v>
      </c>
      <c r="AS9">
        <v>362.3333333333</v>
      </c>
      <c r="AT9">
        <v>1</v>
      </c>
      <c r="AU9">
        <v>37</v>
      </c>
    </row>
    <row r="10" spans="2:51" x14ac:dyDescent="0.2">
      <c r="B10" t="s">
        <v>970</v>
      </c>
      <c r="C10">
        <v>385</v>
      </c>
      <c r="D10">
        <v>467.16363636360001</v>
      </c>
      <c r="F10" t="s">
        <v>79</v>
      </c>
      <c r="G10">
        <v>1772</v>
      </c>
      <c r="H10">
        <v>921</v>
      </c>
      <c r="I10">
        <v>115.095548317</v>
      </c>
      <c r="J10">
        <v>421</v>
      </c>
      <c r="K10">
        <v>230.14964370550001</v>
      </c>
      <c r="L10">
        <v>772</v>
      </c>
      <c r="M10">
        <v>305.90803108810002</v>
      </c>
      <c r="N10">
        <v>79</v>
      </c>
      <c r="O10">
        <v>115.49367088610001</v>
      </c>
      <c r="V10" t="s">
        <v>404</v>
      </c>
      <c r="W10">
        <v>7611</v>
      </c>
      <c r="X10">
        <v>5241</v>
      </c>
      <c r="Y10">
        <v>450.19290211790002</v>
      </c>
      <c r="Z10">
        <v>281</v>
      </c>
      <c r="AA10">
        <v>914.32028469750003</v>
      </c>
      <c r="AB10">
        <v>1456</v>
      </c>
      <c r="AC10">
        <v>572.5679945055</v>
      </c>
      <c r="AD10">
        <v>610</v>
      </c>
      <c r="AE10">
        <v>651.51803278689999</v>
      </c>
      <c r="AF10">
        <v>296</v>
      </c>
      <c r="AG10">
        <v>213.4189189189</v>
      </c>
      <c r="AH10">
        <v>8</v>
      </c>
      <c r="AI10">
        <v>729</v>
      </c>
      <c r="AL10" t="s">
        <v>404</v>
      </c>
      <c r="AM10">
        <v>326</v>
      </c>
      <c r="AN10">
        <v>243</v>
      </c>
      <c r="AO10">
        <v>317.62551440329997</v>
      </c>
      <c r="AP10">
        <v>42</v>
      </c>
      <c r="AQ10">
        <v>633.71428571429999</v>
      </c>
      <c r="AR10">
        <v>75</v>
      </c>
      <c r="AS10">
        <v>451.46666666670001</v>
      </c>
      <c r="AT10">
        <v>6</v>
      </c>
      <c r="AU10">
        <v>68.166666666699996</v>
      </c>
      <c r="AV10">
        <v>2</v>
      </c>
      <c r="AW10">
        <v>220</v>
      </c>
    </row>
    <row r="11" spans="2:51" x14ac:dyDescent="0.2">
      <c r="F11" t="s">
        <v>41</v>
      </c>
      <c r="G11">
        <v>13626</v>
      </c>
      <c r="H11">
        <v>10002</v>
      </c>
      <c r="I11">
        <v>616.43251349729996</v>
      </c>
      <c r="J11">
        <v>183</v>
      </c>
      <c r="K11">
        <v>888.69398907100003</v>
      </c>
      <c r="L11">
        <v>2788</v>
      </c>
      <c r="M11">
        <v>1294.1768292683</v>
      </c>
      <c r="N11">
        <v>827</v>
      </c>
      <c r="O11">
        <v>817.91535671099996</v>
      </c>
      <c r="R11">
        <v>9</v>
      </c>
      <c r="S11">
        <v>444.3333333333</v>
      </c>
      <c r="V11" t="s">
        <v>405</v>
      </c>
      <c r="W11">
        <v>6426</v>
      </c>
      <c r="X11">
        <v>4238</v>
      </c>
      <c r="Y11">
        <v>389.32279377060001</v>
      </c>
      <c r="Z11">
        <v>542</v>
      </c>
      <c r="AA11">
        <v>446.64760147599998</v>
      </c>
      <c r="AB11">
        <v>1262</v>
      </c>
      <c r="AC11">
        <v>629.49603803490004</v>
      </c>
      <c r="AD11">
        <v>549</v>
      </c>
      <c r="AE11">
        <v>474.39890710380001</v>
      </c>
      <c r="AF11">
        <v>375</v>
      </c>
      <c r="AG11">
        <v>164.5173333333</v>
      </c>
      <c r="AH11">
        <v>2</v>
      </c>
      <c r="AI11">
        <v>1441</v>
      </c>
      <c r="AL11" t="s">
        <v>405</v>
      </c>
      <c r="AM11">
        <v>229</v>
      </c>
      <c r="AN11">
        <v>207</v>
      </c>
      <c r="AO11">
        <v>286.59420289859997</v>
      </c>
      <c r="AP11">
        <v>19</v>
      </c>
      <c r="AQ11">
        <v>493.63157894739999</v>
      </c>
      <c r="AR11">
        <v>18</v>
      </c>
      <c r="AS11">
        <v>376.94444444440001</v>
      </c>
      <c r="AT11">
        <v>3</v>
      </c>
      <c r="AU11">
        <v>243.6666666667</v>
      </c>
      <c r="AV11">
        <v>1</v>
      </c>
      <c r="AW11">
        <v>75</v>
      </c>
    </row>
    <row r="12" spans="2:51" x14ac:dyDescent="0.2">
      <c r="F12" t="s">
        <v>59</v>
      </c>
      <c r="G12">
        <v>2928</v>
      </c>
      <c r="H12">
        <v>2364</v>
      </c>
      <c r="I12">
        <v>286.399323181</v>
      </c>
      <c r="J12">
        <v>204</v>
      </c>
      <c r="K12">
        <v>571.26470588239999</v>
      </c>
      <c r="L12">
        <v>508</v>
      </c>
      <c r="M12">
        <v>310.04330708660001</v>
      </c>
      <c r="N12">
        <v>56</v>
      </c>
      <c r="O12">
        <v>131.6428571429</v>
      </c>
      <c r="V12" t="s">
        <v>407</v>
      </c>
      <c r="W12">
        <v>6779</v>
      </c>
      <c r="X12">
        <v>5374</v>
      </c>
      <c r="Y12">
        <v>284.68291775210002</v>
      </c>
      <c r="Z12">
        <v>427</v>
      </c>
      <c r="AA12">
        <v>521.82201405149999</v>
      </c>
      <c r="AB12">
        <v>484</v>
      </c>
      <c r="AC12">
        <v>237.32644628099999</v>
      </c>
      <c r="AD12">
        <v>498</v>
      </c>
      <c r="AE12">
        <v>347.07028112450001</v>
      </c>
      <c r="AF12">
        <v>415</v>
      </c>
      <c r="AG12">
        <v>163.22409638549999</v>
      </c>
      <c r="AH12">
        <v>8</v>
      </c>
      <c r="AI12">
        <v>279.875</v>
      </c>
      <c r="AL12" t="s">
        <v>407</v>
      </c>
      <c r="AM12">
        <v>185</v>
      </c>
      <c r="AN12">
        <v>163</v>
      </c>
      <c r="AO12">
        <v>304.50920245399999</v>
      </c>
      <c r="AP12">
        <v>16</v>
      </c>
      <c r="AQ12">
        <v>554.625</v>
      </c>
      <c r="AR12">
        <v>21</v>
      </c>
      <c r="AS12">
        <v>299.23809523810002</v>
      </c>
      <c r="AT12">
        <v>1</v>
      </c>
      <c r="AU12">
        <v>80</v>
      </c>
    </row>
    <row r="13" spans="2:51" x14ac:dyDescent="0.2">
      <c r="F13" t="s">
        <v>78</v>
      </c>
      <c r="G13">
        <v>6230</v>
      </c>
      <c r="H13">
        <v>5282</v>
      </c>
      <c r="I13">
        <v>279.72926921620001</v>
      </c>
      <c r="J13">
        <v>414</v>
      </c>
      <c r="K13">
        <v>520.04106280190001</v>
      </c>
      <c r="L13">
        <v>459</v>
      </c>
      <c r="M13">
        <v>200.8801742919</v>
      </c>
      <c r="N13">
        <v>483</v>
      </c>
      <c r="O13">
        <v>347.31262939959998</v>
      </c>
      <c r="R13">
        <v>6</v>
      </c>
      <c r="S13">
        <v>331.3333333333</v>
      </c>
      <c r="V13" t="s">
        <v>410</v>
      </c>
      <c r="W13">
        <v>1578</v>
      </c>
      <c r="X13">
        <v>454</v>
      </c>
      <c r="Y13">
        <v>125.9317180617</v>
      </c>
      <c r="Z13">
        <v>331</v>
      </c>
      <c r="AA13">
        <v>227.48942598190001</v>
      </c>
      <c r="AB13">
        <v>677</v>
      </c>
      <c r="AC13">
        <v>257.68537666169999</v>
      </c>
      <c r="AD13">
        <v>226</v>
      </c>
      <c r="AE13">
        <v>231.53539823009999</v>
      </c>
      <c r="AF13">
        <v>216</v>
      </c>
      <c r="AG13">
        <v>177.1111111111</v>
      </c>
      <c r="AH13">
        <v>5</v>
      </c>
      <c r="AI13">
        <v>213</v>
      </c>
      <c r="AL13" t="s">
        <v>410</v>
      </c>
      <c r="AM13">
        <v>34</v>
      </c>
      <c r="AN13">
        <v>24</v>
      </c>
      <c r="AO13">
        <v>106.6666666667</v>
      </c>
      <c r="AP13">
        <v>11</v>
      </c>
      <c r="AQ13">
        <v>191</v>
      </c>
      <c r="AR13">
        <v>8</v>
      </c>
      <c r="AS13">
        <v>173.875</v>
      </c>
      <c r="AT13">
        <v>1</v>
      </c>
      <c r="AU13">
        <v>123</v>
      </c>
      <c r="AV13">
        <v>1</v>
      </c>
      <c r="AW13">
        <v>421</v>
      </c>
    </row>
    <row r="14" spans="2:51" x14ac:dyDescent="0.2">
      <c r="F14" t="s">
        <v>44</v>
      </c>
      <c r="G14">
        <v>1122</v>
      </c>
      <c r="H14">
        <v>603</v>
      </c>
      <c r="I14">
        <v>155.3333333333</v>
      </c>
      <c r="J14">
        <v>228</v>
      </c>
      <c r="K14">
        <v>282.22807017539998</v>
      </c>
      <c r="L14">
        <v>393</v>
      </c>
      <c r="M14">
        <v>272.1450381679</v>
      </c>
      <c r="N14">
        <v>125</v>
      </c>
      <c r="O14">
        <v>228.2</v>
      </c>
      <c r="R14">
        <v>1</v>
      </c>
      <c r="S14">
        <v>214</v>
      </c>
      <c r="V14" t="s">
        <v>411</v>
      </c>
      <c r="W14">
        <v>2233</v>
      </c>
      <c r="X14">
        <v>1100</v>
      </c>
      <c r="Y14">
        <v>146.59727272730001</v>
      </c>
      <c r="Z14">
        <v>443</v>
      </c>
      <c r="AA14">
        <v>243.3002257336</v>
      </c>
      <c r="AB14">
        <v>816</v>
      </c>
      <c r="AC14">
        <v>323.012254902</v>
      </c>
      <c r="AD14">
        <v>93</v>
      </c>
      <c r="AE14">
        <v>157.76344086020001</v>
      </c>
      <c r="AF14">
        <v>224</v>
      </c>
      <c r="AG14">
        <v>166.7946428571</v>
      </c>
      <c r="AL14" t="s">
        <v>411</v>
      </c>
      <c r="AM14">
        <v>33</v>
      </c>
      <c r="AN14">
        <v>18</v>
      </c>
      <c r="AO14">
        <v>79.277777777799997</v>
      </c>
      <c r="AP14">
        <v>21</v>
      </c>
      <c r="AQ14">
        <v>192.04761904759999</v>
      </c>
      <c r="AR14">
        <v>8</v>
      </c>
      <c r="AS14">
        <v>245.125</v>
      </c>
      <c r="AT14">
        <v>7</v>
      </c>
      <c r="AU14">
        <v>132.28571428570001</v>
      </c>
    </row>
    <row r="15" spans="2:51" x14ac:dyDescent="0.2">
      <c r="F15" t="s">
        <v>77</v>
      </c>
      <c r="G15">
        <v>245</v>
      </c>
      <c r="H15">
        <v>97</v>
      </c>
      <c r="I15">
        <v>103.412371134</v>
      </c>
      <c r="J15">
        <v>76</v>
      </c>
      <c r="K15">
        <v>199.38157894739999</v>
      </c>
      <c r="L15">
        <v>93</v>
      </c>
      <c r="M15">
        <v>197.1397849462</v>
      </c>
      <c r="N15">
        <v>52</v>
      </c>
      <c r="O15">
        <v>275.03846153849997</v>
      </c>
      <c r="R15">
        <v>3</v>
      </c>
      <c r="S15">
        <v>312.6666666667</v>
      </c>
      <c r="V15" t="s">
        <v>406</v>
      </c>
      <c r="W15">
        <v>3090</v>
      </c>
      <c r="X15">
        <v>2387</v>
      </c>
      <c r="Y15">
        <v>296.3736908253</v>
      </c>
      <c r="Z15">
        <v>205</v>
      </c>
      <c r="AA15">
        <v>566.58048780490003</v>
      </c>
      <c r="AB15">
        <v>500</v>
      </c>
      <c r="AC15">
        <v>315.30200000000002</v>
      </c>
      <c r="AD15">
        <v>76</v>
      </c>
      <c r="AE15">
        <v>214.43421052630001</v>
      </c>
      <c r="AF15">
        <v>127</v>
      </c>
      <c r="AG15">
        <v>119.3622047244</v>
      </c>
      <c r="AL15" t="s">
        <v>406</v>
      </c>
      <c r="AM15">
        <v>66</v>
      </c>
      <c r="AN15">
        <v>50</v>
      </c>
      <c r="AO15">
        <v>233</v>
      </c>
      <c r="AP15">
        <v>10</v>
      </c>
      <c r="AQ15">
        <v>282.7</v>
      </c>
      <c r="AR15">
        <v>12</v>
      </c>
      <c r="AS15">
        <v>236.0833333333</v>
      </c>
      <c r="AT15">
        <v>3</v>
      </c>
      <c r="AU15">
        <v>95.333333333300004</v>
      </c>
      <c r="AV15">
        <v>1</v>
      </c>
      <c r="AW15">
        <v>23</v>
      </c>
    </row>
    <row r="16" spans="2:51" x14ac:dyDescent="0.2">
      <c r="F16" t="s">
        <v>51</v>
      </c>
      <c r="G16">
        <v>8052</v>
      </c>
      <c r="H16">
        <v>6049</v>
      </c>
      <c r="I16">
        <v>469.54405686889999</v>
      </c>
      <c r="J16">
        <v>257</v>
      </c>
      <c r="K16">
        <v>714.95330739300005</v>
      </c>
      <c r="L16">
        <v>1601</v>
      </c>
      <c r="M16">
        <v>872.17863835100002</v>
      </c>
      <c r="N16">
        <v>402</v>
      </c>
      <c r="O16">
        <v>626.01990049749998</v>
      </c>
      <c r="V16" t="s">
        <v>429</v>
      </c>
      <c r="W16">
        <v>370</v>
      </c>
      <c r="X16">
        <v>268</v>
      </c>
      <c r="Y16">
        <v>233.77238805970001</v>
      </c>
      <c r="Z16">
        <v>35</v>
      </c>
      <c r="AA16">
        <v>472.11428571430002</v>
      </c>
      <c r="AB16">
        <v>61</v>
      </c>
      <c r="AC16">
        <v>193.06557377050001</v>
      </c>
      <c r="AD16">
        <v>10</v>
      </c>
      <c r="AE16">
        <v>234.3</v>
      </c>
      <c r="AF16">
        <v>31</v>
      </c>
      <c r="AG16">
        <v>140.25806451610001</v>
      </c>
      <c r="AL16" t="s">
        <v>429</v>
      </c>
      <c r="AM16">
        <v>4</v>
      </c>
      <c r="AN16">
        <v>3</v>
      </c>
      <c r="AO16">
        <v>264.3333333333</v>
      </c>
      <c r="AP16">
        <v>3</v>
      </c>
      <c r="AQ16">
        <v>178.6666666667</v>
      </c>
      <c r="AT16">
        <v>1</v>
      </c>
      <c r="AU16">
        <v>72</v>
      </c>
    </row>
    <row r="17" spans="6:49" x14ac:dyDescent="0.2">
      <c r="F17" t="s">
        <v>400</v>
      </c>
      <c r="G17">
        <v>50675</v>
      </c>
      <c r="H17">
        <v>36767</v>
      </c>
      <c r="I17">
        <v>430.37824679739998</v>
      </c>
      <c r="J17">
        <v>3224</v>
      </c>
      <c r="K17">
        <v>482.80086848640002</v>
      </c>
      <c r="L17">
        <v>10218</v>
      </c>
      <c r="M17">
        <v>728.04472499509995</v>
      </c>
      <c r="N17">
        <v>3654</v>
      </c>
      <c r="O17">
        <v>533.90886699509997</v>
      </c>
      <c r="R17">
        <v>36</v>
      </c>
      <c r="S17">
        <v>485.3333333333</v>
      </c>
      <c r="V17" t="s">
        <v>430</v>
      </c>
      <c r="W17">
        <v>210</v>
      </c>
      <c r="X17">
        <v>42</v>
      </c>
      <c r="Y17">
        <v>328.76190476189998</v>
      </c>
      <c r="Z17">
        <v>16</v>
      </c>
      <c r="AA17">
        <v>337.75</v>
      </c>
      <c r="AB17">
        <v>64</v>
      </c>
      <c r="AC17">
        <v>318.453125</v>
      </c>
      <c r="AD17">
        <v>50</v>
      </c>
      <c r="AE17">
        <v>283.44</v>
      </c>
      <c r="AF17">
        <v>51</v>
      </c>
      <c r="AG17">
        <v>160.862745098</v>
      </c>
      <c r="AH17">
        <v>3</v>
      </c>
      <c r="AI17">
        <v>312.6666666667</v>
      </c>
      <c r="AL17" t="s">
        <v>430</v>
      </c>
      <c r="AM17">
        <v>10</v>
      </c>
      <c r="AN17">
        <v>6</v>
      </c>
      <c r="AO17">
        <v>103.8333333333</v>
      </c>
      <c r="AP17">
        <v>6</v>
      </c>
      <c r="AQ17">
        <v>188.1666666667</v>
      </c>
      <c r="AR17">
        <v>3</v>
      </c>
      <c r="AS17">
        <v>155.3333333333</v>
      </c>
      <c r="AT17">
        <v>1</v>
      </c>
      <c r="AU17">
        <v>110</v>
      </c>
    </row>
    <row r="18" spans="6:49" x14ac:dyDescent="0.2">
      <c r="F18" t="s">
        <v>71</v>
      </c>
      <c r="G18">
        <v>2568</v>
      </c>
      <c r="H18">
        <v>2059</v>
      </c>
      <c r="I18">
        <v>257.89995143269999</v>
      </c>
      <c r="J18">
        <v>169</v>
      </c>
      <c r="K18">
        <v>658.93491124260004</v>
      </c>
      <c r="L18">
        <v>294</v>
      </c>
      <c r="M18">
        <v>253.8707482993</v>
      </c>
      <c r="N18">
        <v>210</v>
      </c>
      <c r="O18">
        <v>496.14761904760002</v>
      </c>
      <c r="R18">
        <v>5</v>
      </c>
      <c r="S18">
        <v>660.8</v>
      </c>
      <c r="V18" t="s">
        <v>400</v>
      </c>
      <c r="W18">
        <v>52717</v>
      </c>
      <c r="X18">
        <v>36401</v>
      </c>
      <c r="Y18">
        <v>430.5627867366</v>
      </c>
      <c r="Z18">
        <v>3182</v>
      </c>
      <c r="AA18">
        <v>484.89157762410002</v>
      </c>
      <c r="AB18">
        <v>10177</v>
      </c>
      <c r="AC18">
        <v>727.47175002460006</v>
      </c>
      <c r="AD18">
        <v>3687</v>
      </c>
      <c r="AE18">
        <v>532.18063466230001</v>
      </c>
      <c r="AF18">
        <v>2414</v>
      </c>
      <c r="AG18">
        <v>177.543910522</v>
      </c>
      <c r="AH18">
        <v>38</v>
      </c>
      <c r="AI18">
        <v>465.10526315790003</v>
      </c>
      <c r="AL18" t="s">
        <v>400</v>
      </c>
      <c r="AM18">
        <v>1286</v>
      </c>
      <c r="AN18">
        <v>1057</v>
      </c>
      <c r="AO18">
        <v>292.50614947970001</v>
      </c>
      <c r="AP18">
        <v>220</v>
      </c>
      <c r="AQ18">
        <v>474.94090909089999</v>
      </c>
      <c r="AR18">
        <v>193</v>
      </c>
      <c r="AS18">
        <v>337.66321243520002</v>
      </c>
      <c r="AT18">
        <v>30</v>
      </c>
      <c r="AU18">
        <v>103.7333333333</v>
      </c>
      <c r="AV18">
        <v>6</v>
      </c>
      <c r="AW18">
        <v>164.8333333333</v>
      </c>
    </row>
    <row r="19" spans="6:49" x14ac:dyDescent="0.2">
      <c r="F19" t="s">
        <v>37</v>
      </c>
      <c r="G19">
        <v>965</v>
      </c>
      <c r="H19">
        <v>545</v>
      </c>
      <c r="I19">
        <v>249.5137614679</v>
      </c>
      <c r="J19">
        <v>134</v>
      </c>
      <c r="K19">
        <v>392.0970149254</v>
      </c>
      <c r="L19">
        <v>241</v>
      </c>
      <c r="M19">
        <v>234.8589211618</v>
      </c>
      <c r="N19">
        <v>173</v>
      </c>
      <c r="O19">
        <v>501.44508670520003</v>
      </c>
      <c r="R19">
        <v>6</v>
      </c>
      <c r="S19">
        <v>263.6666666667</v>
      </c>
      <c r="V19" t="s">
        <v>418</v>
      </c>
      <c r="W19">
        <v>1044</v>
      </c>
      <c r="X19">
        <v>569</v>
      </c>
      <c r="Y19">
        <v>264.39543057999998</v>
      </c>
      <c r="Z19">
        <v>139</v>
      </c>
      <c r="AA19">
        <v>409.10791366910001</v>
      </c>
      <c r="AB19">
        <v>232</v>
      </c>
      <c r="AC19">
        <v>249.3922413793</v>
      </c>
      <c r="AD19">
        <v>161</v>
      </c>
      <c r="AE19">
        <v>505.89440993789998</v>
      </c>
      <c r="AF19">
        <v>78</v>
      </c>
      <c r="AG19">
        <v>198.79487179489999</v>
      </c>
      <c r="AH19">
        <v>4</v>
      </c>
      <c r="AI19">
        <v>303.25</v>
      </c>
      <c r="AL19" t="s">
        <v>418</v>
      </c>
      <c r="AM19">
        <v>12</v>
      </c>
      <c r="AN19">
        <v>10</v>
      </c>
      <c r="AO19">
        <v>140.4</v>
      </c>
      <c r="AP19">
        <v>13</v>
      </c>
      <c r="AQ19">
        <v>226.1538461538</v>
      </c>
      <c r="AR19">
        <v>2</v>
      </c>
      <c r="AS19">
        <v>268</v>
      </c>
    </row>
    <row r="20" spans="6:49" x14ac:dyDescent="0.2">
      <c r="F20" t="s">
        <v>58</v>
      </c>
      <c r="G20">
        <v>1036</v>
      </c>
      <c r="H20">
        <v>426</v>
      </c>
      <c r="I20">
        <v>176.6244131455</v>
      </c>
      <c r="J20">
        <v>165</v>
      </c>
      <c r="K20">
        <v>317.55151515149998</v>
      </c>
      <c r="L20">
        <v>257</v>
      </c>
      <c r="M20">
        <v>315.33463035019997</v>
      </c>
      <c r="N20">
        <v>351</v>
      </c>
      <c r="O20">
        <v>528.35612535610005</v>
      </c>
      <c r="R20">
        <v>2</v>
      </c>
      <c r="S20">
        <v>647</v>
      </c>
      <c r="V20" t="s">
        <v>434</v>
      </c>
      <c r="W20">
        <v>347</v>
      </c>
      <c r="X20">
        <v>212</v>
      </c>
      <c r="Y20">
        <v>190.30660377359999</v>
      </c>
      <c r="Z20">
        <v>62</v>
      </c>
      <c r="AA20">
        <v>347.74193548390002</v>
      </c>
      <c r="AB20">
        <v>47</v>
      </c>
      <c r="AC20">
        <v>406.55319148939998</v>
      </c>
      <c r="AD20">
        <v>48</v>
      </c>
      <c r="AE20">
        <v>546</v>
      </c>
      <c r="AF20">
        <v>38</v>
      </c>
      <c r="AG20">
        <v>96.763157894700001</v>
      </c>
      <c r="AH20">
        <v>2</v>
      </c>
      <c r="AI20">
        <v>530</v>
      </c>
      <c r="AL20" t="s">
        <v>434</v>
      </c>
      <c r="AM20">
        <v>5</v>
      </c>
      <c r="AN20">
        <v>5</v>
      </c>
      <c r="AO20">
        <v>119.8</v>
      </c>
      <c r="AP20">
        <v>1</v>
      </c>
      <c r="AQ20">
        <v>281</v>
      </c>
    </row>
    <row r="21" spans="6:49" x14ac:dyDescent="0.2">
      <c r="F21" t="s">
        <v>65</v>
      </c>
      <c r="G21">
        <v>8630</v>
      </c>
      <c r="H21">
        <v>6764</v>
      </c>
      <c r="I21">
        <v>396.62699586039997</v>
      </c>
      <c r="J21">
        <v>519</v>
      </c>
      <c r="K21">
        <v>735.6242774566</v>
      </c>
      <c r="L21">
        <v>1456</v>
      </c>
      <c r="M21">
        <v>734.49587912089999</v>
      </c>
      <c r="N21">
        <v>398</v>
      </c>
      <c r="O21">
        <v>698.6959798995</v>
      </c>
      <c r="R21">
        <v>12</v>
      </c>
      <c r="S21">
        <v>548.66666666670005</v>
      </c>
      <c r="V21" t="s">
        <v>438</v>
      </c>
      <c r="W21">
        <v>1001</v>
      </c>
      <c r="X21">
        <v>747</v>
      </c>
      <c r="Y21">
        <v>302.55421686749997</v>
      </c>
      <c r="Z21">
        <v>65</v>
      </c>
      <c r="AA21">
        <v>566.41538461539994</v>
      </c>
      <c r="AB21">
        <v>136</v>
      </c>
      <c r="AC21">
        <v>349.6911764706</v>
      </c>
      <c r="AD21">
        <v>52</v>
      </c>
      <c r="AE21">
        <v>472.98076923079998</v>
      </c>
      <c r="AF21">
        <v>63</v>
      </c>
      <c r="AG21">
        <v>146.20634920629999</v>
      </c>
      <c r="AH21">
        <v>3</v>
      </c>
      <c r="AI21">
        <v>188.6666666667</v>
      </c>
      <c r="AL21" t="s">
        <v>438</v>
      </c>
      <c r="AM21">
        <v>14</v>
      </c>
      <c r="AN21">
        <v>8</v>
      </c>
      <c r="AO21">
        <v>244.625</v>
      </c>
      <c r="AP21">
        <v>2</v>
      </c>
      <c r="AQ21">
        <v>228.5</v>
      </c>
      <c r="AR21">
        <v>5</v>
      </c>
      <c r="AS21">
        <v>241.8</v>
      </c>
      <c r="AT21">
        <v>1</v>
      </c>
      <c r="AU21">
        <v>74</v>
      </c>
    </row>
    <row r="22" spans="6:49" x14ac:dyDescent="0.2">
      <c r="F22" t="s">
        <v>67</v>
      </c>
      <c r="G22">
        <v>6936</v>
      </c>
      <c r="H22">
        <v>4819</v>
      </c>
      <c r="I22">
        <v>343.1832330359</v>
      </c>
      <c r="J22">
        <v>378</v>
      </c>
      <c r="K22">
        <v>672.67989417989997</v>
      </c>
      <c r="L22">
        <v>1762</v>
      </c>
      <c r="M22">
        <v>699.43019296249997</v>
      </c>
      <c r="N22">
        <v>339</v>
      </c>
      <c r="O22">
        <v>632.77876106190001</v>
      </c>
      <c r="R22">
        <v>16</v>
      </c>
      <c r="S22">
        <v>724</v>
      </c>
      <c r="V22" t="s">
        <v>423</v>
      </c>
      <c r="W22">
        <v>2675</v>
      </c>
      <c r="X22">
        <v>2023</v>
      </c>
      <c r="Y22">
        <v>261.1670785961</v>
      </c>
      <c r="Z22">
        <v>161</v>
      </c>
      <c r="AA22">
        <v>622.39751552799999</v>
      </c>
      <c r="AB22">
        <v>300</v>
      </c>
      <c r="AC22">
        <v>291.81666666669997</v>
      </c>
      <c r="AD22">
        <v>214</v>
      </c>
      <c r="AE22">
        <v>474.3971962617</v>
      </c>
      <c r="AF22">
        <v>133</v>
      </c>
      <c r="AG22">
        <v>216.69924812030001</v>
      </c>
      <c r="AH22">
        <v>5</v>
      </c>
      <c r="AI22">
        <v>660.8</v>
      </c>
      <c r="AL22" t="s">
        <v>423</v>
      </c>
      <c r="AM22">
        <v>53</v>
      </c>
      <c r="AN22">
        <v>34</v>
      </c>
      <c r="AO22">
        <v>155.20588235290001</v>
      </c>
      <c r="AP22">
        <v>25</v>
      </c>
      <c r="AQ22">
        <v>249.8</v>
      </c>
      <c r="AR22">
        <v>14</v>
      </c>
      <c r="AS22">
        <v>170.21428571429999</v>
      </c>
      <c r="AT22">
        <v>5</v>
      </c>
      <c r="AU22">
        <v>127.2</v>
      </c>
    </row>
    <row r="23" spans="6:49" x14ac:dyDescent="0.2">
      <c r="F23" t="s">
        <v>76</v>
      </c>
      <c r="G23">
        <v>4505</v>
      </c>
      <c r="H23">
        <v>3444</v>
      </c>
      <c r="I23">
        <v>277.78513356560001</v>
      </c>
      <c r="J23">
        <v>275</v>
      </c>
      <c r="K23">
        <v>610.2509090909</v>
      </c>
      <c r="L23">
        <v>813</v>
      </c>
      <c r="M23">
        <v>440.91758917589999</v>
      </c>
      <c r="N23">
        <v>241</v>
      </c>
      <c r="O23">
        <v>549.39419087140004</v>
      </c>
      <c r="R23">
        <v>7</v>
      </c>
      <c r="S23">
        <v>404</v>
      </c>
      <c r="V23" t="s">
        <v>419</v>
      </c>
      <c r="W23">
        <v>5357</v>
      </c>
      <c r="X23">
        <v>3436</v>
      </c>
      <c r="Y23">
        <v>369.68830034920001</v>
      </c>
      <c r="Z23">
        <v>313</v>
      </c>
      <c r="AA23">
        <v>614.92651757190004</v>
      </c>
      <c r="AB23">
        <v>1564</v>
      </c>
      <c r="AC23">
        <v>525.49808184139999</v>
      </c>
      <c r="AD23">
        <v>197</v>
      </c>
      <c r="AE23">
        <v>499.38071065989999</v>
      </c>
      <c r="AF23">
        <v>152</v>
      </c>
      <c r="AG23">
        <v>190.2302631579</v>
      </c>
      <c r="AH23">
        <v>8</v>
      </c>
      <c r="AI23">
        <v>271.5</v>
      </c>
      <c r="AL23" t="s">
        <v>419</v>
      </c>
      <c r="AM23">
        <v>39</v>
      </c>
      <c r="AN23">
        <v>27</v>
      </c>
      <c r="AO23">
        <v>105.962962963</v>
      </c>
      <c r="AP23">
        <v>30</v>
      </c>
      <c r="AQ23">
        <v>311.5</v>
      </c>
      <c r="AR23">
        <v>12</v>
      </c>
      <c r="AS23">
        <v>343.25</v>
      </c>
    </row>
    <row r="24" spans="6:49" x14ac:dyDescent="0.2">
      <c r="F24" t="s">
        <v>48</v>
      </c>
      <c r="G24">
        <v>1171</v>
      </c>
      <c r="H24">
        <v>911</v>
      </c>
      <c r="I24">
        <v>300.86937431389998</v>
      </c>
      <c r="J24">
        <v>81</v>
      </c>
      <c r="K24">
        <v>543.44444444440001</v>
      </c>
      <c r="L24">
        <v>194</v>
      </c>
      <c r="M24">
        <v>404.70103092779999</v>
      </c>
      <c r="N24">
        <v>62</v>
      </c>
      <c r="O24">
        <v>475.4838709677</v>
      </c>
      <c r="R24">
        <v>4</v>
      </c>
      <c r="S24">
        <v>177</v>
      </c>
      <c r="V24" t="s">
        <v>436</v>
      </c>
      <c r="W24">
        <v>6977</v>
      </c>
      <c r="X24">
        <v>4787</v>
      </c>
      <c r="Y24">
        <v>344.5809484019</v>
      </c>
      <c r="Z24">
        <v>381</v>
      </c>
      <c r="AA24">
        <v>662.74015748030001</v>
      </c>
      <c r="AB24">
        <v>1691</v>
      </c>
      <c r="AC24">
        <v>680.49556475459997</v>
      </c>
      <c r="AD24">
        <v>338</v>
      </c>
      <c r="AE24">
        <v>603.71005917160005</v>
      </c>
      <c r="AF24">
        <v>144</v>
      </c>
      <c r="AG24">
        <v>238.5486111111</v>
      </c>
      <c r="AH24">
        <v>17</v>
      </c>
      <c r="AI24">
        <v>715.29411764710005</v>
      </c>
      <c r="AL24" t="s">
        <v>436</v>
      </c>
      <c r="AM24">
        <v>82</v>
      </c>
      <c r="AN24">
        <v>61</v>
      </c>
      <c r="AO24">
        <v>144.7540983607</v>
      </c>
      <c r="AP24">
        <v>29</v>
      </c>
      <c r="AQ24">
        <v>233.5862068966</v>
      </c>
      <c r="AR24">
        <v>19</v>
      </c>
      <c r="AS24">
        <v>258.89473684209997</v>
      </c>
      <c r="AT24">
        <v>2</v>
      </c>
      <c r="AU24">
        <v>91.5</v>
      </c>
    </row>
    <row r="25" spans="6:49" x14ac:dyDescent="0.2">
      <c r="F25" t="s">
        <v>69</v>
      </c>
      <c r="G25">
        <v>5276</v>
      </c>
      <c r="H25">
        <v>3469</v>
      </c>
      <c r="I25">
        <v>372.4874603632</v>
      </c>
      <c r="J25">
        <v>321</v>
      </c>
      <c r="K25">
        <v>619.69158878500002</v>
      </c>
      <c r="L25">
        <v>1605</v>
      </c>
      <c r="M25">
        <v>532.44859813079995</v>
      </c>
      <c r="N25">
        <v>195</v>
      </c>
      <c r="O25">
        <v>507.84102564099999</v>
      </c>
      <c r="R25">
        <v>7</v>
      </c>
      <c r="S25">
        <v>241.71428571429999</v>
      </c>
      <c r="V25" t="s">
        <v>417</v>
      </c>
      <c r="W25">
        <v>17848</v>
      </c>
      <c r="X25">
        <v>13504</v>
      </c>
      <c r="Y25">
        <v>338.40306575829999</v>
      </c>
      <c r="Z25">
        <v>1749</v>
      </c>
      <c r="AA25">
        <v>542.55860491709996</v>
      </c>
      <c r="AB25">
        <v>2795</v>
      </c>
      <c r="AC25">
        <v>513.59427549190002</v>
      </c>
      <c r="AD25">
        <v>855</v>
      </c>
      <c r="AE25">
        <v>514.52865497079995</v>
      </c>
      <c r="AF25">
        <v>670</v>
      </c>
      <c r="AG25">
        <v>182.1910447761</v>
      </c>
      <c r="AH25">
        <v>24</v>
      </c>
      <c r="AI25">
        <v>480.9583333333</v>
      </c>
      <c r="AL25" t="s">
        <v>417</v>
      </c>
      <c r="AM25">
        <v>315</v>
      </c>
      <c r="AN25">
        <v>233</v>
      </c>
      <c r="AO25">
        <v>154.1673819742</v>
      </c>
      <c r="AP25">
        <v>156</v>
      </c>
      <c r="AQ25">
        <v>246.05769230769999</v>
      </c>
      <c r="AR25">
        <v>70</v>
      </c>
      <c r="AS25">
        <v>195.18571428569999</v>
      </c>
      <c r="AT25">
        <v>11</v>
      </c>
      <c r="AU25">
        <v>102.63636363640001</v>
      </c>
      <c r="AV25">
        <v>1</v>
      </c>
      <c r="AW25">
        <v>74</v>
      </c>
    </row>
    <row r="26" spans="6:49" x14ac:dyDescent="0.2">
      <c r="F26" t="s">
        <v>35</v>
      </c>
      <c r="G26">
        <v>273</v>
      </c>
      <c r="H26">
        <v>180</v>
      </c>
      <c r="I26">
        <v>153.06111111109999</v>
      </c>
      <c r="J26">
        <v>61</v>
      </c>
      <c r="K26">
        <v>312.19672131150003</v>
      </c>
      <c r="L26">
        <v>39</v>
      </c>
      <c r="M26">
        <v>324.51282051279998</v>
      </c>
      <c r="N26">
        <v>52</v>
      </c>
      <c r="O26">
        <v>526.48076923079998</v>
      </c>
      <c r="R26">
        <v>2</v>
      </c>
      <c r="S26">
        <v>530</v>
      </c>
      <c r="V26" t="s">
        <v>415</v>
      </c>
      <c r="W26">
        <v>1880</v>
      </c>
      <c r="X26">
        <v>1434</v>
      </c>
      <c r="Y26">
        <v>317.32775453279999</v>
      </c>
      <c r="Z26">
        <v>287</v>
      </c>
      <c r="AA26">
        <v>529.8257839721</v>
      </c>
      <c r="AB26">
        <v>249</v>
      </c>
      <c r="AC26">
        <v>345.12449799199999</v>
      </c>
      <c r="AD26">
        <v>115</v>
      </c>
      <c r="AE26">
        <v>395.96521739129997</v>
      </c>
      <c r="AF26">
        <v>82</v>
      </c>
      <c r="AG26">
        <v>130.08536585370001</v>
      </c>
      <c r="AL26" t="s">
        <v>415</v>
      </c>
      <c r="AM26">
        <v>26</v>
      </c>
      <c r="AN26">
        <v>18</v>
      </c>
      <c r="AO26">
        <v>178.7777777778</v>
      </c>
      <c r="AP26">
        <v>20</v>
      </c>
      <c r="AQ26">
        <v>200.55</v>
      </c>
      <c r="AR26">
        <v>8</v>
      </c>
      <c r="AS26">
        <v>146.75</v>
      </c>
    </row>
    <row r="27" spans="6:49" x14ac:dyDescent="0.2">
      <c r="F27" t="s">
        <v>74</v>
      </c>
      <c r="G27">
        <v>3978</v>
      </c>
      <c r="H27">
        <v>3271</v>
      </c>
      <c r="I27">
        <v>196.21430755119999</v>
      </c>
      <c r="J27">
        <v>751</v>
      </c>
      <c r="K27">
        <v>334.52729693740002</v>
      </c>
      <c r="L27">
        <v>548</v>
      </c>
      <c r="M27">
        <v>154.23905109489999</v>
      </c>
      <c r="N27">
        <v>149</v>
      </c>
      <c r="O27">
        <v>206.0134228188</v>
      </c>
      <c r="R27">
        <v>10</v>
      </c>
      <c r="S27">
        <v>292.3</v>
      </c>
      <c r="V27" t="s">
        <v>83</v>
      </c>
      <c r="W27">
        <v>4719</v>
      </c>
      <c r="X27">
        <v>3448</v>
      </c>
      <c r="Y27">
        <v>280.65748259859998</v>
      </c>
      <c r="Z27">
        <v>274</v>
      </c>
      <c r="AA27">
        <v>590.40875912410002</v>
      </c>
      <c r="AB27">
        <v>835</v>
      </c>
      <c r="AC27">
        <v>467.3161676647</v>
      </c>
      <c r="AD27">
        <v>245</v>
      </c>
      <c r="AE27">
        <v>526.05714285709996</v>
      </c>
      <c r="AF27">
        <v>186</v>
      </c>
      <c r="AG27">
        <v>153.5913978495</v>
      </c>
      <c r="AH27">
        <v>5</v>
      </c>
      <c r="AI27">
        <v>297</v>
      </c>
      <c r="AL27" t="s">
        <v>83</v>
      </c>
      <c r="AM27">
        <v>74</v>
      </c>
      <c r="AN27">
        <v>53</v>
      </c>
      <c r="AO27">
        <v>95.924528301899997</v>
      </c>
      <c r="AP27">
        <v>38</v>
      </c>
      <c r="AQ27">
        <v>265.26315789469999</v>
      </c>
      <c r="AR27">
        <v>19</v>
      </c>
      <c r="AS27">
        <v>190.05263157889999</v>
      </c>
      <c r="AV27">
        <v>2</v>
      </c>
      <c r="AW27">
        <v>84.5</v>
      </c>
    </row>
    <row r="28" spans="6:49" x14ac:dyDescent="0.2">
      <c r="F28" t="s">
        <v>34</v>
      </c>
      <c r="G28">
        <v>1759</v>
      </c>
      <c r="H28">
        <v>1402</v>
      </c>
      <c r="I28">
        <v>321.22539229670002</v>
      </c>
      <c r="J28">
        <v>294</v>
      </c>
      <c r="K28">
        <v>538.4387755102</v>
      </c>
      <c r="L28">
        <v>249</v>
      </c>
      <c r="M28">
        <v>336</v>
      </c>
      <c r="N28">
        <v>108</v>
      </c>
      <c r="O28">
        <v>359.537037037</v>
      </c>
      <c r="V28" t="s">
        <v>414</v>
      </c>
      <c r="W28">
        <v>41848</v>
      </c>
      <c r="X28">
        <v>30160</v>
      </c>
      <c r="Y28">
        <v>326.83829575599998</v>
      </c>
      <c r="Z28">
        <v>3431</v>
      </c>
      <c r="AA28">
        <v>560.53395511509996</v>
      </c>
      <c r="AB28">
        <v>7849</v>
      </c>
      <c r="AC28">
        <v>521.88915785450001</v>
      </c>
      <c r="AD28">
        <v>2225</v>
      </c>
      <c r="AE28">
        <v>517.09977528089996</v>
      </c>
      <c r="AF28">
        <v>1546</v>
      </c>
      <c r="AG28">
        <v>182.26649417850001</v>
      </c>
      <c r="AH28">
        <v>68</v>
      </c>
      <c r="AI28">
        <v>492.6911764706</v>
      </c>
      <c r="AL28" t="s">
        <v>414</v>
      </c>
      <c r="AM28">
        <v>620</v>
      </c>
      <c r="AN28">
        <v>449</v>
      </c>
      <c r="AO28">
        <v>145.10244988860001</v>
      </c>
      <c r="AP28">
        <v>314</v>
      </c>
      <c r="AQ28">
        <v>250.05732484079999</v>
      </c>
      <c r="AR28">
        <v>149</v>
      </c>
      <c r="AS28">
        <v>212.17449664430001</v>
      </c>
      <c r="AT28">
        <v>19</v>
      </c>
      <c r="AU28">
        <v>106.42105263160001</v>
      </c>
      <c r="AV28">
        <v>3</v>
      </c>
      <c r="AW28">
        <v>81</v>
      </c>
    </row>
    <row r="29" spans="6:49" x14ac:dyDescent="0.2">
      <c r="F29" t="s">
        <v>55</v>
      </c>
      <c r="G29">
        <v>4508</v>
      </c>
      <c r="H29">
        <v>3511</v>
      </c>
      <c r="I29">
        <v>347.68926231839998</v>
      </c>
      <c r="J29">
        <v>495</v>
      </c>
      <c r="K29">
        <v>664.62222222219998</v>
      </c>
      <c r="L29">
        <v>762</v>
      </c>
      <c r="M29">
        <v>347.26377952759998</v>
      </c>
      <c r="N29">
        <v>233</v>
      </c>
      <c r="O29">
        <v>360.73390557940002</v>
      </c>
      <c r="R29">
        <v>2</v>
      </c>
      <c r="S29">
        <v>860</v>
      </c>
      <c r="V29" t="s">
        <v>398</v>
      </c>
      <c r="W29">
        <v>10828</v>
      </c>
      <c r="X29">
        <v>5481</v>
      </c>
      <c r="Y29">
        <v>313.57945630360001</v>
      </c>
      <c r="Z29">
        <v>706</v>
      </c>
      <c r="AA29">
        <v>661.60906515579995</v>
      </c>
      <c r="AB29">
        <v>3714</v>
      </c>
      <c r="AC29">
        <v>859.62789445340002</v>
      </c>
      <c r="AD29">
        <v>1108</v>
      </c>
      <c r="AE29">
        <v>546.10469314080001</v>
      </c>
      <c r="AF29">
        <v>510</v>
      </c>
      <c r="AG29">
        <v>197.3137254902</v>
      </c>
      <c r="AH29">
        <v>15</v>
      </c>
      <c r="AI29">
        <v>458</v>
      </c>
      <c r="AL29" t="s">
        <v>398</v>
      </c>
      <c r="AM29">
        <v>178</v>
      </c>
      <c r="AN29">
        <v>137</v>
      </c>
      <c r="AO29">
        <v>270.62043795620002</v>
      </c>
      <c r="AP29">
        <v>10</v>
      </c>
      <c r="AQ29">
        <v>403</v>
      </c>
      <c r="AR29">
        <v>36</v>
      </c>
      <c r="AS29">
        <v>397.19444444440001</v>
      </c>
      <c r="AT29">
        <v>5</v>
      </c>
      <c r="AU29">
        <v>43.2</v>
      </c>
    </row>
    <row r="30" spans="6:49" x14ac:dyDescent="0.2">
      <c r="F30" t="s">
        <v>414</v>
      </c>
      <c r="G30">
        <v>41605</v>
      </c>
      <c r="H30">
        <v>30801</v>
      </c>
      <c r="I30">
        <v>322.78932502190003</v>
      </c>
      <c r="J30">
        <v>3643</v>
      </c>
      <c r="K30">
        <v>554.6749931375</v>
      </c>
      <c r="L30">
        <v>8220</v>
      </c>
      <c r="M30">
        <v>517.16763990269999</v>
      </c>
      <c r="N30">
        <v>2511</v>
      </c>
      <c r="O30">
        <v>522.04460374350003</v>
      </c>
      <c r="R30">
        <v>73</v>
      </c>
      <c r="S30">
        <v>483.27397260269998</v>
      </c>
      <c r="V30" t="s">
        <v>435</v>
      </c>
      <c r="W30">
        <v>27915</v>
      </c>
      <c r="X30">
        <v>23392</v>
      </c>
      <c r="Y30">
        <v>454.82917236660001</v>
      </c>
      <c r="Z30">
        <v>1451</v>
      </c>
      <c r="AA30">
        <v>798.48242591320002</v>
      </c>
      <c r="AB30">
        <v>1650</v>
      </c>
      <c r="AC30">
        <v>376.43818181820001</v>
      </c>
      <c r="AD30">
        <v>1781</v>
      </c>
      <c r="AE30">
        <v>344.85906793940001</v>
      </c>
      <c r="AF30">
        <v>1087</v>
      </c>
      <c r="AG30">
        <v>169.89328426860001</v>
      </c>
      <c r="AH30">
        <v>5</v>
      </c>
      <c r="AI30">
        <v>472.2</v>
      </c>
      <c r="AL30" t="s">
        <v>435</v>
      </c>
      <c r="AM30">
        <v>496</v>
      </c>
      <c r="AN30">
        <v>430</v>
      </c>
      <c r="AO30">
        <v>266.22325581400003</v>
      </c>
      <c r="AP30">
        <v>83</v>
      </c>
      <c r="AQ30">
        <v>322.62650602410002</v>
      </c>
      <c r="AR30">
        <v>53</v>
      </c>
      <c r="AS30">
        <v>221.58490566040001</v>
      </c>
      <c r="AT30">
        <v>12</v>
      </c>
      <c r="AU30">
        <v>168</v>
      </c>
      <c r="AV30">
        <v>1</v>
      </c>
      <c r="AW30">
        <v>99</v>
      </c>
    </row>
    <row r="31" spans="6:49" x14ac:dyDescent="0.2">
      <c r="F31" t="s">
        <v>25</v>
      </c>
      <c r="G31">
        <v>15651</v>
      </c>
      <c r="H31">
        <v>12750</v>
      </c>
      <c r="I31">
        <v>566.21325490200002</v>
      </c>
      <c r="J31">
        <v>652</v>
      </c>
      <c r="K31">
        <v>914.84355828219998</v>
      </c>
      <c r="L31">
        <v>2154</v>
      </c>
      <c r="M31">
        <v>509.90947075209999</v>
      </c>
      <c r="N31">
        <v>737</v>
      </c>
      <c r="O31">
        <v>395.13704206239998</v>
      </c>
      <c r="R31">
        <v>10</v>
      </c>
      <c r="S31">
        <v>431.8</v>
      </c>
      <c r="V31" t="s">
        <v>391</v>
      </c>
      <c r="W31">
        <v>16229</v>
      </c>
      <c r="X31">
        <v>12665</v>
      </c>
      <c r="Y31">
        <v>562.61002763520003</v>
      </c>
      <c r="Z31">
        <v>673</v>
      </c>
      <c r="AA31">
        <v>896.14264487369996</v>
      </c>
      <c r="AB31">
        <v>2226</v>
      </c>
      <c r="AC31">
        <v>527.12938005390004</v>
      </c>
      <c r="AD31">
        <v>776</v>
      </c>
      <c r="AE31">
        <v>400.70103092779999</v>
      </c>
      <c r="AF31">
        <v>552</v>
      </c>
      <c r="AG31">
        <v>163.04891304349999</v>
      </c>
      <c r="AH31">
        <v>10</v>
      </c>
      <c r="AI31">
        <v>431.8</v>
      </c>
      <c r="AL31" t="s">
        <v>391</v>
      </c>
      <c r="AM31">
        <v>344</v>
      </c>
      <c r="AN31">
        <v>294</v>
      </c>
      <c r="AO31">
        <v>274.54081632650002</v>
      </c>
      <c r="AP31">
        <v>68</v>
      </c>
      <c r="AQ31">
        <v>434.5</v>
      </c>
      <c r="AR31">
        <v>40</v>
      </c>
      <c r="AS31">
        <v>240.4</v>
      </c>
      <c r="AT31">
        <v>8</v>
      </c>
      <c r="AU31">
        <v>154.5</v>
      </c>
      <c r="AV31">
        <v>2</v>
      </c>
      <c r="AW31">
        <v>9.5</v>
      </c>
    </row>
    <row r="32" spans="6:49" x14ac:dyDescent="0.2">
      <c r="F32" t="s">
        <v>42</v>
      </c>
      <c r="G32">
        <v>11309</v>
      </c>
      <c r="H32">
        <v>8498</v>
      </c>
      <c r="I32">
        <v>326.67262885380001</v>
      </c>
      <c r="J32">
        <v>271</v>
      </c>
      <c r="K32">
        <v>733.80811808119995</v>
      </c>
      <c r="L32">
        <v>1988</v>
      </c>
      <c r="M32">
        <v>555.32696177059995</v>
      </c>
      <c r="N32">
        <v>796</v>
      </c>
      <c r="O32">
        <v>575.83165829150005</v>
      </c>
      <c r="R32">
        <v>27</v>
      </c>
      <c r="S32">
        <v>705.92592592589995</v>
      </c>
      <c r="V32" t="s">
        <v>403</v>
      </c>
      <c r="W32">
        <v>3320</v>
      </c>
      <c r="X32">
        <v>2201</v>
      </c>
      <c r="Y32">
        <v>471.73239436620003</v>
      </c>
      <c r="Z32">
        <v>289</v>
      </c>
      <c r="AA32">
        <v>437.18685121110002</v>
      </c>
      <c r="AB32">
        <v>477</v>
      </c>
      <c r="AC32">
        <v>662.33123689729996</v>
      </c>
      <c r="AD32">
        <v>446</v>
      </c>
      <c r="AE32">
        <v>521.88565022420005</v>
      </c>
      <c r="AF32">
        <v>189</v>
      </c>
      <c r="AG32">
        <v>169.59788359789999</v>
      </c>
      <c r="AH32">
        <v>7</v>
      </c>
      <c r="AI32">
        <v>493</v>
      </c>
      <c r="AL32" t="s">
        <v>403</v>
      </c>
      <c r="AM32">
        <v>119</v>
      </c>
      <c r="AN32">
        <v>100</v>
      </c>
      <c r="AO32">
        <v>411.28</v>
      </c>
      <c r="AP32">
        <v>8</v>
      </c>
      <c r="AQ32">
        <v>361.375</v>
      </c>
      <c r="AR32">
        <v>16</v>
      </c>
      <c r="AS32">
        <v>391.375</v>
      </c>
      <c r="AT32">
        <v>2</v>
      </c>
      <c r="AU32">
        <v>68</v>
      </c>
      <c r="AV32">
        <v>1</v>
      </c>
      <c r="AW32">
        <v>451</v>
      </c>
    </row>
    <row r="33" spans="6:49" x14ac:dyDescent="0.2">
      <c r="F33" t="s">
        <v>75</v>
      </c>
      <c r="G33">
        <v>5859</v>
      </c>
      <c r="H33">
        <v>2600</v>
      </c>
      <c r="I33">
        <v>395.16461538459998</v>
      </c>
      <c r="J33">
        <v>268</v>
      </c>
      <c r="K33">
        <v>388.9253731343</v>
      </c>
      <c r="L33">
        <v>2286</v>
      </c>
      <c r="M33">
        <v>657.32589676290002</v>
      </c>
      <c r="N33">
        <v>972</v>
      </c>
      <c r="O33">
        <v>935.89814814809995</v>
      </c>
      <c r="R33">
        <v>1</v>
      </c>
      <c r="S33">
        <v>319</v>
      </c>
      <c r="V33" t="s">
        <v>394</v>
      </c>
      <c r="W33">
        <v>6910</v>
      </c>
      <c r="X33">
        <v>4056</v>
      </c>
      <c r="Y33">
        <v>287.09664694280002</v>
      </c>
      <c r="Z33">
        <v>503</v>
      </c>
      <c r="AA33">
        <v>579.98011928430003</v>
      </c>
      <c r="AB33">
        <v>1533</v>
      </c>
      <c r="AC33">
        <v>389.20874103070003</v>
      </c>
      <c r="AD33">
        <v>810</v>
      </c>
      <c r="AE33">
        <v>461.2456790123</v>
      </c>
      <c r="AF33">
        <v>498</v>
      </c>
      <c r="AG33">
        <v>183.90361445779999</v>
      </c>
      <c r="AH33">
        <v>13</v>
      </c>
      <c r="AI33">
        <v>418</v>
      </c>
      <c r="AL33" t="s">
        <v>394</v>
      </c>
      <c r="AM33">
        <v>218</v>
      </c>
      <c r="AN33">
        <v>183</v>
      </c>
      <c r="AO33">
        <v>250.8360655738</v>
      </c>
      <c r="AP33">
        <v>24</v>
      </c>
      <c r="AQ33">
        <v>466.4166666667</v>
      </c>
      <c r="AR33">
        <v>33</v>
      </c>
      <c r="AS33">
        <v>371.96969696970001</v>
      </c>
      <c r="AT33">
        <v>2</v>
      </c>
      <c r="AU33">
        <v>331</v>
      </c>
    </row>
    <row r="34" spans="6:49" x14ac:dyDescent="0.2">
      <c r="F34" t="s">
        <v>61</v>
      </c>
      <c r="G34">
        <v>6262</v>
      </c>
      <c r="H34">
        <v>3951</v>
      </c>
      <c r="I34">
        <v>268.55656795750002</v>
      </c>
      <c r="J34">
        <v>482</v>
      </c>
      <c r="K34">
        <v>570.93360995850003</v>
      </c>
      <c r="L34">
        <v>1485</v>
      </c>
      <c r="M34">
        <v>363.36161616160001</v>
      </c>
      <c r="N34">
        <v>812</v>
      </c>
      <c r="O34">
        <v>449.17487684730003</v>
      </c>
      <c r="R34">
        <v>14</v>
      </c>
      <c r="S34">
        <v>393.35714285709997</v>
      </c>
      <c r="V34" t="s">
        <v>437</v>
      </c>
      <c r="W34">
        <v>5939</v>
      </c>
      <c r="X34">
        <v>2529</v>
      </c>
      <c r="Y34">
        <v>394.00079082640002</v>
      </c>
      <c r="Z34">
        <v>270</v>
      </c>
      <c r="AA34">
        <v>393.61851851850003</v>
      </c>
      <c r="AB34">
        <v>2223</v>
      </c>
      <c r="AC34">
        <v>657.5159694107</v>
      </c>
      <c r="AD34">
        <v>952</v>
      </c>
      <c r="AE34">
        <v>930.94222689080004</v>
      </c>
      <c r="AF34">
        <v>234</v>
      </c>
      <c r="AG34">
        <v>210.59401709400001</v>
      </c>
      <c r="AH34">
        <v>1</v>
      </c>
      <c r="AI34">
        <v>319</v>
      </c>
      <c r="AL34" t="s">
        <v>437</v>
      </c>
      <c r="AM34">
        <v>112</v>
      </c>
      <c r="AN34">
        <v>85</v>
      </c>
      <c r="AO34">
        <v>226.27058823530001</v>
      </c>
      <c r="AP34">
        <v>13</v>
      </c>
      <c r="AQ34">
        <v>321.30769230769999</v>
      </c>
      <c r="AR34">
        <v>16</v>
      </c>
      <c r="AS34">
        <v>225.125</v>
      </c>
      <c r="AT34">
        <v>10</v>
      </c>
      <c r="AU34">
        <v>80.7</v>
      </c>
      <c r="AV34">
        <v>1</v>
      </c>
      <c r="AW34">
        <v>87</v>
      </c>
    </row>
    <row r="35" spans="6:49" x14ac:dyDescent="0.2">
      <c r="F35" t="s">
        <v>56</v>
      </c>
      <c r="G35">
        <v>4487</v>
      </c>
      <c r="H35">
        <v>3129</v>
      </c>
      <c r="I35">
        <v>491.47746883989998</v>
      </c>
      <c r="J35">
        <v>481</v>
      </c>
      <c r="K35">
        <v>432.9833679834</v>
      </c>
      <c r="L35">
        <v>729</v>
      </c>
      <c r="M35">
        <v>652.50617283949998</v>
      </c>
      <c r="N35">
        <v>622</v>
      </c>
      <c r="O35">
        <v>556.77652733119999</v>
      </c>
      <c r="R35">
        <v>7</v>
      </c>
      <c r="S35">
        <v>493</v>
      </c>
      <c r="V35" t="s">
        <v>393</v>
      </c>
      <c r="W35">
        <v>11665</v>
      </c>
      <c r="X35">
        <v>8411</v>
      </c>
      <c r="Y35">
        <v>332.11128284390003</v>
      </c>
      <c r="Z35">
        <v>276</v>
      </c>
      <c r="AA35">
        <v>728.53985507250002</v>
      </c>
      <c r="AB35">
        <v>1984</v>
      </c>
      <c r="AC35">
        <v>552.86844758059999</v>
      </c>
      <c r="AD35">
        <v>792</v>
      </c>
      <c r="AE35">
        <v>571.50757575759997</v>
      </c>
      <c r="AF35">
        <v>451</v>
      </c>
      <c r="AG35">
        <v>169.07760532149999</v>
      </c>
      <c r="AH35">
        <v>27</v>
      </c>
      <c r="AI35">
        <v>705.92592592589995</v>
      </c>
      <c r="AL35" t="s">
        <v>393</v>
      </c>
      <c r="AM35">
        <v>151</v>
      </c>
      <c r="AN35">
        <v>126</v>
      </c>
      <c r="AO35">
        <v>219.5</v>
      </c>
      <c r="AP35">
        <v>28</v>
      </c>
      <c r="AQ35">
        <v>286.89285714290003</v>
      </c>
      <c r="AR35">
        <v>18</v>
      </c>
      <c r="AS35">
        <v>220.44444444440001</v>
      </c>
      <c r="AT35">
        <v>5</v>
      </c>
      <c r="AU35">
        <v>112.2</v>
      </c>
      <c r="AV35">
        <v>2</v>
      </c>
      <c r="AW35">
        <v>428</v>
      </c>
    </row>
    <row r="36" spans="6:49" x14ac:dyDescent="0.2">
      <c r="F36" t="s">
        <v>60</v>
      </c>
      <c r="G36">
        <v>10393</v>
      </c>
      <c r="H36">
        <v>5489</v>
      </c>
      <c r="I36">
        <v>307.5033703771</v>
      </c>
      <c r="J36">
        <v>731</v>
      </c>
      <c r="K36">
        <v>662.72913816690004</v>
      </c>
      <c r="L36">
        <v>3776</v>
      </c>
      <c r="M36">
        <v>862.88320974579995</v>
      </c>
      <c r="N36">
        <v>1113</v>
      </c>
      <c r="O36">
        <v>541.19227313570002</v>
      </c>
      <c r="R36">
        <v>15</v>
      </c>
      <c r="S36">
        <v>458</v>
      </c>
      <c r="V36" t="s">
        <v>390</v>
      </c>
      <c r="W36">
        <v>82806</v>
      </c>
      <c r="X36">
        <v>58735</v>
      </c>
      <c r="Y36">
        <v>433.7466927726</v>
      </c>
      <c r="Z36">
        <v>4168</v>
      </c>
      <c r="AA36">
        <v>708.78814779269999</v>
      </c>
      <c r="AB36">
        <v>13807</v>
      </c>
      <c r="AC36">
        <v>612.61019772580005</v>
      </c>
      <c r="AD36">
        <v>6665</v>
      </c>
      <c r="AE36">
        <v>521.45281320330002</v>
      </c>
      <c r="AF36">
        <v>3521</v>
      </c>
      <c r="AG36">
        <v>177.35813689290001</v>
      </c>
      <c r="AH36">
        <v>78</v>
      </c>
      <c r="AI36">
        <v>536.06410256410004</v>
      </c>
      <c r="AL36" t="s">
        <v>390</v>
      </c>
      <c r="AM36">
        <v>1618</v>
      </c>
      <c r="AN36">
        <v>1355</v>
      </c>
      <c r="AO36">
        <v>270.24870848709998</v>
      </c>
      <c r="AP36">
        <v>234</v>
      </c>
      <c r="AQ36">
        <v>370.29487179490002</v>
      </c>
      <c r="AR36">
        <v>212</v>
      </c>
      <c r="AS36">
        <v>291.34905660380002</v>
      </c>
      <c r="AT36">
        <v>44</v>
      </c>
      <c r="AU36">
        <v>128.04545454550001</v>
      </c>
      <c r="AV36">
        <v>7</v>
      </c>
      <c r="AW36">
        <v>216</v>
      </c>
    </row>
    <row r="37" spans="6:49" x14ac:dyDescent="0.2">
      <c r="F37" t="s">
        <v>80</v>
      </c>
      <c r="G37">
        <v>26926</v>
      </c>
      <c r="H37">
        <v>23734</v>
      </c>
      <c r="I37">
        <v>453.57908485719997</v>
      </c>
      <c r="J37">
        <v>1419</v>
      </c>
      <c r="K37">
        <v>796.32910500349999</v>
      </c>
      <c r="L37">
        <v>1485</v>
      </c>
      <c r="M37">
        <v>334.54478114480003</v>
      </c>
      <c r="N37">
        <v>1703</v>
      </c>
      <c r="O37">
        <v>322.73223722839998</v>
      </c>
      <c r="R37">
        <v>4</v>
      </c>
      <c r="S37">
        <v>572</v>
      </c>
      <c r="V37" t="s">
        <v>416</v>
      </c>
      <c r="W37">
        <v>544</v>
      </c>
      <c r="X37">
        <v>276</v>
      </c>
      <c r="Y37">
        <v>162.5144927536</v>
      </c>
      <c r="Z37">
        <v>235</v>
      </c>
      <c r="AA37">
        <v>237.33191489359999</v>
      </c>
      <c r="AB37">
        <v>84</v>
      </c>
      <c r="AC37">
        <v>218.5</v>
      </c>
      <c r="AD37">
        <v>109</v>
      </c>
      <c r="AE37">
        <v>224.871559633</v>
      </c>
      <c r="AF37">
        <v>64</v>
      </c>
      <c r="AG37">
        <v>160.109375</v>
      </c>
      <c r="AH37">
        <v>11</v>
      </c>
      <c r="AI37">
        <v>306.54545454549998</v>
      </c>
      <c r="AL37" t="s">
        <v>416</v>
      </c>
      <c r="AM37">
        <v>21</v>
      </c>
      <c r="AN37">
        <v>15</v>
      </c>
      <c r="AO37">
        <v>92.933333333299998</v>
      </c>
      <c r="AP37">
        <v>13</v>
      </c>
      <c r="AQ37">
        <v>245.07692307689999</v>
      </c>
      <c r="AR37">
        <v>5</v>
      </c>
      <c r="AS37">
        <v>68.400000000000006</v>
      </c>
      <c r="AT37">
        <v>1</v>
      </c>
      <c r="AU37">
        <v>67</v>
      </c>
    </row>
    <row r="38" spans="6:49" x14ac:dyDescent="0.2">
      <c r="F38" t="s">
        <v>390</v>
      </c>
      <c r="G38">
        <v>80887</v>
      </c>
      <c r="H38">
        <v>60151</v>
      </c>
      <c r="I38">
        <v>433.48810493590003</v>
      </c>
      <c r="J38">
        <v>4304</v>
      </c>
      <c r="K38">
        <v>696.43889405200002</v>
      </c>
      <c r="L38">
        <v>13903</v>
      </c>
      <c r="M38">
        <v>609.60202833920005</v>
      </c>
      <c r="N38">
        <v>6755</v>
      </c>
      <c r="O38">
        <v>521.43242042930001</v>
      </c>
      <c r="R38">
        <v>78</v>
      </c>
      <c r="S38">
        <v>536.06410256410004</v>
      </c>
      <c r="V38" t="s">
        <v>420</v>
      </c>
      <c r="W38">
        <v>39149</v>
      </c>
      <c r="X38">
        <v>27249</v>
      </c>
      <c r="Y38">
        <v>458.36155455250002</v>
      </c>
      <c r="Z38">
        <v>1910</v>
      </c>
      <c r="AA38">
        <v>656.2256544503</v>
      </c>
      <c r="AB38">
        <v>8161</v>
      </c>
      <c r="AC38">
        <v>754.53669893400001</v>
      </c>
      <c r="AD38">
        <v>2344</v>
      </c>
      <c r="AE38">
        <v>584.23208191130004</v>
      </c>
      <c r="AF38">
        <v>1351</v>
      </c>
      <c r="AG38">
        <v>204.70836417469999</v>
      </c>
      <c r="AH38">
        <v>44</v>
      </c>
      <c r="AI38">
        <v>519.90909090909997</v>
      </c>
      <c r="AL38" t="s">
        <v>420</v>
      </c>
      <c r="AM38">
        <v>345</v>
      </c>
      <c r="AN38">
        <v>252</v>
      </c>
      <c r="AO38">
        <v>171.5238095238</v>
      </c>
      <c r="AP38">
        <v>206</v>
      </c>
      <c r="AQ38">
        <v>271.35922330099999</v>
      </c>
      <c r="AR38">
        <v>80</v>
      </c>
      <c r="AS38">
        <v>278.51249999999999</v>
      </c>
      <c r="AT38">
        <v>12</v>
      </c>
      <c r="AU38">
        <v>78.5</v>
      </c>
      <c r="AV38">
        <v>1</v>
      </c>
      <c r="AW38">
        <v>2103</v>
      </c>
    </row>
    <row r="39" spans="6:49" x14ac:dyDescent="0.2">
      <c r="F39" t="s">
        <v>82</v>
      </c>
      <c r="G39">
        <v>18944</v>
      </c>
      <c r="H39">
        <v>13878</v>
      </c>
      <c r="I39">
        <v>404.89371667389997</v>
      </c>
      <c r="J39">
        <v>1041</v>
      </c>
      <c r="K39">
        <v>670.34293948130005</v>
      </c>
      <c r="L39">
        <v>3779</v>
      </c>
      <c r="M39">
        <v>825.96692246630005</v>
      </c>
      <c r="N39">
        <v>1260</v>
      </c>
      <c r="O39">
        <v>614.5904761905</v>
      </c>
      <c r="R39">
        <v>27</v>
      </c>
      <c r="S39">
        <v>653.14814814809995</v>
      </c>
      <c r="V39" t="s">
        <v>428</v>
      </c>
      <c r="W39">
        <v>333</v>
      </c>
      <c r="X39">
        <v>153</v>
      </c>
      <c r="Y39">
        <v>219.5359477124</v>
      </c>
      <c r="Z39">
        <v>119</v>
      </c>
      <c r="AA39">
        <v>278.9495798319</v>
      </c>
      <c r="AB39">
        <v>83</v>
      </c>
      <c r="AC39">
        <v>358.22891566269999</v>
      </c>
      <c r="AD39">
        <v>66</v>
      </c>
      <c r="AE39">
        <v>356.75757575760002</v>
      </c>
      <c r="AF39">
        <v>30</v>
      </c>
      <c r="AG39">
        <v>203.73333333330001</v>
      </c>
      <c r="AH39">
        <v>1</v>
      </c>
      <c r="AI39">
        <v>767</v>
      </c>
      <c r="AL39" t="s">
        <v>428</v>
      </c>
      <c r="AM39">
        <v>4</v>
      </c>
      <c r="AN39">
        <v>4</v>
      </c>
      <c r="AO39">
        <v>144.5</v>
      </c>
      <c r="AP39">
        <v>5</v>
      </c>
      <c r="AQ39">
        <v>174.6</v>
      </c>
    </row>
    <row r="40" spans="6:49" x14ac:dyDescent="0.2">
      <c r="F40" t="s">
        <v>43</v>
      </c>
      <c r="G40">
        <v>5593</v>
      </c>
      <c r="H40">
        <v>2855</v>
      </c>
      <c r="I40">
        <v>237.11453590190001</v>
      </c>
      <c r="J40">
        <v>232</v>
      </c>
      <c r="K40">
        <v>524.19827586209999</v>
      </c>
      <c r="L40">
        <v>2379</v>
      </c>
      <c r="M40">
        <v>674.43926019339995</v>
      </c>
      <c r="N40">
        <v>349</v>
      </c>
      <c r="O40">
        <v>403.44126074500002</v>
      </c>
      <c r="R40">
        <v>10</v>
      </c>
      <c r="S40">
        <v>208.3</v>
      </c>
      <c r="V40" t="s">
        <v>431</v>
      </c>
      <c r="W40">
        <v>363</v>
      </c>
      <c r="X40">
        <v>251</v>
      </c>
      <c r="Y40">
        <v>276.5139442231</v>
      </c>
      <c r="Z40">
        <v>26</v>
      </c>
      <c r="AA40">
        <v>525.38461538460001</v>
      </c>
      <c r="AB40">
        <v>27</v>
      </c>
      <c r="AC40">
        <v>492.6296296296</v>
      </c>
      <c r="AD40">
        <v>38</v>
      </c>
      <c r="AE40">
        <v>362.13157894739999</v>
      </c>
      <c r="AF40">
        <v>46</v>
      </c>
      <c r="AG40">
        <v>165.9565217391</v>
      </c>
      <c r="AH40">
        <v>1</v>
      </c>
      <c r="AI40">
        <v>283</v>
      </c>
      <c r="AL40" t="s">
        <v>431</v>
      </c>
      <c r="AM40">
        <v>7</v>
      </c>
      <c r="AN40">
        <v>6</v>
      </c>
      <c r="AO40">
        <v>168</v>
      </c>
      <c r="AP40">
        <v>1</v>
      </c>
      <c r="AQ40">
        <v>316</v>
      </c>
      <c r="AR40">
        <v>1</v>
      </c>
      <c r="AS40">
        <v>61</v>
      </c>
    </row>
    <row r="41" spans="6:49" x14ac:dyDescent="0.2">
      <c r="F41" t="s">
        <v>49</v>
      </c>
      <c r="G41">
        <v>19054</v>
      </c>
      <c r="H41">
        <v>13573</v>
      </c>
      <c r="I41">
        <v>515.18897811830004</v>
      </c>
      <c r="J41">
        <v>849</v>
      </c>
      <c r="K41">
        <v>639.10836277969997</v>
      </c>
      <c r="L41">
        <v>4394</v>
      </c>
      <c r="M41">
        <v>697.45698680019996</v>
      </c>
      <c r="N41">
        <v>1068</v>
      </c>
      <c r="O41">
        <v>564.4307116105</v>
      </c>
      <c r="R41">
        <v>19</v>
      </c>
      <c r="S41">
        <v>384.36842105260001</v>
      </c>
      <c r="V41" t="s">
        <v>421</v>
      </c>
      <c r="W41">
        <v>5289</v>
      </c>
      <c r="X41">
        <v>3967</v>
      </c>
      <c r="Y41">
        <v>480.8742122511</v>
      </c>
      <c r="Z41">
        <v>147</v>
      </c>
      <c r="AA41">
        <v>915.97278911559999</v>
      </c>
      <c r="AB41">
        <v>558</v>
      </c>
      <c r="AC41">
        <v>324.98566308239998</v>
      </c>
      <c r="AD41">
        <v>466</v>
      </c>
      <c r="AE41">
        <v>634.14592274680001</v>
      </c>
      <c r="AF41">
        <v>288</v>
      </c>
      <c r="AG41">
        <v>172.5173611111</v>
      </c>
      <c r="AH41">
        <v>10</v>
      </c>
      <c r="AI41">
        <v>592.4</v>
      </c>
      <c r="AL41" t="s">
        <v>421</v>
      </c>
      <c r="AM41">
        <v>119</v>
      </c>
      <c r="AN41">
        <v>102</v>
      </c>
      <c r="AO41">
        <v>278.0882352941</v>
      </c>
      <c r="AP41">
        <v>9</v>
      </c>
      <c r="AQ41">
        <v>484.8888888889</v>
      </c>
      <c r="AR41">
        <v>16</v>
      </c>
      <c r="AS41">
        <v>292.6875</v>
      </c>
      <c r="AT41">
        <v>1</v>
      </c>
      <c r="AU41">
        <v>26</v>
      </c>
    </row>
    <row r="42" spans="6:49" x14ac:dyDescent="0.2">
      <c r="F42" t="s">
        <v>52</v>
      </c>
      <c r="G42">
        <v>4234</v>
      </c>
      <c r="H42">
        <v>2635</v>
      </c>
      <c r="I42">
        <v>316.91650853890002</v>
      </c>
      <c r="J42">
        <v>260</v>
      </c>
      <c r="K42">
        <v>607.92692307690004</v>
      </c>
      <c r="L42">
        <v>1044</v>
      </c>
      <c r="M42">
        <v>407.27490421459999</v>
      </c>
      <c r="N42">
        <v>547</v>
      </c>
      <c r="O42">
        <v>622.53564899449998</v>
      </c>
      <c r="R42">
        <v>8</v>
      </c>
      <c r="S42">
        <v>893.875</v>
      </c>
      <c r="V42" t="s">
        <v>413</v>
      </c>
      <c r="W42">
        <v>5804</v>
      </c>
      <c r="X42">
        <v>2866</v>
      </c>
      <c r="Y42">
        <v>244.8775296581</v>
      </c>
      <c r="Z42">
        <v>220</v>
      </c>
      <c r="AA42">
        <v>540.91363636359995</v>
      </c>
      <c r="AB42">
        <v>2288</v>
      </c>
      <c r="AC42">
        <v>668.1293706294</v>
      </c>
      <c r="AD42">
        <v>350</v>
      </c>
      <c r="AE42">
        <v>422.0742857143</v>
      </c>
      <c r="AF42">
        <v>290</v>
      </c>
      <c r="AG42">
        <v>168.2965517241</v>
      </c>
      <c r="AH42">
        <v>10</v>
      </c>
      <c r="AI42">
        <v>208.3</v>
      </c>
      <c r="AL42" t="s">
        <v>413</v>
      </c>
      <c r="AM42">
        <v>56</v>
      </c>
      <c r="AN42">
        <v>40</v>
      </c>
      <c r="AO42">
        <v>94.35</v>
      </c>
      <c r="AP42">
        <v>16</v>
      </c>
      <c r="AQ42">
        <v>275.25</v>
      </c>
      <c r="AR42">
        <v>12</v>
      </c>
      <c r="AS42">
        <v>225.75</v>
      </c>
      <c r="AT42">
        <v>4</v>
      </c>
      <c r="AU42">
        <v>142.75</v>
      </c>
    </row>
    <row r="43" spans="6:49" x14ac:dyDescent="0.2">
      <c r="F43" t="s">
        <v>39</v>
      </c>
      <c r="G43">
        <v>318</v>
      </c>
      <c r="H43">
        <v>258</v>
      </c>
      <c r="I43">
        <v>274.37984496119998</v>
      </c>
      <c r="J43">
        <v>25</v>
      </c>
      <c r="K43">
        <v>499.04</v>
      </c>
      <c r="L43">
        <v>20</v>
      </c>
      <c r="M43">
        <v>456.85</v>
      </c>
      <c r="N43">
        <v>40</v>
      </c>
      <c r="O43">
        <v>351.7</v>
      </c>
      <c r="V43" t="s">
        <v>422</v>
      </c>
      <c r="W43">
        <v>4189</v>
      </c>
      <c r="X43">
        <v>2171</v>
      </c>
      <c r="Y43">
        <v>193.10271764160001</v>
      </c>
      <c r="Z43">
        <v>626</v>
      </c>
      <c r="AA43">
        <v>291.52555910540002</v>
      </c>
      <c r="AB43">
        <v>1084</v>
      </c>
      <c r="AC43">
        <v>301.98431734320002</v>
      </c>
      <c r="AD43">
        <v>549</v>
      </c>
      <c r="AE43">
        <v>274.14025500909997</v>
      </c>
      <c r="AF43">
        <v>375</v>
      </c>
      <c r="AG43">
        <v>178.22933333329999</v>
      </c>
      <c r="AH43">
        <v>10</v>
      </c>
      <c r="AI43">
        <v>263.7</v>
      </c>
      <c r="AL43" t="s">
        <v>422</v>
      </c>
      <c r="AM43">
        <v>70</v>
      </c>
      <c r="AN43">
        <v>56</v>
      </c>
      <c r="AO43">
        <v>153.125</v>
      </c>
      <c r="AP43">
        <v>52</v>
      </c>
      <c r="AQ43">
        <v>240.98076923080001</v>
      </c>
      <c r="AR43">
        <v>12</v>
      </c>
      <c r="AS43">
        <v>117.3333333333</v>
      </c>
      <c r="AT43">
        <v>2</v>
      </c>
      <c r="AU43">
        <v>77.5</v>
      </c>
    </row>
    <row r="44" spans="6:49" x14ac:dyDescent="0.2">
      <c r="F44" t="s">
        <v>27</v>
      </c>
      <c r="G44">
        <v>3775</v>
      </c>
      <c r="H44">
        <v>2108</v>
      </c>
      <c r="I44">
        <v>181.64943074000001</v>
      </c>
      <c r="J44">
        <v>621</v>
      </c>
      <c r="K44">
        <v>279.69726247990002</v>
      </c>
      <c r="L44">
        <v>1091</v>
      </c>
      <c r="M44">
        <v>299.6828597617</v>
      </c>
      <c r="N44">
        <v>565</v>
      </c>
      <c r="O44">
        <v>267.00176991149999</v>
      </c>
      <c r="R44">
        <v>11</v>
      </c>
      <c r="S44">
        <v>283.27272727270002</v>
      </c>
      <c r="V44" t="s">
        <v>397</v>
      </c>
      <c r="W44">
        <v>5954</v>
      </c>
      <c r="X44">
        <v>4748</v>
      </c>
      <c r="Y44">
        <v>429.42923336140001</v>
      </c>
      <c r="Z44">
        <v>306</v>
      </c>
      <c r="AA44">
        <v>765.23856209149994</v>
      </c>
      <c r="AB44">
        <v>585</v>
      </c>
      <c r="AC44">
        <v>486.81880341879997</v>
      </c>
      <c r="AD44">
        <v>353</v>
      </c>
      <c r="AE44">
        <v>421.09915014159998</v>
      </c>
      <c r="AF44">
        <v>254</v>
      </c>
      <c r="AG44">
        <v>166.80708661419999</v>
      </c>
      <c r="AH44">
        <v>14</v>
      </c>
      <c r="AI44">
        <v>389.92857142859998</v>
      </c>
      <c r="AL44" t="s">
        <v>397</v>
      </c>
      <c r="AM44">
        <v>160</v>
      </c>
      <c r="AN44">
        <v>139</v>
      </c>
      <c r="AO44">
        <v>370.53956834529998</v>
      </c>
      <c r="AP44">
        <v>16</v>
      </c>
      <c r="AQ44">
        <v>682.4375</v>
      </c>
      <c r="AR44">
        <v>21</v>
      </c>
      <c r="AS44">
        <v>247.95238095240001</v>
      </c>
    </row>
    <row r="45" spans="6:49" x14ac:dyDescent="0.2">
      <c r="F45" t="s">
        <v>54</v>
      </c>
      <c r="G45">
        <v>5129</v>
      </c>
      <c r="H45">
        <v>4083</v>
      </c>
      <c r="I45">
        <v>479.73059025229998</v>
      </c>
      <c r="J45">
        <v>148</v>
      </c>
      <c r="K45">
        <v>920.01351351350002</v>
      </c>
      <c r="L45">
        <v>561</v>
      </c>
      <c r="M45">
        <v>314.51693404629998</v>
      </c>
      <c r="N45">
        <v>475</v>
      </c>
      <c r="O45">
        <v>651.25473684209999</v>
      </c>
      <c r="R45">
        <v>10</v>
      </c>
      <c r="S45">
        <v>592.5</v>
      </c>
      <c r="V45" t="s">
        <v>399</v>
      </c>
      <c r="W45">
        <v>4515</v>
      </c>
      <c r="X45">
        <v>2698</v>
      </c>
      <c r="Y45">
        <v>323.9266123054</v>
      </c>
      <c r="Z45">
        <v>266</v>
      </c>
      <c r="AA45">
        <v>613.81203007520003</v>
      </c>
      <c r="AB45">
        <v>1045</v>
      </c>
      <c r="AC45">
        <v>419.34545454549999</v>
      </c>
      <c r="AD45">
        <v>552</v>
      </c>
      <c r="AE45">
        <v>621.84057971009997</v>
      </c>
      <c r="AF45">
        <v>212</v>
      </c>
      <c r="AG45">
        <v>178.6603773585</v>
      </c>
      <c r="AH45">
        <v>8</v>
      </c>
      <c r="AI45">
        <v>893.875</v>
      </c>
      <c r="AL45" t="s">
        <v>399</v>
      </c>
      <c r="AM45">
        <v>111</v>
      </c>
      <c r="AN45">
        <v>93</v>
      </c>
      <c r="AO45">
        <v>276.20430107530001</v>
      </c>
      <c r="AP45">
        <v>17</v>
      </c>
      <c r="AQ45">
        <v>433.9411764706</v>
      </c>
      <c r="AR45">
        <v>18</v>
      </c>
      <c r="AS45">
        <v>349.6111111111</v>
      </c>
    </row>
    <row r="46" spans="6:49" x14ac:dyDescent="0.2">
      <c r="F46" t="s">
        <v>62</v>
      </c>
      <c r="G46">
        <v>5732</v>
      </c>
      <c r="H46">
        <v>4782</v>
      </c>
      <c r="I46">
        <v>429.67754077789999</v>
      </c>
      <c r="J46">
        <v>308</v>
      </c>
      <c r="K46">
        <v>773.62337662339996</v>
      </c>
      <c r="L46">
        <v>577</v>
      </c>
      <c r="M46">
        <v>468.89254766030001</v>
      </c>
      <c r="N46">
        <v>361</v>
      </c>
      <c r="O46">
        <v>424.5318559557</v>
      </c>
      <c r="R46">
        <v>12</v>
      </c>
      <c r="S46">
        <v>283.0833333333</v>
      </c>
      <c r="V46" t="s">
        <v>395</v>
      </c>
      <c r="W46">
        <v>66140</v>
      </c>
      <c r="X46">
        <v>44379</v>
      </c>
      <c r="Y46">
        <v>418.65069064199997</v>
      </c>
      <c r="Z46">
        <v>3855</v>
      </c>
      <c r="AA46">
        <v>567.98962386510004</v>
      </c>
      <c r="AB46">
        <v>13915</v>
      </c>
      <c r="AC46">
        <v>645.31369026230004</v>
      </c>
      <c r="AD46">
        <v>4827</v>
      </c>
      <c r="AE46">
        <v>521.42179407499998</v>
      </c>
      <c r="AF46">
        <v>2910</v>
      </c>
      <c r="AG46">
        <v>187.67216494850001</v>
      </c>
      <c r="AH46">
        <v>109</v>
      </c>
      <c r="AI46">
        <v>463.77981651379997</v>
      </c>
      <c r="AL46" t="s">
        <v>395</v>
      </c>
      <c r="AM46">
        <v>893</v>
      </c>
      <c r="AN46">
        <v>707</v>
      </c>
      <c r="AO46">
        <v>232.12164073549999</v>
      </c>
      <c r="AP46">
        <v>335</v>
      </c>
      <c r="AQ46">
        <v>298.11940298510001</v>
      </c>
      <c r="AR46">
        <v>165</v>
      </c>
      <c r="AS46">
        <v>260.5090909091</v>
      </c>
      <c r="AT46">
        <v>20</v>
      </c>
      <c r="AU46">
        <v>88.05</v>
      </c>
      <c r="AV46">
        <v>1</v>
      </c>
      <c r="AW46">
        <v>2103</v>
      </c>
    </row>
    <row r="47" spans="6:49" x14ac:dyDescent="0.2">
      <c r="F47" t="s">
        <v>187</v>
      </c>
      <c r="G47">
        <v>262</v>
      </c>
      <c r="H47">
        <v>127</v>
      </c>
      <c r="I47">
        <v>175</v>
      </c>
      <c r="J47">
        <v>114</v>
      </c>
      <c r="K47">
        <v>246.298245614</v>
      </c>
      <c r="L47">
        <v>75</v>
      </c>
      <c r="M47">
        <v>355.06666666669997</v>
      </c>
      <c r="N47">
        <v>60</v>
      </c>
      <c r="O47">
        <v>352.95</v>
      </c>
      <c r="V47" t="s">
        <v>426</v>
      </c>
      <c r="W47">
        <v>446</v>
      </c>
      <c r="X47">
        <v>278</v>
      </c>
      <c r="Y47">
        <v>297.03597122299999</v>
      </c>
      <c r="Z47">
        <v>35</v>
      </c>
      <c r="AA47">
        <v>406.71428571429999</v>
      </c>
      <c r="AB47">
        <v>68</v>
      </c>
      <c r="AC47">
        <v>464.76470588239999</v>
      </c>
      <c r="AD47">
        <v>66</v>
      </c>
      <c r="AE47">
        <v>322.45454545450002</v>
      </c>
      <c r="AF47">
        <v>34</v>
      </c>
      <c r="AG47">
        <v>234.5882352941</v>
      </c>
      <c r="AL47" t="s">
        <v>426</v>
      </c>
      <c r="AM47">
        <v>26</v>
      </c>
      <c r="AN47">
        <v>23</v>
      </c>
      <c r="AO47">
        <v>190.17391304349999</v>
      </c>
      <c r="AP47">
        <v>7</v>
      </c>
      <c r="AQ47">
        <v>304.85714285709997</v>
      </c>
      <c r="AR47">
        <v>1</v>
      </c>
      <c r="AS47">
        <v>45</v>
      </c>
      <c r="AT47">
        <v>1</v>
      </c>
      <c r="AU47">
        <v>220</v>
      </c>
      <c r="AV47">
        <v>1</v>
      </c>
      <c r="AW47">
        <v>2</v>
      </c>
    </row>
    <row r="48" spans="6:49" x14ac:dyDescent="0.2">
      <c r="F48" t="s">
        <v>73</v>
      </c>
      <c r="G48">
        <v>433</v>
      </c>
      <c r="H48">
        <v>247</v>
      </c>
      <c r="I48">
        <v>116.983805668</v>
      </c>
      <c r="J48">
        <v>235</v>
      </c>
      <c r="K48">
        <v>220.91063829789999</v>
      </c>
      <c r="L48">
        <v>73</v>
      </c>
      <c r="M48">
        <v>151.0821917808</v>
      </c>
      <c r="N48">
        <v>103</v>
      </c>
      <c r="O48">
        <v>176.56310679609999</v>
      </c>
      <c r="R48">
        <v>10</v>
      </c>
      <c r="S48">
        <v>279.3</v>
      </c>
      <c r="V48" t="s">
        <v>427</v>
      </c>
      <c r="W48">
        <v>189</v>
      </c>
      <c r="X48">
        <v>113</v>
      </c>
      <c r="Y48">
        <v>208.5486725664</v>
      </c>
      <c r="Z48">
        <v>20</v>
      </c>
      <c r="AA48">
        <v>254.05</v>
      </c>
      <c r="AB48">
        <v>24</v>
      </c>
      <c r="AC48">
        <v>403.6666666667</v>
      </c>
      <c r="AD48">
        <v>29</v>
      </c>
      <c r="AE48">
        <v>393.72413793099997</v>
      </c>
      <c r="AF48">
        <v>23</v>
      </c>
      <c r="AG48">
        <v>144.65217391300001</v>
      </c>
      <c r="AL48" t="s">
        <v>427</v>
      </c>
      <c r="AM48">
        <v>5</v>
      </c>
      <c r="AN48">
        <v>4</v>
      </c>
      <c r="AO48">
        <v>187</v>
      </c>
      <c r="AT48">
        <v>1</v>
      </c>
      <c r="AU48">
        <v>408</v>
      </c>
    </row>
    <row r="49" spans="6:51" x14ac:dyDescent="0.2">
      <c r="F49" t="s">
        <v>395</v>
      </c>
      <c r="G49">
        <v>63474</v>
      </c>
      <c r="H49">
        <v>44546</v>
      </c>
      <c r="I49">
        <v>418.49093072329998</v>
      </c>
      <c r="J49">
        <v>3833</v>
      </c>
      <c r="K49">
        <v>563.7106704931</v>
      </c>
      <c r="L49">
        <v>13993</v>
      </c>
      <c r="M49">
        <v>645.77903237329997</v>
      </c>
      <c r="N49">
        <v>4828</v>
      </c>
      <c r="O49">
        <v>523.07642916320003</v>
      </c>
      <c r="R49">
        <v>107</v>
      </c>
      <c r="S49">
        <v>461.7102803738</v>
      </c>
      <c r="V49" t="s">
        <v>433</v>
      </c>
      <c r="W49">
        <v>480</v>
      </c>
      <c r="X49">
        <v>288</v>
      </c>
      <c r="Y49">
        <v>394.6527777778</v>
      </c>
      <c r="Z49">
        <v>54</v>
      </c>
      <c r="AA49">
        <v>565.07407407410005</v>
      </c>
      <c r="AB49">
        <v>109</v>
      </c>
      <c r="AC49">
        <v>454.63302752290002</v>
      </c>
      <c r="AD49">
        <v>58</v>
      </c>
      <c r="AE49">
        <v>593.55172413790001</v>
      </c>
      <c r="AF49">
        <v>23</v>
      </c>
      <c r="AG49">
        <v>137.3913043478</v>
      </c>
      <c r="AH49">
        <v>2</v>
      </c>
      <c r="AI49">
        <v>134</v>
      </c>
      <c r="AL49" t="s">
        <v>433</v>
      </c>
      <c r="AM49">
        <v>18</v>
      </c>
      <c r="AN49">
        <v>14</v>
      </c>
      <c r="AO49">
        <v>217.6428571429</v>
      </c>
      <c r="AP49">
        <v>3</v>
      </c>
      <c r="AQ49">
        <v>246</v>
      </c>
      <c r="AR49">
        <v>1</v>
      </c>
      <c r="AS49">
        <v>100</v>
      </c>
      <c r="AT49">
        <v>3</v>
      </c>
      <c r="AU49">
        <v>334.6666666667</v>
      </c>
    </row>
    <row r="50" spans="6:51" x14ac:dyDescent="0.2">
      <c r="F50" t="s">
        <v>220</v>
      </c>
      <c r="G50">
        <v>1268</v>
      </c>
      <c r="H50">
        <v>910</v>
      </c>
      <c r="I50">
        <v>145.6791208791</v>
      </c>
      <c r="J50">
        <v>699</v>
      </c>
      <c r="K50">
        <v>253.6466380544</v>
      </c>
      <c r="L50">
        <v>302</v>
      </c>
      <c r="M50">
        <v>231.821192053</v>
      </c>
      <c r="N50">
        <v>56</v>
      </c>
      <c r="O50">
        <v>103.6071428571</v>
      </c>
      <c r="V50" t="s">
        <v>386</v>
      </c>
      <c r="W50">
        <v>5225</v>
      </c>
      <c r="X50">
        <v>3908</v>
      </c>
      <c r="Y50">
        <v>554.20035823950002</v>
      </c>
      <c r="Z50">
        <v>272</v>
      </c>
      <c r="AA50">
        <v>1042.7977941176</v>
      </c>
      <c r="AB50">
        <v>996</v>
      </c>
      <c r="AC50">
        <v>861.06024096390001</v>
      </c>
      <c r="AD50">
        <v>231</v>
      </c>
      <c r="AE50">
        <v>611.12121212119996</v>
      </c>
      <c r="AF50">
        <v>86</v>
      </c>
      <c r="AG50">
        <v>178.90697674419999</v>
      </c>
      <c r="AH50">
        <v>4</v>
      </c>
      <c r="AI50">
        <v>467.5</v>
      </c>
      <c r="AL50" t="s">
        <v>386</v>
      </c>
      <c r="AM50">
        <v>82</v>
      </c>
      <c r="AN50">
        <v>66</v>
      </c>
      <c r="AO50">
        <v>202.15151515150001</v>
      </c>
      <c r="AP50">
        <v>17</v>
      </c>
      <c r="AQ50">
        <v>446.6470588235</v>
      </c>
      <c r="AR50">
        <v>14</v>
      </c>
      <c r="AS50">
        <v>393.14285714290003</v>
      </c>
      <c r="AT50">
        <v>2</v>
      </c>
      <c r="AU50">
        <v>151.5</v>
      </c>
    </row>
    <row r="51" spans="6:51" x14ac:dyDescent="0.2">
      <c r="F51" t="s">
        <v>217</v>
      </c>
      <c r="G51">
        <v>2052</v>
      </c>
      <c r="H51">
        <v>1725</v>
      </c>
      <c r="I51">
        <v>308.77507246379997</v>
      </c>
      <c r="J51">
        <v>219</v>
      </c>
      <c r="K51">
        <v>581.37899543380001</v>
      </c>
      <c r="L51">
        <v>302</v>
      </c>
      <c r="M51">
        <v>355.67549668869998</v>
      </c>
      <c r="N51">
        <v>25</v>
      </c>
      <c r="O51">
        <v>110.36</v>
      </c>
      <c r="V51" t="s">
        <v>63</v>
      </c>
      <c r="W51">
        <v>5355</v>
      </c>
      <c r="X51">
        <v>3531</v>
      </c>
      <c r="Y51">
        <v>298.18380062310001</v>
      </c>
      <c r="Z51">
        <v>683</v>
      </c>
      <c r="AA51">
        <v>475.12298682279999</v>
      </c>
      <c r="AB51">
        <v>901</v>
      </c>
      <c r="AC51">
        <v>342.87014428409998</v>
      </c>
      <c r="AD51">
        <v>589</v>
      </c>
      <c r="AE51">
        <v>602.23599320879998</v>
      </c>
      <c r="AF51">
        <v>301</v>
      </c>
      <c r="AG51">
        <v>191.9966777409</v>
      </c>
      <c r="AH51">
        <v>33</v>
      </c>
      <c r="AI51">
        <v>540.45454545450002</v>
      </c>
      <c r="AL51" t="s">
        <v>63</v>
      </c>
      <c r="AM51">
        <v>260</v>
      </c>
      <c r="AN51">
        <v>213</v>
      </c>
      <c r="AO51">
        <v>258.81690140849997</v>
      </c>
      <c r="AP51">
        <v>42</v>
      </c>
      <c r="AQ51">
        <v>267.69047619050002</v>
      </c>
      <c r="AR51">
        <v>40</v>
      </c>
      <c r="AS51">
        <v>231.375</v>
      </c>
      <c r="AT51">
        <v>5</v>
      </c>
      <c r="AU51">
        <v>129</v>
      </c>
      <c r="AV51">
        <v>1</v>
      </c>
      <c r="AW51">
        <v>1622</v>
      </c>
      <c r="AX51">
        <v>1</v>
      </c>
      <c r="AY51">
        <v>852</v>
      </c>
    </row>
    <row r="52" spans="6:51" x14ac:dyDescent="0.2">
      <c r="F52" t="s">
        <v>218</v>
      </c>
      <c r="G52">
        <v>2644</v>
      </c>
      <c r="H52">
        <v>2236</v>
      </c>
      <c r="I52">
        <v>240.46511627909999</v>
      </c>
      <c r="J52">
        <v>435</v>
      </c>
      <c r="K52">
        <v>332.7908045977</v>
      </c>
      <c r="L52">
        <v>317</v>
      </c>
      <c r="M52">
        <v>233.6151419558</v>
      </c>
      <c r="N52">
        <v>90</v>
      </c>
      <c r="O52">
        <v>157.41111111110001</v>
      </c>
      <c r="R52">
        <v>1</v>
      </c>
      <c r="S52">
        <v>852</v>
      </c>
      <c r="V52" t="s">
        <v>388</v>
      </c>
      <c r="W52">
        <v>13467</v>
      </c>
      <c r="X52">
        <v>8559</v>
      </c>
      <c r="Y52">
        <v>347.49480079450001</v>
      </c>
      <c r="Z52">
        <v>550</v>
      </c>
      <c r="AA52">
        <v>763.70545454549995</v>
      </c>
      <c r="AB52">
        <v>3863</v>
      </c>
      <c r="AC52">
        <v>775.54051255499996</v>
      </c>
      <c r="AD52">
        <v>704</v>
      </c>
      <c r="AE52">
        <v>517.37215909090003</v>
      </c>
      <c r="AF52">
        <v>337</v>
      </c>
      <c r="AG52">
        <v>170.99703264089999</v>
      </c>
      <c r="AH52">
        <v>4</v>
      </c>
      <c r="AI52">
        <v>121.75</v>
      </c>
      <c r="AL52" t="s">
        <v>388</v>
      </c>
      <c r="AM52">
        <v>165</v>
      </c>
      <c r="AN52">
        <v>136</v>
      </c>
      <c r="AO52">
        <v>231.3088235294</v>
      </c>
      <c r="AP52">
        <v>29</v>
      </c>
      <c r="AQ52">
        <v>235.96551724139999</v>
      </c>
      <c r="AR52">
        <v>21</v>
      </c>
      <c r="AS52">
        <v>349.47619047619997</v>
      </c>
      <c r="AT52">
        <v>6</v>
      </c>
      <c r="AU52">
        <v>170.6666666667</v>
      </c>
      <c r="AV52">
        <v>2</v>
      </c>
      <c r="AW52">
        <v>97</v>
      </c>
    </row>
    <row r="53" spans="6:51" x14ac:dyDescent="0.2">
      <c r="F53" t="s">
        <v>472</v>
      </c>
      <c r="G53">
        <v>5964</v>
      </c>
      <c r="H53">
        <v>4871</v>
      </c>
      <c r="I53">
        <v>246.9482652433</v>
      </c>
      <c r="J53">
        <v>1353</v>
      </c>
      <c r="K53">
        <v>332.13968957869997</v>
      </c>
      <c r="L53">
        <v>921</v>
      </c>
      <c r="M53">
        <v>273.05103148749998</v>
      </c>
      <c r="N53">
        <v>171</v>
      </c>
      <c r="O53">
        <v>132.9122807018</v>
      </c>
      <c r="R53">
        <v>1</v>
      </c>
      <c r="S53">
        <v>852</v>
      </c>
      <c r="V53" t="s">
        <v>384</v>
      </c>
      <c r="W53">
        <v>4067</v>
      </c>
      <c r="X53">
        <v>2791</v>
      </c>
      <c r="Y53">
        <v>344.45216768180001</v>
      </c>
      <c r="Z53">
        <v>315</v>
      </c>
      <c r="AA53">
        <v>473.65396825400001</v>
      </c>
      <c r="AB53">
        <v>556</v>
      </c>
      <c r="AC53">
        <v>330.20683453240002</v>
      </c>
      <c r="AD53">
        <v>494</v>
      </c>
      <c r="AE53">
        <v>439.45141700400001</v>
      </c>
      <c r="AF53">
        <v>219</v>
      </c>
      <c r="AG53">
        <v>187.71689497720001</v>
      </c>
      <c r="AH53">
        <v>7</v>
      </c>
      <c r="AI53">
        <v>275.85714285709997</v>
      </c>
      <c r="AL53" t="s">
        <v>384</v>
      </c>
      <c r="AM53">
        <v>179</v>
      </c>
      <c r="AN53">
        <v>142</v>
      </c>
      <c r="AO53">
        <v>221.48591549299999</v>
      </c>
      <c r="AP53">
        <v>24</v>
      </c>
      <c r="AQ53">
        <v>220.7083333333</v>
      </c>
      <c r="AR53">
        <v>27</v>
      </c>
      <c r="AS53">
        <v>175.2222222222</v>
      </c>
      <c r="AT53">
        <v>7</v>
      </c>
      <c r="AU53">
        <v>248</v>
      </c>
      <c r="AV53">
        <v>3</v>
      </c>
      <c r="AW53">
        <v>640.66666666670005</v>
      </c>
    </row>
    <row r="54" spans="6:51" x14ac:dyDescent="0.2">
      <c r="F54" t="s">
        <v>81</v>
      </c>
      <c r="G54">
        <v>349</v>
      </c>
      <c r="H54">
        <v>239</v>
      </c>
      <c r="I54">
        <v>254.12970711299999</v>
      </c>
      <c r="J54">
        <v>38</v>
      </c>
      <c r="K54">
        <v>422.2894736842</v>
      </c>
      <c r="L54">
        <v>50</v>
      </c>
      <c r="M54">
        <v>345.6</v>
      </c>
      <c r="N54">
        <v>60</v>
      </c>
      <c r="O54">
        <v>261.5833333333</v>
      </c>
      <c r="V54" t="s">
        <v>383</v>
      </c>
      <c r="W54">
        <v>1048</v>
      </c>
      <c r="X54">
        <v>545</v>
      </c>
      <c r="Y54">
        <v>222.12477064219999</v>
      </c>
      <c r="Z54">
        <v>184</v>
      </c>
      <c r="AA54">
        <v>301.48913043480002</v>
      </c>
      <c r="AB54">
        <v>239</v>
      </c>
      <c r="AC54">
        <v>232.31380753139999</v>
      </c>
      <c r="AD54">
        <v>138</v>
      </c>
      <c r="AE54">
        <v>282.17391304350002</v>
      </c>
      <c r="AF54">
        <v>125</v>
      </c>
      <c r="AG54">
        <v>181.976</v>
      </c>
      <c r="AH54">
        <v>1</v>
      </c>
      <c r="AI54">
        <v>50</v>
      </c>
      <c r="AL54" t="s">
        <v>383</v>
      </c>
      <c r="AM54">
        <v>56</v>
      </c>
      <c r="AN54">
        <v>51</v>
      </c>
      <c r="AO54">
        <v>204.8039215686</v>
      </c>
      <c r="AP54">
        <v>4</v>
      </c>
      <c r="AQ54">
        <v>649.5</v>
      </c>
      <c r="AR54">
        <v>5</v>
      </c>
      <c r="AS54">
        <v>120.4</v>
      </c>
    </row>
    <row r="55" spans="6:51" x14ac:dyDescent="0.2">
      <c r="F55" t="s">
        <v>38</v>
      </c>
      <c r="G55">
        <v>3467</v>
      </c>
      <c r="H55">
        <v>2356</v>
      </c>
      <c r="I55">
        <v>502.4813242784</v>
      </c>
      <c r="J55">
        <v>251</v>
      </c>
      <c r="K55">
        <v>793.22310756970001</v>
      </c>
      <c r="L55">
        <v>800</v>
      </c>
      <c r="M55">
        <v>720.45749999999998</v>
      </c>
      <c r="N55">
        <v>311</v>
      </c>
      <c r="O55">
        <v>685.70096463020002</v>
      </c>
      <c r="V55" t="s">
        <v>385</v>
      </c>
      <c r="W55">
        <v>6340</v>
      </c>
      <c r="X55">
        <v>4171</v>
      </c>
      <c r="Y55">
        <v>381.58139534880002</v>
      </c>
      <c r="Z55">
        <v>413</v>
      </c>
      <c r="AA55">
        <v>531.9515738499</v>
      </c>
      <c r="AB55">
        <v>930</v>
      </c>
      <c r="AC55">
        <v>544.0086021505</v>
      </c>
      <c r="AD55">
        <v>892</v>
      </c>
      <c r="AE55">
        <v>634.75672645739996</v>
      </c>
      <c r="AF55">
        <v>340</v>
      </c>
      <c r="AG55">
        <v>174.0852941176</v>
      </c>
      <c r="AH55">
        <v>7</v>
      </c>
      <c r="AI55">
        <v>448.42857142859998</v>
      </c>
      <c r="AL55" t="s">
        <v>385</v>
      </c>
      <c r="AM55">
        <v>287</v>
      </c>
      <c r="AN55">
        <v>237</v>
      </c>
      <c r="AO55">
        <v>227.0632911392</v>
      </c>
      <c r="AP55">
        <v>43</v>
      </c>
      <c r="AQ55">
        <v>336.44186046509998</v>
      </c>
      <c r="AR55">
        <v>35</v>
      </c>
      <c r="AS55">
        <v>277.8</v>
      </c>
      <c r="AT55">
        <v>12</v>
      </c>
      <c r="AU55">
        <v>157.25</v>
      </c>
      <c r="AV55">
        <v>3</v>
      </c>
      <c r="AW55">
        <v>193.3333333333</v>
      </c>
    </row>
    <row r="56" spans="6:51" x14ac:dyDescent="0.2">
      <c r="F56" t="s">
        <v>64</v>
      </c>
      <c r="G56">
        <v>2717</v>
      </c>
      <c r="H56">
        <v>2111</v>
      </c>
      <c r="I56">
        <v>363.01847465660001</v>
      </c>
      <c r="J56">
        <v>170</v>
      </c>
      <c r="K56">
        <v>550.99411764709998</v>
      </c>
      <c r="L56">
        <v>260</v>
      </c>
      <c r="M56">
        <v>109.3692307692</v>
      </c>
      <c r="N56">
        <v>344</v>
      </c>
      <c r="O56">
        <v>360.13953488369998</v>
      </c>
      <c r="R56">
        <v>2</v>
      </c>
      <c r="S56">
        <v>403</v>
      </c>
      <c r="V56" t="s">
        <v>382</v>
      </c>
      <c r="W56">
        <v>303</v>
      </c>
      <c r="X56">
        <v>124</v>
      </c>
      <c r="Y56">
        <v>140.4193548387</v>
      </c>
      <c r="Z56">
        <v>100</v>
      </c>
      <c r="AA56">
        <v>231.63</v>
      </c>
      <c r="AB56">
        <v>74</v>
      </c>
      <c r="AC56">
        <v>149.1351351351</v>
      </c>
      <c r="AD56">
        <v>43</v>
      </c>
      <c r="AE56">
        <v>197.90697674419999</v>
      </c>
      <c r="AF56">
        <v>58</v>
      </c>
      <c r="AG56">
        <v>139.94827586209999</v>
      </c>
      <c r="AH56">
        <v>4</v>
      </c>
      <c r="AI56">
        <v>119.5</v>
      </c>
      <c r="AL56" t="s">
        <v>382</v>
      </c>
      <c r="AM56">
        <v>23</v>
      </c>
      <c r="AN56">
        <v>17</v>
      </c>
      <c r="AO56">
        <v>225.4705882353</v>
      </c>
      <c r="AP56">
        <v>1</v>
      </c>
      <c r="AQ56">
        <v>117</v>
      </c>
      <c r="AR56">
        <v>4</v>
      </c>
      <c r="AS56">
        <v>241.5</v>
      </c>
      <c r="AT56">
        <v>2</v>
      </c>
      <c r="AU56">
        <v>27.5</v>
      </c>
    </row>
    <row r="57" spans="6:51" x14ac:dyDescent="0.2">
      <c r="F57" t="s">
        <v>24</v>
      </c>
      <c r="G57">
        <v>1717</v>
      </c>
      <c r="H57">
        <v>1036</v>
      </c>
      <c r="I57">
        <v>240.1911196911</v>
      </c>
      <c r="J57">
        <v>326</v>
      </c>
      <c r="K57">
        <v>275.61963190180001</v>
      </c>
      <c r="L57">
        <v>479</v>
      </c>
      <c r="M57">
        <v>332.89979123170002</v>
      </c>
      <c r="N57">
        <v>193</v>
      </c>
      <c r="O57">
        <v>511.29015544039999</v>
      </c>
      <c r="R57">
        <v>9</v>
      </c>
      <c r="S57">
        <v>516.11111111109994</v>
      </c>
      <c r="V57" t="s">
        <v>381</v>
      </c>
      <c r="W57">
        <v>3536</v>
      </c>
      <c r="X57">
        <v>2192</v>
      </c>
      <c r="Y57">
        <v>501.53010948910003</v>
      </c>
      <c r="Z57">
        <v>343</v>
      </c>
      <c r="AA57">
        <v>617.69096209910003</v>
      </c>
      <c r="AB57">
        <v>850</v>
      </c>
      <c r="AC57">
        <v>634.3823529412</v>
      </c>
      <c r="AD57">
        <v>346</v>
      </c>
      <c r="AE57">
        <v>626.69364161850001</v>
      </c>
      <c r="AF57">
        <v>148</v>
      </c>
      <c r="AG57">
        <v>194.42567567570001</v>
      </c>
      <c r="AL57" t="s">
        <v>381</v>
      </c>
      <c r="AM57">
        <v>120</v>
      </c>
      <c r="AN57">
        <v>101</v>
      </c>
      <c r="AO57">
        <v>282.14851485150001</v>
      </c>
      <c r="AP57">
        <v>20</v>
      </c>
      <c r="AQ57">
        <v>410.9</v>
      </c>
      <c r="AR57">
        <v>14</v>
      </c>
      <c r="AS57">
        <v>253.8571428571</v>
      </c>
      <c r="AT57">
        <v>5</v>
      </c>
      <c r="AU57">
        <v>146</v>
      </c>
    </row>
    <row r="58" spans="6:51" x14ac:dyDescent="0.2">
      <c r="F58" t="s">
        <v>72</v>
      </c>
      <c r="G58">
        <v>13529</v>
      </c>
      <c r="H58">
        <v>8712</v>
      </c>
      <c r="I58">
        <v>340.00172176310002</v>
      </c>
      <c r="J58">
        <v>555</v>
      </c>
      <c r="K58">
        <v>776.46126126130002</v>
      </c>
      <c r="L58">
        <v>4110</v>
      </c>
      <c r="M58">
        <v>784.64768856449996</v>
      </c>
      <c r="N58">
        <v>703</v>
      </c>
      <c r="O58">
        <v>515.18065433849995</v>
      </c>
      <c r="R58">
        <v>4</v>
      </c>
      <c r="S58">
        <v>121.75</v>
      </c>
      <c r="V58" t="s">
        <v>425</v>
      </c>
      <c r="W58">
        <v>726</v>
      </c>
      <c r="X58">
        <v>589</v>
      </c>
      <c r="Y58">
        <v>366.2241086587</v>
      </c>
      <c r="Z58">
        <v>103</v>
      </c>
      <c r="AA58">
        <v>740.25242718449999</v>
      </c>
      <c r="AB58">
        <v>40</v>
      </c>
      <c r="AC58">
        <v>290.02499999999998</v>
      </c>
      <c r="AD58">
        <v>51</v>
      </c>
      <c r="AE58">
        <v>312.6470588235</v>
      </c>
      <c r="AF58">
        <v>46</v>
      </c>
      <c r="AG58">
        <v>281.41304347829998</v>
      </c>
      <c r="AL58" t="s">
        <v>425</v>
      </c>
      <c r="AM58">
        <v>22</v>
      </c>
      <c r="AN58">
        <v>20</v>
      </c>
      <c r="AO58">
        <v>240.45</v>
      </c>
      <c r="AP58">
        <v>1</v>
      </c>
      <c r="AQ58">
        <v>190</v>
      </c>
      <c r="AR58">
        <v>2</v>
      </c>
      <c r="AS58">
        <v>134.5</v>
      </c>
    </row>
    <row r="59" spans="6:51" x14ac:dyDescent="0.2">
      <c r="F59" t="s">
        <v>47</v>
      </c>
      <c r="G59">
        <v>858</v>
      </c>
      <c r="H59">
        <v>508</v>
      </c>
      <c r="I59">
        <v>198.96259842520001</v>
      </c>
      <c r="J59">
        <v>177</v>
      </c>
      <c r="K59">
        <v>294.81920903949998</v>
      </c>
      <c r="L59">
        <v>225</v>
      </c>
      <c r="M59">
        <v>197.31111111109999</v>
      </c>
      <c r="N59">
        <v>124</v>
      </c>
      <c r="O59">
        <v>243.49193548389999</v>
      </c>
      <c r="R59">
        <v>1</v>
      </c>
      <c r="S59">
        <v>50</v>
      </c>
      <c r="V59" t="s">
        <v>389</v>
      </c>
      <c r="W59">
        <v>2316</v>
      </c>
      <c r="X59">
        <v>1484</v>
      </c>
      <c r="Y59">
        <v>375.19070080860001</v>
      </c>
      <c r="Z59">
        <v>419</v>
      </c>
      <c r="AA59">
        <v>463.48210023870001</v>
      </c>
      <c r="AB59">
        <v>188</v>
      </c>
      <c r="AC59">
        <v>271.82978723399998</v>
      </c>
      <c r="AD59">
        <v>472</v>
      </c>
      <c r="AE59">
        <v>437.95762711859999</v>
      </c>
      <c r="AF59">
        <v>169</v>
      </c>
      <c r="AG59">
        <v>160.08284023670001</v>
      </c>
      <c r="AH59">
        <v>3</v>
      </c>
      <c r="AI59">
        <v>476.6666666667</v>
      </c>
      <c r="AL59" t="s">
        <v>389</v>
      </c>
      <c r="AM59">
        <v>46</v>
      </c>
      <c r="AN59">
        <v>34</v>
      </c>
      <c r="AO59">
        <v>188.5882352941</v>
      </c>
      <c r="AP59">
        <v>10</v>
      </c>
      <c r="AQ59">
        <v>251.4</v>
      </c>
      <c r="AR59">
        <v>9</v>
      </c>
      <c r="AS59">
        <v>137.6666666667</v>
      </c>
      <c r="AT59">
        <v>3</v>
      </c>
      <c r="AU59">
        <v>83</v>
      </c>
    </row>
    <row r="60" spans="6:51" x14ac:dyDescent="0.2">
      <c r="F60" t="s">
        <v>63</v>
      </c>
      <c r="G60">
        <v>3301</v>
      </c>
      <c r="H60">
        <v>2451</v>
      </c>
      <c r="I60">
        <v>312.02488780089999</v>
      </c>
      <c r="J60">
        <v>366</v>
      </c>
      <c r="K60">
        <v>662.99726775960005</v>
      </c>
      <c r="L60">
        <v>405</v>
      </c>
      <c r="M60">
        <v>324.81728395059997</v>
      </c>
      <c r="N60">
        <v>421</v>
      </c>
      <c r="O60">
        <v>640.21615201899999</v>
      </c>
      <c r="R60">
        <v>24</v>
      </c>
      <c r="S60">
        <v>549.58333333329995</v>
      </c>
      <c r="V60" t="s">
        <v>392</v>
      </c>
      <c r="W60">
        <v>9976</v>
      </c>
      <c r="X60">
        <v>7104</v>
      </c>
      <c r="Y60">
        <v>275.91427364859999</v>
      </c>
      <c r="Z60">
        <v>845</v>
      </c>
      <c r="AA60">
        <v>492.22958579879997</v>
      </c>
      <c r="AB60">
        <v>1322</v>
      </c>
      <c r="AC60">
        <v>235.86081694399999</v>
      </c>
      <c r="AD60">
        <v>932</v>
      </c>
      <c r="AE60">
        <v>384.71351931330003</v>
      </c>
      <c r="AF60">
        <v>595</v>
      </c>
      <c r="AG60">
        <v>162.86218487389999</v>
      </c>
      <c r="AH60">
        <v>23</v>
      </c>
      <c r="AI60">
        <v>284.34782608699999</v>
      </c>
      <c r="AL60" t="s">
        <v>392</v>
      </c>
      <c r="AM60">
        <v>238</v>
      </c>
      <c r="AN60">
        <v>207</v>
      </c>
      <c r="AO60">
        <v>209.40096618359999</v>
      </c>
      <c r="AP60">
        <v>32</v>
      </c>
      <c r="AQ60">
        <v>355.34375</v>
      </c>
      <c r="AR60">
        <v>18</v>
      </c>
      <c r="AS60">
        <v>240.8888888889</v>
      </c>
      <c r="AT60">
        <v>10</v>
      </c>
      <c r="AU60">
        <v>186.3</v>
      </c>
      <c r="AV60">
        <v>3</v>
      </c>
      <c r="AW60">
        <v>205</v>
      </c>
    </row>
    <row r="61" spans="6:51" x14ac:dyDescent="0.2">
      <c r="F61" t="s">
        <v>36</v>
      </c>
      <c r="G61">
        <v>5382</v>
      </c>
      <c r="H61">
        <v>4086</v>
      </c>
      <c r="I61">
        <v>570.18404307390006</v>
      </c>
      <c r="J61">
        <v>276</v>
      </c>
      <c r="K61">
        <v>1090.3260869564999</v>
      </c>
      <c r="L61">
        <v>1043</v>
      </c>
      <c r="M61">
        <v>872.59731543620001</v>
      </c>
      <c r="N61">
        <v>249</v>
      </c>
      <c r="O61">
        <v>645.22891566270005</v>
      </c>
      <c r="R61">
        <v>4</v>
      </c>
      <c r="S61">
        <v>567.75</v>
      </c>
      <c r="V61" t="s">
        <v>424</v>
      </c>
      <c r="W61">
        <v>530</v>
      </c>
      <c r="X61">
        <v>313</v>
      </c>
      <c r="Y61">
        <v>352.16932907350002</v>
      </c>
      <c r="Z61">
        <v>27</v>
      </c>
      <c r="AA61">
        <v>1080.1481481481001</v>
      </c>
      <c r="AB61">
        <v>169</v>
      </c>
      <c r="AC61">
        <v>877.95857988169996</v>
      </c>
      <c r="AD61">
        <v>33</v>
      </c>
      <c r="AE61">
        <v>526.09090909090003</v>
      </c>
      <c r="AF61">
        <v>15</v>
      </c>
      <c r="AG61">
        <v>153.73333333330001</v>
      </c>
      <c r="AL61" t="s">
        <v>424</v>
      </c>
      <c r="AM61">
        <v>11</v>
      </c>
      <c r="AN61">
        <v>11</v>
      </c>
      <c r="AO61">
        <v>132.54545454550001</v>
      </c>
      <c r="AP61">
        <v>1</v>
      </c>
      <c r="AQ61">
        <v>129</v>
      </c>
    </row>
    <row r="62" spans="6:51" x14ac:dyDescent="0.2">
      <c r="F62" t="s">
        <v>50</v>
      </c>
      <c r="G62">
        <v>1934</v>
      </c>
      <c r="H62">
        <v>1330</v>
      </c>
      <c r="I62">
        <v>356.5827067669</v>
      </c>
      <c r="J62">
        <v>425</v>
      </c>
      <c r="K62">
        <v>481.33176470590001</v>
      </c>
      <c r="L62">
        <v>154</v>
      </c>
      <c r="M62">
        <v>156.55194805190001</v>
      </c>
      <c r="N62">
        <v>447</v>
      </c>
      <c r="O62">
        <v>405.53914988809998</v>
      </c>
      <c r="R62">
        <v>3</v>
      </c>
      <c r="S62">
        <v>476.6666666667</v>
      </c>
      <c r="V62" t="s">
        <v>379</v>
      </c>
      <c r="W62">
        <v>54004</v>
      </c>
      <c r="X62">
        <v>35990</v>
      </c>
      <c r="Y62">
        <v>362.49766601829998</v>
      </c>
      <c r="Z62">
        <v>4363</v>
      </c>
      <c r="AA62">
        <v>562.21934448770003</v>
      </c>
      <c r="AB62">
        <v>10329</v>
      </c>
      <c r="AC62">
        <v>587.81072707910005</v>
      </c>
      <c r="AD62">
        <v>5078</v>
      </c>
      <c r="AE62">
        <v>506.77333595900001</v>
      </c>
      <c r="AF62">
        <v>2519</v>
      </c>
      <c r="AG62">
        <v>176.423977769</v>
      </c>
      <c r="AH62">
        <v>88</v>
      </c>
      <c r="AI62">
        <v>386.6818181818</v>
      </c>
      <c r="AL62" t="s">
        <v>379</v>
      </c>
      <c r="AM62">
        <v>1538</v>
      </c>
      <c r="AN62">
        <v>1276</v>
      </c>
      <c r="AO62">
        <v>228.9670846395</v>
      </c>
      <c r="AP62">
        <v>234</v>
      </c>
      <c r="AQ62">
        <v>313.89743589739999</v>
      </c>
      <c r="AR62">
        <v>191</v>
      </c>
      <c r="AS62">
        <v>249.54450261779999</v>
      </c>
      <c r="AT62">
        <v>57</v>
      </c>
      <c r="AU62">
        <v>177.61403508769999</v>
      </c>
      <c r="AV62">
        <v>13</v>
      </c>
      <c r="AW62">
        <v>379.61538461539999</v>
      </c>
      <c r="AX62">
        <v>1</v>
      </c>
      <c r="AY62">
        <v>852</v>
      </c>
    </row>
    <row r="63" spans="6:51" x14ac:dyDescent="0.2">
      <c r="F63" t="s">
        <v>57</v>
      </c>
      <c r="G63">
        <v>658</v>
      </c>
      <c r="H63">
        <v>569</v>
      </c>
      <c r="I63">
        <v>360.11247803160001</v>
      </c>
      <c r="J63">
        <v>101</v>
      </c>
      <c r="K63">
        <v>760.97029702969996</v>
      </c>
      <c r="L63">
        <v>33</v>
      </c>
      <c r="M63">
        <v>109.8787878788</v>
      </c>
      <c r="N63">
        <v>56</v>
      </c>
      <c r="O63">
        <v>283.05357142859998</v>
      </c>
      <c r="V63" t="s">
        <v>715</v>
      </c>
      <c r="W63">
        <v>302832</v>
      </c>
      <c r="X63">
        <v>209527</v>
      </c>
      <c r="Y63">
        <v>401.9009817351</v>
      </c>
      <c r="Z63">
        <v>19382</v>
      </c>
      <c r="AA63">
        <v>579.61433288620003</v>
      </c>
      <c r="AB63">
        <v>56728</v>
      </c>
      <c r="AC63">
        <v>623.06108094770002</v>
      </c>
      <c r="AD63">
        <v>23206</v>
      </c>
      <c r="AE63">
        <v>528.82396793930002</v>
      </c>
      <c r="AF63">
        <v>12987</v>
      </c>
      <c r="AG63">
        <v>180.32301532299999</v>
      </c>
      <c r="AH63">
        <v>384</v>
      </c>
      <c r="AI63">
        <v>466.1614583333</v>
      </c>
      <c r="AL63" t="s">
        <v>715</v>
      </c>
      <c r="AM63">
        <v>5994</v>
      </c>
      <c r="AN63">
        <v>4871</v>
      </c>
      <c r="AO63">
        <v>246.9482652433</v>
      </c>
      <c r="AP63">
        <v>1353</v>
      </c>
      <c r="AQ63">
        <v>332.13968957869997</v>
      </c>
      <c r="AR63">
        <v>921</v>
      </c>
      <c r="AS63">
        <v>273.05103148749998</v>
      </c>
      <c r="AT63">
        <v>171</v>
      </c>
      <c r="AU63">
        <v>132.9122807018</v>
      </c>
      <c r="AV63">
        <v>30</v>
      </c>
      <c r="AW63">
        <v>326.06666666669997</v>
      </c>
      <c r="AX63">
        <v>1</v>
      </c>
      <c r="AY63">
        <v>852</v>
      </c>
    </row>
    <row r="64" spans="6:51" x14ac:dyDescent="0.2">
      <c r="F64" t="s">
        <v>68</v>
      </c>
      <c r="G64">
        <v>4705</v>
      </c>
      <c r="H64">
        <v>3563</v>
      </c>
      <c r="I64">
        <v>545.98652820660004</v>
      </c>
      <c r="J64">
        <v>117</v>
      </c>
      <c r="K64">
        <v>938.41025641030001</v>
      </c>
      <c r="L64">
        <v>284</v>
      </c>
      <c r="M64">
        <v>631.51056338030003</v>
      </c>
      <c r="N64">
        <v>855</v>
      </c>
      <c r="O64">
        <v>859.39649122809999</v>
      </c>
      <c r="R64">
        <v>3</v>
      </c>
      <c r="S64">
        <v>579.66666666670005</v>
      </c>
    </row>
    <row r="65" spans="6:19" x14ac:dyDescent="0.2">
      <c r="F65" t="s">
        <v>70</v>
      </c>
      <c r="G65">
        <v>459</v>
      </c>
      <c r="H65">
        <v>224</v>
      </c>
      <c r="I65">
        <v>110.6205357143</v>
      </c>
      <c r="J65">
        <v>191</v>
      </c>
      <c r="K65">
        <v>205.72251308899999</v>
      </c>
      <c r="L65">
        <v>153</v>
      </c>
      <c r="M65">
        <v>117.5947712418</v>
      </c>
      <c r="N65">
        <v>78</v>
      </c>
      <c r="O65">
        <v>189.3205128205</v>
      </c>
      <c r="R65">
        <v>4</v>
      </c>
      <c r="S65">
        <v>119.5</v>
      </c>
    </row>
    <row r="66" spans="6:19" x14ac:dyDescent="0.2">
      <c r="F66" t="s">
        <v>85</v>
      </c>
      <c r="G66">
        <v>196</v>
      </c>
      <c r="H66">
        <v>68</v>
      </c>
      <c r="I66">
        <v>938.29411764710005</v>
      </c>
      <c r="J66">
        <v>20</v>
      </c>
      <c r="K66">
        <v>1008.15</v>
      </c>
      <c r="L66">
        <v>71</v>
      </c>
      <c r="M66">
        <v>566.83098591550004</v>
      </c>
      <c r="N66">
        <v>56</v>
      </c>
      <c r="O66">
        <v>607.94642857140002</v>
      </c>
      <c r="R66">
        <v>1</v>
      </c>
      <c r="S66">
        <v>222</v>
      </c>
    </row>
    <row r="67" spans="6:19" x14ac:dyDescent="0.2">
      <c r="F67" t="s">
        <v>66</v>
      </c>
      <c r="G67">
        <v>4646</v>
      </c>
      <c r="H67">
        <v>2990</v>
      </c>
      <c r="I67">
        <v>245.5839464883</v>
      </c>
      <c r="J67">
        <v>511</v>
      </c>
      <c r="K67">
        <v>406.94716242660002</v>
      </c>
      <c r="L67">
        <v>1046</v>
      </c>
      <c r="M67">
        <v>502.64435946459997</v>
      </c>
      <c r="N67">
        <v>599</v>
      </c>
      <c r="O67">
        <v>574.51419031720002</v>
      </c>
      <c r="R67">
        <v>11</v>
      </c>
      <c r="S67">
        <v>273</v>
      </c>
    </row>
    <row r="68" spans="6:19" x14ac:dyDescent="0.2">
      <c r="F68" t="s">
        <v>440</v>
      </c>
      <c r="G68">
        <v>4</v>
      </c>
      <c r="H68">
        <v>2</v>
      </c>
      <c r="I68">
        <v>437</v>
      </c>
      <c r="N68">
        <v>1</v>
      </c>
      <c r="O68">
        <v>59</v>
      </c>
      <c r="R68">
        <v>1</v>
      </c>
      <c r="S68">
        <v>178</v>
      </c>
    </row>
    <row r="69" spans="6:19" x14ac:dyDescent="0.2">
      <c r="F69" t="s">
        <v>86</v>
      </c>
      <c r="G69">
        <v>9091</v>
      </c>
      <c r="H69">
        <v>6908</v>
      </c>
      <c r="I69">
        <v>266.216850029</v>
      </c>
      <c r="J69">
        <v>833</v>
      </c>
      <c r="K69">
        <v>491.39615846340001</v>
      </c>
      <c r="L69">
        <v>1244</v>
      </c>
      <c r="M69">
        <v>191.709807074</v>
      </c>
      <c r="N69">
        <v>916</v>
      </c>
      <c r="O69">
        <v>372.30895196509999</v>
      </c>
      <c r="R69">
        <v>23</v>
      </c>
      <c r="S69">
        <v>284.34782608699999</v>
      </c>
    </row>
    <row r="70" spans="6:19" x14ac:dyDescent="0.2">
      <c r="F70" t="s">
        <v>141</v>
      </c>
      <c r="G70">
        <v>191</v>
      </c>
      <c r="H70">
        <v>109</v>
      </c>
      <c r="I70">
        <v>197.8165137615</v>
      </c>
      <c r="J70">
        <v>21</v>
      </c>
      <c r="K70">
        <v>254.6666666667</v>
      </c>
      <c r="L70">
        <v>37</v>
      </c>
      <c r="M70">
        <v>566.62162162159996</v>
      </c>
      <c r="N70">
        <v>45</v>
      </c>
      <c r="O70">
        <v>498.2</v>
      </c>
    </row>
    <row r="71" spans="6:19" x14ac:dyDescent="0.2">
      <c r="F71" t="s">
        <v>379</v>
      </c>
      <c r="G71">
        <v>53204</v>
      </c>
      <c r="H71">
        <v>37262</v>
      </c>
      <c r="I71">
        <v>368.37303419030002</v>
      </c>
      <c r="J71">
        <v>4378</v>
      </c>
      <c r="K71">
        <v>570.7350388305</v>
      </c>
      <c r="L71">
        <v>10394</v>
      </c>
      <c r="M71">
        <v>591.01856840480002</v>
      </c>
      <c r="N71">
        <v>5458</v>
      </c>
      <c r="O71">
        <v>542.77079516310005</v>
      </c>
      <c r="R71">
        <v>90</v>
      </c>
      <c r="S71">
        <v>389.32222222220003</v>
      </c>
    </row>
    <row r="72" spans="6:19" x14ac:dyDescent="0.2">
      <c r="F72" t="s">
        <v>715</v>
      </c>
      <c r="G72">
        <v>308826</v>
      </c>
      <c r="H72">
        <v>214398</v>
      </c>
      <c r="I72">
        <v>398.3805445946</v>
      </c>
      <c r="J72">
        <v>20735</v>
      </c>
      <c r="K72">
        <v>563.46612008679995</v>
      </c>
      <c r="L72">
        <v>57649</v>
      </c>
      <c r="M72">
        <v>617.46932297180001</v>
      </c>
      <c r="N72">
        <v>23377</v>
      </c>
      <c r="O72">
        <v>525.92792060570002</v>
      </c>
      <c r="P72">
        <v>13017</v>
      </c>
      <c r="Q72">
        <v>180.65890758239999</v>
      </c>
      <c r="R72">
        <v>385</v>
      </c>
      <c r="S72">
        <v>467.16363636360001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4"/>
  <sheetViews>
    <sheetView zoomScale="85" zoomScaleNormal="85" workbookViewId="0"/>
  </sheetViews>
  <sheetFormatPr defaultRowHeight="12.75" x14ac:dyDescent="0.2"/>
  <cols>
    <col min="2" max="2" width="24.140625" bestFit="1" customWidth="1"/>
    <col min="3" max="3" width="12.28515625" bestFit="1" customWidth="1"/>
    <col min="4" max="4" width="15.42578125" bestFit="1" customWidth="1"/>
    <col min="5" max="5" width="6.28515625" bestFit="1" customWidth="1"/>
    <col min="6" max="6" width="30.140625" bestFit="1" customWidth="1"/>
    <col min="7" max="7" width="33.42578125" bestFit="1" customWidth="1"/>
    <col min="8" max="8" width="34.5703125" bestFit="1" customWidth="1"/>
    <col min="9" max="9" width="28.5703125" bestFit="1" customWidth="1"/>
    <col min="10" max="10" width="34.42578125" bestFit="1" customWidth="1"/>
    <col min="11" max="11" width="25.28515625" bestFit="1" customWidth="1"/>
    <col min="12" max="12" width="32" bestFit="1" customWidth="1"/>
    <col min="13" max="13" width="33" bestFit="1" customWidth="1"/>
    <col min="14" max="14" width="24" bestFit="1" customWidth="1"/>
    <col min="15" max="15" width="32.85546875" bestFit="1" customWidth="1"/>
    <col min="16" max="16" width="24" bestFit="1" customWidth="1"/>
    <col min="17" max="19" width="12.7109375" bestFit="1" customWidth="1"/>
  </cols>
  <sheetData>
    <row r="2" spans="2:16" x14ac:dyDescent="0.2">
      <c r="B2" t="s">
        <v>945</v>
      </c>
      <c r="C2" t="s">
        <v>512</v>
      </c>
      <c r="D2" t="s">
        <v>935</v>
      </c>
      <c r="E2" t="s">
        <v>936</v>
      </c>
      <c r="F2" t="s">
        <v>937</v>
      </c>
      <c r="G2" t="s">
        <v>938</v>
      </c>
      <c r="H2" t="s">
        <v>940</v>
      </c>
      <c r="I2" t="s">
        <v>941</v>
      </c>
      <c r="J2" t="s">
        <v>942</v>
      </c>
      <c r="K2" t="s">
        <v>943</v>
      </c>
      <c r="L2" t="s">
        <v>939</v>
      </c>
      <c r="M2" t="s">
        <v>949</v>
      </c>
      <c r="N2" t="s">
        <v>950</v>
      </c>
      <c r="O2" t="s">
        <v>951</v>
      </c>
      <c r="P2" t="s">
        <v>952</v>
      </c>
    </row>
    <row r="3" spans="2:16" x14ac:dyDescent="0.2">
      <c r="B3" t="s">
        <v>535</v>
      </c>
      <c r="C3" t="s">
        <v>379</v>
      </c>
      <c r="D3" s="18">
        <v>42172</v>
      </c>
      <c r="E3" t="s">
        <v>144</v>
      </c>
      <c r="F3" s="19">
        <v>0.94380649199729905</v>
      </c>
      <c r="G3" s="19">
        <v>0.89254704199909662</v>
      </c>
      <c r="H3" s="19">
        <v>0.90507961152224692</v>
      </c>
      <c r="I3" s="19">
        <v>4.2516139834241858E-2</v>
      </c>
      <c r="J3" s="19">
        <v>0.89503876121664161</v>
      </c>
      <c r="K3" s="19">
        <v>4.5780591180819244E-2</v>
      </c>
      <c r="L3" s="19"/>
      <c r="M3" s="19"/>
      <c r="N3" s="19"/>
      <c r="O3" s="19"/>
      <c r="P3" s="19"/>
    </row>
    <row r="4" spans="2:16" x14ac:dyDescent="0.2">
      <c r="B4" t="s">
        <v>541</v>
      </c>
      <c r="C4" t="s">
        <v>379</v>
      </c>
      <c r="D4" s="18">
        <v>42172</v>
      </c>
      <c r="E4" t="s">
        <v>147</v>
      </c>
      <c r="F4" s="19">
        <v>0.95362548688336601</v>
      </c>
      <c r="G4" s="19">
        <v>0.88282261545101415</v>
      </c>
      <c r="H4" s="19">
        <v>0.86581783171170357</v>
      </c>
      <c r="I4" s="19">
        <v>4.4544866268599888E-2</v>
      </c>
      <c r="J4" s="19">
        <v>0.84286298940536586</v>
      </c>
      <c r="K4" s="19">
        <v>4.4991386866490402E-2</v>
      </c>
      <c r="L4" s="19"/>
      <c r="M4" s="19"/>
      <c r="N4" s="19"/>
      <c r="O4" s="19"/>
      <c r="P4" s="19"/>
    </row>
    <row r="5" spans="2:16" x14ac:dyDescent="0.2">
      <c r="B5" t="s">
        <v>548</v>
      </c>
      <c r="C5" t="s">
        <v>379</v>
      </c>
      <c r="D5" s="18">
        <v>42172</v>
      </c>
      <c r="E5" t="s">
        <v>148</v>
      </c>
      <c r="F5" s="19">
        <v>0.94871407496934057</v>
      </c>
      <c r="G5" s="19">
        <v>0.84826126053578133</v>
      </c>
      <c r="H5" s="19">
        <v>0.89220254852439496</v>
      </c>
      <c r="I5" s="19">
        <v>4.4380652729539206E-2</v>
      </c>
      <c r="J5" s="19">
        <v>0.90551892337998352</v>
      </c>
      <c r="K5" s="19">
        <v>5.0594791823523055E-2</v>
      </c>
      <c r="L5" s="19"/>
      <c r="M5" s="19"/>
      <c r="N5" s="19"/>
      <c r="O5" s="19"/>
      <c r="P5" s="19"/>
    </row>
    <row r="6" spans="2:16" x14ac:dyDescent="0.2">
      <c r="B6" t="s">
        <v>570</v>
      </c>
      <c r="C6" t="s">
        <v>390</v>
      </c>
      <c r="D6" s="18">
        <v>42172</v>
      </c>
      <c r="E6" t="s">
        <v>156</v>
      </c>
      <c r="F6" s="19">
        <v>0.9724941586212561</v>
      </c>
      <c r="G6" s="19">
        <v>0.97792480020961614</v>
      </c>
      <c r="H6" s="19">
        <v>0.9156731264795549</v>
      </c>
      <c r="I6" s="19">
        <v>3.496702939113263E-2</v>
      </c>
      <c r="J6" s="19">
        <v>0.92168894572165416</v>
      </c>
      <c r="K6" s="19">
        <v>3.4320015663085145E-2</v>
      </c>
      <c r="L6" s="19"/>
      <c r="M6" s="19"/>
      <c r="N6" s="19"/>
      <c r="O6" s="19"/>
      <c r="P6" s="19"/>
    </row>
    <row r="7" spans="2:16" x14ac:dyDescent="0.2">
      <c r="B7" t="s">
        <v>584</v>
      </c>
      <c r="C7" t="s">
        <v>400</v>
      </c>
      <c r="D7" s="18">
        <v>42172</v>
      </c>
      <c r="E7" t="s">
        <v>161</v>
      </c>
      <c r="F7" s="19">
        <v>0.91195796110793981</v>
      </c>
      <c r="G7" s="19">
        <v>0.85867375929702794</v>
      </c>
      <c r="H7" s="19">
        <v>0.8918617287818863</v>
      </c>
      <c r="I7" s="19">
        <v>4.1756628023527753E-2</v>
      </c>
      <c r="J7" s="19">
        <v>0.86429911431446627</v>
      </c>
      <c r="K7" s="19">
        <v>4.916708525299214E-2</v>
      </c>
      <c r="L7" s="19"/>
      <c r="M7" s="19"/>
      <c r="N7" s="19"/>
      <c r="O7" s="19"/>
      <c r="P7" s="19"/>
    </row>
    <row r="8" spans="2:16" x14ac:dyDescent="0.2">
      <c r="B8" t="s">
        <v>608</v>
      </c>
      <c r="C8" t="s">
        <v>414</v>
      </c>
      <c r="D8" s="18">
        <v>42172</v>
      </c>
      <c r="E8" t="s">
        <v>171</v>
      </c>
      <c r="F8" s="19">
        <v>0.99437622219100763</v>
      </c>
      <c r="G8" s="19">
        <v>0.97638257616945401</v>
      </c>
      <c r="H8" s="19">
        <v>0.93169186077843202</v>
      </c>
      <c r="I8" s="19">
        <v>3.0303610062754345E-2</v>
      </c>
      <c r="J8" s="19">
        <v>0.89602018724641974</v>
      </c>
      <c r="K8" s="19">
        <v>4.8076060907046456E-2</v>
      </c>
      <c r="L8" s="19"/>
      <c r="M8" s="19"/>
      <c r="N8" s="19"/>
      <c r="O8" s="19"/>
      <c r="P8" s="19"/>
    </row>
    <row r="9" spans="2:16" x14ac:dyDescent="0.2">
      <c r="B9" t="s">
        <v>610</v>
      </c>
      <c r="C9" t="s">
        <v>414</v>
      </c>
      <c r="D9" s="18">
        <v>42172</v>
      </c>
      <c r="E9" t="s">
        <v>172</v>
      </c>
      <c r="F9" s="19">
        <v>0.95514839538716045</v>
      </c>
      <c r="G9" s="19">
        <v>0.88206202019359159</v>
      </c>
      <c r="H9" s="19">
        <v>0.88665367680441842</v>
      </c>
      <c r="I9" s="19">
        <v>4.4800392641262121E-2</v>
      </c>
      <c r="J9" s="19">
        <v>0.9041646986328411</v>
      </c>
      <c r="K9" s="19">
        <v>4.0923319615191932E-2</v>
      </c>
      <c r="L9" s="19"/>
      <c r="M9" s="19"/>
      <c r="N9" s="19"/>
      <c r="O9" s="19"/>
      <c r="P9" s="19"/>
    </row>
    <row r="10" spans="2:16" x14ac:dyDescent="0.2">
      <c r="B10" t="s">
        <v>556</v>
      </c>
      <c r="C10" t="s">
        <v>390</v>
      </c>
      <c r="D10" s="18">
        <v>42172</v>
      </c>
      <c r="E10" t="s">
        <v>151</v>
      </c>
      <c r="F10" s="19">
        <v>0.93086141098555164</v>
      </c>
      <c r="G10" s="19">
        <v>0.90022476608645652</v>
      </c>
      <c r="H10" s="19">
        <v>0.91150324612073286</v>
      </c>
      <c r="I10" s="19">
        <v>3.9428989092747953E-2</v>
      </c>
      <c r="J10" s="19">
        <v>0.82643402959861478</v>
      </c>
      <c r="K10" s="19">
        <v>5.1273092319139124E-2</v>
      </c>
      <c r="L10" s="19"/>
      <c r="M10" s="19"/>
      <c r="N10" s="19"/>
      <c r="O10" s="19"/>
      <c r="P10" s="19"/>
    </row>
    <row r="11" spans="2:16" x14ac:dyDescent="0.2">
      <c r="B11" t="s">
        <v>221</v>
      </c>
      <c r="C11" t="s">
        <v>379</v>
      </c>
      <c r="D11" s="18">
        <v>42172</v>
      </c>
      <c r="E11" t="s">
        <v>153</v>
      </c>
      <c r="F11" s="19">
        <v>0.95892118819625649</v>
      </c>
      <c r="G11" s="19">
        <v>0.79939185656733402</v>
      </c>
      <c r="H11" s="19">
        <v>0.83629756840852632</v>
      </c>
      <c r="I11" s="19">
        <v>5.0583679595135961E-2</v>
      </c>
      <c r="J11" s="19">
        <v>0.93371976313245308</v>
      </c>
      <c r="K11" s="19">
        <v>3.0014731871330795E-2</v>
      </c>
      <c r="L11" s="256"/>
      <c r="M11" s="256"/>
      <c r="N11" s="256"/>
      <c r="O11" s="256"/>
      <c r="P11" s="256"/>
    </row>
    <row r="12" spans="2:16" x14ac:dyDescent="0.2">
      <c r="B12" t="s">
        <v>576</v>
      </c>
      <c r="C12" t="s">
        <v>400</v>
      </c>
      <c r="D12" s="18">
        <v>42172</v>
      </c>
      <c r="E12" t="s">
        <v>158</v>
      </c>
      <c r="F12" s="19">
        <v>0.95128413254602928</v>
      </c>
      <c r="G12" s="19">
        <v>0.95036111596482031</v>
      </c>
      <c r="H12" s="19">
        <v>0.92818981404552925</v>
      </c>
      <c r="I12" s="19">
        <v>3.5012899236234102E-2</v>
      </c>
      <c r="J12" s="19">
        <v>0.88639952847045034</v>
      </c>
      <c r="K12" s="19">
        <v>4.7898092171808813E-2</v>
      </c>
      <c r="L12" s="19"/>
      <c r="M12" s="19"/>
      <c r="N12" s="19"/>
      <c r="O12" s="19"/>
      <c r="P12" s="19"/>
    </row>
    <row r="13" spans="2:16" x14ac:dyDescent="0.2">
      <c r="B13" t="s">
        <v>595</v>
      </c>
      <c r="C13" t="s">
        <v>400</v>
      </c>
      <c r="D13" s="18">
        <v>42172</v>
      </c>
      <c r="E13" t="s">
        <v>166</v>
      </c>
      <c r="F13" s="19">
        <v>0.982554484160166</v>
      </c>
      <c r="G13" s="19">
        <v>0.92912796697626421</v>
      </c>
      <c r="H13" s="19">
        <v>0.96784292972805974</v>
      </c>
      <c r="I13" s="19">
        <v>3.1078183342788536E-2</v>
      </c>
      <c r="J13" s="19">
        <v>0.97969992945021578</v>
      </c>
      <c r="K13" s="19">
        <v>2.0676142347980785E-2</v>
      </c>
      <c r="L13" s="19"/>
      <c r="M13" s="19"/>
      <c r="N13" s="19"/>
      <c r="O13" s="19"/>
      <c r="P13" s="19"/>
    </row>
    <row r="14" spans="2:16" x14ac:dyDescent="0.2">
      <c r="B14" t="s">
        <v>603</v>
      </c>
      <c r="C14" t="s">
        <v>414</v>
      </c>
      <c r="D14" s="18">
        <v>42172</v>
      </c>
      <c r="E14" t="s">
        <v>169</v>
      </c>
      <c r="F14" s="19">
        <v>0.95546819231945879</v>
      </c>
      <c r="G14" s="19">
        <v>0.88816305861501443</v>
      </c>
      <c r="H14" s="19">
        <v>0.90764900295284567</v>
      </c>
      <c r="I14" s="19">
        <v>4.4552930505570243E-2</v>
      </c>
      <c r="J14" s="19">
        <v>0.94385078548907597</v>
      </c>
      <c r="K14" s="19">
        <v>3.2844461061456373E-2</v>
      </c>
      <c r="L14" s="19"/>
      <c r="M14" s="19"/>
      <c r="N14" s="19"/>
      <c r="O14" s="19"/>
      <c r="P14" s="19"/>
    </row>
    <row r="15" spans="2:16" x14ac:dyDescent="0.2">
      <c r="B15" t="s">
        <v>644</v>
      </c>
      <c r="C15" t="s">
        <v>379</v>
      </c>
      <c r="D15" s="18">
        <v>42172</v>
      </c>
      <c r="E15" t="s">
        <v>186</v>
      </c>
      <c r="F15" s="19">
        <v>0.97136833894912233</v>
      </c>
      <c r="G15" s="19">
        <v>0.90754927919976458</v>
      </c>
      <c r="H15" s="19">
        <v>0.89543861051315943</v>
      </c>
      <c r="I15" s="19">
        <v>5.0565755933903486E-2</v>
      </c>
      <c r="J15" s="19">
        <v>0.96208750600990522</v>
      </c>
      <c r="K15" s="19">
        <v>3.2102920575488907E-2</v>
      </c>
      <c r="L15" s="19"/>
      <c r="M15" s="19"/>
      <c r="N15" s="19"/>
      <c r="O15" s="19"/>
      <c r="P15" s="19"/>
    </row>
    <row r="16" spans="2:16" x14ac:dyDescent="0.2">
      <c r="B16" t="s">
        <v>660</v>
      </c>
      <c r="C16" t="s">
        <v>379</v>
      </c>
      <c r="D16" s="18">
        <v>42172</v>
      </c>
      <c r="E16" t="s">
        <v>193</v>
      </c>
      <c r="F16" s="19">
        <v>0.94191628545479666</v>
      </c>
      <c r="G16" s="19">
        <v>0.87576237391508338</v>
      </c>
      <c r="H16" s="19">
        <v>0.87278812135354511</v>
      </c>
      <c r="I16" s="19">
        <v>4.1148542696516376E-2</v>
      </c>
      <c r="J16" s="19">
        <v>0.89020310815742787</v>
      </c>
      <c r="K16" s="19">
        <v>4.6809227432633167E-2</v>
      </c>
      <c r="L16" s="256"/>
      <c r="M16" s="256"/>
      <c r="N16" s="256"/>
      <c r="O16" s="256"/>
      <c r="P16" s="256"/>
    </row>
    <row r="17" spans="2:16" x14ac:dyDescent="0.2">
      <c r="B17" t="s">
        <v>662</v>
      </c>
      <c r="C17" t="s">
        <v>414</v>
      </c>
      <c r="D17" s="18">
        <v>42172</v>
      </c>
      <c r="E17" t="s">
        <v>194</v>
      </c>
      <c r="F17" s="19">
        <v>0.94408417988725424</v>
      </c>
      <c r="G17" s="19">
        <v>0.82203134418324308</v>
      </c>
      <c r="H17" s="19">
        <v>0.86426318483196962</v>
      </c>
      <c r="I17" s="19">
        <v>4.5180524245403288E-2</v>
      </c>
      <c r="J17" s="19">
        <v>0.95809596847760081</v>
      </c>
      <c r="K17" s="19">
        <v>2.9972375158303706E-2</v>
      </c>
      <c r="L17" s="19"/>
      <c r="M17" s="19"/>
      <c r="N17" s="19"/>
      <c r="O17" s="19"/>
      <c r="P17" s="19"/>
    </row>
    <row r="18" spans="2:16" x14ac:dyDescent="0.2">
      <c r="B18" t="s">
        <v>715</v>
      </c>
      <c r="D18" s="18">
        <v>42172</v>
      </c>
      <c r="E18" t="s">
        <v>946</v>
      </c>
      <c r="F18" s="19">
        <v>0.96182586538183457</v>
      </c>
      <c r="G18" s="19">
        <v>0.90110625575584147</v>
      </c>
      <c r="H18" s="19">
        <v>0.90686154524514007</v>
      </c>
      <c r="I18" s="19">
        <v>6.8423548499075794E-3</v>
      </c>
      <c r="J18" s="19">
        <v>0.91566535234070079</v>
      </c>
      <c r="K18" s="19">
        <v>7.0650939435798676E-3</v>
      </c>
      <c r="L18" s="19">
        <v>0.96604685863498774</v>
      </c>
      <c r="M18" s="19">
        <v>0.97815698969526177</v>
      </c>
      <c r="N18" s="19">
        <v>1.2382576246398358E-2</v>
      </c>
      <c r="O18" s="19">
        <v>0.97694405088297964</v>
      </c>
      <c r="P18" s="19">
        <v>1.6233640928266835E-2</v>
      </c>
    </row>
    <row r="19" spans="2:16" x14ac:dyDescent="0.2">
      <c r="B19" t="s">
        <v>550</v>
      </c>
      <c r="C19" t="s">
        <v>379</v>
      </c>
      <c r="D19" s="18">
        <v>42172</v>
      </c>
      <c r="E19" t="s">
        <v>149</v>
      </c>
      <c r="F19" s="19">
        <v>0.93134075670949423</v>
      </c>
      <c r="G19" s="19">
        <v>0.87277920163492295</v>
      </c>
      <c r="H19" s="19">
        <v>0.83221513545106207</v>
      </c>
      <c r="I19" s="19">
        <v>4.7832508114165645E-2</v>
      </c>
      <c r="J19" s="19">
        <v>0.83830711771888256</v>
      </c>
      <c r="K19" s="19">
        <v>4.9479304242210628E-2</v>
      </c>
      <c r="L19" s="19"/>
      <c r="M19" s="19"/>
      <c r="N19" s="19"/>
      <c r="O19" s="19"/>
      <c r="P19" s="19"/>
    </row>
    <row r="20" spans="2:16" x14ac:dyDescent="0.2">
      <c r="B20" t="s">
        <v>558</v>
      </c>
      <c r="C20" t="s">
        <v>390</v>
      </c>
      <c r="D20" s="18">
        <v>42172</v>
      </c>
      <c r="E20" t="s">
        <v>152</v>
      </c>
      <c r="F20" s="19">
        <v>0.93971421142620704</v>
      </c>
      <c r="G20" s="19">
        <v>0.88045103441544326</v>
      </c>
      <c r="H20" s="19">
        <v>0.894179462371682</v>
      </c>
      <c r="I20" s="19">
        <v>4.7464579727555148E-2</v>
      </c>
      <c r="J20" s="19">
        <v>0.95504092002809204</v>
      </c>
      <c r="K20" s="19">
        <v>3.1862045661256812E-2</v>
      </c>
      <c r="L20" s="19"/>
      <c r="M20" s="19"/>
      <c r="N20" s="19"/>
      <c r="O20" s="19"/>
      <c r="P20" s="19"/>
    </row>
    <row r="21" spans="2:16" x14ac:dyDescent="0.2">
      <c r="B21" t="s">
        <v>568</v>
      </c>
      <c r="C21" t="s">
        <v>395</v>
      </c>
      <c r="D21" s="18">
        <v>42172</v>
      </c>
      <c r="E21" t="s">
        <v>155</v>
      </c>
      <c r="F21" s="19">
        <v>0.88276247984852896</v>
      </c>
      <c r="G21" s="19">
        <v>0.87444247671520403</v>
      </c>
      <c r="H21" s="19">
        <v>0.9051670470672204</v>
      </c>
      <c r="I21" s="19">
        <v>4.2194122989220519E-2</v>
      </c>
      <c r="J21" s="19">
        <v>0.92045051976334724</v>
      </c>
      <c r="K21" s="19">
        <v>3.8881304068965006E-2</v>
      </c>
      <c r="L21" s="19"/>
      <c r="M21" s="19"/>
      <c r="N21" s="19"/>
      <c r="O21" s="19"/>
      <c r="P21" s="19"/>
    </row>
    <row r="22" spans="2:16" x14ac:dyDescent="0.2">
      <c r="B22" t="s">
        <v>572</v>
      </c>
      <c r="C22" t="s">
        <v>395</v>
      </c>
      <c r="D22" s="18">
        <v>42172</v>
      </c>
      <c r="E22" t="s">
        <v>157</v>
      </c>
      <c r="F22" s="19">
        <v>0.98301274092926538</v>
      </c>
      <c r="G22" s="19">
        <v>0.93906909575649844</v>
      </c>
      <c r="H22" s="19">
        <v>0.93007278804742755</v>
      </c>
      <c r="I22" s="19">
        <v>3.2014453398777218E-2</v>
      </c>
      <c r="J22" s="19">
        <v>0.85144373541626239</v>
      </c>
      <c r="K22" s="19">
        <v>5.9488292074374415E-2</v>
      </c>
      <c r="L22" s="19"/>
      <c r="M22" s="19"/>
      <c r="N22" s="19"/>
      <c r="O22" s="19"/>
      <c r="P22" s="19"/>
    </row>
    <row r="23" spans="2:16" x14ac:dyDescent="0.2">
      <c r="B23" t="s">
        <v>622</v>
      </c>
      <c r="C23" t="s">
        <v>395</v>
      </c>
      <c r="D23" s="18">
        <v>42172</v>
      </c>
      <c r="E23" t="s">
        <v>177</v>
      </c>
      <c r="F23" s="19">
        <v>0.98374626796329789</v>
      </c>
      <c r="G23" s="19">
        <v>0.97679116004594246</v>
      </c>
      <c r="H23" s="19">
        <v>0.93630478694501973</v>
      </c>
      <c r="I23" s="19">
        <v>3.2967646727877879E-2</v>
      </c>
      <c r="J23" s="19">
        <v>0.91156987419684243</v>
      </c>
      <c r="K23" s="19">
        <v>4.3246363682477522E-2</v>
      </c>
      <c r="L23" s="19"/>
      <c r="M23" s="19"/>
      <c r="N23" s="19"/>
      <c r="O23" s="19"/>
      <c r="P23" s="19"/>
    </row>
    <row r="24" spans="2:16" x14ac:dyDescent="0.2">
      <c r="B24" t="s">
        <v>630</v>
      </c>
      <c r="C24" t="s">
        <v>390</v>
      </c>
      <c r="D24" s="18">
        <v>42172</v>
      </c>
      <c r="E24" t="s">
        <v>181</v>
      </c>
      <c r="F24" s="19">
        <v>0.9617061956258699</v>
      </c>
      <c r="G24" s="19">
        <v>0.83844729000563745</v>
      </c>
      <c r="H24" s="19">
        <v>0.88210046091108452</v>
      </c>
      <c r="I24" s="19">
        <v>4.5133841904029311E-2</v>
      </c>
      <c r="J24" s="19">
        <v>0.88432526568786285</v>
      </c>
      <c r="K24" s="19">
        <v>4.5498488767913584E-2</v>
      </c>
      <c r="L24" s="19"/>
      <c r="M24" s="19"/>
      <c r="N24" s="19"/>
      <c r="O24" s="19"/>
      <c r="P24" s="19"/>
    </row>
    <row r="25" spans="2:16" x14ac:dyDescent="0.2">
      <c r="B25" t="s">
        <v>543</v>
      </c>
      <c r="C25" t="s">
        <v>379</v>
      </c>
      <c r="D25" s="18">
        <v>42172</v>
      </c>
      <c r="E25" t="s">
        <v>102</v>
      </c>
      <c r="F25" s="19">
        <v>0.90865213041132786</v>
      </c>
      <c r="G25" s="19">
        <v>0.78308141584780711</v>
      </c>
      <c r="H25" s="19">
        <v>0.86450871504688398</v>
      </c>
      <c r="I25" s="19">
        <v>4.898247766391968E-2</v>
      </c>
      <c r="J25" s="19">
        <v>0.91848003911697462</v>
      </c>
      <c r="K25" s="19">
        <v>4.3623460147812522E-2</v>
      </c>
      <c r="L25" s="19">
        <v>0.96956848030018761</v>
      </c>
      <c r="M25" s="19">
        <v>0.97429808300267595</v>
      </c>
      <c r="N25" s="19">
        <v>2.6383439443076213E-2</v>
      </c>
      <c r="O25" s="19">
        <v>0.95524786762096037</v>
      </c>
      <c r="P25" s="19">
        <v>3.8407991962022478E-2</v>
      </c>
    </row>
    <row r="26" spans="2:16" x14ac:dyDescent="0.2">
      <c r="B26" t="s">
        <v>546</v>
      </c>
      <c r="C26" t="s">
        <v>379</v>
      </c>
      <c r="D26" s="18">
        <v>42172</v>
      </c>
      <c r="E26" t="s">
        <v>148</v>
      </c>
      <c r="F26" s="19">
        <v>0.94871407496934057</v>
      </c>
      <c r="G26" s="19">
        <v>0.84826126053578133</v>
      </c>
      <c r="H26" s="19">
        <v>0.89220254852439496</v>
      </c>
      <c r="I26" s="19">
        <v>4.4380652729539206E-2</v>
      </c>
      <c r="J26" s="19">
        <v>0.90551892337998352</v>
      </c>
      <c r="K26" s="19">
        <v>5.0594791823523055E-2</v>
      </c>
      <c r="L26" s="19"/>
      <c r="M26" s="19"/>
      <c r="N26" s="19"/>
      <c r="O26" s="19"/>
      <c r="P26" s="19"/>
    </row>
    <row r="27" spans="2:16" x14ac:dyDescent="0.2">
      <c r="B27" t="s">
        <v>552</v>
      </c>
      <c r="C27" t="s">
        <v>379</v>
      </c>
      <c r="D27" s="18">
        <v>42172</v>
      </c>
      <c r="E27" t="s">
        <v>108</v>
      </c>
      <c r="F27" s="19">
        <v>0.96690726900268587</v>
      </c>
      <c r="G27" s="19">
        <v>0.85710220464893372</v>
      </c>
      <c r="H27" s="19">
        <v>0.91197422642180992</v>
      </c>
      <c r="I27" s="19">
        <v>4.4676480650515132E-2</v>
      </c>
      <c r="J27" s="19">
        <v>0.95360792222993207</v>
      </c>
      <c r="K27" s="19">
        <v>2.6055898443749826E-2</v>
      </c>
      <c r="L27" s="19"/>
      <c r="M27" s="19"/>
      <c r="N27" s="19"/>
      <c r="O27" s="19"/>
      <c r="P27" s="19"/>
    </row>
    <row r="28" spans="2:16" x14ac:dyDescent="0.2">
      <c r="B28" t="s">
        <v>564</v>
      </c>
      <c r="C28" t="s">
        <v>390</v>
      </c>
      <c r="D28" s="18">
        <v>42172</v>
      </c>
      <c r="E28" t="s">
        <v>154</v>
      </c>
      <c r="F28" s="19">
        <v>0.97162302545143442</v>
      </c>
      <c r="G28" s="19">
        <v>0.87771051183269122</v>
      </c>
      <c r="H28" s="19">
        <v>0.92971471226188196</v>
      </c>
      <c r="I28" s="19">
        <v>4.8113621139600722E-2</v>
      </c>
      <c r="J28" s="19">
        <v>0.94213915947425519</v>
      </c>
      <c r="K28" s="19">
        <v>4.3123667600010691E-2</v>
      </c>
      <c r="L28" s="19"/>
      <c r="M28" s="19"/>
      <c r="N28" s="19"/>
      <c r="O28" s="19"/>
      <c r="P28" s="19"/>
    </row>
    <row r="29" spans="2:16" x14ac:dyDescent="0.2">
      <c r="B29" t="s">
        <v>588</v>
      </c>
      <c r="C29" t="s">
        <v>400</v>
      </c>
      <c r="D29" s="18">
        <v>42172</v>
      </c>
      <c r="E29" t="s">
        <v>163</v>
      </c>
      <c r="F29" s="19">
        <v>0.98861259862479789</v>
      </c>
      <c r="G29" s="19">
        <v>0.95273713628144008</v>
      </c>
      <c r="H29" s="19">
        <v>0.95669990173578767</v>
      </c>
      <c r="I29" s="19">
        <v>3.5571906670509038E-2</v>
      </c>
      <c r="J29" s="19">
        <v>0.90955461997105147</v>
      </c>
      <c r="K29" s="19">
        <v>5.3616653461801604E-2</v>
      </c>
      <c r="L29" s="19">
        <v>0.92004174357860691</v>
      </c>
      <c r="M29" s="19">
        <v>0.96470723620678556</v>
      </c>
      <c r="N29" s="19">
        <v>2.6375501105053302E-2</v>
      </c>
      <c r="O29" s="19">
        <v>0.99654953665206458</v>
      </c>
      <c r="P29" s="19">
        <v>5.1258035087415974E-3</v>
      </c>
    </row>
    <row r="30" spans="2:16" x14ac:dyDescent="0.2">
      <c r="B30" t="s">
        <v>593</v>
      </c>
      <c r="C30" t="s">
        <v>400</v>
      </c>
      <c r="D30" s="18">
        <v>42172</v>
      </c>
      <c r="E30" t="s">
        <v>165</v>
      </c>
      <c r="F30" s="19">
        <v>1</v>
      </c>
      <c r="G30" s="19">
        <v>1</v>
      </c>
      <c r="H30" s="19">
        <v>0.97425389608244861</v>
      </c>
      <c r="I30" s="19">
        <v>1.9269149785533842E-2</v>
      </c>
      <c r="J30" s="19">
        <v>0.95664148712616282</v>
      </c>
      <c r="K30" s="19">
        <v>2.7266720544085247E-2</v>
      </c>
      <c r="L30" s="19"/>
      <c r="M30" s="19"/>
      <c r="N30" s="19"/>
      <c r="O30" s="19"/>
      <c r="P30" s="19"/>
    </row>
    <row r="31" spans="2:16" x14ac:dyDescent="0.2">
      <c r="B31" t="s">
        <v>601</v>
      </c>
      <c r="C31" t="s">
        <v>395</v>
      </c>
      <c r="D31" s="18">
        <v>42172</v>
      </c>
      <c r="E31" t="s">
        <v>168</v>
      </c>
      <c r="F31" s="19">
        <v>0.98422791732397652</v>
      </c>
      <c r="G31" s="19">
        <v>0.92902408111533585</v>
      </c>
      <c r="H31" s="19">
        <v>0.9240777455488014</v>
      </c>
      <c r="I31" s="19">
        <v>3.5916356446442491E-2</v>
      </c>
      <c r="J31" s="19">
        <v>0.9283687911791112</v>
      </c>
      <c r="K31" s="19">
        <v>3.4371378165650057E-2</v>
      </c>
      <c r="L31" s="19"/>
      <c r="M31" s="19"/>
      <c r="N31" s="19"/>
      <c r="O31" s="19"/>
      <c r="P31" s="19"/>
    </row>
    <row r="32" spans="2:16" x14ac:dyDescent="0.2">
      <c r="B32" t="s">
        <v>219</v>
      </c>
      <c r="C32" t="s">
        <v>395</v>
      </c>
      <c r="D32" s="18">
        <v>42172</v>
      </c>
      <c r="E32" t="s">
        <v>170</v>
      </c>
      <c r="F32" s="19">
        <v>0.99490722785817831</v>
      </c>
      <c r="G32" s="19">
        <v>1</v>
      </c>
      <c r="H32" s="19">
        <v>0.88781454823299877</v>
      </c>
      <c r="I32" s="19">
        <v>3.9833610010014266E-2</v>
      </c>
      <c r="J32" s="19">
        <v>0.92666335168058311</v>
      </c>
      <c r="K32" s="19">
        <v>4.0073296388496257E-2</v>
      </c>
      <c r="L32" s="19"/>
      <c r="M32" s="19"/>
      <c r="N32" s="19"/>
      <c r="O32" s="19"/>
      <c r="P32" s="19"/>
    </row>
    <row r="33" spans="2:16" x14ac:dyDescent="0.2">
      <c r="B33" t="s">
        <v>614</v>
      </c>
      <c r="C33" t="s">
        <v>414</v>
      </c>
      <c r="D33" s="18">
        <v>42172</v>
      </c>
      <c r="E33" t="s">
        <v>174</v>
      </c>
      <c r="F33" s="19">
        <v>0.98687181680314295</v>
      </c>
      <c r="G33" s="19">
        <v>0.90453342218766797</v>
      </c>
      <c r="H33" s="19">
        <v>0.90503444791288412</v>
      </c>
      <c r="I33" s="19">
        <v>3.9128746633845496E-2</v>
      </c>
      <c r="J33" s="19">
        <v>0.93200818304915023</v>
      </c>
      <c r="K33" s="19">
        <v>4.1069770551507859E-2</v>
      </c>
      <c r="L33" s="19"/>
      <c r="M33" s="19"/>
      <c r="N33" s="19"/>
      <c r="O33" s="19"/>
      <c r="P33" s="19"/>
    </row>
    <row r="34" spans="2:16" x14ac:dyDescent="0.2">
      <c r="B34" t="s">
        <v>626</v>
      </c>
      <c r="C34" t="s">
        <v>395</v>
      </c>
      <c r="D34" s="18">
        <v>42172</v>
      </c>
      <c r="E34" t="s">
        <v>179</v>
      </c>
      <c r="F34" s="19">
        <v>0.98576296159867371</v>
      </c>
      <c r="G34" s="19">
        <v>0.92780424021668073</v>
      </c>
      <c r="H34" s="19">
        <v>0.93092666647188504</v>
      </c>
      <c r="I34" s="19">
        <v>3.9036618661732587E-2</v>
      </c>
      <c r="J34" s="19">
        <v>0.95046272385975394</v>
      </c>
      <c r="K34" s="19">
        <v>4.8164094682962927E-2</v>
      </c>
      <c r="L34" s="19"/>
      <c r="M34" s="19"/>
      <c r="N34" s="19"/>
      <c r="O34" s="19"/>
      <c r="P34" s="19"/>
    </row>
    <row r="35" spans="2:16" x14ac:dyDescent="0.2">
      <c r="B35" t="s">
        <v>529</v>
      </c>
      <c r="C35" t="s">
        <v>379</v>
      </c>
      <c r="D35" s="18">
        <v>42172</v>
      </c>
      <c r="E35" t="s">
        <v>142</v>
      </c>
      <c r="F35" s="19">
        <v>0.89547703739678575</v>
      </c>
      <c r="G35" s="19">
        <v>0.85724912090884497</v>
      </c>
      <c r="H35" s="19">
        <v>0.88080231846990087</v>
      </c>
      <c r="I35" s="19">
        <v>4.8730308413492907E-2</v>
      </c>
      <c r="J35" s="19">
        <v>0.87561903097797933</v>
      </c>
      <c r="K35" s="19">
        <v>5.9075420563334619E-2</v>
      </c>
      <c r="L35" s="19"/>
      <c r="M35" s="19"/>
      <c r="N35" s="19"/>
      <c r="O35" s="19"/>
      <c r="P35" s="19"/>
    </row>
    <row r="36" spans="2:16" x14ac:dyDescent="0.2">
      <c r="B36" t="s">
        <v>539</v>
      </c>
      <c r="C36" t="s">
        <v>379</v>
      </c>
      <c r="D36" s="18">
        <v>42172</v>
      </c>
      <c r="E36" t="s">
        <v>146</v>
      </c>
      <c r="F36" s="19">
        <v>0.96061599959001698</v>
      </c>
      <c r="G36" s="19">
        <v>0.92735426008968613</v>
      </c>
      <c r="H36" s="19">
        <v>0.93565771383262453</v>
      </c>
      <c r="I36" s="19">
        <v>3.2359269054381912E-2</v>
      </c>
      <c r="J36" s="19">
        <v>0.97464881883895971</v>
      </c>
      <c r="K36" s="19">
        <v>2.6565834709229037E-2</v>
      </c>
      <c r="L36" s="19"/>
      <c r="M36" s="19"/>
      <c r="N36" s="19"/>
      <c r="O36" s="19"/>
      <c r="P36" s="19"/>
    </row>
    <row r="37" spans="2:16" x14ac:dyDescent="0.2">
      <c r="B37" t="s">
        <v>218</v>
      </c>
      <c r="C37" t="s">
        <v>379</v>
      </c>
      <c r="D37" s="18">
        <v>42172</v>
      </c>
      <c r="E37" t="s">
        <v>102</v>
      </c>
      <c r="F37" s="19">
        <v>0.90865213041132786</v>
      </c>
      <c r="G37" s="19">
        <v>0.78308141584780711</v>
      </c>
      <c r="H37" s="19">
        <v>0.86450871504688398</v>
      </c>
      <c r="I37" s="19">
        <v>4.898247766391968E-2</v>
      </c>
      <c r="J37" s="19">
        <v>0.91848003911697462</v>
      </c>
      <c r="K37" s="19">
        <v>4.3623460147812522E-2</v>
      </c>
      <c r="L37" s="19">
        <v>0.96956848030018761</v>
      </c>
      <c r="M37" s="19">
        <v>0.97429808300267595</v>
      </c>
      <c r="N37" s="19">
        <v>2.6383439443076213E-2</v>
      </c>
      <c r="O37" s="19">
        <v>0.95524786762096037</v>
      </c>
      <c r="P37" s="19">
        <v>3.8407991962022478E-2</v>
      </c>
    </row>
    <row r="38" spans="2:16" x14ac:dyDescent="0.2">
      <c r="B38" t="s">
        <v>979</v>
      </c>
      <c r="C38" t="s">
        <v>379</v>
      </c>
      <c r="D38" s="18">
        <v>42172</v>
      </c>
      <c r="E38" t="s">
        <v>153</v>
      </c>
      <c r="F38" s="19">
        <v>0.95892118819625649</v>
      </c>
      <c r="G38" s="19">
        <v>0.79939185656733402</v>
      </c>
      <c r="H38" s="19">
        <v>0.83629756840852632</v>
      </c>
      <c r="I38" s="19">
        <v>5.0583679595135961E-2</v>
      </c>
      <c r="J38" s="19">
        <v>0.93371976313245308</v>
      </c>
      <c r="K38" s="19">
        <v>3.0014731871330795E-2</v>
      </c>
      <c r="L38" s="19"/>
      <c r="M38" s="19"/>
      <c r="N38" s="19"/>
      <c r="O38" s="19"/>
      <c r="P38" s="19"/>
    </row>
    <row r="39" spans="2:16" x14ac:dyDescent="0.2">
      <c r="B39" t="s">
        <v>580</v>
      </c>
      <c r="C39" t="s">
        <v>390</v>
      </c>
      <c r="D39" s="18">
        <v>42172</v>
      </c>
      <c r="E39" t="s">
        <v>160</v>
      </c>
      <c r="F39" s="19">
        <v>0.97766101223568391</v>
      </c>
      <c r="G39" s="19">
        <v>0.94532476960915035</v>
      </c>
      <c r="H39" s="19">
        <v>0.89857665958696287</v>
      </c>
      <c r="I39" s="19">
        <v>4.238026065999094E-2</v>
      </c>
      <c r="J39" s="19">
        <v>0.90143299053110748</v>
      </c>
      <c r="K39" s="19">
        <v>4.2366719229232998E-2</v>
      </c>
      <c r="L39" s="19"/>
      <c r="M39" s="19"/>
      <c r="N39" s="19"/>
      <c r="O39" s="19"/>
      <c r="P39" s="19"/>
    </row>
    <row r="40" spans="2:16" x14ac:dyDescent="0.2">
      <c r="B40" t="s">
        <v>582</v>
      </c>
      <c r="C40" t="s">
        <v>390</v>
      </c>
      <c r="D40" s="18">
        <v>42172</v>
      </c>
      <c r="E40" t="s">
        <v>160</v>
      </c>
      <c r="F40" s="19">
        <v>0.97766101223568391</v>
      </c>
      <c r="G40" s="19">
        <v>0.94532476960915035</v>
      </c>
      <c r="H40" s="19">
        <v>0.89857665958696287</v>
      </c>
      <c r="I40" s="19">
        <v>4.238026065999094E-2</v>
      </c>
      <c r="J40" s="19">
        <v>0.90143299053110748</v>
      </c>
      <c r="K40" s="19">
        <v>4.2366719229232998E-2</v>
      </c>
      <c r="L40" s="19"/>
      <c r="M40" s="19"/>
      <c r="N40" s="19"/>
      <c r="O40" s="19"/>
      <c r="P40" s="19"/>
    </row>
    <row r="41" spans="2:16" x14ac:dyDescent="0.2">
      <c r="B41" t="s">
        <v>217</v>
      </c>
      <c r="C41" t="s">
        <v>400</v>
      </c>
      <c r="D41" s="18">
        <v>42172</v>
      </c>
      <c r="E41" t="s">
        <v>163</v>
      </c>
      <c r="F41" s="19">
        <v>0.98861259862479789</v>
      </c>
      <c r="G41" s="19">
        <v>0.95273713628144008</v>
      </c>
      <c r="H41" s="19">
        <v>0.95669990173578767</v>
      </c>
      <c r="I41" s="19">
        <v>3.5571906670509038E-2</v>
      </c>
      <c r="J41" s="19">
        <v>0.90955461997105147</v>
      </c>
      <c r="K41" s="19">
        <v>5.3616653461801604E-2</v>
      </c>
      <c r="L41" s="19">
        <v>0.92004174357860691</v>
      </c>
      <c r="M41" s="19">
        <v>0.96470723620678556</v>
      </c>
      <c r="N41" s="19">
        <v>2.6375501105053302E-2</v>
      </c>
      <c r="O41" s="19">
        <v>0.99654953665206458</v>
      </c>
      <c r="P41" s="19">
        <v>5.1258035087415974E-3</v>
      </c>
    </row>
    <row r="42" spans="2:16" x14ac:dyDescent="0.2">
      <c r="B42" t="s">
        <v>591</v>
      </c>
      <c r="C42" t="s">
        <v>400</v>
      </c>
      <c r="D42" s="18">
        <v>42172</v>
      </c>
      <c r="E42" t="s">
        <v>164</v>
      </c>
      <c r="F42" s="19">
        <v>0.96302538523158265</v>
      </c>
      <c r="G42" s="19">
        <v>0.893779941749687</v>
      </c>
      <c r="H42" s="19">
        <v>0.92586683539381009</v>
      </c>
      <c r="I42" s="19">
        <v>3.6957147357049323E-2</v>
      </c>
      <c r="J42" s="19">
        <v>0.89560598917157042</v>
      </c>
      <c r="K42" s="19">
        <v>4.1605776699392368E-2</v>
      </c>
      <c r="L42" s="19"/>
      <c r="M42" s="19"/>
      <c r="N42" s="19"/>
      <c r="O42" s="19"/>
      <c r="P42" s="19"/>
    </row>
    <row r="43" spans="2:16" x14ac:dyDescent="0.2">
      <c r="B43" t="s">
        <v>597</v>
      </c>
      <c r="C43" t="s">
        <v>400</v>
      </c>
      <c r="D43" s="18">
        <v>42172</v>
      </c>
      <c r="E43" t="s">
        <v>167</v>
      </c>
      <c r="F43" s="19">
        <v>0.99239147648636705</v>
      </c>
      <c r="G43" s="19">
        <v>0.9765904000968465</v>
      </c>
      <c r="H43" s="19">
        <v>0.92676736068967358</v>
      </c>
      <c r="I43" s="19">
        <v>3.4350593440282184E-2</v>
      </c>
      <c r="J43" s="19">
        <v>0.87294754314692757</v>
      </c>
      <c r="K43" s="19">
        <v>6.5492544141974557E-2</v>
      </c>
      <c r="L43" s="19">
        <v>1</v>
      </c>
      <c r="M43" s="19">
        <v>0.99185396206751464</v>
      </c>
      <c r="N43" s="19">
        <v>9.7579621915807029E-3</v>
      </c>
      <c r="O43" s="19">
        <v>0.98049425229308584</v>
      </c>
      <c r="P43" s="19">
        <v>2.3698938642957044E-2</v>
      </c>
    </row>
    <row r="44" spans="2:16" x14ac:dyDescent="0.2">
      <c r="B44" t="s">
        <v>501</v>
      </c>
      <c r="C44" t="s">
        <v>400</v>
      </c>
      <c r="D44" s="18">
        <v>42172</v>
      </c>
      <c r="E44" t="s">
        <v>167</v>
      </c>
      <c r="F44" s="19">
        <v>0.99239147648636705</v>
      </c>
      <c r="G44" s="19">
        <v>0.9765904000968465</v>
      </c>
      <c r="H44" s="19">
        <v>0.92676736068967358</v>
      </c>
      <c r="I44" s="19">
        <v>3.4350593440282184E-2</v>
      </c>
      <c r="J44" s="19">
        <v>0.87294754314692757</v>
      </c>
      <c r="K44" s="19">
        <v>6.5492544141974557E-2</v>
      </c>
      <c r="L44" s="19">
        <v>1</v>
      </c>
      <c r="M44" s="19">
        <v>0.99185396206751464</v>
      </c>
      <c r="N44" s="19">
        <v>9.7579621915807029E-3</v>
      </c>
      <c r="O44" s="19">
        <v>0.98049425229308584</v>
      </c>
      <c r="P44" s="19">
        <v>2.3698938642957044E-2</v>
      </c>
    </row>
    <row r="45" spans="2:16" x14ac:dyDescent="0.2">
      <c r="B45" t="s">
        <v>605</v>
      </c>
      <c r="C45" t="s">
        <v>395</v>
      </c>
      <c r="D45" s="18">
        <v>42172</v>
      </c>
      <c r="E45" t="s">
        <v>170</v>
      </c>
      <c r="F45" s="19">
        <v>0.99490722785817831</v>
      </c>
      <c r="G45" s="19">
        <v>1</v>
      </c>
      <c r="H45" s="19">
        <v>0.88781454823299877</v>
      </c>
      <c r="I45" s="19">
        <v>3.9833610010014266E-2</v>
      </c>
      <c r="J45" s="19">
        <v>0.92666335168058311</v>
      </c>
      <c r="K45" s="19">
        <v>4.0073296388496257E-2</v>
      </c>
      <c r="L45" s="19"/>
      <c r="M45" s="19"/>
      <c r="N45" s="19"/>
      <c r="O45" s="19"/>
      <c r="P45" s="19"/>
    </row>
    <row r="46" spans="2:16" x14ac:dyDescent="0.2">
      <c r="B46" t="s">
        <v>618</v>
      </c>
      <c r="C46" t="s">
        <v>414</v>
      </c>
      <c r="D46" s="18">
        <v>42172</v>
      </c>
      <c r="E46" t="s">
        <v>175</v>
      </c>
      <c r="F46" s="19">
        <v>0.96993718993555855</v>
      </c>
      <c r="G46" s="19">
        <v>0.89218085106382972</v>
      </c>
      <c r="H46" s="19">
        <v>0.93126733582104448</v>
      </c>
      <c r="I46" s="19">
        <v>3.9580739516554359E-2</v>
      </c>
      <c r="J46" s="19">
        <v>0.96015848430645623</v>
      </c>
      <c r="K46" s="19">
        <v>3.0800166853592471E-2</v>
      </c>
      <c r="L46" s="19"/>
      <c r="M46" s="19"/>
      <c r="N46" s="19"/>
      <c r="O46" s="19"/>
      <c r="P46" s="19"/>
    </row>
    <row r="47" spans="2:16" x14ac:dyDescent="0.2">
      <c r="B47" t="s">
        <v>628</v>
      </c>
      <c r="C47" t="s">
        <v>414</v>
      </c>
      <c r="D47" s="18">
        <v>42172</v>
      </c>
      <c r="E47" t="s">
        <v>180</v>
      </c>
      <c r="F47" s="19">
        <v>0.95799603265605637</v>
      </c>
      <c r="G47" s="19">
        <v>0.87328093399521978</v>
      </c>
      <c r="H47" s="19">
        <v>0.90147063163805929</v>
      </c>
      <c r="I47" s="19">
        <v>4.3363926700426207E-2</v>
      </c>
      <c r="J47" s="19">
        <v>0.92670929151120163</v>
      </c>
      <c r="K47" s="19">
        <v>3.5438409030601151E-2</v>
      </c>
      <c r="L47" s="19"/>
      <c r="M47" s="19"/>
      <c r="N47" s="19"/>
      <c r="O47" s="19"/>
      <c r="P47" s="19"/>
    </row>
    <row r="48" spans="2:16" x14ac:dyDescent="0.2">
      <c r="B48" t="s">
        <v>650</v>
      </c>
      <c r="C48" t="s">
        <v>400</v>
      </c>
      <c r="D48" s="18">
        <v>42172</v>
      </c>
      <c r="E48" t="s">
        <v>189</v>
      </c>
      <c r="F48" s="19">
        <v>0.98146019783325467</v>
      </c>
      <c r="G48" s="19">
        <v>0.96933433059087504</v>
      </c>
      <c r="H48" s="19">
        <v>0.96759610821072617</v>
      </c>
      <c r="I48" s="19">
        <v>2.5018829254954227E-2</v>
      </c>
      <c r="J48" s="19">
        <v>0.9538365043059881</v>
      </c>
      <c r="K48" s="19">
        <v>3.3232133754960883E-2</v>
      </c>
      <c r="L48" s="19"/>
      <c r="M48" s="19"/>
      <c r="N48" s="19"/>
      <c r="O48" s="19"/>
      <c r="P48" s="19"/>
    </row>
    <row r="49" spans="2:16" x14ac:dyDescent="0.2">
      <c r="B49" t="s">
        <v>531</v>
      </c>
      <c r="C49" t="s">
        <v>379</v>
      </c>
      <c r="D49" s="18">
        <v>42172</v>
      </c>
      <c r="E49" t="s">
        <v>143</v>
      </c>
      <c r="F49" s="19">
        <v>0.95877532475481553</v>
      </c>
      <c r="G49" s="19">
        <v>0.74662914896060639</v>
      </c>
      <c r="H49" s="19">
        <v>0.87104958417637723</v>
      </c>
      <c r="I49" s="19">
        <v>5.4077870587640506E-2</v>
      </c>
      <c r="J49" s="19">
        <v>0.94176371022342575</v>
      </c>
      <c r="K49" s="19">
        <v>3.2726725697578306E-2</v>
      </c>
      <c r="L49" s="19"/>
      <c r="M49" s="19"/>
      <c r="N49" s="19"/>
      <c r="O49" s="19"/>
      <c r="P49" s="19"/>
    </row>
    <row r="50" spans="2:16" x14ac:dyDescent="0.2">
      <c r="B50" t="s">
        <v>533</v>
      </c>
      <c r="C50" t="s">
        <v>379</v>
      </c>
      <c r="D50" s="18">
        <v>42172</v>
      </c>
      <c r="E50" t="s">
        <v>143</v>
      </c>
      <c r="F50" s="19">
        <v>0.95877532475481553</v>
      </c>
      <c r="G50" s="19">
        <v>0.74662914896060639</v>
      </c>
      <c r="H50" s="19">
        <v>0.87104958417637723</v>
      </c>
      <c r="I50" s="19">
        <v>5.4077870587640506E-2</v>
      </c>
      <c r="J50" s="19">
        <v>0.94176371022342575</v>
      </c>
      <c r="K50" s="19">
        <v>3.2726725697578306E-2</v>
      </c>
      <c r="L50" s="19"/>
      <c r="M50" s="19"/>
      <c r="N50" s="19"/>
      <c r="O50" s="19"/>
      <c r="P50" s="19"/>
    </row>
    <row r="51" spans="2:16" x14ac:dyDescent="0.2">
      <c r="B51" t="s">
        <v>537</v>
      </c>
      <c r="C51" t="s">
        <v>379</v>
      </c>
      <c r="D51" s="18">
        <v>42172</v>
      </c>
      <c r="E51" t="s">
        <v>145</v>
      </c>
      <c r="F51" s="19">
        <v>0.90460762202875344</v>
      </c>
      <c r="G51" s="19">
        <v>0.84031885306905862</v>
      </c>
      <c r="H51" s="19">
        <v>0.90570831544016039</v>
      </c>
      <c r="I51" s="19">
        <v>4.1002036623732113E-2</v>
      </c>
      <c r="J51" s="19">
        <v>0.87463737062674474</v>
      </c>
      <c r="K51" s="19">
        <v>4.3542756692518267E-2</v>
      </c>
      <c r="L51" s="19"/>
      <c r="M51" s="19"/>
      <c r="N51" s="19"/>
      <c r="O51" s="19"/>
      <c r="P51" s="19"/>
    </row>
    <row r="52" spans="2:16" x14ac:dyDescent="0.2">
      <c r="B52" t="s">
        <v>220</v>
      </c>
      <c r="C52" t="s">
        <v>400</v>
      </c>
      <c r="D52" s="18">
        <v>42172</v>
      </c>
      <c r="E52" t="s">
        <v>167</v>
      </c>
      <c r="F52" s="19">
        <v>0.99239147648636705</v>
      </c>
      <c r="G52" s="19">
        <v>0.9765904000968465</v>
      </c>
      <c r="H52" s="19">
        <v>0.92676736068967358</v>
      </c>
      <c r="I52" s="19">
        <v>3.4350593440282184E-2</v>
      </c>
      <c r="J52" s="19">
        <v>0.87294754314692757</v>
      </c>
      <c r="K52" s="19">
        <v>6.5492544141974557E-2</v>
      </c>
      <c r="L52" s="19">
        <v>1</v>
      </c>
      <c r="M52" s="19">
        <v>0.99185396206751464</v>
      </c>
      <c r="N52" s="19">
        <v>9.7579621915807029E-3</v>
      </c>
      <c r="O52" s="19">
        <v>0.98049425229308584</v>
      </c>
      <c r="P52" s="19">
        <v>2.3698938642957044E-2</v>
      </c>
    </row>
    <row r="53" spans="2:16" x14ac:dyDescent="0.2">
      <c r="B53" t="s">
        <v>616</v>
      </c>
      <c r="C53" t="s">
        <v>414</v>
      </c>
      <c r="D53" s="18">
        <v>42172</v>
      </c>
      <c r="E53" t="s">
        <v>174</v>
      </c>
      <c r="F53" s="19">
        <v>0.98687181680314295</v>
      </c>
      <c r="G53" s="19">
        <v>0.90453342218766797</v>
      </c>
      <c r="H53" s="19">
        <v>0.90503444791288412</v>
      </c>
      <c r="I53" s="19">
        <v>3.9128746633845496E-2</v>
      </c>
      <c r="J53" s="19">
        <v>0.93200818304915023</v>
      </c>
      <c r="K53" s="19">
        <v>4.1069770551507859E-2</v>
      </c>
      <c r="L53" s="256"/>
      <c r="M53" s="256"/>
      <c r="N53" s="256"/>
      <c r="O53" s="256"/>
      <c r="P53" s="256"/>
    </row>
    <row r="54" spans="2:16" x14ac:dyDescent="0.2">
      <c r="B54" t="s">
        <v>620</v>
      </c>
      <c r="C54" t="s">
        <v>414</v>
      </c>
      <c r="D54" s="18">
        <v>42172</v>
      </c>
      <c r="E54" t="s">
        <v>176</v>
      </c>
      <c r="F54" s="19">
        <v>0.95999475542969459</v>
      </c>
      <c r="G54" s="19">
        <v>0.94218877391031663</v>
      </c>
      <c r="H54" s="19">
        <v>0.95737238361413501</v>
      </c>
      <c r="I54" s="19">
        <v>2.935521073441592E-2</v>
      </c>
      <c r="J54" s="19">
        <v>0.95900204867596162</v>
      </c>
      <c r="K54" s="19">
        <v>3.047604951320004E-2</v>
      </c>
      <c r="L54" s="19"/>
      <c r="M54" s="19"/>
      <c r="N54" s="19"/>
      <c r="O54" s="19"/>
      <c r="P54" s="19"/>
    </row>
    <row r="55" spans="2:16" x14ac:dyDescent="0.2">
      <c r="B55" t="s">
        <v>586</v>
      </c>
      <c r="C55" t="s">
        <v>400</v>
      </c>
      <c r="D55" s="18">
        <v>42172</v>
      </c>
      <c r="E55" t="s">
        <v>162</v>
      </c>
      <c r="F55" s="19">
        <v>0.93900624681512213</v>
      </c>
      <c r="G55" s="19">
        <v>0.83530608588831445</v>
      </c>
      <c r="H55" s="19">
        <v>0.88709976887597519</v>
      </c>
      <c r="I55" s="19">
        <v>4.3349847339170466E-2</v>
      </c>
      <c r="J55" s="19">
        <v>0.91730607307707634</v>
      </c>
      <c r="K55" s="19">
        <v>3.7168850337201749E-2</v>
      </c>
      <c r="L55" s="19"/>
      <c r="M55" s="19"/>
      <c r="N55" s="19"/>
      <c r="O55" s="19"/>
      <c r="P55" s="19"/>
    </row>
    <row r="56" spans="2:16" x14ac:dyDescent="0.2">
      <c r="B56" t="s">
        <v>612</v>
      </c>
      <c r="C56" t="s">
        <v>414</v>
      </c>
      <c r="D56" s="18">
        <v>42172</v>
      </c>
      <c r="E56" t="s">
        <v>173</v>
      </c>
      <c r="F56" s="19">
        <v>0.90530787451486272</v>
      </c>
      <c r="G56" s="19">
        <v>0.89226058985389289</v>
      </c>
      <c r="H56" s="19">
        <v>0.93261029633495629</v>
      </c>
      <c r="I56" s="19">
        <v>3.8455608289039704E-2</v>
      </c>
      <c r="J56" s="19">
        <v>0.91702083026995884</v>
      </c>
      <c r="K56" s="19">
        <v>3.9742855967041212E-2</v>
      </c>
      <c r="L56" s="19"/>
      <c r="M56" s="19"/>
      <c r="N56" s="19"/>
      <c r="O56" s="19"/>
      <c r="P56" s="19"/>
    </row>
    <row r="57" spans="2:16" x14ac:dyDescent="0.2">
      <c r="B57" t="s">
        <v>624</v>
      </c>
      <c r="C57" t="s">
        <v>395</v>
      </c>
      <c r="D57" s="18">
        <v>42172</v>
      </c>
      <c r="E57" t="s">
        <v>178</v>
      </c>
      <c r="F57" s="19">
        <v>0.95133728404352036</v>
      </c>
      <c r="G57" s="19">
        <v>0.88203681311299209</v>
      </c>
      <c r="H57" s="19">
        <v>0.89957126455217162</v>
      </c>
      <c r="I57" s="19">
        <v>4.5719968861485681E-2</v>
      </c>
      <c r="J57" s="19">
        <v>0.94167017730178937</v>
      </c>
      <c r="K57" s="19">
        <v>3.7650625372654574E-2</v>
      </c>
      <c r="L57" s="19"/>
      <c r="M57" s="19"/>
      <c r="N57" s="19"/>
      <c r="O57" s="19"/>
      <c r="P57" s="19"/>
    </row>
    <row r="58" spans="2:16" x14ac:dyDescent="0.2">
      <c r="B58" t="s">
        <v>636</v>
      </c>
      <c r="C58" t="s">
        <v>395</v>
      </c>
      <c r="D58" s="18">
        <v>42172</v>
      </c>
      <c r="E58" t="s">
        <v>183</v>
      </c>
      <c r="F58" s="19">
        <v>0.91901477555298416</v>
      </c>
      <c r="G58" s="19">
        <v>0.86427381064679443</v>
      </c>
      <c r="H58" s="19">
        <v>0.88823518996922146</v>
      </c>
      <c r="I58" s="19">
        <v>4.1580440129110767E-2</v>
      </c>
      <c r="J58" s="19">
        <v>0.91501734146003633</v>
      </c>
      <c r="K58" s="19">
        <v>3.848129534101169E-2</v>
      </c>
      <c r="L58" s="19"/>
      <c r="M58" s="19"/>
      <c r="N58" s="19"/>
      <c r="O58" s="19"/>
      <c r="P58" s="19"/>
    </row>
    <row r="59" spans="2:16" x14ac:dyDescent="0.2">
      <c r="B59" t="s">
        <v>639</v>
      </c>
      <c r="C59" t="s">
        <v>379</v>
      </c>
      <c r="D59" s="18">
        <v>42172</v>
      </c>
      <c r="E59" t="s">
        <v>184</v>
      </c>
      <c r="F59" s="19">
        <v>0.94562122567128137</v>
      </c>
      <c r="G59" s="19">
        <v>0.88989076184198135</v>
      </c>
      <c r="H59" s="19">
        <v>0.90027656773516762</v>
      </c>
      <c r="I59" s="19">
        <v>4.3131920360894679E-2</v>
      </c>
      <c r="J59" s="19">
        <v>0.93063214403375671</v>
      </c>
      <c r="K59" s="19">
        <v>2.9201016572666133E-2</v>
      </c>
      <c r="L59" s="19"/>
      <c r="M59" s="19"/>
      <c r="N59" s="19"/>
      <c r="O59" s="19"/>
      <c r="P59" s="19"/>
    </row>
    <row r="60" spans="2:16" x14ac:dyDescent="0.2">
      <c r="B60" t="s">
        <v>641</v>
      </c>
      <c r="C60" t="s">
        <v>414</v>
      </c>
      <c r="D60" s="18">
        <v>42172</v>
      </c>
      <c r="E60" t="s">
        <v>185</v>
      </c>
      <c r="F60" s="19">
        <v>0.97845686168331547</v>
      </c>
      <c r="G60" s="19">
        <v>0.93901899060477589</v>
      </c>
      <c r="H60" s="19">
        <v>0.87081876952715032</v>
      </c>
      <c r="I60" s="19">
        <v>4.2728353780138943E-2</v>
      </c>
      <c r="J60" s="19">
        <v>0.94065600878825717</v>
      </c>
      <c r="K60" s="19">
        <v>3.0949816570412309E-2</v>
      </c>
      <c r="L60" s="19"/>
      <c r="M60" s="19"/>
      <c r="N60" s="19"/>
      <c r="O60" s="19"/>
      <c r="P60" s="19"/>
    </row>
    <row r="61" spans="2:16" x14ac:dyDescent="0.2">
      <c r="B61" t="s">
        <v>978</v>
      </c>
      <c r="C61" t="s">
        <v>414</v>
      </c>
      <c r="D61" s="18">
        <v>42172</v>
      </c>
      <c r="E61" t="s">
        <v>185</v>
      </c>
      <c r="F61" s="19">
        <v>0.97845686168331547</v>
      </c>
      <c r="G61" s="19">
        <v>0.93901899060477589</v>
      </c>
      <c r="H61" s="19">
        <v>0.87081876952715032</v>
      </c>
      <c r="I61" s="19">
        <v>4.2728353780138943E-2</v>
      </c>
      <c r="J61" s="19">
        <v>0.94065600878825717</v>
      </c>
      <c r="K61" s="19">
        <v>3.0949816570412309E-2</v>
      </c>
      <c r="L61" s="19"/>
      <c r="M61" s="19"/>
      <c r="N61" s="19"/>
      <c r="O61" s="19"/>
      <c r="P61" s="19"/>
    </row>
    <row r="62" spans="2:16" x14ac:dyDescent="0.2">
      <c r="B62" t="s">
        <v>646</v>
      </c>
      <c r="C62" t="s">
        <v>379</v>
      </c>
      <c r="D62" s="18">
        <v>42172</v>
      </c>
      <c r="E62" t="s">
        <v>92</v>
      </c>
      <c r="F62" s="19">
        <v>0.90407738295156836</v>
      </c>
      <c r="G62" s="19">
        <v>0.78799392097264431</v>
      </c>
      <c r="H62" s="19">
        <v>0.83558366623763303</v>
      </c>
      <c r="I62" s="19">
        <v>5.0315883255151878E-2</v>
      </c>
      <c r="J62" s="19">
        <v>0.86957951296460589</v>
      </c>
      <c r="K62" s="19">
        <v>3.6472295560088103E-2</v>
      </c>
      <c r="L62" s="19"/>
      <c r="M62" s="19"/>
      <c r="N62" s="19"/>
      <c r="O62" s="19"/>
      <c r="P62" s="19"/>
    </row>
    <row r="63" spans="2:16" x14ac:dyDescent="0.2">
      <c r="B63" t="s">
        <v>648</v>
      </c>
      <c r="C63" t="s">
        <v>395</v>
      </c>
      <c r="D63" s="18">
        <v>42172</v>
      </c>
      <c r="E63" t="s">
        <v>188</v>
      </c>
      <c r="F63" s="19">
        <v>1</v>
      </c>
      <c r="G63" s="19">
        <v>1</v>
      </c>
      <c r="H63" s="19">
        <v>0.94357026346952955</v>
      </c>
      <c r="I63" s="19">
        <v>3.3993479733984561E-2</v>
      </c>
      <c r="J63" s="19">
        <v>0.96023580391681163</v>
      </c>
      <c r="K63" s="19">
        <v>2.8338980003874567E-2</v>
      </c>
      <c r="L63" s="19"/>
      <c r="M63" s="19"/>
      <c r="N63" s="19"/>
      <c r="O63" s="19"/>
      <c r="P63" s="19"/>
    </row>
    <row r="64" spans="2:16" x14ac:dyDescent="0.2">
      <c r="B64" t="s">
        <v>652</v>
      </c>
      <c r="C64" t="s">
        <v>400</v>
      </c>
      <c r="D64" s="18">
        <v>42172</v>
      </c>
      <c r="E64" t="s">
        <v>190</v>
      </c>
      <c r="F64" s="19">
        <v>0.97897857431612989</v>
      </c>
      <c r="G64" s="19">
        <v>0.96822810590631359</v>
      </c>
      <c r="H64" s="19">
        <v>0.96501787461892674</v>
      </c>
      <c r="I64" s="19">
        <v>2.5593474531166577E-2</v>
      </c>
      <c r="J64" s="19">
        <v>0.95195911161551683</v>
      </c>
      <c r="K64" s="19">
        <v>3.3378926350499043E-2</v>
      </c>
      <c r="L64" s="19"/>
      <c r="M64" s="19"/>
      <c r="N64" s="19"/>
      <c r="O64" s="19"/>
      <c r="P64" s="19"/>
    </row>
    <row r="65" spans="2:16" x14ac:dyDescent="0.2">
      <c r="B65" t="s">
        <v>658</v>
      </c>
      <c r="C65" t="s">
        <v>414</v>
      </c>
      <c r="D65" s="18">
        <v>42172</v>
      </c>
      <c r="E65" t="s">
        <v>192</v>
      </c>
      <c r="F65" s="19">
        <v>0.96745566331094623</v>
      </c>
      <c r="G65" s="19">
        <v>0.86463993397069938</v>
      </c>
      <c r="H65" s="19">
        <v>0.90382762053172394</v>
      </c>
      <c r="I65" s="19">
        <v>4.0548060049353796E-2</v>
      </c>
      <c r="J65" s="19">
        <v>0.94360210308255144</v>
      </c>
      <c r="K65" s="19">
        <v>3.404369958661782E-2</v>
      </c>
      <c r="L65" s="19"/>
      <c r="M65" s="19"/>
      <c r="N65" s="19"/>
      <c r="O65" s="19"/>
      <c r="P65" s="19"/>
    </row>
    <row r="66" spans="2:16" x14ac:dyDescent="0.2">
      <c r="B66" t="s">
        <v>554</v>
      </c>
      <c r="C66" t="s">
        <v>379</v>
      </c>
      <c r="D66" s="18">
        <v>42172</v>
      </c>
      <c r="E66" t="s">
        <v>150</v>
      </c>
      <c r="F66" s="19">
        <v>0.88047528089071614</v>
      </c>
      <c r="G66" s="19">
        <v>0.85989691242609534</v>
      </c>
      <c r="H66" s="19">
        <v>0.91264354378571755</v>
      </c>
      <c r="I66" s="19">
        <v>3.9663167617869491E-2</v>
      </c>
      <c r="J66" s="19">
        <v>0.93151672050268219</v>
      </c>
      <c r="K66" s="19">
        <v>3.8916220579615697E-2</v>
      </c>
      <c r="L66" s="19"/>
      <c r="M66" s="19"/>
      <c r="N66" s="19"/>
      <c r="O66" s="19"/>
      <c r="P66" s="19"/>
    </row>
    <row r="67" spans="2:16" x14ac:dyDescent="0.2">
      <c r="B67" t="s">
        <v>560</v>
      </c>
      <c r="C67" t="s">
        <v>379</v>
      </c>
      <c r="D67" s="18">
        <v>42172</v>
      </c>
      <c r="E67" t="s">
        <v>153</v>
      </c>
      <c r="F67" s="19">
        <v>0.95892118819625649</v>
      </c>
      <c r="G67" s="19">
        <v>0.79939185656733402</v>
      </c>
      <c r="H67" s="19">
        <v>0.83629756840852632</v>
      </c>
      <c r="I67" s="19">
        <v>5.0583679595135961E-2</v>
      </c>
      <c r="J67" s="19">
        <v>0.93371976313245308</v>
      </c>
      <c r="K67" s="19">
        <v>3.0014731871330795E-2</v>
      </c>
      <c r="L67" s="19"/>
      <c r="M67" s="19"/>
      <c r="N67" s="19"/>
      <c r="O67" s="19"/>
      <c r="P67" s="19"/>
    </row>
    <row r="68" spans="2:16" x14ac:dyDescent="0.2">
      <c r="B68" t="s">
        <v>566</v>
      </c>
      <c r="C68" t="s">
        <v>390</v>
      </c>
      <c r="D68" s="18">
        <v>42172</v>
      </c>
      <c r="E68" t="s">
        <v>94</v>
      </c>
      <c r="F68" s="19">
        <v>0.98439964484677178</v>
      </c>
      <c r="G68" s="19">
        <v>0.97266445066480056</v>
      </c>
      <c r="H68" s="19">
        <v>0.91363053832734675</v>
      </c>
      <c r="I68" s="19">
        <v>3.8005544286215172E-2</v>
      </c>
      <c r="J68" s="19">
        <v>0.96514766758427062</v>
      </c>
      <c r="K68" s="19">
        <v>2.6457519552308427E-2</v>
      </c>
      <c r="L68" s="19"/>
      <c r="M68" s="19"/>
      <c r="N68" s="19"/>
      <c r="O68" s="19"/>
      <c r="P68" s="19"/>
    </row>
    <row r="69" spans="2:16" x14ac:dyDescent="0.2">
      <c r="B69" t="s">
        <v>574</v>
      </c>
      <c r="C69" t="s">
        <v>395</v>
      </c>
      <c r="D69" s="18">
        <v>42172</v>
      </c>
      <c r="E69" t="s">
        <v>157</v>
      </c>
      <c r="F69" s="19">
        <v>0.98301274092926538</v>
      </c>
      <c r="G69" s="19">
        <v>0.93906909575649844</v>
      </c>
      <c r="H69" s="19">
        <v>0.93007278804742755</v>
      </c>
      <c r="I69" s="19">
        <v>3.2014453398777218E-2</v>
      </c>
      <c r="J69" s="19">
        <v>0.85144373541626239</v>
      </c>
      <c r="K69" s="19">
        <v>5.9488292074374415E-2</v>
      </c>
      <c r="L69" s="19"/>
      <c r="M69" s="19"/>
      <c r="N69" s="19"/>
      <c r="O69" s="19"/>
      <c r="P69" s="19"/>
    </row>
    <row r="70" spans="2:16" x14ac:dyDescent="0.2">
      <c r="B70" t="s">
        <v>578</v>
      </c>
      <c r="C70" t="s">
        <v>400</v>
      </c>
      <c r="D70" s="18">
        <v>42172</v>
      </c>
      <c r="E70" t="s">
        <v>159</v>
      </c>
      <c r="F70" s="19">
        <v>0.9606147338592288</v>
      </c>
      <c r="G70" s="19">
        <v>0.88733559434196363</v>
      </c>
      <c r="H70" s="19">
        <v>0.92811139176220148</v>
      </c>
      <c r="I70" s="19">
        <v>3.4391547927238336E-2</v>
      </c>
      <c r="J70" s="19">
        <v>0.90957460069352725</v>
      </c>
      <c r="K70" s="19">
        <v>4.9850923980669176E-2</v>
      </c>
      <c r="L70" s="19"/>
      <c r="M70" s="19"/>
      <c r="N70" s="19"/>
      <c r="O70" s="19"/>
      <c r="P70" s="19"/>
    </row>
    <row r="71" spans="2:16" x14ac:dyDescent="0.2">
      <c r="B71" t="s">
        <v>632</v>
      </c>
      <c r="C71" t="s">
        <v>414</v>
      </c>
      <c r="D71" s="18">
        <v>42172</v>
      </c>
      <c r="E71" t="s">
        <v>182</v>
      </c>
      <c r="F71" s="19">
        <v>0.988268665338498</v>
      </c>
      <c r="G71" s="19">
        <v>0.93666533386645345</v>
      </c>
      <c r="H71" s="19">
        <v>0.9522613727115703</v>
      </c>
      <c r="I71" s="19">
        <v>3.3432657648602059E-2</v>
      </c>
      <c r="J71" s="19">
        <v>0.95200346247162249</v>
      </c>
      <c r="K71" s="19">
        <v>2.9247757220740526E-2</v>
      </c>
      <c r="L71" s="19"/>
      <c r="M71" s="19"/>
      <c r="N71" s="19"/>
      <c r="O71" s="19"/>
      <c r="P71" s="19"/>
    </row>
    <row r="72" spans="2:16" x14ac:dyDescent="0.2">
      <c r="B72" t="s">
        <v>687</v>
      </c>
      <c r="C72" t="s">
        <v>379</v>
      </c>
      <c r="D72" s="18">
        <v>42172</v>
      </c>
      <c r="E72" t="s">
        <v>686</v>
      </c>
      <c r="F72" s="19">
        <v>0.99432190434592704</v>
      </c>
      <c r="G72" s="19">
        <v>0.94871794871794857</v>
      </c>
      <c r="H72" s="19">
        <v>0.94871794871794857</v>
      </c>
      <c r="I72" s="19">
        <v>5.9216411741924942E-2</v>
      </c>
      <c r="J72" s="19">
        <v>0.79321910511109228</v>
      </c>
      <c r="K72" s="19">
        <v>3.3511110723036169E-2</v>
      </c>
      <c r="L72" s="19"/>
      <c r="M72" s="19"/>
      <c r="N72" s="19"/>
      <c r="O72" s="19"/>
      <c r="P72" s="19"/>
    </row>
    <row r="73" spans="2:16" x14ac:dyDescent="0.2">
      <c r="B73" t="s">
        <v>654</v>
      </c>
      <c r="C73" t="s">
        <v>395</v>
      </c>
      <c r="D73" s="18">
        <v>42172</v>
      </c>
      <c r="E73" t="s">
        <v>690</v>
      </c>
      <c r="F73" s="19">
        <v>0.9523782705775562</v>
      </c>
      <c r="G73" s="19">
        <v>0.82622155287817933</v>
      </c>
      <c r="H73" s="19">
        <v>0.88054542555678983</v>
      </c>
      <c r="I73" s="19">
        <v>4.8733493447432608E-2</v>
      </c>
      <c r="J73" s="19">
        <v>0.93388679123503404</v>
      </c>
      <c r="K73" s="19">
        <v>4.2867240511050821E-2</v>
      </c>
      <c r="L73" s="19"/>
      <c r="M73" s="19"/>
      <c r="N73" s="19"/>
      <c r="O73" s="19"/>
      <c r="P73" s="19"/>
    </row>
    <row r="74" spans="2:16" x14ac:dyDescent="0.2">
      <c r="B74" t="s">
        <v>656</v>
      </c>
      <c r="C74" t="s">
        <v>400</v>
      </c>
      <c r="D74" s="18">
        <v>42172</v>
      </c>
      <c r="E74" t="s">
        <v>191</v>
      </c>
      <c r="F74" s="154">
        <v>0.95962618057635463</v>
      </c>
      <c r="G74" s="154">
        <v>0.88461337513061655</v>
      </c>
      <c r="H74" s="154">
        <v>0.93531052302914053</v>
      </c>
      <c r="I74" s="154">
        <v>3.468448204925359E-2</v>
      </c>
      <c r="J74" s="154">
        <v>0.95461560778867482</v>
      </c>
      <c r="K74" s="154">
        <v>3.3752083491129452E-2</v>
      </c>
      <c r="L74" s="154"/>
      <c r="M74" s="154"/>
      <c r="N74" s="154"/>
      <c r="O74" s="154"/>
      <c r="P74" s="154"/>
    </row>
  </sheetData>
  <sheetProtection autoFilter="0"/>
  <conditionalFormatting sqref="B3:B74">
    <cfRule type="duplicateValues" dxfId="16"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customWidth="1"/>
    <col min="2" max="2" width="27.28515625" customWidth="1"/>
    <col min="3" max="3" width="8.5703125" customWidth="1"/>
    <col min="4" max="4" width="19.140625" bestFit="1" customWidth="1"/>
    <col min="5" max="5" width="10.28515625" customWidth="1"/>
    <col min="6" max="6" width="34" customWidth="1"/>
    <col min="7" max="7" width="11.5703125" customWidth="1"/>
    <col min="8" max="8" width="14" customWidth="1"/>
    <col min="9" max="9" width="14.42578125" customWidth="1"/>
    <col min="10" max="10" width="10.28515625" customWidth="1"/>
    <col min="11" max="11" width="13.140625" customWidth="1"/>
    <col min="12" max="12" width="11.140625" customWidth="1"/>
    <col min="13" max="13" width="12.5703125" customWidth="1"/>
    <col min="14" max="14" width="18.7109375" customWidth="1"/>
    <col min="15" max="15" width="10.5703125" customWidth="1"/>
    <col min="16" max="16" width="12.42578125" customWidth="1"/>
    <col min="17" max="17" width="10.140625" customWidth="1"/>
    <col min="18" max="18" width="12.5703125" customWidth="1"/>
  </cols>
  <sheetData>
    <row r="1" spans="1:18" x14ac:dyDescent="0.2">
      <c r="A1" t="s">
        <v>504</v>
      </c>
      <c r="B1" t="s">
        <v>376</v>
      </c>
      <c r="C1" t="s">
        <v>503</v>
      </c>
      <c r="D1" t="s">
        <v>505</v>
      </c>
      <c r="E1" t="s">
        <v>506</v>
      </c>
      <c r="F1" t="s">
        <v>507</v>
      </c>
      <c r="G1" t="s">
        <v>508</v>
      </c>
      <c r="H1" t="s">
        <v>509</v>
      </c>
      <c r="I1" t="s">
        <v>510</v>
      </c>
      <c r="J1" t="s">
        <v>511</v>
      </c>
      <c r="K1" t="s">
        <v>512</v>
      </c>
      <c r="L1" t="s">
        <v>377</v>
      </c>
      <c r="M1" t="s">
        <v>513</v>
      </c>
      <c r="N1" t="s">
        <v>514</v>
      </c>
      <c r="O1" t="s">
        <v>515</v>
      </c>
      <c r="P1" t="s">
        <v>516</v>
      </c>
      <c r="Q1" t="s">
        <v>517</v>
      </c>
      <c r="R1" t="s">
        <v>695</v>
      </c>
    </row>
    <row r="2" spans="1:18" x14ac:dyDescent="0.2">
      <c r="A2">
        <v>1</v>
      </c>
      <c r="B2">
        <v>-99</v>
      </c>
      <c r="C2" t="s">
        <v>447</v>
      </c>
      <c r="D2" t="s">
        <v>6</v>
      </c>
      <c r="E2" t="s">
        <v>447</v>
      </c>
      <c r="F2" t="s">
        <v>518</v>
      </c>
      <c r="G2" t="s">
        <v>447</v>
      </c>
      <c r="H2" t="s">
        <v>6</v>
      </c>
      <c r="I2">
        <v>-99</v>
      </c>
      <c r="J2">
        <v>1</v>
      </c>
      <c r="K2" t="s">
        <v>6</v>
      </c>
      <c r="L2">
        <v>-99</v>
      </c>
      <c r="M2" t="s">
        <v>671</v>
      </c>
      <c r="N2" t="s">
        <v>671</v>
      </c>
      <c r="O2">
        <v>-99</v>
      </c>
      <c r="P2">
        <v>-99</v>
      </c>
      <c r="Q2">
        <v>1</v>
      </c>
      <c r="R2" t="s">
        <v>671</v>
      </c>
    </row>
    <row r="3" spans="1:18" x14ac:dyDescent="0.2">
      <c r="A3">
        <v>2</v>
      </c>
      <c r="B3">
        <v>-99</v>
      </c>
      <c r="C3" t="s">
        <v>448</v>
      </c>
      <c r="D3" t="s">
        <v>6</v>
      </c>
      <c r="E3" t="s">
        <v>448</v>
      </c>
      <c r="F3" t="s">
        <v>471</v>
      </c>
      <c r="G3" t="s">
        <v>447</v>
      </c>
      <c r="H3" t="s">
        <v>6</v>
      </c>
      <c r="I3">
        <v>-99</v>
      </c>
      <c r="J3">
        <v>1</v>
      </c>
      <c r="K3" t="s">
        <v>6</v>
      </c>
      <c r="L3">
        <v>-99</v>
      </c>
      <c r="M3" t="s">
        <v>671</v>
      </c>
      <c r="N3" t="s">
        <v>671</v>
      </c>
      <c r="O3">
        <v>-99</v>
      </c>
      <c r="P3">
        <v>-99</v>
      </c>
      <c r="Q3">
        <v>1</v>
      </c>
      <c r="R3" t="s">
        <v>671</v>
      </c>
    </row>
    <row r="4" spans="1:18" x14ac:dyDescent="0.2">
      <c r="A4">
        <v>3</v>
      </c>
      <c r="B4">
        <v>-99</v>
      </c>
      <c r="C4" t="s">
        <v>672</v>
      </c>
      <c r="D4" t="s">
        <v>6</v>
      </c>
      <c r="E4" t="s">
        <v>672</v>
      </c>
      <c r="F4" t="s">
        <v>472</v>
      </c>
      <c r="G4" t="s">
        <v>447</v>
      </c>
      <c r="H4" t="s">
        <v>6</v>
      </c>
      <c r="I4">
        <v>-99</v>
      </c>
      <c r="J4">
        <v>1</v>
      </c>
      <c r="K4" t="s">
        <v>6</v>
      </c>
      <c r="L4">
        <v>-99</v>
      </c>
      <c r="M4" t="s">
        <v>671</v>
      </c>
      <c r="N4" t="s">
        <v>671</v>
      </c>
      <c r="O4">
        <v>-99</v>
      </c>
      <c r="P4">
        <v>-99</v>
      </c>
      <c r="Q4">
        <v>1</v>
      </c>
      <c r="R4" t="s">
        <v>216</v>
      </c>
    </row>
    <row r="5" spans="1:18" x14ac:dyDescent="0.2">
      <c r="A5">
        <v>4</v>
      </c>
      <c r="B5">
        <v>-99</v>
      </c>
      <c r="C5" t="s">
        <v>449</v>
      </c>
      <c r="D5" t="s">
        <v>6</v>
      </c>
      <c r="E5" t="s">
        <v>449</v>
      </c>
      <c r="F5" t="s">
        <v>519</v>
      </c>
      <c r="G5" t="s">
        <v>447</v>
      </c>
      <c r="H5" t="s">
        <v>6</v>
      </c>
      <c r="I5">
        <v>-99</v>
      </c>
      <c r="J5">
        <v>1</v>
      </c>
      <c r="K5" t="s">
        <v>6</v>
      </c>
      <c r="L5">
        <v>-99</v>
      </c>
      <c r="M5" t="s">
        <v>671</v>
      </c>
      <c r="N5" t="s">
        <v>671</v>
      </c>
      <c r="O5">
        <v>-99</v>
      </c>
      <c r="P5">
        <v>-99</v>
      </c>
      <c r="Q5">
        <v>1</v>
      </c>
      <c r="R5" t="s">
        <v>700</v>
      </c>
    </row>
    <row r="6" spans="1:18" x14ac:dyDescent="0.2">
      <c r="A6">
        <v>5</v>
      </c>
      <c r="B6">
        <v>-99</v>
      </c>
      <c r="C6" t="s">
        <v>450</v>
      </c>
      <c r="D6" t="s">
        <v>6</v>
      </c>
      <c r="E6" t="s">
        <v>450</v>
      </c>
      <c r="F6" t="s">
        <v>520</v>
      </c>
      <c r="G6" t="s">
        <v>447</v>
      </c>
      <c r="H6" t="s">
        <v>6</v>
      </c>
      <c r="I6">
        <v>-99</v>
      </c>
      <c r="J6">
        <v>1</v>
      </c>
      <c r="K6" t="s">
        <v>6</v>
      </c>
      <c r="L6">
        <v>-99</v>
      </c>
      <c r="M6" t="s">
        <v>671</v>
      </c>
      <c r="N6" t="s">
        <v>671</v>
      </c>
      <c r="O6">
        <v>-99</v>
      </c>
      <c r="P6">
        <v>-99</v>
      </c>
      <c r="Q6">
        <v>1</v>
      </c>
      <c r="R6" t="s">
        <v>696</v>
      </c>
    </row>
    <row r="7" spans="1:18" x14ac:dyDescent="0.2">
      <c r="A7">
        <v>6</v>
      </c>
      <c r="B7">
        <v>-99</v>
      </c>
      <c r="C7" t="s">
        <v>451</v>
      </c>
      <c r="D7" t="s">
        <v>6</v>
      </c>
      <c r="E7" t="s">
        <v>451</v>
      </c>
      <c r="F7" t="s">
        <v>980</v>
      </c>
      <c r="G7" t="s">
        <v>447</v>
      </c>
      <c r="H7" t="s">
        <v>6</v>
      </c>
      <c r="I7">
        <v>-99</v>
      </c>
      <c r="J7">
        <v>1</v>
      </c>
      <c r="K7" t="s">
        <v>6</v>
      </c>
      <c r="L7">
        <v>-99</v>
      </c>
      <c r="M7" t="s">
        <v>671</v>
      </c>
      <c r="N7" t="s">
        <v>671</v>
      </c>
      <c r="O7">
        <v>-99</v>
      </c>
      <c r="P7">
        <v>-99</v>
      </c>
      <c r="Q7">
        <v>1</v>
      </c>
      <c r="R7" t="s">
        <v>697</v>
      </c>
    </row>
    <row r="8" spans="1:18" x14ac:dyDescent="0.2">
      <c r="A8">
        <v>7</v>
      </c>
      <c r="B8">
        <v>-99</v>
      </c>
      <c r="C8" t="s">
        <v>452</v>
      </c>
      <c r="D8" t="s">
        <v>6</v>
      </c>
      <c r="E8" t="s">
        <v>452</v>
      </c>
      <c r="F8" t="s">
        <v>521</v>
      </c>
      <c r="G8" t="s">
        <v>447</v>
      </c>
      <c r="H8" t="s">
        <v>6</v>
      </c>
      <c r="I8">
        <v>-99</v>
      </c>
      <c r="J8">
        <v>1</v>
      </c>
      <c r="K8" t="s">
        <v>6</v>
      </c>
      <c r="L8">
        <v>-99</v>
      </c>
      <c r="M8" t="s">
        <v>671</v>
      </c>
      <c r="N8" t="s">
        <v>671</v>
      </c>
      <c r="O8">
        <v>-99</v>
      </c>
      <c r="P8">
        <v>-99</v>
      </c>
      <c r="Q8">
        <v>1</v>
      </c>
      <c r="R8" t="s">
        <v>698</v>
      </c>
    </row>
    <row r="9" spans="1:18" x14ac:dyDescent="0.2">
      <c r="A9">
        <v>8</v>
      </c>
      <c r="B9">
        <v>-99</v>
      </c>
      <c r="C9" t="s">
        <v>453</v>
      </c>
      <c r="D9" t="s">
        <v>6</v>
      </c>
      <c r="E9" t="s">
        <v>453</v>
      </c>
      <c r="F9" t="s">
        <v>522</v>
      </c>
      <c r="G9" t="s">
        <v>447</v>
      </c>
      <c r="H9" t="s">
        <v>6</v>
      </c>
      <c r="I9">
        <v>-99</v>
      </c>
      <c r="J9">
        <v>1</v>
      </c>
      <c r="K9" t="s">
        <v>6</v>
      </c>
      <c r="L9">
        <v>-99</v>
      </c>
      <c r="M9" t="s">
        <v>671</v>
      </c>
      <c r="N9" t="s">
        <v>671</v>
      </c>
      <c r="O9">
        <v>-99</v>
      </c>
      <c r="P9">
        <v>-99</v>
      </c>
      <c r="Q9">
        <v>1</v>
      </c>
      <c r="R9" t="s">
        <v>408</v>
      </c>
    </row>
    <row r="10" spans="1:18" x14ac:dyDescent="0.2">
      <c r="A10">
        <v>9</v>
      </c>
      <c r="B10">
        <v>-99</v>
      </c>
      <c r="C10" t="s">
        <v>454</v>
      </c>
      <c r="D10" t="s">
        <v>6</v>
      </c>
      <c r="E10" t="s">
        <v>454</v>
      </c>
      <c r="F10" t="s">
        <v>523</v>
      </c>
      <c r="G10" t="s">
        <v>447</v>
      </c>
      <c r="H10" t="s">
        <v>6</v>
      </c>
      <c r="I10">
        <v>-99</v>
      </c>
      <c r="J10">
        <v>1</v>
      </c>
      <c r="K10" t="s">
        <v>6</v>
      </c>
      <c r="L10">
        <v>-99</v>
      </c>
      <c r="M10" t="s">
        <v>671</v>
      </c>
      <c r="N10" t="s">
        <v>671</v>
      </c>
      <c r="O10">
        <v>-99</v>
      </c>
      <c r="P10">
        <v>-99</v>
      </c>
      <c r="Q10">
        <v>1</v>
      </c>
      <c r="R10" t="s">
        <v>701</v>
      </c>
    </row>
    <row r="11" spans="1:18" x14ac:dyDescent="0.2">
      <c r="A11">
        <v>10</v>
      </c>
      <c r="B11">
        <v>-99</v>
      </c>
      <c r="C11" t="s">
        <v>455</v>
      </c>
      <c r="D11" t="s">
        <v>6</v>
      </c>
      <c r="E11" t="s">
        <v>455</v>
      </c>
      <c r="F11" t="s">
        <v>524</v>
      </c>
      <c r="G11" t="s">
        <v>447</v>
      </c>
      <c r="H11" t="s">
        <v>6</v>
      </c>
      <c r="I11">
        <v>-99</v>
      </c>
      <c r="J11">
        <v>1</v>
      </c>
      <c r="K11" t="s">
        <v>6</v>
      </c>
      <c r="L11">
        <v>-99</v>
      </c>
      <c r="M11" t="s">
        <v>671</v>
      </c>
      <c r="N11" t="s">
        <v>671</v>
      </c>
      <c r="O11">
        <v>-99</v>
      </c>
      <c r="P11">
        <v>-99</v>
      </c>
      <c r="Q11">
        <v>1</v>
      </c>
      <c r="R11" t="s">
        <v>671</v>
      </c>
    </row>
    <row r="12" spans="1:18" x14ac:dyDescent="0.2">
      <c r="A12">
        <v>11</v>
      </c>
      <c r="B12">
        <v>-99</v>
      </c>
      <c r="C12" t="s">
        <v>457</v>
      </c>
      <c r="D12" t="s">
        <v>525</v>
      </c>
      <c r="E12" t="s">
        <v>673</v>
      </c>
      <c r="F12" t="s">
        <v>135</v>
      </c>
      <c r="G12" t="s">
        <v>673</v>
      </c>
      <c r="H12" t="s">
        <v>380</v>
      </c>
      <c r="I12">
        <v>-99</v>
      </c>
      <c r="J12">
        <v>-99</v>
      </c>
      <c r="K12" t="s">
        <v>671</v>
      </c>
      <c r="L12">
        <v>-99</v>
      </c>
      <c r="M12" t="s">
        <v>671</v>
      </c>
      <c r="N12" t="s">
        <v>671</v>
      </c>
      <c r="O12">
        <v>-99</v>
      </c>
      <c r="P12">
        <v>-99</v>
      </c>
      <c r="Q12">
        <v>2</v>
      </c>
      <c r="R12" t="s">
        <v>671</v>
      </c>
    </row>
    <row r="13" spans="1:18" x14ac:dyDescent="0.2">
      <c r="A13">
        <v>12</v>
      </c>
      <c r="B13">
        <v>-99</v>
      </c>
      <c r="C13" t="s">
        <v>459</v>
      </c>
      <c r="D13" t="s">
        <v>525</v>
      </c>
      <c r="E13" t="s">
        <v>674</v>
      </c>
      <c r="F13" t="s">
        <v>136</v>
      </c>
      <c r="G13" t="s">
        <v>674</v>
      </c>
      <c r="H13" t="s">
        <v>387</v>
      </c>
      <c r="I13">
        <v>-99</v>
      </c>
      <c r="J13">
        <v>-99</v>
      </c>
      <c r="K13" t="s">
        <v>671</v>
      </c>
      <c r="L13">
        <v>-99</v>
      </c>
      <c r="M13" t="s">
        <v>671</v>
      </c>
      <c r="N13" t="s">
        <v>671</v>
      </c>
      <c r="O13">
        <v>-99</v>
      </c>
      <c r="P13">
        <v>-99</v>
      </c>
      <c r="Q13">
        <v>2</v>
      </c>
      <c r="R13" t="s">
        <v>671</v>
      </c>
    </row>
    <row r="14" spans="1:18" x14ac:dyDescent="0.2">
      <c r="A14">
        <v>13</v>
      </c>
      <c r="B14">
        <v>-99</v>
      </c>
      <c r="C14" t="s">
        <v>462</v>
      </c>
      <c r="D14" t="s">
        <v>525</v>
      </c>
      <c r="E14" t="s">
        <v>675</v>
      </c>
      <c r="F14" t="s">
        <v>137</v>
      </c>
      <c r="G14" t="s">
        <v>675</v>
      </c>
      <c r="H14" t="s">
        <v>396</v>
      </c>
      <c r="I14">
        <v>-99</v>
      </c>
      <c r="J14">
        <v>-99</v>
      </c>
      <c r="K14" t="s">
        <v>671</v>
      </c>
      <c r="L14">
        <v>-99</v>
      </c>
      <c r="M14" t="s">
        <v>671</v>
      </c>
      <c r="N14" t="s">
        <v>671</v>
      </c>
      <c r="O14">
        <v>-99</v>
      </c>
      <c r="P14">
        <v>-99</v>
      </c>
      <c r="Q14">
        <v>2</v>
      </c>
      <c r="R14" t="s">
        <v>671</v>
      </c>
    </row>
    <row r="15" spans="1:18" x14ac:dyDescent="0.2">
      <c r="A15">
        <v>14</v>
      </c>
      <c r="B15">
        <v>-99</v>
      </c>
      <c r="C15" t="s">
        <v>676</v>
      </c>
      <c r="D15" t="s">
        <v>525</v>
      </c>
      <c r="E15" t="s">
        <v>677</v>
      </c>
      <c r="F15" t="s">
        <v>138</v>
      </c>
      <c r="G15" t="s">
        <v>677</v>
      </c>
      <c r="H15" t="s">
        <v>412</v>
      </c>
      <c r="I15">
        <v>-99</v>
      </c>
      <c r="J15">
        <v>-99</v>
      </c>
      <c r="K15" t="s">
        <v>671</v>
      </c>
      <c r="L15">
        <v>-99</v>
      </c>
      <c r="M15" t="s">
        <v>671</v>
      </c>
      <c r="N15" t="s">
        <v>671</v>
      </c>
      <c r="O15">
        <v>-99</v>
      </c>
      <c r="P15">
        <v>-99</v>
      </c>
      <c r="Q15">
        <v>2</v>
      </c>
      <c r="R15" t="s">
        <v>671</v>
      </c>
    </row>
    <row r="16" spans="1:18" x14ac:dyDescent="0.2">
      <c r="A16">
        <v>15</v>
      </c>
      <c r="B16">
        <v>-99</v>
      </c>
      <c r="C16" t="s">
        <v>678</v>
      </c>
      <c r="D16" t="s">
        <v>446</v>
      </c>
      <c r="E16" t="s">
        <v>679</v>
      </c>
      <c r="F16" t="s">
        <v>439</v>
      </c>
      <c r="G16" t="s">
        <v>671</v>
      </c>
      <c r="H16" t="s">
        <v>671</v>
      </c>
      <c r="I16">
        <v>-99</v>
      </c>
      <c r="J16">
        <v>30</v>
      </c>
      <c r="K16" t="s">
        <v>379</v>
      </c>
      <c r="L16">
        <v>-99</v>
      </c>
      <c r="M16" t="s">
        <v>671</v>
      </c>
      <c r="N16" t="s">
        <v>671</v>
      </c>
      <c r="O16">
        <v>-99</v>
      </c>
      <c r="P16">
        <v>-99</v>
      </c>
      <c r="Q16">
        <v>3</v>
      </c>
      <c r="R16" t="s">
        <v>671</v>
      </c>
    </row>
    <row r="17" spans="1:18" x14ac:dyDescent="0.2">
      <c r="A17">
        <v>16</v>
      </c>
      <c r="B17">
        <v>-99</v>
      </c>
      <c r="C17" t="s">
        <v>680</v>
      </c>
      <c r="D17" t="s">
        <v>446</v>
      </c>
      <c r="E17" t="s">
        <v>678</v>
      </c>
      <c r="F17" t="s">
        <v>445</v>
      </c>
      <c r="G17" t="s">
        <v>671</v>
      </c>
      <c r="H17" t="s">
        <v>671</v>
      </c>
      <c r="I17">
        <v>-99</v>
      </c>
      <c r="J17">
        <v>31</v>
      </c>
      <c r="K17" t="s">
        <v>390</v>
      </c>
      <c r="L17">
        <v>-99</v>
      </c>
      <c r="M17" t="s">
        <v>671</v>
      </c>
      <c r="N17" t="s">
        <v>671</v>
      </c>
      <c r="O17">
        <v>-99</v>
      </c>
      <c r="P17">
        <v>-99</v>
      </c>
      <c r="Q17">
        <v>3</v>
      </c>
      <c r="R17" t="s">
        <v>671</v>
      </c>
    </row>
    <row r="18" spans="1:18" x14ac:dyDescent="0.2">
      <c r="A18">
        <v>17</v>
      </c>
      <c r="B18">
        <v>-99</v>
      </c>
      <c r="C18" t="s">
        <v>681</v>
      </c>
      <c r="D18" t="s">
        <v>446</v>
      </c>
      <c r="E18" t="s">
        <v>680</v>
      </c>
      <c r="F18" t="s">
        <v>443</v>
      </c>
      <c r="G18" t="s">
        <v>671</v>
      </c>
      <c r="H18" t="s">
        <v>671</v>
      </c>
      <c r="I18">
        <v>-99</v>
      </c>
      <c r="J18">
        <v>32</v>
      </c>
      <c r="K18" t="s">
        <v>400</v>
      </c>
      <c r="L18">
        <v>-99</v>
      </c>
      <c r="M18" t="s">
        <v>671</v>
      </c>
      <c r="N18" t="s">
        <v>671</v>
      </c>
      <c r="O18">
        <v>-99</v>
      </c>
      <c r="P18">
        <v>-99</v>
      </c>
      <c r="Q18">
        <v>3</v>
      </c>
      <c r="R18" t="s">
        <v>671</v>
      </c>
    </row>
    <row r="19" spans="1:18" x14ac:dyDescent="0.2">
      <c r="A19">
        <v>18</v>
      </c>
      <c r="B19">
        <v>-99</v>
      </c>
      <c r="C19" t="s">
        <v>682</v>
      </c>
      <c r="D19" t="s">
        <v>446</v>
      </c>
      <c r="E19" t="s">
        <v>681</v>
      </c>
      <c r="F19" t="s">
        <v>442</v>
      </c>
      <c r="G19" t="s">
        <v>671</v>
      </c>
      <c r="H19" t="s">
        <v>671</v>
      </c>
      <c r="I19">
        <v>-99</v>
      </c>
      <c r="J19">
        <v>33</v>
      </c>
      <c r="K19" t="s">
        <v>395</v>
      </c>
      <c r="L19">
        <v>-99</v>
      </c>
      <c r="M19" t="s">
        <v>671</v>
      </c>
      <c r="N19" t="s">
        <v>671</v>
      </c>
      <c r="O19">
        <v>-99</v>
      </c>
      <c r="P19">
        <v>-99</v>
      </c>
      <c r="Q19">
        <v>3</v>
      </c>
      <c r="R19" t="s">
        <v>671</v>
      </c>
    </row>
    <row r="20" spans="1:18" x14ac:dyDescent="0.2">
      <c r="A20">
        <v>19</v>
      </c>
      <c r="B20">
        <v>-99</v>
      </c>
      <c r="C20" t="s">
        <v>683</v>
      </c>
      <c r="D20" t="s">
        <v>446</v>
      </c>
      <c r="E20" t="s">
        <v>682</v>
      </c>
      <c r="F20" t="s">
        <v>444</v>
      </c>
      <c r="G20" t="s">
        <v>671</v>
      </c>
      <c r="H20" t="s">
        <v>671</v>
      </c>
      <c r="I20">
        <v>-99</v>
      </c>
      <c r="J20">
        <v>34</v>
      </c>
      <c r="K20" t="s">
        <v>414</v>
      </c>
      <c r="L20">
        <v>-99</v>
      </c>
      <c r="M20" t="s">
        <v>671</v>
      </c>
      <c r="N20" t="s">
        <v>671</v>
      </c>
      <c r="O20">
        <v>-99</v>
      </c>
      <c r="P20">
        <v>-99</v>
      </c>
      <c r="Q20">
        <v>3</v>
      </c>
      <c r="R20" t="s">
        <v>671</v>
      </c>
    </row>
    <row r="21" spans="1:18" x14ac:dyDescent="0.2">
      <c r="A21">
        <v>20</v>
      </c>
      <c r="B21">
        <v>1</v>
      </c>
      <c r="C21" t="s">
        <v>684</v>
      </c>
      <c r="D21" t="s">
        <v>378</v>
      </c>
      <c r="E21" t="s">
        <v>684</v>
      </c>
      <c r="F21" t="s">
        <v>526</v>
      </c>
      <c r="G21" t="s">
        <v>685</v>
      </c>
      <c r="H21" t="s">
        <v>8</v>
      </c>
      <c r="I21">
        <v>-99</v>
      </c>
      <c r="J21">
        <v>35</v>
      </c>
      <c r="K21" t="s">
        <v>8</v>
      </c>
      <c r="L21">
        <v>8240</v>
      </c>
      <c r="M21" t="s">
        <v>527</v>
      </c>
      <c r="N21" t="s">
        <v>671</v>
      </c>
      <c r="O21">
        <v>1</v>
      </c>
      <c r="P21">
        <v>2</v>
      </c>
      <c r="Q21">
        <v>-99</v>
      </c>
      <c r="R21" t="s">
        <v>671</v>
      </c>
    </row>
    <row r="22" spans="1:18" x14ac:dyDescent="0.2">
      <c r="A22">
        <v>21</v>
      </c>
      <c r="B22">
        <v>8</v>
      </c>
      <c r="C22" t="s">
        <v>142</v>
      </c>
      <c r="D22" t="s">
        <v>38</v>
      </c>
      <c r="E22" t="s">
        <v>528</v>
      </c>
      <c r="F22" t="s">
        <v>529</v>
      </c>
      <c r="G22" t="s">
        <v>673</v>
      </c>
      <c r="H22" t="s">
        <v>380</v>
      </c>
      <c r="I22">
        <v>380</v>
      </c>
      <c r="J22">
        <v>30</v>
      </c>
      <c r="K22" t="s">
        <v>379</v>
      </c>
      <c r="L22">
        <v>8233</v>
      </c>
      <c r="M22" t="s">
        <v>335</v>
      </c>
      <c r="N22" t="s">
        <v>381</v>
      </c>
      <c r="O22">
        <v>1</v>
      </c>
      <c r="P22">
        <v>2</v>
      </c>
      <c r="Q22">
        <v>-99</v>
      </c>
      <c r="R22" t="s">
        <v>699</v>
      </c>
    </row>
    <row r="23" spans="1:18" x14ac:dyDescent="0.2">
      <c r="A23">
        <v>22</v>
      </c>
      <c r="B23">
        <v>9</v>
      </c>
      <c r="C23" t="s">
        <v>143</v>
      </c>
      <c r="D23" t="s">
        <v>70</v>
      </c>
      <c r="E23" t="s">
        <v>530</v>
      </c>
      <c r="F23" t="s">
        <v>531</v>
      </c>
      <c r="G23" t="s">
        <v>673</v>
      </c>
      <c r="H23" t="s">
        <v>380</v>
      </c>
      <c r="I23">
        <v>380</v>
      </c>
      <c r="J23">
        <v>30</v>
      </c>
      <c r="K23" t="s">
        <v>379</v>
      </c>
      <c r="L23">
        <v>8235</v>
      </c>
      <c r="M23" t="s">
        <v>370</v>
      </c>
      <c r="N23" t="s">
        <v>382</v>
      </c>
      <c r="O23">
        <v>1</v>
      </c>
      <c r="P23">
        <v>1</v>
      </c>
      <c r="Q23">
        <v>-99</v>
      </c>
      <c r="R23" t="s">
        <v>699</v>
      </c>
    </row>
    <row r="24" spans="1:18" x14ac:dyDescent="0.2">
      <c r="A24">
        <v>23</v>
      </c>
      <c r="B24">
        <v>-99</v>
      </c>
      <c r="C24" t="s">
        <v>143</v>
      </c>
      <c r="D24" t="s">
        <v>70</v>
      </c>
      <c r="E24" t="s">
        <v>532</v>
      </c>
      <c r="F24" t="s">
        <v>533</v>
      </c>
      <c r="G24" t="s">
        <v>673</v>
      </c>
      <c r="H24" t="s">
        <v>380</v>
      </c>
      <c r="I24">
        <v>380</v>
      </c>
      <c r="J24">
        <v>30</v>
      </c>
      <c r="K24" t="s">
        <v>379</v>
      </c>
      <c r="L24">
        <v>8235</v>
      </c>
      <c r="M24" t="s">
        <v>370</v>
      </c>
      <c r="N24" t="s">
        <v>382</v>
      </c>
      <c r="O24">
        <v>-99</v>
      </c>
      <c r="P24">
        <v>1</v>
      </c>
      <c r="Q24">
        <v>-99</v>
      </c>
      <c r="R24" t="s">
        <v>408</v>
      </c>
    </row>
    <row r="25" spans="1:18" x14ac:dyDescent="0.2">
      <c r="A25">
        <v>24</v>
      </c>
      <c r="B25">
        <v>10</v>
      </c>
      <c r="C25" t="s">
        <v>144</v>
      </c>
      <c r="D25" t="s">
        <v>63</v>
      </c>
      <c r="E25" t="s">
        <v>534</v>
      </c>
      <c r="F25" t="s">
        <v>535</v>
      </c>
      <c r="G25" t="s">
        <v>673</v>
      </c>
      <c r="H25" t="s">
        <v>380</v>
      </c>
      <c r="I25">
        <v>380</v>
      </c>
      <c r="J25">
        <v>30</v>
      </c>
      <c r="K25" t="s">
        <v>379</v>
      </c>
      <c r="L25">
        <v>8237</v>
      </c>
      <c r="M25" t="s">
        <v>345</v>
      </c>
      <c r="N25" t="s">
        <v>63</v>
      </c>
      <c r="O25">
        <v>1</v>
      </c>
      <c r="P25">
        <v>2</v>
      </c>
      <c r="Q25">
        <v>-99</v>
      </c>
      <c r="R25" t="s">
        <v>699</v>
      </c>
    </row>
    <row r="26" spans="1:18" x14ac:dyDescent="0.2">
      <c r="A26">
        <v>25</v>
      </c>
      <c r="B26">
        <v>11</v>
      </c>
      <c r="C26" t="s">
        <v>145</v>
      </c>
      <c r="D26" t="s">
        <v>24</v>
      </c>
      <c r="E26" t="s">
        <v>536</v>
      </c>
      <c r="F26" t="s">
        <v>537</v>
      </c>
      <c r="G26" t="s">
        <v>673</v>
      </c>
      <c r="H26" t="s">
        <v>380</v>
      </c>
      <c r="I26">
        <v>380</v>
      </c>
      <c r="J26">
        <v>30</v>
      </c>
      <c r="K26" t="s">
        <v>379</v>
      </c>
      <c r="L26">
        <v>8238</v>
      </c>
      <c r="M26" t="s">
        <v>345</v>
      </c>
      <c r="N26" t="s">
        <v>63</v>
      </c>
      <c r="O26">
        <v>1</v>
      </c>
      <c r="P26">
        <v>2</v>
      </c>
      <c r="Q26">
        <v>-99</v>
      </c>
      <c r="R26" t="s">
        <v>699</v>
      </c>
    </row>
    <row r="27" spans="1:18" x14ac:dyDescent="0.2">
      <c r="A27">
        <v>26</v>
      </c>
      <c r="B27">
        <v>12</v>
      </c>
      <c r="C27" t="s">
        <v>146</v>
      </c>
      <c r="D27" t="s">
        <v>47</v>
      </c>
      <c r="E27" t="s">
        <v>538</v>
      </c>
      <c r="F27" t="s">
        <v>539</v>
      </c>
      <c r="G27" t="s">
        <v>673</v>
      </c>
      <c r="H27" t="s">
        <v>380</v>
      </c>
      <c r="I27">
        <v>380</v>
      </c>
      <c r="J27">
        <v>30</v>
      </c>
      <c r="K27" t="s">
        <v>379</v>
      </c>
      <c r="L27">
        <v>8239</v>
      </c>
      <c r="M27" t="s">
        <v>363</v>
      </c>
      <c r="N27" t="s">
        <v>383</v>
      </c>
      <c r="O27">
        <v>1</v>
      </c>
      <c r="P27">
        <v>2</v>
      </c>
      <c r="Q27">
        <v>-99</v>
      </c>
      <c r="R27" t="s">
        <v>699</v>
      </c>
    </row>
    <row r="28" spans="1:18" x14ac:dyDescent="0.2">
      <c r="A28">
        <v>27</v>
      </c>
      <c r="B28">
        <v>13</v>
      </c>
      <c r="C28" t="s">
        <v>147</v>
      </c>
      <c r="D28" t="s">
        <v>64</v>
      </c>
      <c r="E28" t="s">
        <v>540</v>
      </c>
      <c r="F28" t="s">
        <v>541</v>
      </c>
      <c r="G28" t="s">
        <v>673</v>
      </c>
      <c r="H28" t="s">
        <v>380</v>
      </c>
      <c r="I28">
        <v>380</v>
      </c>
      <c r="J28">
        <v>30</v>
      </c>
      <c r="K28" t="s">
        <v>379</v>
      </c>
      <c r="L28">
        <v>8241</v>
      </c>
      <c r="M28" t="s">
        <v>367</v>
      </c>
      <c r="N28" t="s">
        <v>384</v>
      </c>
      <c r="O28">
        <v>1</v>
      </c>
      <c r="P28">
        <v>2</v>
      </c>
      <c r="Q28">
        <v>-99</v>
      </c>
      <c r="R28" t="s">
        <v>699</v>
      </c>
    </row>
    <row r="29" spans="1:18" x14ac:dyDescent="0.2">
      <c r="A29">
        <v>28</v>
      </c>
      <c r="B29">
        <v>14</v>
      </c>
      <c r="C29" t="s">
        <v>102</v>
      </c>
      <c r="D29" t="s">
        <v>66</v>
      </c>
      <c r="E29" t="s">
        <v>542</v>
      </c>
      <c r="F29" t="s">
        <v>543</v>
      </c>
      <c r="G29" t="s">
        <v>673</v>
      </c>
      <c r="H29" t="s">
        <v>380</v>
      </c>
      <c r="I29">
        <v>380</v>
      </c>
      <c r="J29">
        <v>30</v>
      </c>
      <c r="K29" t="s">
        <v>379</v>
      </c>
      <c r="L29">
        <v>8242</v>
      </c>
      <c r="M29" t="s">
        <v>357</v>
      </c>
      <c r="N29" t="s">
        <v>385</v>
      </c>
      <c r="O29">
        <v>1</v>
      </c>
      <c r="P29">
        <v>1</v>
      </c>
      <c r="Q29">
        <v>-99</v>
      </c>
      <c r="R29" t="s">
        <v>699</v>
      </c>
    </row>
    <row r="30" spans="1:18" x14ac:dyDescent="0.2">
      <c r="A30">
        <v>29</v>
      </c>
      <c r="B30">
        <v>-99</v>
      </c>
      <c r="C30" t="s">
        <v>102</v>
      </c>
      <c r="D30" t="s">
        <v>66</v>
      </c>
      <c r="E30" t="s">
        <v>544</v>
      </c>
      <c r="F30" t="s">
        <v>218</v>
      </c>
      <c r="G30" t="s">
        <v>673</v>
      </c>
      <c r="H30" t="s">
        <v>380</v>
      </c>
      <c r="I30">
        <v>380</v>
      </c>
      <c r="J30">
        <v>30</v>
      </c>
      <c r="K30" t="s">
        <v>379</v>
      </c>
      <c r="L30">
        <v>8242</v>
      </c>
      <c r="M30" t="s">
        <v>357</v>
      </c>
      <c r="N30" t="s">
        <v>385</v>
      </c>
      <c r="O30">
        <v>-99</v>
      </c>
      <c r="P30">
        <v>1</v>
      </c>
      <c r="Q30">
        <v>-99</v>
      </c>
      <c r="R30" t="s">
        <v>216</v>
      </c>
    </row>
    <row r="31" spans="1:18" x14ac:dyDescent="0.2">
      <c r="A31">
        <v>30</v>
      </c>
      <c r="B31">
        <v>15</v>
      </c>
      <c r="C31" t="s">
        <v>148</v>
      </c>
      <c r="D31" t="s">
        <v>68</v>
      </c>
      <c r="E31" t="s">
        <v>545</v>
      </c>
      <c r="F31" t="s">
        <v>546</v>
      </c>
      <c r="G31" t="s">
        <v>673</v>
      </c>
      <c r="H31" t="s">
        <v>380</v>
      </c>
      <c r="I31">
        <v>380</v>
      </c>
      <c r="J31">
        <v>30</v>
      </c>
      <c r="K31" t="s">
        <v>379</v>
      </c>
      <c r="L31">
        <v>8243</v>
      </c>
      <c r="M31" t="s">
        <v>357</v>
      </c>
      <c r="N31" t="s">
        <v>385</v>
      </c>
      <c r="O31">
        <v>1</v>
      </c>
      <c r="P31">
        <v>1</v>
      </c>
      <c r="Q31">
        <v>-99</v>
      </c>
      <c r="R31" t="s">
        <v>699</v>
      </c>
    </row>
    <row r="32" spans="1:18" x14ac:dyDescent="0.2">
      <c r="A32">
        <v>31</v>
      </c>
      <c r="B32">
        <v>-99</v>
      </c>
      <c r="C32" t="s">
        <v>148</v>
      </c>
      <c r="D32" t="s">
        <v>68</v>
      </c>
      <c r="E32" t="s">
        <v>547</v>
      </c>
      <c r="F32" t="s">
        <v>548</v>
      </c>
      <c r="G32" t="s">
        <v>673</v>
      </c>
      <c r="H32" t="s">
        <v>380</v>
      </c>
      <c r="I32">
        <v>380</v>
      </c>
      <c r="J32">
        <v>30</v>
      </c>
      <c r="K32" t="s">
        <v>379</v>
      </c>
      <c r="L32">
        <v>8243</v>
      </c>
      <c r="M32" t="s">
        <v>357</v>
      </c>
      <c r="N32" t="s">
        <v>385</v>
      </c>
      <c r="O32">
        <v>-99</v>
      </c>
      <c r="P32">
        <v>1</v>
      </c>
      <c r="Q32">
        <v>-99</v>
      </c>
      <c r="R32" t="s">
        <v>698</v>
      </c>
    </row>
    <row r="33" spans="1:18" x14ac:dyDescent="0.2">
      <c r="A33">
        <v>32</v>
      </c>
      <c r="B33">
        <v>16</v>
      </c>
      <c r="C33" t="s">
        <v>149</v>
      </c>
      <c r="D33" t="s">
        <v>36</v>
      </c>
      <c r="E33" t="s">
        <v>549</v>
      </c>
      <c r="F33" t="s">
        <v>550</v>
      </c>
      <c r="G33" t="s">
        <v>673</v>
      </c>
      <c r="H33" t="s">
        <v>380</v>
      </c>
      <c r="I33">
        <v>380</v>
      </c>
      <c r="J33">
        <v>30</v>
      </c>
      <c r="K33" t="s">
        <v>379</v>
      </c>
      <c r="L33">
        <v>8244</v>
      </c>
      <c r="M33" t="s">
        <v>352</v>
      </c>
      <c r="N33" t="s">
        <v>386</v>
      </c>
      <c r="O33">
        <v>1</v>
      </c>
      <c r="P33">
        <v>2</v>
      </c>
      <c r="Q33">
        <v>-99</v>
      </c>
      <c r="R33" t="s">
        <v>699</v>
      </c>
    </row>
    <row r="34" spans="1:18" x14ac:dyDescent="0.2">
      <c r="A34">
        <v>33</v>
      </c>
      <c r="B34">
        <v>23</v>
      </c>
      <c r="C34" t="s">
        <v>108</v>
      </c>
      <c r="D34" t="s">
        <v>72</v>
      </c>
      <c r="E34" t="s">
        <v>551</v>
      </c>
      <c r="F34" t="s">
        <v>552</v>
      </c>
      <c r="G34" t="s">
        <v>674</v>
      </c>
      <c r="H34" t="s">
        <v>387</v>
      </c>
      <c r="I34">
        <v>381</v>
      </c>
      <c r="J34">
        <v>30</v>
      </c>
      <c r="K34" t="s">
        <v>379</v>
      </c>
      <c r="L34">
        <v>8245</v>
      </c>
      <c r="M34" t="s">
        <v>331</v>
      </c>
      <c r="N34" t="s">
        <v>388</v>
      </c>
      <c r="O34">
        <v>1</v>
      </c>
      <c r="P34">
        <v>2</v>
      </c>
      <c r="Q34">
        <v>-99</v>
      </c>
      <c r="R34" t="s">
        <v>699</v>
      </c>
    </row>
    <row r="35" spans="1:18" x14ac:dyDescent="0.2">
      <c r="A35">
        <v>34</v>
      </c>
      <c r="B35">
        <v>24</v>
      </c>
      <c r="C35" t="s">
        <v>150</v>
      </c>
      <c r="D35" t="s">
        <v>50</v>
      </c>
      <c r="E35" t="s">
        <v>553</v>
      </c>
      <c r="F35" t="s">
        <v>554</v>
      </c>
      <c r="G35" t="s">
        <v>674</v>
      </c>
      <c r="H35" t="s">
        <v>387</v>
      </c>
      <c r="I35">
        <v>381</v>
      </c>
      <c r="J35">
        <v>30</v>
      </c>
      <c r="K35" t="s">
        <v>379</v>
      </c>
      <c r="L35">
        <v>8246</v>
      </c>
      <c r="M35" t="s">
        <v>347</v>
      </c>
      <c r="N35" t="s">
        <v>389</v>
      </c>
      <c r="O35">
        <v>1</v>
      </c>
      <c r="P35">
        <v>2</v>
      </c>
      <c r="Q35">
        <v>-99</v>
      </c>
      <c r="R35" t="s">
        <v>699</v>
      </c>
    </row>
    <row r="36" spans="1:18" x14ac:dyDescent="0.2">
      <c r="A36">
        <v>35</v>
      </c>
      <c r="B36">
        <v>30</v>
      </c>
      <c r="C36" t="s">
        <v>151</v>
      </c>
      <c r="D36" t="s">
        <v>25</v>
      </c>
      <c r="E36" t="s">
        <v>555</v>
      </c>
      <c r="F36" t="s">
        <v>556</v>
      </c>
      <c r="G36" t="s">
        <v>674</v>
      </c>
      <c r="H36" t="s">
        <v>387</v>
      </c>
      <c r="I36">
        <v>381</v>
      </c>
      <c r="J36">
        <v>31</v>
      </c>
      <c r="K36" t="s">
        <v>390</v>
      </c>
      <c r="L36">
        <v>8247</v>
      </c>
      <c r="M36" t="s">
        <v>372</v>
      </c>
      <c r="N36" t="s">
        <v>391</v>
      </c>
      <c r="O36">
        <v>1</v>
      </c>
      <c r="P36">
        <v>2</v>
      </c>
      <c r="Q36">
        <v>-99</v>
      </c>
      <c r="R36" t="s">
        <v>699</v>
      </c>
    </row>
    <row r="37" spans="1:18" x14ac:dyDescent="0.2">
      <c r="A37">
        <v>36</v>
      </c>
      <c r="B37">
        <v>194</v>
      </c>
      <c r="C37" t="s">
        <v>152</v>
      </c>
      <c r="D37" t="s">
        <v>80</v>
      </c>
      <c r="E37" t="s">
        <v>557</v>
      </c>
      <c r="F37" t="s">
        <v>558</v>
      </c>
      <c r="G37" t="s">
        <v>674</v>
      </c>
      <c r="H37" t="s">
        <v>387</v>
      </c>
      <c r="I37">
        <v>381</v>
      </c>
      <c r="J37">
        <v>31</v>
      </c>
      <c r="K37" t="s">
        <v>390</v>
      </c>
      <c r="L37">
        <v>8248</v>
      </c>
      <c r="M37" t="s">
        <v>327</v>
      </c>
      <c r="N37" t="s">
        <v>435</v>
      </c>
      <c r="O37">
        <v>1</v>
      </c>
      <c r="P37">
        <v>2</v>
      </c>
      <c r="Q37">
        <v>-99</v>
      </c>
      <c r="R37" t="s">
        <v>699</v>
      </c>
    </row>
    <row r="38" spans="1:18" x14ac:dyDescent="0.2">
      <c r="A38">
        <v>37</v>
      </c>
      <c r="B38">
        <v>34</v>
      </c>
      <c r="C38" t="s">
        <v>153</v>
      </c>
      <c r="D38" t="s">
        <v>86</v>
      </c>
      <c r="E38" t="s">
        <v>559</v>
      </c>
      <c r="F38" t="s">
        <v>560</v>
      </c>
      <c r="G38" t="s">
        <v>674</v>
      </c>
      <c r="H38" t="s">
        <v>387</v>
      </c>
      <c r="I38">
        <v>381</v>
      </c>
      <c r="J38">
        <v>30</v>
      </c>
      <c r="K38" t="s">
        <v>379</v>
      </c>
      <c r="L38">
        <v>8249</v>
      </c>
      <c r="M38" t="s">
        <v>358</v>
      </c>
      <c r="N38" t="s">
        <v>392</v>
      </c>
      <c r="O38">
        <v>1</v>
      </c>
      <c r="P38">
        <v>1</v>
      </c>
      <c r="Q38">
        <v>-99</v>
      </c>
      <c r="R38" t="s">
        <v>699</v>
      </c>
    </row>
    <row r="39" spans="1:18" x14ac:dyDescent="0.2">
      <c r="A39">
        <v>38</v>
      </c>
      <c r="B39">
        <v>-99</v>
      </c>
      <c r="C39" t="s">
        <v>153</v>
      </c>
      <c r="D39" t="s">
        <v>86</v>
      </c>
      <c r="E39" t="s">
        <v>561</v>
      </c>
      <c r="F39" t="s">
        <v>221</v>
      </c>
      <c r="G39" t="s">
        <v>674</v>
      </c>
      <c r="H39" t="s">
        <v>387</v>
      </c>
      <c r="I39">
        <v>381</v>
      </c>
      <c r="J39">
        <v>30</v>
      </c>
      <c r="K39" t="s">
        <v>379</v>
      </c>
      <c r="L39">
        <v>8249</v>
      </c>
      <c r="M39" t="s">
        <v>358</v>
      </c>
      <c r="N39" t="s">
        <v>392</v>
      </c>
      <c r="O39">
        <v>-99</v>
      </c>
      <c r="P39">
        <v>1</v>
      </c>
      <c r="Q39">
        <v>-99</v>
      </c>
      <c r="R39" t="s">
        <v>696</v>
      </c>
    </row>
    <row r="40" spans="1:18" x14ac:dyDescent="0.2">
      <c r="A40">
        <v>39</v>
      </c>
      <c r="B40">
        <v>-99</v>
      </c>
      <c r="C40" t="s">
        <v>153</v>
      </c>
      <c r="D40" t="s">
        <v>86</v>
      </c>
      <c r="E40" t="s">
        <v>562</v>
      </c>
      <c r="F40" t="s">
        <v>979</v>
      </c>
      <c r="G40" t="s">
        <v>674</v>
      </c>
      <c r="H40" t="s">
        <v>387</v>
      </c>
      <c r="I40">
        <v>381</v>
      </c>
      <c r="J40">
        <v>30</v>
      </c>
      <c r="K40" t="s">
        <v>379</v>
      </c>
      <c r="L40">
        <v>8249</v>
      </c>
      <c r="M40" t="s">
        <v>358</v>
      </c>
      <c r="N40" t="s">
        <v>392</v>
      </c>
      <c r="O40">
        <v>-99</v>
      </c>
      <c r="P40">
        <v>1</v>
      </c>
      <c r="Q40">
        <v>-99</v>
      </c>
      <c r="R40" t="s">
        <v>697</v>
      </c>
    </row>
    <row r="41" spans="1:18" x14ac:dyDescent="0.2">
      <c r="A41">
        <v>40</v>
      </c>
      <c r="B41">
        <v>35</v>
      </c>
      <c r="C41" t="s">
        <v>154</v>
      </c>
      <c r="D41" t="s">
        <v>42</v>
      </c>
      <c r="E41" t="s">
        <v>563</v>
      </c>
      <c r="F41" t="s">
        <v>564</v>
      </c>
      <c r="G41" t="s">
        <v>674</v>
      </c>
      <c r="H41" t="s">
        <v>387</v>
      </c>
      <c r="I41">
        <v>381</v>
      </c>
      <c r="J41">
        <v>31</v>
      </c>
      <c r="K41" t="s">
        <v>390</v>
      </c>
      <c r="L41">
        <v>8250</v>
      </c>
      <c r="M41" t="s">
        <v>350</v>
      </c>
      <c r="N41" t="s">
        <v>393</v>
      </c>
      <c r="O41">
        <v>1</v>
      </c>
      <c r="P41">
        <v>2</v>
      </c>
      <c r="Q41">
        <v>-99</v>
      </c>
      <c r="R41" t="s">
        <v>699</v>
      </c>
    </row>
    <row r="42" spans="1:18" x14ac:dyDescent="0.2">
      <c r="A42">
        <v>41</v>
      </c>
      <c r="B42">
        <v>36</v>
      </c>
      <c r="C42" t="s">
        <v>94</v>
      </c>
      <c r="D42" t="s">
        <v>61</v>
      </c>
      <c r="E42" t="s">
        <v>565</v>
      </c>
      <c r="F42" t="s">
        <v>566</v>
      </c>
      <c r="G42" t="s">
        <v>674</v>
      </c>
      <c r="H42" t="s">
        <v>387</v>
      </c>
      <c r="I42">
        <v>381</v>
      </c>
      <c r="J42">
        <v>31</v>
      </c>
      <c r="K42" t="s">
        <v>390</v>
      </c>
      <c r="L42">
        <v>8251</v>
      </c>
      <c r="M42" t="s">
        <v>353</v>
      </c>
      <c r="N42" t="s">
        <v>394</v>
      </c>
      <c r="O42">
        <v>1</v>
      </c>
      <c r="P42">
        <v>2</v>
      </c>
      <c r="Q42">
        <v>-99</v>
      </c>
      <c r="R42" t="s">
        <v>699</v>
      </c>
    </row>
    <row r="43" spans="1:18" x14ac:dyDescent="0.2">
      <c r="A43">
        <v>42</v>
      </c>
      <c r="B43">
        <v>37</v>
      </c>
      <c r="C43" t="s">
        <v>155</v>
      </c>
      <c r="D43" t="s">
        <v>62</v>
      </c>
      <c r="E43" t="s">
        <v>567</v>
      </c>
      <c r="F43" t="s">
        <v>568</v>
      </c>
      <c r="G43" t="s">
        <v>675</v>
      </c>
      <c r="H43" t="s">
        <v>396</v>
      </c>
      <c r="I43">
        <v>382</v>
      </c>
      <c r="J43">
        <v>33</v>
      </c>
      <c r="K43" t="s">
        <v>395</v>
      </c>
      <c r="L43">
        <v>8252</v>
      </c>
      <c r="M43" t="s">
        <v>330</v>
      </c>
      <c r="N43" t="s">
        <v>397</v>
      </c>
      <c r="O43">
        <v>1</v>
      </c>
      <c r="P43">
        <v>2</v>
      </c>
      <c r="Q43">
        <v>-99</v>
      </c>
      <c r="R43" t="s">
        <v>699</v>
      </c>
    </row>
    <row r="44" spans="1:18" x14ac:dyDescent="0.2">
      <c r="A44">
        <v>43</v>
      </c>
      <c r="B44">
        <v>38</v>
      </c>
      <c r="C44" t="s">
        <v>156</v>
      </c>
      <c r="D44" t="s">
        <v>60</v>
      </c>
      <c r="E44" t="s">
        <v>569</v>
      </c>
      <c r="F44" t="s">
        <v>570</v>
      </c>
      <c r="G44" t="s">
        <v>674</v>
      </c>
      <c r="H44" t="s">
        <v>387</v>
      </c>
      <c r="I44">
        <v>381</v>
      </c>
      <c r="J44">
        <v>31</v>
      </c>
      <c r="K44" t="s">
        <v>390</v>
      </c>
      <c r="L44">
        <v>8253</v>
      </c>
      <c r="M44" t="s">
        <v>364</v>
      </c>
      <c r="N44" t="s">
        <v>398</v>
      </c>
      <c r="O44">
        <v>1</v>
      </c>
      <c r="P44">
        <v>2</v>
      </c>
      <c r="Q44">
        <v>-99</v>
      </c>
      <c r="R44" t="s">
        <v>699</v>
      </c>
    </row>
    <row r="45" spans="1:18" x14ac:dyDescent="0.2">
      <c r="A45">
        <v>44</v>
      </c>
      <c r="B45">
        <v>39</v>
      </c>
      <c r="C45" t="s">
        <v>157</v>
      </c>
      <c r="D45" t="s">
        <v>52</v>
      </c>
      <c r="E45" t="s">
        <v>571</v>
      </c>
      <c r="F45" t="s">
        <v>572</v>
      </c>
      <c r="G45" t="s">
        <v>674</v>
      </c>
      <c r="H45" t="s">
        <v>387</v>
      </c>
      <c r="I45">
        <v>381</v>
      </c>
      <c r="J45">
        <v>33</v>
      </c>
      <c r="K45" t="s">
        <v>395</v>
      </c>
      <c r="L45">
        <v>8254</v>
      </c>
      <c r="M45" t="s">
        <v>365</v>
      </c>
      <c r="N45" t="s">
        <v>399</v>
      </c>
      <c r="O45">
        <v>1</v>
      </c>
      <c r="P45">
        <v>1</v>
      </c>
      <c r="Q45">
        <v>-99</v>
      </c>
      <c r="R45" t="s">
        <v>699</v>
      </c>
    </row>
    <row r="46" spans="1:18" x14ac:dyDescent="0.2">
      <c r="A46">
        <v>45</v>
      </c>
      <c r="B46">
        <v>-99</v>
      </c>
      <c r="C46" t="s">
        <v>157</v>
      </c>
      <c r="D46" t="s">
        <v>52</v>
      </c>
      <c r="E46" t="s">
        <v>573</v>
      </c>
      <c r="F46" t="s">
        <v>574</v>
      </c>
      <c r="G46" t="s">
        <v>674</v>
      </c>
      <c r="H46" t="s">
        <v>387</v>
      </c>
      <c r="I46">
        <v>381</v>
      </c>
      <c r="J46">
        <v>33</v>
      </c>
      <c r="K46" t="s">
        <v>395</v>
      </c>
      <c r="L46">
        <v>8254</v>
      </c>
      <c r="M46" t="s">
        <v>365</v>
      </c>
      <c r="N46" t="s">
        <v>399</v>
      </c>
      <c r="O46">
        <v>-99</v>
      </c>
      <c r="P46">
        <v>1</v>
      </c>
      <c r="Q46">
        <v>-99</v>
      </c>
      <c r="R46" t="s">
        <v>700</v>
      </c>
    </row>
    <row r="47" spans="1:18" x14ac:dyDescent="0.2">
      <c r="A47">
        <v>46</v>
      </c>
      <c r="B47">
        <v>52</v>
      </c>
      <c r="C47" t="s">
        <v>158</v>
      </c>
      <c r="D47" t="s">
        <v>41</v>
      </c>
      <c r="E47" t="s">
        <v>575</v>
      </c>
      <c r="F47" t="s">
        <v>576</v>
      </c>
      <c r="G47" t="s">
        <v>673</v>
      </c>
      <c r="H47" t="s">
        <v>380</v>
      </c>
      <c r="I47">
        <v>380</v>
      </c>
      <c r="J47">
        <v>32</v>
      </c>
      <c r="K47" t="s">
        <v>400</v>
      </c>
      <c r="L47">
        <v>8255</v>
      </c>
      <c r="M47" t="s">
        <v>366</v>
      </c>
      <c r="N47" t="s">
        <v>401</v>
      </c>
      <c r="O47">
        <v>1</v>
      </c>
      <c r="P47">
        <v>2</v>
      </c>
      <c r="Q47">
        <v>-99</v>
      </c>
      <c r="R47" t="s">
        <v>699</v>
      </c>
    </row>
    <row r="48" spans="1:18" x14ac:dyDescent="0.2">
      <c r="A48">
        <v>47</v>
      </c>
      <c r="B48">
        <v>53</v>
      </c>
      <c r="C48" t="s">
        <v>159</v>
      </c>
      <c r="D48" t="s">
        <v>51</v>
      </c>
      <c r="E48" t="s">
        <v>577</v>
      </c>
      <c r="F48" t="s">
        <v>578</v>
      </c>
      <c r="G48" t="s">
        <v>673</v>
      </c>
      <c r="H48" t="s">
        <v>380</v>
      </c>
      <c r="I48">
        <v>380</v>
      </c>
      <c r="J48">
        <v>32</v>
      </c>
      <c r="K48" t="s">
        <v>400</v>
      </c>
      <c r="L48">
        <v>8256</v>
      </c>
      <c r="M48" t="s">
        <v>340</v>
      </c>
      <c r="N48" t="s">
        <v>402</v>
      </c>
      <c r="O48">
        <v>1</v>
      </c>
      <c r="P48">
        <v>2</v>
      </c>
      <c r="Q48">
        <v>-99</v>
      </c>
      <c r="R48" t="s">
        <v>699</v>
      </c>
    </row>
    <row r="49" spans="1:18" x14ac:dyDescent="0.2">
      <c r="A49">
        <v>48</v>
      </c>
      <c r="B49">
        <v>54</v>
      </c>
      <c r="C49" t="s">
        <v>160</v>
      </c>
      <c r="D49" t="s">
        <v>56</v>
      </c>
      <c r="E49" t="s">
        <v>579</v>
      </c>
      <c r="F49" t="s">
        <v>580</v>
      </c>
      <c r="G49" t="s">
        <v>674</v>
      </c>
      <c r="H49" t="s">
        <v>387</v>
      </c>
      <c r="I49">
        <v>381</v>
      </c>
      <c r="J49">
        <v>31</v>
      </c>
      <c r="K49" t="s">
        <v>390</v>
      </c>
      <c r="L49">
        <v>8257</v>
      </c>
      <c r="M49" t="s">
        <v>346</v>
      </c>
      <c r="N49" t="s">
        <v>403</v>
      </c>
      <c r="O49">
        <v>1</v>
      </c>
      <c r="P49">
        <v>1</v>
      </c>
      <c r="Q49">
        <v>-99</v>
      </c>
      <c r="R49" t="s">
        <v>699</v>
      </c>
    </row>
    <row r="50" spans="1:18" x14ac:dyDescent="0.2">
      <c r="A50">
        <v>49</v>
      </c>
      <c r="B50">
        <v>-99</v>
      </c>
      <c r="C50" t="s">
        <v>160</v>
      </c>
      <c r="D50" t="s">
        <v>56</v>
      </c>
      <c r="E50" t="s">
        <v>581</v>
      </c>
      <c r="F50" t="s">
        <v>582</v>
      </c>
      <c r="G50" t="s">
        <v>674</v>
      </c>
      <c r="H50" t="s">
        <v>387</v>
      </c>
      <c r="I50">
        <v>381</v>
      </c>
      <c r="J50">
        <v>31</v>
      </c>
      <c r="K50" t="s">
        <v>390</v>
      </c>
      <c r="L50">
        <v>8257</v>
      </c>
      <c r="M50" t="s">
        <v>346</v>
      </c>
      <c r="N50" t="s">
        <v>403</v>
      </c>
      <c r="O50">
        <v>-99</v>
      </c>
      <c r="P50">
        <v>1</v>
      </c>
      <c r="Q50">
        <v>-99</v>
      </c>
      <c r="R50" t="s">
        <v>701</v>
      </c>
    </row>
    <row r="51" spans="1:18" x14ac:dyDescent="0.2">
      <c r="A51">
        <v>50</v>
      </c>
      <c r="B51">
        <v>55</v>
      </c>
      <c r="C51" t="s">
        <v>161</v>
      </c>
      <c r="D51" t="s">
        <v>40</v>
      </c>
      <c r="E51" t="s">
        <v>583</v>
      </c>
      <c r="F51" t="s">
        <v>584</v>
      </c>
      <c r="G51" t="s">
        <v>675</v>
      </c>
      <c r="H51" t="s">
        <v>396</v>
      </c>
      <c r="I51">
        <v>382</v>
      </c>
      <c r="J51">
        <v>32</v>
      </c>
      <c r="K51" t="s">
        <v>400</v>
      </c>
      <c r="L51">
        <v>8258</v>
      </c>
      <c r="M51" t="s">
        <v>359</v>
      </c>
      <c r="N51" t="s">
        <v>404</v>
      </c>
      <c r="O51">
        <v>1</v>
      </c>
      <c r="P51">
        <v>2</v>
      </c>
      <c r="Q51">
        <v>-99</v>
      </c>
      <c r="R51" t="s">
        <v>699</v>
      </c>
    </row>
    <row r="52" spans="1:18" x14ac:dyDescent="0.2">
      <c r="A52">
        <v>51</v>
      </c>
      <c r="B52">
        <v>56</v>
      </c>
      <c r="C52" t="s">
        <v>162</v>
      </c>
      <c r="D52" t="s">
        <v>45</v>
      </c>
      <c r="E52" t="s">
        <v>585</v>
      </c>
      <c r="F52" t="s">
        <v>586</v>
      </c>
      <c r="G52" t="s">
        <v>673</v>
      </c>
      <c r="H52" t="s">
        <v>380</v>
      </c>
      <c r="I52">
        <v>380</v>
      </c>
      <c r="J52">
        <v>32</v>
      </c>
      <c r="K52" t="s">
        <v>400</v>
      </c>
      <c r="L52">
        <v>8259</v>
      </c>
      <c r="M52" t="s">
        <v>336</v>
      </c>
      <c r="N52" t="s">
        <v>405</v>
      </c>
      <c r="O52">
        <v>1</v>
      </c>
      <c r="P52">
        <v>2</v>
      </c>
      <c r="Q52">
        <v>-99</v>
      </c>
      <c r="R52" t="s">
        <v>699</v>
      </c>
    </row>
    <row r="53" spans="1:18" x14ac:dyDescent="0.2">
      <c r="A53">
        <v>52</v>
      </c>
      <c r="B53">
        <v>57</v>
      </c>
      <c r="C53" t="s">
        <v>163</v>
      </c>
      <c r="D53" t="s">
        <v>59</v>
      </c>
      <c r="E53" t="s">
        <v>587</v>
      </c>
      <c r="F53" t="s">
        <v>588</v>
      </c>
      <c r="G53" t="s">
        <v>675</v>
      </c>
      <c r="H53" t="s">
        <v>396</v>
      </c>
      <c r="I53">
        <v>382</v>
      </c>
      <c r="J53">
        <v>32</v>
      </c>
      <c r="K53" t="s">
        <v>400</v>
      </c>
      <c r="L53">
        <v>8260</v>
      </c>
      <c r="M53" t="s">
        <v>326</v>
      </c>
      <c r="N53" t="s">
        <v>406</v>
      </c>
      <c r="O53">
        <v>1</v>
      </c>
      <c r="P53">
        <v>1</v>
      </c>
      <c r="Q53">
        <v>-99</v>
      </c>
      <c r="R53" t="s">
        <v>699</v>
      </c>
    </row>
    <row r="54" spans="1:18" x14ac:dyDescent="0.2">
      <c r="A54">
        <v>53</v>
      </c>
      <c r="B54">
        <v>-99</v>
      </c>
      <c r="C54" t="s">
        <v>163</v>
      </c>
      <c r="D54" t="s">
        <v>59</v>
      </c>
      <c r="E54" t="s">
        <v>589</v>
      </c>
      <c r="F54" t="s">
        <v>217</v>
      </c>
      <c r="G54" t="s">
        <v>675</v>
      </c>
      <c r="H54" t="s">
        <v>396</v>
      </c>
      <c r="I54">
        <v>382</v>
      </c>
      <c r="J54">
        <v>32</v>
      </c>
      <c r="K54" t="s">
        <v>400</v>
      </c>
      <c r="L54">
        <v>8260</v>
      </c>
      <c r="M54" t="s">
        <v>326</v>
      </c>
      <c r="N54" t="s">
        <v>406</v>
      </c>
      <c r="O54">
        <v>-99</v>
      </c>
      <c r="P54">
        <v>1</v>
      </c>
      <c r="Q54">
        <v>-99</v>
      </c>
      <c r="R54" t="s">
        <v>216</v>
      </c>
    </row>
    <row r="55" spans="1:18" x14ac:dyDescent="0.2">
      <c r="A55">
        <v>54</v>
      </c>
      <c r="B55">
        <v>58</v>
      </c>
      <c r="C55" t="s">
        <v>164</v>
      </c>
      <c r="D55" t="s">
        <v>78</v>
      </c>
      <c r="E55" t="s">
        <v>590</v>
      </c>
      <c r="F55" t="s">
        <v>591</v>
      </c>
      <c r="G55" t="s">
        <v>675</v>
      </c>
      <c r="H55" t="s">
        <v>396</v>
      </c>
      <c r="I55">
        <v>382</v>
      </c>
      <c r="J55">
        <v>32</v>
      </c>
      <c r="K55" t="s">
        <v>400</v>
      </c>
      <c r="L55">
        <v>8261</v>
      </c>
      <c r="M55" t="s">
        <v>349</v>
      </c>
      <c r="N55" t="s">
        <v>407</v>
      </c>
      <c r="O55">
        <v>1</v>
      </c>
      <c r="P55">
        <v>2</v>
      </c>
      <c r="Q55">
        <v>-99</v>
      </c>
      <c r="R55" t="s">
        <v>699</v>
      </c>
    </row>
    <row r="56" spans="1:18" x14ac:dyDescent="0.2">
      <c r="A56">
        <v>55</v>
      </c>
      <c r="B56">
        <v>59</v>
      </c>
      <c r="C56" t="s">
        <v>165</v>
      </c>
      <c r="D56" t="s">
        <v>44</v>
      </c>
      <c r="E56" t="s">
        <v>592</v>
      </c>
      <c r="F56" t="s">
        <v>593</v>
      </c>
      <c r="G56" t="s">
        <v>675</v>
      </c>
      <c r="H56" t="s">
        <v>396</v>
      </c>
      <c r="I56">
        <v>382</v>
      </c>
      <c r="J56">
        <v>32</v>
      </c>
      <c r="K56" t="s">
        <v>400</v>
      </c>
      <c r="L56">
        <v>8262</v>
      </c>
      <c r="M56" t="s">
        <v>373</v>
      </c>
      <c r="N56" t="s">
        <v>409</v>
      </c>
      <c r="O56">
        <v>1</v>
      </c>
      <c r="P56">
        <v>2</v>
      </c>
      <c r="Q56">
        <v>-99</v>
      </c>
      <c r="R56" t="s">
        <v>699</v>
      </c>
    </row>
    <row r="57" spans="1:18" x14ac:dyDescent="0.2">
      <c r="A57">
        <v>56</v>
      </c>
      <c r="B57">
        <v>60</v>
      </c>
      <c r="C57" t="s">
        <v>166</v>
      </c>
      <c r="D57" t="s">
        <v>53</v>
      </c>
      <c r="E57" t="s">
        <v>594</v>
      </c>
      <c r="F57" t="s">
        <v>595</v>
      </c>
      <c r="G57" t="s">
        <v>675</v>
      </c>
      <c r="H57" t="s">
        <v>396</v>
      </c>
      <c r="I57">
        <v>382</v>
      </c>
      <c r="J57">
        <v>32</v>
      </c>
      <c r="K57" t="s">
        <v>400</v>
      </c>
      <c r="L57">
        <v>8263</v>
      </c>
      <c r="M57" t="s">
        <v>332</v>
      </c>
      <c r="N57" t="s">
        <v>410</v>
      </c>
      <c r="O57">
        <v>1</v>
      </c>
      <c r="P57">
        <v>2</v>
      </c>
      <c r="Q57">
        <v>-99</v>
      </c>
      <c r="R57" t="s">
        <v>699</v>
      </c>
    </row>
    <row r="58" spans="1:18" x14ac:dyDescent="0.2">
      <c r="A58">
        <v>57</v>
      </c>
      <c r="B58">
        <v>84</v>
      </c>
      <c r="C58" t="s">
        <v>167</v>
      </c>
      <c r="D58" t="s">
        <v>79</v>
      </c>
      <c r="E58" t="s">
        <v>596</v>
      </c>
      <c r="F58" t="s">
        <v>597</v>
      </c>
      <c r="G58" t="s">
        <v>675</v>
      </c>
      <c r="H58" t="s">
        <v>396</v>
      </c>
      <c r="I58">
        <v>382</v>
      </c>
      <c r="J58">
        <v>32</v>
      </c>
      <c r="K58" t="s">
        <v>400</v>
      </c>
      <c r="L58">
        <v>8264</v>
      </c>
      <c r="M58" t="s">
        <v>343</v>
      </c>
      <c r="N58" t="s">
        <v>411</v>
      </c>
      <c r="O58">
        <v>1</v>
      </c>
      <c r="P58">
        <v>1</v>
      </c>
      <c r="Q58">
        <v>-99</v>
      </c>
      <c r="R58" t="s">
        <v>699</v>
      </c>
    </row>
    <row r="59" spans="1:18" x14ac:dyDescent="0.2">
      <c r="A59">
        <v>58</v>
      </c>
      <c r="B59">
        <v>-99</v>
      </c>
      <c r="C59" t="s">
        <v>167</v>
      </c>
      <c r="D59" t="s">
        <v>79</v>
      </c>
      <c r="E59" t="s">
        <v>598</v>
      </c>
      <c r="F59" t="s">
        <v>501</v>
      </c>
      <c r="G59" t="s">
        <v>675</v>
      </c>
      <c r="H59" t="s">
        <v>396</v>
      </c>
      <c r="I59">
        <v>382</v>
      </c>
      <c r="J59">
        <v>32</v>
      </c>
      <c r="K59" t="s">
        <v>400</v>
      </c>
      <c r="L59">
        <v>8264</v>
      </c>
      <c r="M59" t="s">
        <v>343</v>
      </c>
      <c r="N59" t="s">
        <v>411</v>
      </c>
      <c r="O59">
        <v>-99</v>
      </c>
      <c r="P59">
        <v>1</v>
      </c>
      <c r="Q59">
        <v>-99</v>
      </c>
      <c r="R59" t="s">
        <v>671</v>
      </c>
    </row>
    <row r="60" spans="1:18" x14ac:dyDescent="0.2">
      <c r="A60">
        <v>59</v>
      </c>
      <c r="B60">
        <v>-99</v>
      </c>
      <c r="C60" t="s">
        <v>167</v>
      </c>
      <c r="D60" t="s">
        <v>79</v>
      </c>
      <c r="E60" t="s">
        <v>599</v>
      </c>
      <c r="F60" t="s">
        <v>220</v>
      </c>
      <c r="G60" t="s">
        <v>675</v>
      </c>
      <c r="H60" t="s">
        <v>396</v>
      </c>
      <c r="I60">
        <v>382</v>
      </c>
      <c r="J60">
        <v>32</v>
      </c>
      <c r="K60" t="s">
        <v>400</v>
      </c>
      <c r="L60">
        <v>8264</v>
      </c>
      <c r="M60" t="s">
        <v>343</v>
      </c>
      <c r="N60" t="s">
        <v>411</v>
      </c>
      <c r="O60">
        <v>-99</v>
      </c>
      <c r="P60">
        <v>1</v>
      </c>
      <c r="Q60">
        <v>-99</v>
      </c>
      <c r="R60" t="s">
        <v>216</v>
      </c>
    </row>
    <row r="61" spans="1:18" x14ac:dyDescent="0.2">
      <c r="A61">
        <v>60</v>
      </c>
      <c r="B61">
        <v>100</v>
      </c>
      <c r="C61" t="s">
        <v>168</v>
      </c>
      <c r="D61" t="s">
        <v>43</v>
      </c>
      <c r="E61" t="s">
        <v>600</v>
      </c>
      <c r="F61" t="s">
        <v>601</v>
      </c>
      <c r="G61" t="s">
        <v>677</v>
      </c>
      <c r="H61" t="s">
        <v>412</v>
      </c>
      <c r="I61">
        <v>383</v>
      </c>
      <c r="J61">
        <v>33</v>
      </c>
      <c r="K61" t="s">
        <v>395</v>
      </c>
      <c r="L61">
        <v>8268</v>
      </c>
      <c r="M61" t="s">
        <v>360</v>
      </c>
      <c r="N61" t="s">
        <v>413</v>
      </c>
      <c r="O61">
        <v>1</v>
      </c>
      <c r="P61">
        <v>2</v>
      </c>
      <c r="Q61">
        <v>-99</v>
      </c>
      <c r="R61" t="s">
        <v>699</v>
      </c>
    </row>
    <row r="62" spans="1:18" x14ac:dyDescent="0.2">
      <c r="A62">
        <v>61</v>
      </c>
      <c r="B62">
        <v>101</v>
      </c>
      <c r="C62" t="s">
        <v>169</v>
      </c>
      <c r="D62" t="s">
        <v>34</v>
      </c>
      <c r="E62" t="s">
        <v>602</v>
      </c>
      <c r="F62" t="s">
        <v>603</v>
      </c>
      <c r="G62" t="s">
        <v>677</v>
      </c>
      <c r="H62" t="s">
        <v>412</v>
      </c>
      <c r="I62">
        <v>383</v>
      </c>
      <c r="J62">
        <v>34</v>
      </c>
      <c r="K62" t="s">
        <v>414</v>
      </c>
      <c r="L62">
        <v>8269</v>
      </c>
      <c r="M62" t="s">
        <v>328</v>
      </c>
      <c r="N62" t="s">
        <v>415</v>
      </c>
      <c r="O62">
        <v>1</v>
      </c>
      <c r="P62">
        <v>2</v>
      </c>
      <c r="Q62">
        <v>-99</v>
      </c>
      <c r="R62" t="s">
        <v>699</v>
      </c>
    </row>
    <row r="63" spans="1:18" x14ac:dyDescent="0.2">
      <c r="A63">
        <v>62</v>
      </c>
      <c r="B63">
        <v>102</v>
      </c>
      <c r="C63" t="s">
        <v>170</v>
      </c>
      <c r="D63" t="s">
        <v>73</v>
      </c>
      <c r="E63" t="s">
        <v>604</v>
      </c>
      <c r="F63" t="s">
        <v>605</v>
      </c>
      <c r="G63" t="s">
        <v>677</v>
      </c>
      <c r="H63" t="s">
        <v>412</v>
      </c>
      <c r="I63">
        <v>383</v>
      </c>
      <c r="J63">
        <v>33</v>
      </c>
      <c r="K63" t="s">
        <v>395</v>
      </c>
      <c r="L63">
        <v>8270</v>
      </c>
      <c r="M63" t="s">
        <v>354</v>
      </c>
      <c r="N63" t="s">
        <v>416</v>
      </c>
      <c r="O63">
        <v>1</v>
      </c>
      <c r="P63">
        <v>1</v>
      </c>
      <c r="Q63">
        <v>-99</v>
      </c>
      <c r="R63" t="s">
        <v>699</v>
      </c>
    </row>
    <row r="64" spans="1:18" x14ac:dyDescent="0.2">
      <c r="A64">
        <v>63</v>
      </c>
      <c r="B64">
        <v>-99</v>
      </c>
      <c r="C64" t="s">
        <v>170</v>
      </c>
      <c r="D64" t="s">
        <v>73</v>
      </c>
      <c r="E64" t="s">
        <v>606</v>
      </c>
      <c r="F64" t="s">
        <v>219</v>
      </c>
      <c r="G64" t="s">
        <v>677</v>
      </c>
      <c r="H64" t="s">
        <v>412</v>
      </c>
      <c r="I64">
        <v>383</v>
      </c>
      <c r="J64">
        <v>33</v>
      </c>
      <c r="K64" t="s">
        <v>395</v>
      </c>
      <c r="L64">
        <v>8270</v>
      </c>
      <c r="M64" t="s">
        <v>354</v>
      </c>
      <c r="N64" t="s">
        <v>416</v>
      </c>
      <c r="O64">
        <v>-99</v>
      </c>
      <c r="P64">
        <v>1</v>
      </c>
      <c r="Q64">
        <v>-99</v>
      </c>
      <c r="R64" t="s">
        <v>696</v>
      </c>
    </row>
    <row r="65" spans="1:18" x14ac:dyDescent="0.2">
      <c r="A65">
        <v>64</v>
      </c>
      <c r="B65">
        <v>103</v>
      </c>
      <c r="C65" t="s">
        <v>171</v>
      </c>
      <c r="D65" t="s">
        <v>65</v>
      </c>
      <c r="E65" t="s">
        <v>607</v>
      </c>
      <c r="F65" t="s">
        <v>608</v>
      </c>
      <c r="G65" t="s">
        <v>677</v>
      </c>
      <c r="H65" t="s">
        <v>412</v>
      </c>
      <c r="I65">
        <v>383</v>
      </c>
      <c r="J65">
        <v>34</v>
      </c>
      <c r="K65" t="s">
        <v>414</v>
      </c>
      <c r="L65">
        <v>8272</v>
      </c>
      <c r="M65" t="s">
        <v>342</v>
      </c>
      <c r="N65" t="s">
        <v>417</v>
      </c>
      <c r="O65">
        <v>1</v>
      </c>
      <c r="P65">
        <v>2</v>
      </c>
      <c r="Q65">
        <v>-99</v>
      </c>
      <c r="R65" t="s">
        <v>699</v>
      </c>
    </row>
    <row r="66" spans="1:18" x14ac:dyDescent="0.2">
      <c r="A66">
        <v>65</v>
      </c>
      <c r="B66">
        <v>104</v>
      </c>
      <c r="C66" t="s">
        <v>172</v>
      </c>
      <c r="D66" t="s">
        <v>55</v>
      </c>
      <c r="E66" t="s">
        <v>609</v>
      </c>
      <c r="F66" t="s">
        <v>610</v>
      </c>
      <c r="G66" t="s">
        <v>677</v>
      </c>
      <c r="H66" t="s">
        <v>412</v>
      </c>
      <c r="I66">
        <v>383</v>
      </c>
      <c r="J66">
        <v>34</v>
      </c>
      <c r="K66" t="s">
        <v>414</v>
      </c>
      <c r="L66">
        <v>8221</v>
      </c>
      <c r="M66" t="s">
        <v>342</v>
      </c>
      <c r="N66" t="s">
        <v>417</v>
      </c>
      <c r="O66">
        <v>1</v>
      </c>
      <c r="P66">
        <v>2</v>
      </c>
      <c r="Q66">
        <v>-99</v>
      </c>
      <c r="R66" t="s">
        <v>699</v>
      </c>
    </row>
    <row r="67" spans="1:18" x14ac:dyDescent="0.2">
      <c r="A67">
        <v>66</v>
      </c>
      <c r="B67">
        <v>196</v>
      </c>
      <c r="C67" t="s">
        <v>173</v>
      </c>
      <c r="D67" t="s">
        <v>67</v>
      </c>
      <c r="E67" t="s">
        <v>611</v>
      </c>
      <c r="F67" t="s">
        <v>612</v>
      </c>
      <c r="G67" t="s">
        <v>677</v>
      </c>
      <c r="H67" t="s">
        <v>412</v>
      </c>
      <c r="I67">
        <v>383</v>
      </c>
      <c r="J67">
        <v>34</v>
      </c>
      <c r="K67" t="s">
        <v>414</v>
      </c>
      <c r="L67">
        <v>8202</v>
      </c>
      <c r="M67" t="s">
        <v>355</v>
      </c>
      <c r="N67" t="s">
        <v>436</v>
      </c>
      <c r="O67">
        <v>1</v>
      </c>
      <c r="P67">
        <v>2</v>
      </c>
      <c r="Q67">
        <v>-99</v>
      </c>
      <c r="R67" t="s">
        <v>699</v>
      </c>
    </row>
    <row r="68" spans="1:18" x14ac:dyDescent="0.2">
      <c r="A68">
        <v>67</v>
      </c>
      <c r="B68">
        <v>110</v>
      </c>
      <c r="C68" t="s">
        <v>174</v>
      </c>
      <c r="D68" t="s">
        <v>76</v>
      </c>
      <c r="E68" t="s">
        <v>613</v>
      </c>
      <c r="F68" t="s">
        <v>614</v>
      </c>
      <c r="G68" t="s">
        <v>677</v>
      </c>
      <c r="H68" t="s">
        <v>412</v>
      </c>
      <c r="I68">
        <v>383</v>
      </c>
      <c r="J68">
        <v>34</v>
      </c>
      <c r="K68" t="s">
        <v>414</v>
      </c>
      <c r="L68">
        <v>8203</v>
      </c>
      <c r="M68" t="s">
        <v>339</v>
      </c>
      <c r="N68" t="s">
        <v>83</v>
      </c>
      <c r="O68">
        <v>1</v>
      </c>
      <c r="P68">
        <v>1</v>
      </c>
      <c r="Q68">
        <v>-99</v>
      </c>
      <c r="R68" t="s">
        <v>699</v>
      </c>
    </row>
    <row r="69" spans="1:18" x14ac:dyDescent="0.2">
      <c r="A69">
        <v>68</v>
      </c>
      <c r="B69">
        <v>-99</v>
      </c>
      <c r="C69" t="s">
        <v>174</v>
      </c>
      <c r="D69" t="s">
        <v>76</v>
      </c>
      <c r="E69" t="s">
        <v>615</v>
      </c>
      <c r="F69" t="s">
        <v>616</v>
      </c>
      <c r="G69" t="s">
        <v>677</v>
      </c>
      <c r="H69" t="s">
        <v>412</v>
      </c>
      <c r="I69">
        <v>383</v>
      </c>
      <c r="J69">
        <v>34</v>
      </c>
      <c r="K69" t="s">
        <v>414</v>
      </c>
      <c r="L69">
        <v>8203</v>
      </c>
      <c r="M69" t="s">
        <v>339</v>
      </c>
      <c r="N69" t="s">
        <v>83</v>
      </c>
      <c r="O69">
        <v>-99</v>
      </c>
      <c r="P69">
        <v>1</v>
      </c>
      <c r="Q69">
        <v>-99</v>
      </c>
      <c r="R69" t="s">
        <v>408</v>
      </c>
    </row>
    <row r="70" spans="1:18" x14ac:dyDescent="0.2">
      <c r="A70">
        <v>69</v>
      </c>
      <c r="B70">
        <v>111</v>
      </c>
      <c r="C70" t="s">
        <v>175</v>
      </c>
      <c r="D70" t="s">
        <v>37</v>
      </c>
      <c r="E70" t="s">
        <v>617</v>
      </c>
      <c r="F70" t="s">
        <v>618</v>
      </c>
      <c r="G70" t="s">
        <v>677</v>
      </c>
      <c r="H70" t="s">
        <v>412</v>
      </c>
      <c r="I70">
        <v>383</v>
      </c>
      <c r="J70">
        <v>34</v>
      </c>
      <c r="K70" t="s">
        <v>414</v>
      </c>
      <c r="L70">
        <v>8204</v>
      </c>
      <c r="M70" t="s">
        <v>344</v>
      </c>
      <c r="N70" t="s">
        <v>418</v>
      </c>
      <c r="O70">
        <v>1</v>
      </c>
      <c r="P70">
        <v>2</v>
      </c>
      <c r="Q70">
        <v>-99</v>
      </c>
      <c r="R70" t="s">
        <v>699</v>
      </c>
    </row>
    <row r="71" spans="1:18" x14ac:dyDescent="0.2">
      <c r="A71">
        <v>70</v>
      </c>
      <c r="B71">
        <v>112</v>
      </c>
      <c r="C71" t="s">
        <v>176</v>
      </c>
      <c r="D71" t="s">
        <v>69</v>
      </c>
      <c r="E71" t="s">
        <v>619</v>
      </c>
      <c r="F71" t="s">
        <v>620</v>
      </c>
      <c r="G71" t="s">
        <v>677</v>
      </c>
      <c r="H71" t="s">
        <v>412</v>
      </c>
      <c r="I71">
        <v>383</v>
      </c>
      <c r="J71">
        <v>34</v>
      </c>
      <c r="K71" t="s">
        <v>414</v>
      </c>
      <c r="L71">
        <v>8205</v>
      </c>
      <c r="M71" t="s">
        <v>361</v>
      </c>
      <c r="N71" t="s">
        <v>419</v>
      </c>
      <c r="O71">
        <v>1</v>
      </c>
      <c r="P71">
        <v>2</v>
      </c>
      <c r="Q71">
        <v>-99</v>
      </c>
      <c r="R71" t="s">
        <v>699</v>
      </c>
    </row>
    <row r="72" spans="1:18" x14ac:dyDescent="0.2">
      <c r="A72">
        <v>71</v>
      </c>
      <c r="B72">
        <v>113</v>
      </c>
      <c r="C72" t="s">
        <v>177</v>
      </c>
      <c r="D72" t="s">
        <v>82</v>
      </c>
      <c r="E72" t="s">
        <v>621</v>
      </c>
      <c r="F72" t="s">
        <v>622</v>
      </c>
      <c r="G72" t="s">
        <v>675</v>
      </c>
      <c r="H72" t="s">
        <v>396</v>
      </c>
      <c r="I72">
        <v>382</v>
      </c>
      <c r="J72">
        <v>33</v>
      </c>
      <c r="K72" t="s">
        <v>395</v>
      </c>
      <c r="L72">
        <v>8206</v>
      </c>
      <c r="M72" t="s">
        <v>337</v>
      </c>
      <c r="N72" t="s">
        <v>420</v>
      </c>
      <c r="O72">
        <v>1</v>
      </c>
      <c r="P72">
        <v>2</v>
      </c>
      <c r="Q72">
        <v>-99</v>
      </c>
      <c r="R72" t="s">
        <v>699</v>
      </c>
    </row>
    <row r="73" spans="1:18" x14ac:dyDescent="0.2">
      <c r="A73">
        <v>72</v>
      </c>
      <c r="B73">
        <v>114</v>
      </c>
      <c r="C73" t="s">
        <v>178</v>
      </c>
      <c r="D73" t="s">
        <v>54</v>
      </c>
      <c r="E73" t="s">
        <v>623</v>
      </c>
      <c r="F73" t="s">
        <v>624</v>
      </c>
      <c r="G73" t="s">
        <v>675</v>
      </c>
      <c r="H73" t="s">
        <v>396</v>
      </c>
      <c r="I73">
        <v>382</v>
      </c>
      <c r="J73">
        <v>33</v>
      </c>
      <c r="K73" t="s">
        <v>395</v>
      </c>
      <c r="L73">
        <v>8207</v>
      </c>
      <c r="M73" t="s">
        <v>325</v>
      </c>
      <c r="N73" t="s">
        <v>421</v>
      </c>
      <c r="O73">
        <v>1</v>
      </c>
      <c r="P73">
        <v>2</v>
      </c>
      <c r="Q73">
        <v>-99</v>
      </c>
      <c r="R73" t="s">
        <v>699</v>
      </c>
    </row>
    <row r="74" spans="1:18" x14ac:dyDescent="0.2">
      <c r="A74">
        <v>73</v>
      </c>
      <c r="B74">
        <v>115</v>
      </c>
      <c r="C74" t="s">
        <v>179</v>
      </c>
      <c r="D74" t="s">
        <v>27</v>
      </c>
      <c r="E74" t="s">
        <v>625</v>
      </c>
      <c r="F74" t="s">
        <v>626</v>
      </c>
      <c r="G74" t="s">
        <v>675</v>
      </c>
      <c r="H74" t="s">
        <v>396</v>
      </c>
      <c r="I74">
        <v>382</v>
      </c>
      <c r="J74">
        <v>33</v>
      </c>
      <c r="K74" t="s">
        <v>395</v>
      </c>
      <c r="L74">
        <v>8208</v>
      </c>
      <c r="M74" t="s">
        <v>348</v>
      </c>
      <c r="N74" t="s">
        <v>422</v>
      </c>
      <c r="O74">
        <v>1</v>
      </c>
      <c r="P74">
        <v>2</v>
      </c>
      <c r="Q74">
        <v>-99</v>
      </c>
      <c r="R74" t="s">
        <v>699</v>
      </c>
    </row>
    <row r="75" spans="1:18" x14ac:dyDescent="0.2">
      <c r="A75">
        <v>74</v>
      </c>
      <c r="B75">
        <v>116</v>
      </c>
      <c r="C75" t="s">
        <v>180</v>
      </c>
      <c r="D75" t="s">
        <v>71</v>
      </c>
      <c r="E75" t="s">
        <v>627</v>
      </c>
      <c r="F75" t="s">
        <v>628</v>
      </c>
      <c r="G75" t="s">
        <v>677</v>
      </c>
      <c r="H75" t="s">
        <v>412</v>
      </c>
      <c r="I75">
        <v>383</v>
      </c>
      <c r="J75">
        <v>34</v>
      </c>
      <c r="K75" t="s">
        <v>414</v>
      </c>
      <c r="L75">
        <v>8210</v>
      </c>
      <c r="M75" t="s">
        <v>338</v>
      </c>
      <c r="N75" t="s">
        <v>423</v>
      </c>
      <c r="O75">
        <v>1</v>
      </c>
      <c r="P75">
        <v>2</v>
      </c>
      <c r="Q75">
        <v>-99</v>
      </c>
      <c r="R75" t="s">
        <v>699</v>
      </c>
    </row>
    <row r="76" spans="1:18" x14ac:dyDescent="0.2">
      <c r="A76">
        <v>75</v>
      </c>
      <c r="B76">
        <v>197</v>
      </c>
      <c r="C76" t="s">
        <v>181</v>
      </c>
      <c r="D76" t="s">
        <v>75</v>
      </c>
      <c r="E76" t="s">
        <v>629</v>
      </c>
      <c r="F76" t="s">
        <v>630</v>
      </c>
      <c r="G76" t="s">
        <v>674</v>
      </c>
      <c r="H76" t="s">
        <v>387</v>
      </c>
      <c r="I76">
        <v>381</v>
      </c>
      <c r="J76">
        <v>31</v>
      </c>
      <c r="K76" t="s">
        <v>390</v>
      </c>
      <c r="L76">
        <v>8211</v>
      </c>
      <c r="M76" t="s">
        <v>341</v>
      </c>
      <c r="N76" t="s">
        <v>437</v>
      </c>
      <c r="O76">
        <v>1</v>
      </c>
      <c r="P76">
        <v>2</v>
      </c>
      <c r="Q76">
        <v>-99</v>
      </c>
      <c r="R76" t="s">
        <v>699</v>
      </c>
    </row>
    <row r="77" spans="1:18" x14ac:dyDescent="0.2">
      <c r="A77">
        <v>76</v>
      </c>
      <c r="B77">
        <v>119</v>
      </c>
      <c r="C77" t="s">
        <v>182</v>
      </c>
      <c r="D77" t="s">
        <v>58</v>
      </c>
      <c r="E77" t="s">
        <v>631</v>
      </c>
      <c r="F77" t="s">
        <v>632</v>
      </c>
      <c r="G77" t="s">
        <v>677</v>
      </c>
      <c r="H77" t="s">
        <v>412</v>
      </c>
      <c r="I77">
        <v>383</v>
      </c>
      <c r="J77">
        <v>34</v>
      </c>
      <c r="K77" t="s">
        <v>414</v>
      </c>
      <c r="L77">
        <v>8223</v>
      </c>
      <c r="M77" t="s">
        <v>633</v>
      </c>
      <c r="N77" t="s">
        <v>634</v>
      </c>
      <c r="O77">
        <v>1</v>
      </c>
      <c r="P77">
        <v>2</v>
      </c>
      <c r="Q77">
        <v>-99</v>
      </c>
      <c r="R77" t="s">
        <v>699</v>
      </c>
    </row>
    <row r="78" spans="1:18" x14ac:dyDescent="0.2">
      <c r="A78">
        <v>77</v>
      </c>
      <c r="B78">
        <v>131</v>
      </c>
      <c r="C78" t="s">
        <v>183</v>
      </c>
      <c r="D78" t="s">
        <v>49</v>
      </c>
      <c r="E78" t="s">
        <v>635</v>
      </c>
      <c r="F78" t="s">
        <v>636</v>
      </c>
      <c r="G78" t="s">
        <v>675</v>
      </c>
      <c r="H78" t="s">
        <v>396</v>
      </c>
      <c r="I78">
        <v>382</v>
      </c>
      <c r="J78">
        <v>33</v>
      </c>
      <c r="K78" t="s">
        <v>395</v>
      </c>
      <c r="L78">
        <v>8226</v>
      </c>
      <c r="M78" t="s">
        <v>337</v>
      </c>
      <c r="N78" t="s">
        <v>420</v>
      </c>
      <c r="O78">
        <v>1</v>
      </c>
      <c r="P78">
        <v>2</v>
      </c>
      <c r="Q78">
        <v>-99</v>
      </c>
      <c r="R78" t="s">
        <v>699</v>
      </c>
    </row>
    <row r="79" spans="1:18" x14ac:dyDescent="0.2">
      <c r="A79">
        <v>78</v>
      </c>
      <c r="B79">
        <v>132</v>
      </c>
      <c r="C79" t="s">
        <v>686</v>
      </c>
      <c r="D79" t="s">
        <v>440</v>
      </c>
      <c r="E79" t="s">
        <v>637</v>
      </c>
      <c r="F79" t="s">
        <v>687</v>
      </c>
      <c r="G79" t="s">
        <v>674</v>
      </c>
      <c r="H79" t="s">
        <v>387</v>
      </c>
      <c r="I79">
        <v>381</v>
      </c>
      <c r="J79">
        <v>30</v>
      </c>
      <c r="K79" t="s">
        <v>379</v>
      </c>
      <c r="L79">
        <v>8229</v>
      </c>
      <c r="M79" t="s">
        <v>356</v>
      </c>
      <c r="N79" t="s">
        <v>424</v>
      </c>
      <c r="O79">
        <v>1</v>
      </c>
      <c r="P79">
        <v>2</v>
      </c>
      <c r="Q79">
        <v>-99</v>
      </c>
      <c r="R79" t="s">
        <v>699</v>
      </c>
    </row>
    <row r="80" spans="1:18" x14ac:dyDescent="0.2">
      <c r="A80">
        <v>79</v>
      </c>
      <c r="B80">
        <v>143</v>
      </c>
      <c r="C80" t="s">
        <v>184</v>
      </c>
      <c r="D80" t="s">
        <v>57</v>
      </c>
      <c r="E80" t="s">
        <v>638</v>
      </c>
      <c r="F80" t="s">
        <v>639</v>
      </c>
      <c r="G80" t="s">
        <v>673</v>
      </c>
      <c r="H80" t="s">
        <v>380</v>
      </c>
      <c r="I80">
        <v>380</v>
      </c>
      <c r="J80">
        <v>30</v>
      </c>
      <c r="K80" t="s">
        <v>379</v>
      </c>
      <c r="L80">
        <v>8230</v>
      </c>
      <c r="M80" t="s">
        <v>369</v>
      </c>
      <c r="N80" t="s">
        <v>425</v>
      </c>
      <c r="O80">
        <v>1</v>
      </c>
      <c r="P80">
        <v>2</v>
      </c>
      <c r="Q80">
        <v>-99</v>
      </c>
      <c r="R80" t="s">
        <v>699</v>
      </c>
    </row>
    <row r="81" spans="1:18" x14ac:dyDescent="0.2">
      <c r="A81">
        <v>80</v>
      </c>
      <c r="B81">
        <v>144</v>
      </c>
      <c r="C81" t="s">
        <v>688</v>
      </c>
      <c r="D81" t="s">
        <v>499</v>
      </c>
      <c r="E81" t="s">
        <v>688</v>
      </c>
      <c r="F81" t="s">
        <v>499</v>
      </c>
      <c r="G81" t="s">
        <v>685</v>
      </c>
      <c r="H81" t="s">
        <v>8</v>
      </c>
      <c r="I81">
        <v>-99</v>
      </c>
      <c r="J81">
        <v>35</v>
      </c>
      <c r="K81" t="s">
        <v>8</v>
      </c>
      <c r="L81">
        <v>8215</v>
      </c>
      <c r="M81" t="s">
        <v>349</v>
      </c>
      <c r="N81" t="s">
        <v>407</v>
      </c>
      <c r="O81">
        <v>1</v>
      </c>
      <c r="P81">
        <v>2</v>
      </c>
      <c r="Q81">
        <v>-99</v>
      </c>
      <c r="R81" t="s">
        <v>671</v>
      </c>
    </row>
    <row r="82" spans="1:18" x14ac:dyDescent="0.2">
      <c r="A82">
        <v>81</v>
      </c>
      <c r="B82">
        <v>145</v>
      </c>
      <c r="C82" t="s">
        <v>185</v>
      </c>
      <c r="D82" t="s">
        <v>74</v>
      </c>
      <c r="E82" t="s">
        <v>640</v>
      </c>
      <c r="F82" t="s">
        <v>641</v>
      </c>
      <c r="G82" t="s">
        <v>677</v>
      </c>
      <c r="H82" t="s">
        <v>412</v>
      </c>
      <c r="I82">
        <v>383</v>
      </c>
      <c r="J82">
        <v>34</v>
      </c>
      <c r="K82" t="s">
        <v>414</v>
      </c>
      <c r="L82">
        <v>8231</v>
      </c>
      <c r="M82" t="s">
        <v>342</v>
      </c>
      <c r="N82" t="s">
        <v>417</v>
      </c>
      <c r="O82">
        <v>1</v>
      </c>
      <c r="P82">
        <v>1</v>
      </c>
      <c r="Q82">
        <v>-99</v>
      </c>
      <c r="R82" t="s">
        <v>699</v>
      </c>
    </row>
    <row r="83" spans="1:18" x14ac:dyDescent="0.2">
      <c r="A83">
        <v>82</v>
      </c>
      <c r="B83">
        <v>-99</v>
      </c>
      <c r="C83" t="s">
        <v>185</v>
      </c>
      <c r="D83" t="s">
        <v>74</v>
      </c>
      <c r="E83" t="s">
        <v>642</v>
      </c>
      <c r="F83" t="s">
        <v>978</v>
      </c>
      <c r="G83" t="s">
        <v>677</v>
      </c>
      <c r="H83" t="s">
        <v>412</v>
      </c>
      <c r="I83">
        <v>383</v>
      </c>
      <c r="J83">
        <v>34</v>
      </c>
      <c r="K83" t="s">
        <v>414</v>
      </c>
      <c r="L83">
        <v>8231</v>
      </c>
      <c r="M83" t="s">
        <v>342</v>
      </c>
      <c r="N83" t="s">
        <v>417</v>
      </c>
      <c r="O83">
        <v>-99</v>
      </c>
      <c r="P83">
        <v>1</v>
      </c>
      <c r="Q83">
        <v>-99</v>
      </c>
      <c r="R83" t="s">
        <v>697</v>
      </c>
    </row>
    <row r="84" spans="1:18" x14ac:dyDescent="0.2">
      <c r="A84">
        <v>83</v>
      </c>
      <c r="B84">
        <v>151</v>
      </c>
      <c r="C84" t="s">
        <v>689</v>
      </c>
      <c r="D84" t="s">
        <v>8</v>
      </c>
      <c r="E84" t="s">
        <v>689</v>
      </c>
      <c r="F84" t="s">
        <v>500</v>
      </c>
      <c r="G84" t="s">
        <v>685</v>
      </c>
      <c r="H84" t="s">
        <v>8</v>
      </c>
      <c r="I84">
        <v>380</v>
      </c>
      <c r="J84">
        <v>35</v>
      </c>
      <c r="K84" t="s">
        <v>8</v>
      </c>
      <c r="L84">
        <v>3180155</v>
      </c>
      <c r="M84" t="s">
        <v>356</v>
      </c>
      <c r="N84" t="s">
        <v>424</v>
      </c>
      <c r="O84">
        <v>1</v>
      </c>
      <c r="P84">
        <v>2</v>
      </c>
      <c r="Q84">
        <v>-99</v>
      </c>
      <c r="R84" t="s">
        <v>671</v>
      </c>
    </row>
    <row r="85" spans="1:18" x14ac:dyDescent="0.2">
      <c r="A85">
        <v>84</v>
      </c>
      <c r="B85">
        <v>152</v>
      </c>
      <c r="C85" t="s">
        <v>186</v>
      </c>
      <c r="D85" t="s">
        <v>81</v>
      </c>
      <c r="E85" t="s">
        <v>643</v>
      </c>
      <c r="F85" t="s">
        <v>644</v>
      </c>
      <c r="G85" t="s">
        <v>673</v>
      </c>
      <c r="H85" t="s">
        <v>380</v>
      </c>
      <c r="I85">
        <v>380</v>
      </c>
      <c r="J85">
        <v>30</v>
      </c>
      <c r="K85" t="s">
        <v>379</v>
      </c>
      <c r="L85">
        <v>8234</v>
      </c>
      <c r="M85" t="s">
        <v>362</v>
      </c>
      <c r="N85" t="s">
        <v>426</v>
      </c>
      <c r="O85">
        <v>1</v>
      </c>
      <c r="P85">
        <v>2</v>
      </c>
      <c r="Q85">
        <v>-99</v>
      </c>
      <c r="R85" t="s">
        <v>699</v>
      </c>
    </row>
    <row r="86" spans="1:18" x14ac:dyDescent="0.2">
      <c r="A86">
        <v>85</v>
      </c>
      <c r="B86">
        <v>153</v>
      </c>
      <c r="C86" t="s">
        <v>92</v>
      </c>
      <c r="D86" t="s">
        <v>141</v>
      </c>
      <c r="E86" t="s">
        <v>645</v>
      </c>
      <c r="F86" t="s">
        <v>646</v>
      </c>
      <c r="G86" t="s">
        <v>673</v>
      </c>
      <c r="H86" t="s">
        <v>380</v>
      </c>
      <c r="I86">
        <v>380</v>
      </c>
      <c r="J86">
        <v>30</v>
      </c>
      <c r="K86" t="s">
        <v>379</v>
      </c>
      <c r="L86">
        <v>8236</v>
      </c>
      <c r="M86" t="s">
        <v>375</v>
      </c>
      <c r="N86" t="s">
        <v>427</v>
      </c>
      <c r="O86">
        <v>1</v>
      </c>
      <c r="P86">
        <v>2</v>
      </c>
      <c r="Q86">
        <v>-99</v>
      </c>
      <c r="R86" t="s">
        <v>699</v>
      </c>
    </row>
    <row r="87" spans="1:18" x14ac:dyDescent="0.2">
      <c r="A87">
        <v>86</v>
      </c>
      <c r="B87">
        <v>154</v>
      </c>
      <c r="C87" t="s">
        <v>188</v>
      </c>
      <c r="D87" t="s">
        <v>187</v>
      </c>
      <c r="E87" t="s">
        <v>647</v>
      </c>
      <c r="F87" t="s">
        <v>648</v>
      </c>
      <c r="G87" t="s">
        <v>677</v>
      </c>
      <c r="H87" t="s">
        <v>412</v>
      </c>
      <c r="I87">
        <v>383</v>
      </c>
      <c r="J87">
        <v>33</v>
      </c>
      <c r="K87" t="s">
        <v>395</v>
      </c>
      <c r="L87">
        <v>8265</v>
      </c>
      <c r="M87" t="s">
        <v>368</v>
      </c>
      <c r="N87" t="s">
        <v>428</v>
      </c>
      <c r="O87">
        <v>1</v>
      </c>
      <c r="P87">
        <v>2</v>
      </c>
      <c r="Q87">
        <v>-99</v>
      </c>
      <c r="R87" t="s">
        <v>699</v>
      </c>
    </row>
    <row r="88" spans="1:18" x14ac:dyDescent="0.2">
      <c r="A88">
        <v>87</v>
      </c>
      <c r="B88">
        <v>155</v>
      </c>
      <c r="C88" t="s">
        <v>189</v>
      </c>
      <c r="D88" t="s">
        <v>46</v>
      </c>
      <c r="E88" t="s">
        <v>649</v>
      </c>
      <c r="F88" t="s">
        <v>650</v>
      </c>
      <c r="G88" t="s">
        <v>675</v>
      </c>
      <c r="H88" t="s">
        <v>396</v>
      </c>
      <c r="I88">
        <v>382</v>
      </c>
      <c r="J88">
        <v>32</v>
      </c>
      <c r="K88" t="s">
        <v>400</v>
      </c>
      <c r="L88">
        <v>8266</v>
      </c>
      <c r="M88" t="s">
        <v>333</v>
      </c>
      <c r="N88" t="s">
        <v>429</v>
      </c>
      <c r="O88">
        <v>1</v>
      </c>
      <c r="P88">
        <v>2</v>
      </c>
      <c r="Q88">
        <v>-99</v>
      </c>
      <c r="R88" t="s">
        <v>699</v>
      </c>
    </row>
    <row r="89" spans="1:18" x14ac:dyDescent="0.2">
      <c r="A89">
        <v>88</v>
      </c>
      <c r="B89">
        <v>156</v>
      </c>
      <c r="C89" t="s">
        <v>190</v>
      </c>
      <c r="D89" t="s">
        <v>77</v>
      </c>
      <c r="E89" t="s">
        <v>651</v>
      </c>
      <c r="F89" t="s">
        <v>652</v>
      </c>
      <c r="G89" t="s">
        <v>675</v>
      </c>
      <c r="H89" t="s">
        <v>396</v>
      </c>
      <c r="I89">
        <v>382</v>
      </c>
      <c r="J89">
        <v>32</v>
      </c>
      <c r="K89" t="s">
        <v>400</v>
      </c>
      <c r="L89">
        <v>8267</v>
      </c>
      <c r="M89" t="s">
        <v>351</v>
      </c>
      <c r="N89" t="s">
        <v>430</v>
      </c>
      <c r="O89">
        <v>1</v>
      </c>
      <c r="P89">
        <v>2</v>
      </c>
      <c r="Q89">
        <v>-99</v>
      </c>
      <c r="R89" t="s">
        <v>699</v>
      </c>
    </row>
    <row r="90" spans="1:18" x14ac:dyDescent="0.2">
      <c r="A90">
        <v>89</v>
      </c>
      <c r="B90">
        <v>157</v>
      </c>
      <c r="C90" t="s">
        <v>690</v>
      </c>
      <c r="D90" t="s">
        <v>39</v>
      </c>
      <c r="E90" t="s">
        <v>653</v>
      </c>
      <c r="F90" t="s">
        <v>654</v>
      </c>
      <c r="G90" t="s">
        <v>677</v>
      </c>
      <c r="H90" t="s">
        <v>412</v>
      </c>
      <c r="I90">
        <v>383</v>
      </c>
      <c r="J90">
        <v>33</v>
      </c>
      <c r="K90" t="s">
        <v>395</v>
      </c>
      <c r="L90">
        <v>8271</v>
      </c>
      <c r="M90" t="s">
        <v>329</v>
      </c>
      <c r="N90" t="s">
        <v>431</v>
      </c>
      <c r="O90">
        <v>1</v>
      </c>
      <c r="P90">
        <v>2</v>
      </c>
      <c r="Q90">
        <v>-99</v>
      </c>
      <c r="R90" t="s">
        <v>699</v>
      </c>
    </row>
    <row r="91" spans="1:18" x14ac:dyDescent="0.2">
      <c r="A91">
        <v>90</v>
      </c>
      <c r="B91">
        <v>158</v>
      </c>
      <c r="C91" t="s">
        <v>191</v>
      </c>
      <c r="D91" t="s">
        <v>84</v>
      </c>
      <c r="E91" t="s">
        <v>655</v>
      </c>
      <c r="F91" t="s">
        <v>656</v>
      </c>
      <c r="G91" t="s">
        <v>675</v>
      </c>
      <c r="H91" t="s">
        <v>396</v>
      </c>
      <c r="I91">
        <v>382</v>
      </c>
      <c r="J91">
        <v>32</v>
      </c>
      <c r="K91" t="s">
        <v>400</v>
      </c>
      <c r="L91">
        <v>8209</v>
      </c>
      <c r="M91" t="s">
        <v>374</v>
      </c>
      <c r="N91" t="s">
        <v>432</v>
      </c>
      <c r="O91">
        <v>1</v>
      </c>
      <c r="P91">
        <v>2</v>
      </c>
      <c r="Q91">
        <v>-99</v>
      </c>
      <c r="R91" t="s">
        <v>699</v>
      </c>
    </row>
    <row r="92" spans="1:18" x14ac:dyDescent="0.2">
      <c r="A92">
        <v>91</v>
      </c>
      <c r="B92">
        <v>198</v>
      </c>
      <c r="C92" t="s">
        <v>192</v>
      </c>
      <c r="D92" t="s">
        <v>48</v>
      </c>
      <c r="E92" t="s">
        <v>657</v>
      </c>
      <c r="F92" t="s">
        <v>658</v>
      </c>
      <c r="G92" t="s">
        <v>677</v>
      </c>
      <c r="H92" t="s">
        <v>412</v>
      </c>
      <c r="I92">
        <v>383</v>
      </c>
      <c r="J92">
        <v>34</v>
      </c>
      <c r="K92" t="s">
        <v>414</v>
      </c>
      <c r="L92">
        <v>8224</v>
      </c>
      <c r="M92" t="s">
        <v>371</v>
      </c>
      <c r="N92" t="s">
        <v>438</v>
      </c>
      <c r="O92">
        <v>1</v>
      </c>
      <c r="P92">
        <v>2</v>
      </c>
      <c r="Q92">
        <v>-99</v>
      </c>
      <c r="R92" t="s">
        <v>699</v>
      </c>
    </row>
    <row r="93" spans="1:18" x14ac:dyDescent="0.2">
      <c r="A93">
        <v>92</v>
      </c>
      <c r="B93">
        <v>161</v>
      </c>
      <c r="C93" t="s">
        <v>193</v>
      </c>
      <c r="D93" t="s">
        <v>85</v>
      </c>
      <c r="E93" t="s">
        <v>659</v>
      </c>
      <c r="F93" t="s">
        <v>660</v>
      </c>
      <c r="G93" t="s">
        <v>673</v>
      </c>
      <c r="H93" t="s">
        <v>380</v>
      </c>
      <c r="I93">
        <v>380</v>
      </c>
      <c r="J93">
        <v>30</v>
      </c>
      <c r="K93" t="s">
        <v>379</v>
      </c>
      <c r="L93">
        <v>8225</v>
      </c>
      <c r="M93" t="s">
        <v>334</v>
      </c>
      <c r="N93" t="s">
        <v>433</v>
      </c>
      <c r="O93">
        <v>1</v>
      </c>
      <c r="P93">
        <v>2</v>
      </c>
      <c r="Q93">
        <v>-99</v>
      </c>
      <c r="R93" t="s">
        <v>699</v>
      </c>
    </row>
    <row r="94" spans="1:18" x14ac:dyDescent="0.2">
      <c r="A94">
        <v>93</v>
      </c>
      <c r="B94">
        <v>162</v>
      </c>
      <c r="C94" t="s">
        <v>194</v>
      </c>
      <c r="D94" t="s">
        <v>35</v>
      </c>
      <c r="E94" t="s">
        <v>661</v>
      </c>
      <c r="F94" t="s">
        <v>662</v>
      </c>
      <c r="G94" t="s">
        <v>677</v>
      </c>
      <c r="H94" t="s">
        <v>412</v>
      </c>
      <c r="I94">
        <v>383</v>
      </c>
      <c r="J94">
        <v>34</v>
      </c>
      <c r="K94" t="s">
        <v>414</v>
      </c>
      <c r="L94">
        <v>8227</v>
      </c>
      <c r="M94" t="s">
        <v>487</v>
      </c>
      <c r="N94" t="s">
        <v>434</v>
      </c>
      <c r="O94">
        <v>1</v>
      </c>
      <c r="P94">
        <v>2</v>
      </c>
      <c r="Q94">
        <v>-99</v>
      </c>
      <c r="R94" t="s">
        <v>699</v>
      </c>
    </row>
    <row r="95" spans="1:18" x14ac:dyDescent="0.2">
      <c r="A95">
        <v>94</v>
      </c>
      <c r="B95">
        <v>-99</v>
      </c>
      <c r="C95" t="s">
        <v>691</v>
      </c>
      <c r="D95" t="s">
        <v>8</v>
      </c>
      <c r="E95" t="s">
        <v>692</v>
      </c>
      <c r="F95" t="s">
        <v>232</v>
      </c>
      <c r="G95" t="s">
        <v>671</v>
      </c>
      <c r="H95" t="s">
        <v>8</v>
      </c>
      <c r="I95">
        <v>-99</v>
      </c>
      <c r="J95">
        <v>-99</v>
      </c>
      <c r="K95" t="s">
        <v>8</v>
      </c>
      <c r="L95">
        <v>-99</v>
      </c>
      <c r="M95" t="s">
        <v>671</v>
      </c>
      <c r="N95" t="s">
        <v>671</v>
      </c>
      <c r="O95">
        <v>-99</v>
      </c>
      <c r="P95">
        <v>-99</v>
      </c>
      <c r="Q95">
        <v>-99</v>
      </c>
      <c r="R95" t="s">
        <v>216</v>
      </c>
    </row>
    <row r="96" spans="1:18" x14ac:dyDescent="0.2">
      <c r="A96">
        <v>95</v>
      </c>
      <c r="B96">
        <v>-99</v>
      </c>
      <c r="C96" t="s">
        <v>691</v>
      </c>
      <c r="D96" t="s">
        <v>8</v>
      </c>
      <c r="E96" t="s">
        <v>693</v>
      </c>
      <c r="F96" t="s">
        <v>317</v>
      </c>
      <c r="G96" t="s">
        <v>671</v>
      </c>
      <c r="H96" t="s">
        <v>8</v>
      </c>
      <c r="I96">
        <v>-99</v>
      </c>
      <c r="J96">
        <v>-99</v>
      </c>
      <c r="K96" t="s">
        <v>8</v>
      </c>
      <c r="L96">
        <v>-99</v>
      </c>
      <c r="M96" t="s">
        <v>671</v>
      </c>
      <c r="N96" t="s">
        <v>671</v>
      </c>
      <c r="O96">
        <v>-99</v>
      </c>
      <c r="P96">
        <v>-99</v>
      </c>
      <c r="Q96">
        <v>-99</v>
      </c>
      <c r="R96" t="s">
        <v>696</v>
      </c>
    </row>
    <row r="97" spans="1:18" x14ac:dyDescent="0.2">
      <c r="A97">
        <v>96</v>
      </c>
      <c r="B97">
        <v>-99</v>
      </c>
      <c r="C97" t="s">
        <v>691</v>
      </c>
      <c r="D97" t="s">
        <v>8</v>
      </c>
      <c r="E97" t="s">
        <v>694</v>
      </c>
      <c r="F97" t="s">
        <v>316</v>
      </c>
      <c r="G97" t="s">
        <v>671</v>
      </c>
      <c r="H97" t="s">
        <v>8</v>
      </c>
      <c r="I97">
        <v>-99</v>
      </c>
      <c r="J97">
        <v>-99</v>
      </c>
      <c r="K97" t="s">
        <v>8</v>
      </c>
      <c r="L97">
        <v>-99</v>
      </c>
      <c r="M97" t="s">
        <v>671</v>
      </c>
      <c r="N97" t="s">
        <v>671</v>
      </c>
      <c r="O97">
        <v>-99</v>
      </c>
      <c r="P97">
        <v>-99</v>
      </c>
      <c r="Q97">
        <v>-99</v>
      </c>
      <c r="R97" t="s">
        <v>697</v>
      </c>
    </row>
    <row r="98" spans="1:18" x14ac:dyDescent="0.2">
      <c r="A98">
        <v>97</v>
      </c>
      <c r="B98">
        <v>-99</v>
      </c>
      <c r="C98" t="s">
        <v>691</v>
      </c>
      <c r="D98" t="s">
        <v>8</v>
      </c>
      <c r="E98" t="s">
        <v>691</v>
      </c>
      <c r="F98" t="s">
        <v>8</v>
      </c>
      <c r="G98" t="s">
        <v>671</v>
      </c>
      <c r="H98" t="s">
        <v>8</v>
      </c>
      <c r="I98">
        <v>-99</v>
      </c>
      <c r="J98">
        <v>-99</v>
      </c>
      <c r="K98" t="s">
        <v>8</v>
      </c>
      <c r="L98">
        <v>-99</v>
      </c>
      <c r="M98" t="s">
        <v>671</v>
      </c>
      <c r="N98" t="s">
        <v>671</v>
      </c>
      <c r="O98">
        <v>-99</v>
      </c>
      <c r="P98">
        <v>-99</v>
      </c>
      <c r="Q98">
        <v>-99</v>
      </c>
      <c r="R98" t="s">
        <v>671</v>
      </c>
    </row>
    <row r="99" spans="1:18" x14ac:dyDescent="0.2">
      <c r="A99">
        <v>98</v>
      </c>
      <c r="B99">
        <v>-99</v>
      </c>
      <c r="C99" t="s">
        <v>691</v>
      </c>
      <c r="D99" t="s">
        <v>8</v>
      </c>
      <c r="E99" t="s">
        <v>702</v>
      </c>
      <c r="F99" t="s">
        <v>703</v>
      </c>
      <c r="G99" t="s">
        <v>671</v>
      </c>
      <c r="H99" t="s">
        <v>8</v>
      </c>
      <c r="I99">
        <v>-99</v>
      </c>
      <c r="J99">
        <v>-99</v>
      </c>
      <c r="K99" t="s">
        <v>8</v>
      </c>
      <c r="L99">
        <v>-99</v>
      </c>
      <c r="M99" t="s">
        <v>671</v>
      </c>
      <c r="N99" t="s">
        <v>671</v>
      </c>
      <c r="O99">
        <v>-99</v>
      </c>
      <c r="P99">
        <v>-99</v>
      </c>
      <c r="Q99">
        <v>-99</v>
      </c>
      <c r="R99" t="s">
        <v>699</v>
      </c>
    </row>
    <row r="100" spans="1:18" x14ac:dyDescent="0.2">
      <c r="A100">
        <v>99</v>
      </c>
      <c r="B100">
        <v>250</v>
      </c>
      <c r="C100" t="s">
        <v>671</v>
      </c>
      <c r="D100" t="s">
        <v>35</v>
      </c>
      <c r="E100" t="s">
        <v>738</v>
      </c>
      <c r="F100" t="s">
        <v>704</v>
      </c>
      <c r="G100" t="s">
        <v>671</v>
      </c>
      <c r="H100" t="s">
        <v>412</v>
      </c>
      <c r="I100">
        <v>-99</v>
      </c>
      <c r="J100">
        <v>-99</v>
      </c>
      <c r="K100" t="s">
        <v>414</v>
      </c>
      <c r="L100">
        <v>-99</v>
      </c>
      <c r="M100" t="s">
        <v>671</v>
      </c>
      <c r="N100" t="s">
        <v>671</v>
      </c>
      <c r="O100">
        <v>-99</v>
      </c>
      <c r="P100">
        <v>-99</v>
      </c>
      <c r="Q100">
        <v>-99</v>
      </c>
      <c r="R100" t="s">
        <v>705</v>
      </c>
    </row>
    <row r="101" spans="1:18" x14ac:dyDescent="0.2">
      <c r="A101">
        <v>100</v>
      </c>
      <c r="B101">
        <v>256</v>
      </c>
      <c r="C101" t="s">
        <v>671</v>
      </c>
      <c r="D101" t="s">
        <v>220</v>
      </c>
      <c r="E101" t="s">
        <v>739</v>
      </c>
      <c r="F101" t="s">
        <v>706</v>
      </c>
      <c r="G101" t="s">
        <v>671</v>
      </c>
      <c r="H101" t="s">
        <v>396</v>
      </c>
      <c r="I101">
        <v>-99</v>
      </c>
      <c r="J101">
        <v>-99</v>
      </c>
      <c r="K101" t="s">
        <v>400</v>
      </c>
      <c r="L101">
        <v>-99</v>
      </c>
      <c r="M101" t="s">
        <v>671</v>
      </c>
      <c r="N101" t="s">
        <v>671</v>
      </c>
      <c r="O101">
        <v>-99</v>
      </c>
      <c r="P101">
        <v>-99</v>
      </c>
      <c r="Q101">
        <v>-99</v>
      </c>
      <c r="R101" t="s">
        <v>705</v>
      </c>
    </row>
    <row r="102" spans="1:18" x14ac:dyDescent="0.2">
      <c r="A102">
        <v>101</v>
      </c>
      <c r="B102">
        <v>257</v>
      </c>
      <c r="C102" t="s">
        <v>671</v>
      </c>
      <c r="D102" t="s">
        <v>217</v>
      </c>
      <c r="E102" t="s">
        <v>740</v>
      </c>
      <c r="F102" t="s">
        <v>707</v>
      </c>
      <c r="G102" t="s">
        <v>671</v>
      </c>
      <c r="H102" t="s">
        <v>396</v>
      </c>
      <c r="I102">
        <v>-99</v>
      </c>
      <c r="J102">
        <v>-99</v>
      </c>
      <c r="K102" t="s">
        <v>400</v>
      </c>
      <c r="L102">
        <v>-99</v>
      </c>
      <c r="M102" t="s">
        <v>671</v>
      </c>
      <c r="N102" t="s">
        <v>671</v>
      </c>
      <c r="O102">
        <v>-99</v>
      </c>
      <c r="P102">
        <v>-99</v>
      </c>
      <c r="Q102">
        <v>-99</v>
      </c>
      <c r="R102" t="s">
        <v>705</v>
      </c>
    </row>
    <row r="103" spans="1:18" x14ac:dyDescent="0.2">
      <c r="A103">
        <v>102</v>
      </c>
      <c r="B103">
        <v>258</v>
      </c>
      <c r="C103" t="s">
        <v>671</v>
      </c>
      <c r="D103" t="s">
        <v>218</v>
      </c>
      <c r="E103" t="s">
        <v>741</v>
      </c>
      <c r="F103" t="s">
        <v>708</v>
      </c>
      <c r="G103" t="s">
        <v>671</v>
      </c>
      <c r="H103" t="s">
        <v>380</v>
      </c>
      <c r="I103">
        <v>-99</v>
      </c>
      <c r="J103">
        <v>-99</v>
      </c>
      <c r="K103" t="s">
        <v>379</v>
      </c>
      <c r="L103">
        <v>-99</v>
      </c>
      <c r="M103" t="s">
        <v>671</v>
      </c>
      <c r="N103" t="s">
        <v>671</v>
      </c>
      <c r="O103">
        <v>-99</v>
      </c>
      <c r="P103">
        <v>-99</v>
      </c>
      <c r="Q103">
        <v>-99</v>
      </c>
      <c r="R103" t="s">
        <v>705</v>
      </c>
    </row>
    <row r="104" spans="1:18" x14ac:dyDescent="0.2">
      <c r="A104">
        <v>103</v>
      </c>
      <c r="B104">
        <v>259</v>
      </c>
      <c r="C104" t="s">
        <v>671</v>
      </c>
      <c r="D104" t="s">
        <v>141</v>
      </c>
      <c r="E104" t="s">
        <v>742</v>
      </c>
      <c r="F104" t="s">
        <v>709</v>
      </c>
      <c r="G104" t="s">
        <v>671</v>
      </c>
      <c r="H104" t="s">
        <v>380</v>
      </c>
      <c r="I104">
        <v>-99</v>
      </c>
      <c r="J104">
        <v>-99</v>
      </c>
      <c r="K104" t="s">
        <v>379</v>
      </c>
      <c r="L104">
        <v>-99</v>
      </c>
      <c r="M104" t="s">
        <v>671</v>
      </c>
      <c r="N104" t="s">
        <v>671</v>
      </c>
      <c r="O104">
        <v>-99</v>
      </c>
      <c r="P104">
        <v>-99</v>
      </c>
      <c r="Q104">
        <v>-99</v>
      </c>
      <c r="R104" t="s">
        <v>705</v>
      </c>
    </row>
    <row r="105" spans="1:18" x14ac:dyDescent="0.2">
      <c r="A105">
        <v>104</v>
      </c>
      <c r="B105">
        <v>260</v>
      </c>
      <c r="C105" t="s">
        <v>671</v>
      </c>
      <c r="D105" t="s">
        <v>49</v>
      </c>
      <c r="E105" t="s">
        <v>743</v>
      </c>
      <c r="F105" t="s">
        <v>710</v>
      </c>
      <c r="G105" t="s">
        <v>671</v>
      </c>
      <c r="H105" t="s">
        <v>396</v>
      </c>
      <c r="I105">
        <v>-99</v>
      </c>
      <c r="J105">
        <v>-99</v>
      </c>
      <c r="K105" t="s">
        <v>395</v>
      </c>
      <c r="L105">
        <v>-99</v>
      </c>
      <c r="M105" t="s">
        <v>671</v>
      </c>
      <c r="N105" t="s">
        <v>671</v>
      </c>
      <c r="O105">
        <v>-99</v>
      </c>
      <c r="P105">
        <v>-99</v>
      </c>
      <c r="Q105">
        <v>-99</v>
      </c>
      <c r="R105" t="s">
        <v>705</v>
      </c>
    </row>
    <row r="106" spans="1:18" x14ac:dyDescent="0.2">
      <c r="A106">
        <v>105</v>
      </c>
      <c r="B106">
        <v>261</v>
      </c>
      <c r="C106" t="s">
        <v>671</v>
      </c>
      <c r="D106" t="s">
        <v>68</v>
      </c>
      <c r="E106" t="s">
        <v>744</v>
      </c>
      <c r="F106" t="s">
        <v>711</v>
      </c>
      <c r="G106" t="s">
        <v>671</v>
      </c>
      <c r="H106" t="s">
        <v>380</v>
      </c>
      <c r="I106">
        <v>-99</v>
      </c>
      <c r="J106">
        <v>-99</v>
      </c>
      <c r="K106" t="s">
        <v>379</v>
      </c>
      <c r="L106">
        <v>-99</v>
      </c>
      <c r="M106" t="s">
        <v>671</v>
      </c>
      <c r="N106" t="s">
        <v>671</v>
      </c>
      <c r="O106">
        <v>-99</v>
      </c>
      <c r="P106">
        <v>-99</v>
      </c>
      <c r="Q106">
        <v>-99</v>
      </c>
      <c r="R106" t="s">
        <v>705</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customWidth="1"/>
    <col min="3" max="3" width="17.42578125" customWidth="1"/>
    <col min="4" max="4" width="8" customWidth="1"/>
    <col min="5" max="5" width="12.28515625" customWidth="1"/>
  </cols>
  <sheetData>
    <row r="1" spans="1:5" x14ac:dyDescent="0.2">
      <c r="A1" t="s">
        <v>473</v>
      </c>
      <c r="B1" t="s">
        <v>467</v>
      </c>
      <c r="C1" t="s">
        <v>474</v>
      </c>
      <c r="D1" t="s">
        <v>475</v>
      </c>
      <c r="E1" t="s">
        <v>502</v>
      </c>
    </row>
    <row r="2" spans="1:5" x14ac:dyDescent="0.2">
      <c r="A2" t="s">
        <v>335</v>
      </c>
      <c r="B2" t="s">
        <v>381</v>
      </c>
      <c r="C2" t="s">
        <v>381</v>
      </c>
      <c r="D2" t="s">
        <v>476</v>
      </c>
      <c r="E2" t="s">
        <v>379</v>
      </c>
    </row>
    <row r="3" spans="1:5" x14ac:dyDescent="0.2">
      <c r="A3" t="s">
        <v>367</v>
      </c>
      <c r="B3" t="s">
        <v>384</v>
      </c>
      <c r="C3" t="s">
        <v>384</v>
      </c>
      <c r="D3" t="s">
        <v>476</v>
      </c>
      <c r="E3" t="s">
        <v>379</v>
      </c>
    </row>
    <row r="4" spans="1:5" x14ac:dyDescent="0.2">
      <c r="A4" t="s">
        <v>362</v>
      </c>
      <c r="B4" t="s">
        <v>426</v>
      </c>
      <c r="C4" t="s">
        <v>426</v>
      </c>
      <c r="D4" t="s">
        <v>476</v>
      </c>
      <c r="E4" t="s">
        <v>379</v>
      </c>
    </row>
    <row r="5" spans="1:5" x14ac:dyDescent="0.2">
      <c r="A5" t="s">
        <v>341</v>
      </c>
      <c r="B5" t="s">
        <v>437</v>
      </c>
      <c r="C5" t="s">
        <v>437</v>
      </c>
      <c r="D5" t="s">
        <v>477</v>
      </c>
      <c r="E5" t="s">
        <v>390</v>
      </c>
    </row>
    <row r="6" spans="1:5" x14ac:dyDescent="0.2">
      <c r="A6" t="s">
        <v>365</v>
      </c>
      <c r="B6" t="s">
        <v>399</v>
      </c>
      <c r="C6" t="s">
        <v>399</v>
      </c>
      <c r="D6" t="s">
        <v>477</v>
      </c>
      <c r="E6" t="s">
        <v>395</v>
      </c>
    </row>
    <row r="7" spans="1:5" x14ac:dyDescent="0.2">
      <c r="A7" t="s">
        <v>368</v>
      </c>
      <c r="B7" t="s">
        <v>428</v>
      </c>
      <c r="C7" t="s">
        <v>428</v>
      </c>
      <c r="D7" t="s">
        <v>479</v>
      </c>
      <c r="E7" t="s">
        <v>395</v>
      </c>
    </row>
    <row r="8" spans="1:5" x14ac:dyDescent="0.2">
      <c r="A8" t="s">
        <v>343</v>
      </c>
      <c r="B8" t="s">
        <v>411</v>
      </c>
      <c r="C8" t="s">
        <v>411</v>
      </c>
      <c r="D8" t="s">
        <v>480</v>
      </c>
      <c r="E8" t="s">
        <v>400</v>
      </c>
    </row>
    <row r="9" spans="1:5" x14ac:dyDescent="0.2">
      <c r="A9" t="s">
        <v>360</v>
      </c>
      <c r="B9" t="s">
        <v>413</v>
      </c>
      <c r="C9" t="s">
        <v>413</v>
      </c>
      <c r="D9" t="s">
        <v>479</v>
      </c>
      <c r="E9" t="s">
        <v>395</v>
      </c>
    </row>
    <row r="10" spans="1:5" x14ac:dyDescent="0.2">
      <c r="A10" t="s">
        <v>488</v>
      </c>
      <c r="B10" t="s">
        <v>489</v>
      </c>
      <c r="C10" t="s">
        <v>318</v>
      </c>
      <c r="D10" t="s">
        <v>464</v>
      </c>
      <c r="E10" t="s">
        <v>8</v>
      </c>
    </row>
    <row r="11" spans="1:5" x14ac:dyDescent="0.2">
      <c r="A11" t="s">
        <v>369</v>
      </c>
      <c r="B11" t="s">
        <v>425</v>
      </c>
      <c r="C11" t="s">
        <v>425</v>
      </c>
      <c r="D11" t="s">
        <v>476</v>
      </c>
      <c r="E11" t="s">
        <v>379</v>
      </c>
    </row>
    <row r="12" spans="1:5" x14ac:dyDescent="0.2">
      <c r="A12" t="s">
        <v>347</v>
      </c>
      <c r="B12" t="s">
        <v>389</v>
      </c>
      <c r="C12" t="s">
        <v>389</v>
      </c>
      <c r="D12" t="s">
        <v>477</v>
      </c>
      <c r="E12" t="s">
        <v>379</v>
      </c>
    </row>
    <row r="13" spans="1:5" x14ac:dyDescent="0.2">
      <c r="A13" t="s">
        <v>352</v>
      </c>
      <c r="B13" t="s">
        <v>386</v>
      </c>
      <c r="C13" t="s">
        <v>386</v>
      </c>
      <c r="D13" t="s">
        <v>476</v>
      </c>
      <c r="E13" t="s">
        <v>379</v>
      </c>
    </row>
    <row r="14" spans="1:5" x14ac:dyDescent="0.2">
      <c r="A14" t="s">
        <v>350</v>
      </c>
      <c r="B14" t="s">
        <v>393</v>
      </c>
      <c r="C14" t="s">
        <v>393</v>
      </c>
      <c r="D14" t="s">
        <v>477</v>
      </c>
      <c r="E14" t="s">
        <v>390</v>
      </c>
    </row>
    <row r="15" spans="1:5" x14ac:dyDescent="0.2">
      <c r="A15" t="s">
        <v>340</v>
      </c>
      <c r="B15" t="s">
        <v>402</v>
      </c>
      <c r="C15" t="s">
        <v>402</v>
      </c>
      <c r="D15" t="s">
        <v>476</v>
      </c>
      <c r="E15" t="s">
        <v>400</v>
      </c>
    </row>
    <row r="16" spans="1:5" x14ac:dyDescent="0.2">
      <c r="A16" t="s">
        <v>354</v>
      </c>
      <c r="B16" t="s">
        <v>416</v>
      </c>
      <c r="C16" t="s">
        <v>416</v>
      </c>
      <c r="D16" t="s">
        <v>479</v>
      </c>
      <c r="E16" t="s">
        <v>395</v>
      </c>
    </row>
    <row r="17" spans="1:5" x14ac:dyDescent="0.2">
      <c r="A17" t="s">
        <v>490</v>
      </c>
      <c r="B17" t="s">
        <v>491</v>
      </c>
      <c r="C17" t="s">
        <v>318</v>
      </c>
      <c r="D17" t="s">
        <v>464</v>
      </c>
      <c r="E17" t="s">
        <v>8</v>
      </c>
    </row>
    <row r="18" spans="1:5" x14ac:dyDescent="0.2">
      <c r="A18" t="s">
        <v>366</v>
      </c>
      <c r="B18" t="s">
        <v>401</v>
      </c>
      <c r="C18" t="s">
        <v>401</v>
      </c>
      <c r="D18" t="s">
        <v>476</v>
      </c>
      <c r="E18" t="s">
        <v>400</v>
      </c>
    </row>
    <row r="19" spans="1:5" x14ac:dyDescent="0.2">
      <c r="A19" t="s">
        <v>359</v>
      </c>
      <c r="B19" t="s">
        <v>404</v>
      </c>
      <c r="C19" t="s">
        <v>404</v>
      </c>
      <c r="D19" t="s">
        <v>480</v>
      </c>
      <c r="E19" t="s">
        <v>400</v>
      </c>
    </row>
    <row r="20" spans="1:5" x14ac:dyDescent="0.2">
      <c r="A20" t="s">
        <v>349</v>
      </c>
      <c r="B20" t="s">
        <v>407</v>
      </c>
      <c r="C20" t="s">
        <v>407</v>
      </c>
      <c r="D20" t="s">
        <v>480</v>
      </c>
      <c r="E20" t="s">
        <v>400</v>
      </c>
    </row>
    <row r="21" spans="1:5" x14ac:dyDescent="0.2">
      <c r="A21" t="s">
        <v>374</v>
      </c>
      <c r="B21" t="s">
        <v>432</v>
      </c>
      <c r="C21" t="s">
        <v>432</v>
      </c>
      <c r="D21" t="s">
        <v>480</v>
      </c>
      <c r="E21" t="s">
        <v>400</v>
      </c>
    </row>
    <row r="22" spans="1:5" x14ac:dyDescent="0.2">
      <c r="A22" t="s">
        <v>345</v>
      </c>
      <c r="B22" t="s">
        <v>63</v>
      </c>
      <c r="C22" t="s">
        <v>63</v>
      </c>
      <c r="D22" t="s">
        <v>476</v>
      </c>
      <c r="E22" t="s">
        <v>379</v>
      </c>
    </row>
    <row r="23" spans="1:5" x14ac:dyDescent="0.2">
      <c r="A23" t="s">
        <v>358</v>
      </c>
      <c r="B23" t="s">
        <v>392</v>
      </c>
      <c r="C23" t="s">
        <v>392</v>
      </c>
      <c r="D23" t="s">
        <v>318</v>
      </c>
      <c r="E23" t="s">
        <v>379</v>
      </c>
    </row>
    <row r="24" spans="1:5" x14ac:dyDescent="0.2">
      <c r="A24" t="s">
        <v>353</v>
      </c>
      <c r="B24" t="s">
        <v>394</v>
      </c>
      <c r="C24" t="s">
        <v>394</v>
      </c>
      <c r="D24" t="s">
        <v>477</v>
      </c>
      <c r="E24" t="s">
        <v>390</v>
      </c>
    </row>
    <row r="25" spans="1:5" x14ac:dyDescent="0.2">
      <c r="A25" t="s">
        <v>351</v>
      </c>
      <c r="B25" t="s">
        <v>430</v>
      </c>
      <c r="C25" t="s">
        <v>430</v>
      </c>
      <c r="D25" t="s">
        <v>480</v>
      </c>
      <c r="E25" t="s">
        <v>400</v>
      </c>
    </row>
    <row r="26" spans="1:5" x14ac:dyDescent="0.2">
      <c r="A26" t="s">
        <v>328</v>
      </c>
      <c r="B26" t="s">
        <v>415</v>
      </c>
      <c r="C26" t="s">
        <v>415</v>
      </c>
      <c r="D26" t="s">
        <v>479</v>
      </c>
      <c r="E26" t="s">
        <v>414</v>
      </c>
    </row>
    <row r="27" spans="1:5" x14ac:dyDescent="0.2">
      <c r="A27" t="s">
        <v>329</v>
      </c>
      <c r="B27" t="s">
        <v>431</v>
      </c>
      <c r="C27" t="s">
        <v>431</v>
      </c>
      <c r="D27" t="s">
        <v>479</v>
      </c>
      <c r="E27" t="s">
        <v>395</v>
      </c>
    </row>
    <row r="28" spans="1:5" x14ac:dyDescent="0.2">
      <c r="A28" t="s">
        <v>363</v>
      </c>
      <c r="B28" t="s">
        <v>383</v>
      </c>
      <c r="C28" t="s">
        <v>383</v>
      </c>
      <c r="D28" t="s">
        <v>476</v>
      </c>
      <c r="E28" t="s">
        <v>379</v>
      </c>
    </row>
    <row r="29" spans="1:5" x14ac:dyDescent="0.2">
      <c r="A29" t="s">
        <v>478</v>
      </c>
      <c r="B29" t="s">
        <v>464</v>
      </c>
      <c r="C29" t="s">
        <v>318</v>
      </c>
      <c r="D29" t="s">
        <v>464</v>
      </c>
      <c r="E29" t="s">
        <v>8</v>
      </c>
    </row>
    <row r="30" spans="1:5" x14ac:dyDescent="0.2">
      <c r="A30" t="s">
        <v>375</v>
      </c>
      <c r="B30" t="s">
        <v>427</v>
      </c>
      <c r="C30" t="s">
        <v>427</v>
      </c>
      <c r="D30" t="s">
        <v>476</v>
      </c>
      <c r="E30" t="s">
        <v>379</v>
      </c>
    </row>
    <row r="31" spans="1:5" x14ac:dyDescent="0.2">
      <c r="A31" t="s">
        <v>356</v>
      </c>
      <c r="B31" t="s">
        <v>424</v>
      </c>
      <c r="C31" t="s">
        <v>424</v>
      </c>
      <c r="D31" t="s">
        <v>318</v>
      </c>
      <c r="E31" t="s">
        <v>379</v>
      </c>
    </row>
    <row r="32" spans="1:5" x14ac:dyDescent="0.2">
      <c r="A32" t="s">
        <v>336</v>
      </c>
      <c r="B32" t="s">
        <v>405</v>
      </c>
      <c r="C32" t="s">
        <v>405</v>
      </c>
      <c r="D32" t="s">
        <v>476</v>
      </c>
      <c r="E32" t="s">
        <v>400</v>
      </c>
    </row>
    <row r="33" spans="1:5" x14ac:dyDescent="0.2">
      <c r="A33" t="s">
        <v>333</v>
      </c>
      <c r="B33" t="s">
        <v>429</v>
      </c>
      <c r="C33" t="s">
        <v>429</v>
      </c>
      <c r="D33" t="s">
        <v>480</v>
      </c>
      <c r="E33" t="s">
        <v>400</v>
      </c>
    </row>
    <row r="34" spans="1:5" x14ac:dyDescent="0.2">
      <c r="A34" t="s">
        <v>355</v>
      </c>
      <c r="B34" t="s">
        <v>436</v>
      </c>
      <c r="C34" t="s">
        <v>436</v>
      </c>
      <c r="D34" t="s">
        <v>479</v>
      </c>
      <c r="E34" t="s">
        <v>414</v>
      </c>
    </row>
    <row r="35" spans="1:5" x14ac:dyDescent="0.2">
      <c r="A35" t="s">
        <v>344</v>
      </c>
      <c r="B35" t="s">
        <v>418</v>
      </c>
      <c r="C35" t="s">
        <v>418</v>
      </c>
      <c r="D35" t="s">
        <v>479</v>
      </c>
      <c r="E35" t="s">
        <v>414</v>
      </c>
    </row>
    <row r="36" spans="1:5" x14ac:dyDescent="0.2">
      <c r="A36" t="s">
        <v>371</v>
      </c>
      <c r="B36" t="s">
        <v>438</v>
      </c>
      <c r="C36" t="s">
        <v>438</v>
      </c>
      <c r="D36" t="s">
        <v>479</v>
      </c>
      <c r="E36" t="s">
        <v>414</v>
      </c>
    </row>
    <row r="37" spans="1:5" x14ac:dyDescent="0.2">
      <c r="A37" t="s">
        <v>487</v>
      </c>
      <c r="B37" t="s">
        <v>434</v>
      </c>
      <c r="C37" t="s">
        <v>434</v>
      </c>
      <c r="D37" t="s">
        <v>479</v>
      </c>
      <c r="E37" t="s">
        <v>414</v>
      </c>
    </row>
    <row r="38" spans="1:5" x14ac:dyDescent="0.2">
      <c r="A38" t="s">
        <v>485</v>
      </c>
      <c r="B38" t="s">
        <v>486</v>
      </c>
      <c r="C38" t="s">
        <v>318</v>
      </c>
      <c r="D38" t="s">
        <v>464</v>
      </c>
      <c r="E38" t="s">
        <v>8</v>
      </c>
    </row>
    <row r="39" spans="1:5" x14ac:dyDescent="0.2">
      <c r="A39" t="s">
        <v>361</v>
      </c>
      <c r="B39" t="s">
        <v>419</v>
      </c>
      <c r="C39" t="s">
        <v>419</v>
      </c>
      <c r="D39" t="s">
        <v>479</v>
      </c>
      <c r="E39" t="s">
        <v>414</v>
      </c>
    </row>
    <row r="40" spans="1:5" x14ac:dyDescent="0.2">
      <c r="A40" t="s">
        <v>494</v>
      </c>
      <c r="B40" t="s">
        <v>495</v>
      </c>
      <c r="C40" t="s">
        <v>318</v>
      </c>
      <c r="D40" t="s">
        <v>464</v>
      </c>
      <c r="E40" t="s">
        <v>8</v>
      </c>
    </row>
    <row r="41" spans="1:5" x14ac:dyDescent="0.2">
      <c r="A41" t="s">
        <v>481</v>
      </c>
      <c r="B41" t="s">
        <v>482</v>
      </c>
      <c r="C41" t="s">
        <v>318</v>
      </c>
      <c r="D41" t="s">
        <v>464</v>
      </c>
      <c r="E41" t="s">
        <v>8</v>
      </c>
    </row>
    <row r="42" spans="1:5" x14ac:dyDescent="0.2">
      <c r="A42" t="s">
        <v>370</v>
      </c>
      <c r="B42" t="s">
        <v>382</v>
      </c>
      <c r="C42" t="s">
        <v>382</v>
      </c>
      <c r="D42" t="s">
        <v>476</v>
      </c>
      <c r="E42" t="s">
        <v>379</v>
      </c>
    </row>
    <row r="43" spans="1:5" x14ac:dyDescent="0.2">
      <c r="A43" t="s">
        <v>331</v>
      </c>
      <c r="B43" t="s">
        <v>388</v>
      </c>
      <c r="C43" t="s">
        <v>388</v>
      </c>
      <c r="D43" t="s">
        <v>477</v>
      </c>
      <c r="E43" t="s">
        <v>379</v>
      </c>
    </row>
    <row r="44" spans="1:5" x14ac:dyDescent="0.2">
      <c r="A44" t="s">
        <v>334</v>
      </c>
      <c r="B44" t="s">
        <v>433</v>
      </c>
      <c r="C44" t="s">
        <v>433</v>
      </c>
      <c r="D44" t="s">
        <v>476</v>
      </c>
      <c r="E44" t="s">
        <v>379</v>
      </c>
    </row>
    <row r="45" spans="1:5" x14ac:dyDescent="0.2">
      <c r="A45" t="s">
        <v>364</v>
      </c>
      <c r="B45" t="s">
        <v>398</v>
      </c>
      <c r="C45" t="s">
        <v>398</v>
      </c>
      <c r="D45" t="s">
        <v>477</v>
      </c>
      <c r="E45" t="s">
        <v>390</v>
      </c>
    </row>
    <row r="46" spans="1:5" x14ac:dyDescent="0.2">
      <c r="A46" t="s">
        <v>346</v>
      </c>
      <c r="B46" t="s">
        <v>403</v>
      </c>
      <c r="C46" t="s">
        <v>403</v>
      </c>
      <c r="D46" t="s">
        <v>477</v>
      </c>
      <c r="E46" t="s">
        <v>390</v>
      </c>
    </row>
    <row r="47" spans="1:5" x14ac:dyDescent="0.2">
      <c r="A47" t="s">
        <v>373</v>
      </c>
      <c r="B47" t="s">
        <v>409</v>
      </c>
      <c r="C47" t="s">
        <v>409</v>
      </c>
      <c r="D47" t="s">
        <v>480</v>
      </c>
      <c r="E47" t="s">
        <v>400</v>
      </c>
    </row>
    <row r="48" spans="1:5" x14ac:dyDescent="0.2">
      <c r="A48" t="s">
        <v>348</v>
      </c>
      <c r="B48" t="s">
        <v>422</v>
      </c>
      <c r="C48" t="s">
        <v>422</v>
      </c>
      <c r="D48" t="s">
        <v>480</v>
      </c>
      <c r="E48" t="s">
        <v>395</v>
      </c>
    </row>
    <row r="49" spans="1:5" x14ac:dyDescent="0.2">
      <c r="A49" t="s">
        <v>337</v>
      </c>
      <c r="B49" t="s">
        <v>420</v>
      </c>
      <c r="C49" t="s">
        <v>420</v>
      </c>
      <c r="D49" t="s">
        <v>480</v>
      </c>
      <c r="E49" t="s">
        <v>395</v>
      </c>
    </row>
    <row r="50" spans="1:5" x14ac:dyDescent="0.2">
      <c r="A50" t="s">
        <v>342</v>
      </c>
      <c r="B50" t="s">
        <v>417</v>
      </c>
      <c r="C50" t="s">
        <v>417</v>
      </c>
      <c r="D50" t="s">
        <v>479</v>
      </c>
      <c r="E50" t="s">
        <v>414</v>
      </c>
    </row>
    <row r="51" spans="1:5" x14ac:dyDescent="0.2">
      <c r="A51" t="s">
        <v>330</v>
      </c>
      <c r="B51" t="s">
        <v>397</v>
      </c>
      <c r="C51" t="s">
        <v>397</v>
      </c>
      <c r="D51" t="s">
        <v>480</v>
      </c>
      <c r="E51" t="s">
        <v>395</v>
      </c>
    </row>
    <row r="52" spans="1:5" x14ac:dyDescent="0.2">
      <c r="A52" t="s">
        <v>483</v>
      </c>
      <c r="B52" t="s">
        <v>484</v>
      </c>
      <c r="C52" t="s">
        <v>318</v>
      </c>
      <c r="D52" t="s">
        <v>464</v>
      </c>
      <c r="E52" t="s">
        <v>8</v>
      </c>
    </row>
    <row r="53" spans="1:5" x14ac:dyDescent="0.2">
      <c r="A53" t="s">
        <v>492</v>
      </c>
      <c r="B53" t="s">
        <v>493</v>
      </c>
      <c r="C53" t="s">
        <v>318</v>
      </c>
      <c r="D53" t="s">
        <v>464</v>
      </c>
      <c r="E53" t="s">
        <v>8</v>
      </c>
    </row>
    <row r="54" spans="1:5" x14ac:dyDescent="0.2">
      <c r="A54" t="s">
        <v>357</v>
      </c>
      <c r="B54" t="s">
        <v>385</v>
      </c>
      <c r="C54" t="s">
        <v>385</v>
      </c>
      <c r="D54" t="s">
        <v>476</v>
      </c>
      <c r="E54" t="s">
        <v>379</v>
      </c>
    </row>
    <row r="55" spans="1:5" x14ac:dyDescent="0.2">
      <c r="A55" t="s">
        <v>372</v>
      </c>
      <c r="B55" t="s">
        <v>391</v>
      </c>
      <c r="C55" t="s">
        <v>391</v>
      </c>
      <c r="D55" t="s">
        <v>477</v>
      </c>
      <c r="E55" t="s">
        <v>390</v>
      </c>
    </row>
    <row r="56" spans="1:5" x14ac:dyDescent="0.2">
      <c r="A56" t="s">
        <v>327</v>
      </c>
      <c r="B56" t="s">
        <v>435</v>
      </c>
      <c r="C56" t="s">
        <v>435</v>
      </c>
      <c r="D56" t="s">
        <v>477</v>
      </c>
      <c r="E56" t="s">
        <v>390</v>
      </c>
    </row>
    <row r="57" spans="1:5" x14ac:dyDescent="0.2">
      <c r="A57" t="s">
        <v>326</v>
      </c>
      <c r="B57" t="s">
        <v>406</v>
      </c>
      <c r="C57" t="s">
        <v>406</v>
      </c>
      <c r="D57" t="s">
        <v>480</v>
      </c>
      <c r="E57" t="s">
        <v>400</v>
      </c>
    </row>
    <row r="58" spans="1:5" x14ac:dyDescent="0.2">
      <c r="A58" t="s">
        <v>332</v>
      </c>
      <c r="B58" t="s">
        <v>410</v>
      </c>
      <c r="C58" t="s">
        <v>410</v>
      </c>
      <c r="D58" t="s">
        <v>480</v>
      </c>
      <c r="E58" t="s">
        <v>400</v>
      </c>
    </row>
    <row r="59" spans="1:5" x14ac:dyDescent="0.2">
      <c r="A59" t="s">
        <v>338</v>
      </c>
      <c r="B59" t="s">
        <v>423</v>
      </c>
      <c r="C59" t="s">
        <v>423</v>
      </c>
      <c r="D59" t="s">
        <v>479</v>
      </c>
      <c r="E59" t="s">
        <v>414</v>
      </c>
    </row>
    <row r="60" spans="1:5" x14ac:dyDescent="0.2">
      <c r="A60" t="s">
        <v>325</v>
      </c>
      <c r="B60" t="s">
        <v>421</v>
      </c>
      <c r="C60" t="s">
        <v>421</v>
      </c>
      <c r="D60" t="s">
        <v>480</v>
      </c>
      <c r="E60" t="s">
        <v>395</v>
      </c>
    </row>
    <row r="61" spans="1:5" x14ac:dyDescent="0.2">
      <c r="A61" t="s">
        <v>339</v>
      </c>
      <c r="B61" t="s">
        <v>83</v>
      </c>
      <c r="C61" t="s">
        <v>83</v>
      </c>
      <c r="D61" t="s">
        <v>479</v>
      </c>
      <c r="E61" t="s">
        <v>414</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70" zoomScaleNormal="70" workbookViewId="0"/>
  </sheetViews>
  <sheetFormatPr defaultRowHeight="12.75" x14ac:dyDescent="0.2"/>
  <cols>
    <col min="2" max="2" width="15.7109375" customWidth="1"/>
    <col min="3" max="3" width="14" customWidth="1"/>
    <col min="4" max="4" width="16.710937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1058</v>
      </c>
      <c r="C2" t="s">
        <v>447</v>
      </c>
      <c r="D2" t="s">
        <v>448</v>
      </c>
      <c r="E2" t="s">
        <v>449</v>
      </c>
      <c r="F2" t="s">
        <v>450</v>
      </c>
      <c r="G2" t="s">
        <v>451</v>
      </c>
      <c r="H2" t="s">
        <v>452</v>
      </c>
      <c r="I2" t="s">
        <v>453</v>
      </c>
      <c r="J2" t="s">
        <v>454</v>
      </c>
      <c r="K2" t="s">
        <v>455</v>
      </c>
      <c r="L2" t="s">
        <v>456</v>
      </c>
      <c r="M2" t="s">
        <v>457</v>
      </c>
      <c r="N2" t="s">
        <v>458</v>
      </c>
      <c r="O2" t="s">
        <v>459</v>
      </c>
      <c r="P2" t="s">
        <v>460</v>
      </c>
      <c r="Q2" t="s">
        <v>462</v>
      </c>
    </row>
    <row r="3" spans="2:33" x14ac:dyDescent="0.2">
      <c r="B3" t="s">
        <v>395</v>
      </c>
      <c r="C3" t="s">
        <v>421</v>
      </c>
      <c r="D3" t="s">
        <v>413</v>
      </c>
      <c r="E3" t="s">
        <v>397</v>
      </c>
      <c r="F3" t="s">
        <v>399</v>
      </c>
      <c r="G3" t="s">
        <v>428</v>
      </c>
      <c r="H3" t="s">
        <v>422</v>
      </c>
      <c r="I3" t="s">
        <v>420</v>
      </c>
      <c r="J3" t="s">
        <v>416</v>
      </c>
      <c r="K3" t="s">
        <v>431</v>
      </c>
      <c r="L3" t="s">
        <v>461</v>
      </c>
      <c r="M3" t="s">
        <v>461</v>
      </c>
      <c r="N3" t="s">
        <v>461</v>
      </c>
      <c r="O3" t="s">
        <v>461</v>
      </c>
      <c r="P3" t="s">
        <v>461</v>
      </c>
      <c r="Q3" t="s">
        <v>461</v>
      </c>
      <c r="S3" s="14" t="s">
        <v>421</v>
      </c>
      <c r="T3" s="14" t="s">
        <v>413</v>
      </c>
      <c r="U3" s="14" t="s">
        <v>397</v>
      </c>
      <c r="V3" s="14" t="s">
        <v>399</v>
      </c>
      <c r="W3" s="14" t="s">
        <v>428</v>
      </c>
      <c r="X3" s="14" t="s">
        <v>422</v>
      </c>
      <c r="Y3" s="14" t="s">
        <v>420</v>
      </c>
      <c r="Z3" s="14" t="s">
        <v>416</v>
      </c>
      <c r="AA3" s="14" t="s">
        <v>431</v>
      </c>
      <c r="AB3" s="14"/>
      <c r="AC3" s="14"/>
      <c r="AD3" s="14"/>
      <c r="AE3" s="14"/>
      <c r="AF3" s="15"/>
      <c r="AG3" s="15"/>
    </row>
    <row r="4" spans="2:33" x14ac:dyDescent="0.2">
      <c r="B4" t="s">
        <v>400</v>
      </c>
      <c r="C4" t="s">
        <v>404</v>
      </c>
      <c r="D4" t="s">
        <v>402</v>
      </c>
      <c r="E4" t="s">
        <v>409</v>
      </c>
      <c r="F4" t="s">
        <v>432</v>
      </c>
      <c r="G4" t="s">
        <v>405</v>
      </c>
      <c r="H4" t="s">
        <v>411</v>
      </c>
      <c r="I4" t="s">
        <v>407</v>
      </c>
      <c r="J4" t="s">
        <v>410</v>
      </c>
      <c r="K4" t="s">
        <v>429</v>
      </c>
      <c r="L4" t="s">
        <v>401</v>
      </c>
      <c r="M4" t="s">
        <v>430</v>
      </c>
      <c r="N4" t="s">
        <v>406</v>
      </c>
      <c r="O4" t="s">
        <v>461</v>
      </c>
      <c r="P4" t="s">
        <v>461</v>
      </c>
      <c r="Q4" t="s">
        <v>461</v>
      </c>
      <c r="S4" s="14" t="s">
        <v>404</v>
      </c>
      <c r="T4" s="14" t="s">
        <v>402</v>
      </c>
      <c r="U4" s="14" t="s">
        <v>409</v>
      </c>
      <c r="V4" s="14" t="s">
        <v>432</v>
      </c>
      <c r="W4" s="14" t="s">
        <v>405</v>
      </c>
      <c r="X4" s="14" t="s">
        <v>411</v>
      </c>
      <c r="Y4" s="14" t="s">
        <v>407</v>
      </c>
      <c r="Z4" s="14" t="s">
        <v>410</v>
      </c>
      <c r="AA4" s="14" t="s">
        <v>429</v>
      </c>
      <c r="AB4" s="14" t="s">
        <v>401</v>
      </c>
      <c r="AC4" s="14" t="s">
        <v>430</v>
      </c>
      <c r="AD4" s="14" t="s">
        <v>406</v>
      </c>
      <c r="AE4" s="14"/>
      <c r="AF4" s="15"/>
      <c r="AG4" s="15"/>
    </row>
    <row r="5" spans="2:33" x14ac:dyDescent="0.2">
      <c r="B5" t="s">
        <v>379</v>
      </c>
      <c r="C5" t="s">
        <v>383</v>
      </c>
      <c r="D5" t="s">
        <v>433</v>
      </c>
      <c r="E5" t="s">
        <v>424</v>
      </c>
      <c r="F5" t="s">
        <v>426</v>
      </c>
      <c r="G5" t="s">
        <v>386</v>
      </c>
      <c r="H5" t="s">
        <v>381</v>
      </c>
      <c r="I5" t="s">
        <v>425</v>
      </c>
      <c r="J5" t="s">
        <v>384</v>
      </c>
      <c r="K5" t="s">
        <v>63</v>
      </c>
      <c r="L5" t="s">
        <v>392</v>
      </c>
      <c r="M5" t="s">
        <v>385</v>
      </c>
      <c r="N5" t="s">
        <v>382</v>
      </c>
      <c r="O5" t="s">
        <v>427</v>
      </c>
      <c r="P5" t="s">
        <v>388</v>
      </c>
      <c r="Q5" t="s">
        <v>389</v>
      </c>
      <c r="S5" s="14" t="s">
        <v>383</v>
      </c>
      <c r="T5" s="14" t="s">
        <v>433</v>
      </c>
      <c r="U5" s="14" t="s">
        <v>424</v>
      </c>
      <c r="V5" s="14" t="s">
        <v>426</v>
      </c>
      <c r="W5" s="14" t="s">
        <v>386</v>
      </c>
      <c r="X5" s="14" t="s">
        <v>381</v>
      </c>
      <c r="Y5" s="14" t="s">
        <v>425</v>
      </c>
      <c r="Z5" s="14" t="s">
        <v>384</v>
      </c>
      <c r="AA5" s="14" t="s">
        <v>63</v>
      </c>
      <c r="AB5" s="14" t="s">
        <v>392</v>
      </c>
      <c r="AC5" s="14" t="s">
        <v>385</v>
      </c>
      <c r="AD5" s="14" t="s">
        <v>382</v>
      </c>
      <c r="AE5" s="14" t="s">
        <v>427</v>
      </c>
      <c r="AF5" s="15" t="s">
        <v>388</v>
      </c>
      <c r="AG5" s="15" t="s">
        <v>389</v>
      </c>
    </row>
    <row r="6" spans="2:33" x14ac:dyDescent="0.2">
      <c r="B6" t="s">
        <v>414</v>
      </c>
      <c r="C6" t="s">
        <v>434</v>
      </c>
      <c r="D6" t="s">
        <v>436</v>
      </c>
      <c r="E6" t="s">
        <v>417</v>
      </c>
      <c r="F6" t="s">
        <v>438</v>
      </c>
      <c r="G6" t="s">
        <v>418</v>
      </c>
      <c r="H6" t="s">
        <v>423</v>
      </c>
      <c r="I6" t="s">
        <v>415</v>
      </c>
      <c r="J6" t="s">
        <v>419</v>
      </c>
      <c r="K6" t="s">
        <v>83</v>
      </c>
      <c r="L6" t="s">
        <v>461</v>
      </c>
      <c r="M6" t="s">
        <v>461</v>
      </c>
      <c r="N6" t="s">
        <v>461</v>
      </c>
      <c r="O6" t="s">
        <v>461</v>
      </c>
      <c r="P6" t="s">
        <v>461</v>
      </c>
      <c r="Q6" t="s">
        <v>461</v>
      </c>
      <c r="S6" s="14" t="s">
        <v>434</v>
      </c>
      <c r="T6" s="14" t="s">
        <v>436</v>
      </c>
      <c r="U6" s="14" t="s">
        <v>417</v>
      </c>
      <c r="V6" s="14" t="s">
        <v>438</v>
      </c>
      <c r="W6" s="14" t="s">
        <v>418</v>
      </c>
      <c r="X6" s="14" t="s">
        <v>423</v>
      </c>
      <c r="Y6" s="14" t="s">
        <v>415</v>
      </c>
      <c r="Z6" s="14" t="s">
        <v>419</v>
      </c>
      <c r="AA6" s="14" t="s">
        <v>83</v>
      </c>
      <c r="AB6" s="14"/>
      <c r="AC6" s="14"/>
      <c r="AD6" s="14"/>
      <c r="AE6" s="14"/>
      <c r="AF6" s="15"/>
      <c r="AG6" s="15"/>
    </row>
    <row r="7" spans="2:33" x14ac:dyDescent="0.2">
      <c r="B7" t="s">
        <v>390</v>
      </c>
      <c r="C7" t="s">
        <v>398</v>
      </c>
      <c r="D7" t="s">
        <v>435</v>
      </c>
      <c r="E7" t="s">
        <v>391</v>
      </c>
      <c r="F7" t="s">
        <v>403</v>
      </c>
      <c r="G7" t="s">
        <v>437</v>
      </c>
      <c r="H7" t="s">
        <v>393</v>
      </c>
      <c r="I7" t="s">
        <v>394</v>
      </c>
      <c r="J7" t="s">
        <v>461</v>
      </c>
      <c r="K7" t="s">
        <v>461</v>
      </c>
      <c r="L7" t="s">
        <v>461</v>
      </c>
      <c r="M7" t="s">
        <v>461</v>
      </c>
      <c r="N7" t="s">
        <v>461</v>
      </c>
      <c r="O7" t="s">
        <v>461</v>
      </c>
      <c r="P7" t="s">
        <v>461</v>
      </c>
      <c r="Q7" t="s">
        <v>461</v>
      </c>
      <c r="S7" s="14" t="s">
        <v>398</v>
      </c>
      <c r="T7" s="14" t="s">
        <v>435</v>
      </c>
      <c r="U7" s="14" t="s">
        <v>391</v>
      </c>
      <c r="V7" s="14" t="s">
        <v>403</v>
      </c>
      <c r="W7" s="14" t="s">
        <v>437</v>
      </c>
      <c r="X7" s="14" t="s">
        <v>393</v>
      </c>
      <c r="Y7" s="14" t="s">
        <v>394</v>
      </c>
      <c r="Z7" s="14"/>
      <c r="AA7" s="14"/>
      <c r="AB7" s="14"/>
      <c r="AC7" s="14"/>
      <c r="AD7" s="14"/>
      <c r="AE7" s="14"/>
      <c r="AF7" s="15"/>
      <c r="AG7" s="15"/>
    </row>
    <row r="8" spans="2:33" x14ac:dyDescent="0.2">
      <c r="B8" t="s">
        <v>8</v>
      </c>
      <c r="C8" t="s">
        <v>8</v>
      </c>
      <c r="D8" t="s">
        <v>461</v>
      </c>
      <c r="E8" t="s">
        <v>461</v>
      </c>
      <c r="F8" t="s">
        <v>461</v>
      </c>
      <c r="G8" t="s">
        <v>461</v>
      </c>
      <c r="H8" t="s">
        <v>461</v>
      </c>
      <c r="I8" t="s">
        <v>461</v>
      </c>
      <c r="J8" t="s">
        <v>461</v>
      </c>
      <c r="K8" t="s">
        <v>461</v>
      </c>
      <c r="L8" t="s">
        <v>461</v>
      </c>
      <c r="M8" t="s">
        <v>461</v>
      </c>
      <c r="N8" t="s">
        <v>461</v>
      </c>
      <c r="O8" t="s">
        <v>461</v>
      </c>
      <c r="P8" t="s">
        <v>461</v>
      </c>
      <c r="Q8" t="s">
        <v>461</v>
      </c>
      <c r="S8" s="16" t="s">
        <v>8</v>
      </c>
      <c r="T8" s="16"/>
      <c r="U8" s="16"/>
      <c r="V8" s="16"/>
      <c r="W8" s="16"/>
      <c r="X8" s="16"/>
      <c r="Y8" s="16"/>
      <c r="Z8" s="16"/>
      <c r="AA8" s="16"/>
      <c r="AB8" s="16"/>
      <c r="AC8" s="16"/>
      <c r="AD8" s="16"/>
      <c r="AE8" s="16"/>
      <c r="AF8" s="17"/>
      <c r="AG8" s="17"/>
    </row>
    <row r="10" spans="2:33" x14ac:dyDescent="0.2">
      <c r="B10" t="s">
        <v>446</v>
      </c>
      <c r="C10" t="s">
        <v>447</v>
      </c>
      <c r="D10" t="s">
        <v>448</v>
      </c>
      <c r="E10" t="s">
        <v>449</v>
      </c>
      <c r="F10" t="s">
        <v>450</v>
      </c>
      <c r="G10" t="s">
        <v>451</v>
      </c>
      <c r="H10" t="s">
        <v>452</v>
      </c>
      <c r="I10" t="s">
        <v>453</v>
      </c>
      <c r="J10" t="s">
        <v>454</v>
      </c>
      <c r="K10" t="s">
        <v>455</v>
      </c>
      <c r="L10" t="s">
        <v>456</v>
      </c>
      <c r="M10" t="s">
        <v>457</v>
      </c>
      <c r="N10" t="s">
        <v>458</v>
      </c>
      <c r="O10" t="s">
        <v>459</v>
      </c>
      <c r="P10" t="s">
        <v>460</v>
      </c>
      <c r="Q10" t="s">
        <v>462</v>
      </c>
      <c r="R10" t="s">
        <v>463</v>
      </c>
    </row>
    <row r="11" spans="2:33" x14ac:dyDescent="0.2">
      <c r="B11" t="s">
        <v>395</v>
      </c>
      <c r="C11" t="s">
        <v>654</v>
      </c>
      <c r="D11" t="s">
        <v>601</v>
      </c>
      <c r="E11" t="s">
        <v>648</v>
      </c>
      <c r="F11" t="s">
        <v>636</v>
      </c>
      <c r="G11" t="s">
        <v>572</v>
      </c>
      <c r="H11" t="s">
        <v>624</v>
      </c>
      <c r="I11" t="s">
        <v>626</v>
      </c>
      <c r="J11" t="s">
        <v>568</v>
      </c>
      <c r="K11" t="s">
        <v>605</v>
      </c>
      <c r="L11" t="s">
        <v>622</v>
      </c>
      <c r="M11" t="s">
        <v>461</v>
      </c>
      <c r="N11" t="s">
        <v>461</v>
      </c>
      <c r="O11" t="s">
        <v>461</v>
      </c>
      <c r="P11" t="s">
        <v>461</v>
      </c>
      <c r="Q11" t="s">
        <v>461</v>
      </c>
      <c r="R11" t="s">
        <v>461</v>
      </c>
    </row>
    <row r="12" spans="2:33" x14ac:dyDescent="0.2">
      <c r="B12" t="s">
        <v>400</v>
      </c>
      <c r="C12" t="s">
        <v>584</v>
      </c>
      <c r="D12" t="s">
        <v>576</v>
      </c>
      <c r="E12" t="s">
        <v>593</v>
      </c>
      <c r="F12" t="s">
        <v>586</v>
      </c>
      <c r="G12" t="s">
        <v>650</v>
      </c>
      <c r="H12" t="s">
        <v>578</v>
      </c>
      <c r="I12" t="s">
        <v>595</v>
      </c>
      <c r="J12" t="s">
        <v>588</v>
      </c>
      <c r="K12" t="s">
        <v>652</v>
      </c>
      <c r="L12" t="s">
        <v>591</v>
      </c>
      <c r="M12" t="s">
        <v>597</v>
      </c>
      <c r="N12" t="s">
        <v>656</v>
      </c>
      <c r="O12" t="s">
        <v>461</v>
      </c>
      <c r="P12" t="s">
        <v>461</v>
      </c>
      <c r="Q12" t="s">
        <v>461</v>
      </c>
      <c r="R12" t="s">
        <v>461</v>
      </c>
    </row>
    <row r="13" spans="2:33" x14ac:dyDescent="0.2">
      <c r="B13" t="s">
        <v>379</v>
      </c>
      <c r="C13" t="s">
        <v>550</v>
      </c>
      <c r="D13" t="s">
        <v>529</v>
      </c>
      <c r="E13" t="s">
        <v>537</v>
      </c>
      <c r="F13" t="s">
        <v>539</v>
      </c>
      <c r="G13" t="s">
        <v>554</v>
      </c>
      <c r="H13" t="s">
        <v>639</v>
      </c>
      <c r="I13" t="s">
        <v>535</v>
      </c>
      <c r="J13" t="s">
        <v>541</v>
      </c>
      <c r="K13" t="s">
        <v>543</v>
      </c>
      <c r="L13" t="s">
        <v>546</v>
      </c>
      <c r="M13" t="s">
        <v>531</v>
      </c>
      <c r="N13" t="s">
        <v>552</v>
      </c>
      <c r="O13" t="s">
        <v>644</v>
      </c>
      <c r="P13" t="s">
        <v>646</v>
      </c>
      <c r="Q13" t="s">
        <v>660</v>
      </c>
      <c r="R13" t="s">
        <v>560</v>
      </c>
    </row>
    <row r="14" spans="2:33" x14ac:dyDescent="0.2">
      <c r="B14" t="s">
        <v>414</v>
      </c>
      <c r="C14" t="s">
        <v>603</v>
      </c>
      <c r="D14" t="s">
        <v>662</v>
      </c>
      <c r="E14" t="s">
        <v>618</v>
      </c>
      <c r="F14" t="s">
        <v>658</v>
      </c>
      <c r="G14" t="s">
        <v>610</v>
      </c>
      <c r="H14" t="s">
        <v>632</v>
      </c>
      <c r="I14" t="s">
        <v>608</v>
      </c>
      <c r="J14" t="s">
        <v>612</v>
      </c>
      <c r="K14" t="s">
        <v>620</v>
      </c>
      <c r="L14" t="s">
        <v>628</v>
      </c>
      <c r="M14" t="s">
        <v>641</v>
      </c>
      <c r="N14" t="s">
        <v>614</v>
      </c>
      <c r="O14" t="s">
        <v>461</v>
      </c>
      <c r="P14" t="s">
        <v>461</v>
      </c>
      <c r="Q14" t="s">
        <v>461</v>
      </c>
      <c r="R14" t="s">
        <v>461</v>
      </c>
    </row>
    <row r="15" spans="2:33" x14ac:dyDescent="0.2">
      <c r="B15" t="s">
        <v>390</v>
      </c>
      <c r="C15" t="s">
        <v>556</v>
      </c>
      <c r="D15" t="s">
        <v>564</v>
      </c>
      <c r="E15" t="s">
        <v>580</v>
      </c>
      <c r="F15" t="s">
        <v>570</v>
      </c>
      <c r="G15" t="s">
        <v>566</v>
      </c>
      <c r="H15" t="s">
        <v>630</v>
      </c>
      <c r="I15" t="s">
        <v>558</v>
      </c>
      <c r="J15" t="s">
        <v>461</v>
      </c>
      <c r="K15" t="s">
        <v>461</v>
      </c>
      <c r="L15" t="s">
        <v>461</v>
      </c>
      <c r="M15" t="s">
        <v>461</v>
      </c>
      <c r="N15" t="s">
        <v>461</v>
      </c>
      <c r="O15" t="s">
        <v>461</v>
      </c>
      <c r="P15" t="s">
        <v>461</v>
      </c>
      <c r="Q15" t="s">
        <v>461</v>
      </c>
      <c r="R15" t="s">
        <v>461</v>
      </c>
    </row>
    <row r="16" spans="2:33" x14ac:dyDescent="0.2">
      <c r="B16" t="s">
        <v>8</v>
      </c>
      <c r="C16" t="s">
        <v>461</v>
      </c>
      <c r="D16" t="s">
        <v>461</v>
      </c>
      <c r="E16" t="s">
        <v>461</v>
      </c>
      <c r="F16" t="s">
        <v>461</v>
      </c>
      <c r="G16" t="s">
        <v>461</v>
      </c>
      <c r="H16" t="s">
        <v>461</v>
      </c>
      <c r="I16" t="s">
        <v>461</v>
      </c>
      <c r="J16" t="s">
        <v>461</v>
      </c>
      <c r="K16" t="s">
        <v>461</v>
      </c>
      <c r="L16" t="s">
        <v>461</v>
      </c>
      <c r="M16" t="s">
        <v>461</v>
      </c>
      <c r="N16" t="s">
        <v>461</v>
      </c>
      <c r="O16" t="s">
        <v>461</v>
      </c>
      <c r="P16" t="s">
        <v>461</v>
      </c>
      <c r="Q16" t="s">
        <v>461</v>
      </c>
      <c r="R16" t="s">
        <v>461</v>
      </c>
    </row>
    <row r="19" spans="2:4" x14ac:dyDescent="0.2">
      <c r="B19" t="s">
        <v>996</v>
      </c>
      <c r="C19" t="s">
        <v>997</v>
      </c>
      <c r="D19" t="s">
        <v>998</v>
      </c>
    </row>
    <row r="20" spans="2:4" x14ac:dyDescent="0.2">
      <c r="B20" s="153">
        <v>42203</v>
      </c>
      <c r="C20">
        <v>23940</v>
      </c>
      <c r="D20">
        <v>7</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1"/>
      <c r="B1" s="132"/>
      <c r="C1" s="132"/>
      <c r="D1" s="132"/>
      <c r="E1" s="132"/>
      <c r="F1" s="132"/>
      <c r="G1" s="133"/>
      <c r="H1" s="134"/>
      <c r="I1" s="134"/>
      <c r="J1" s="134"/>
      <c r="K1" s="135"/>
    </row>
    <row r="2" spans="1:11" ht="39" customHeight="1" thickBot="1" x14ac:dyDescent="0.25">
      <c r="A2" s="131"/>
      <c r="B2" s="324" t="s">
        <v>1002</v>
      </c>
      <c r="C2" s="325"/>
      <c r="D2" s="325"/>
      <c r="E2" s="325"/>
      <c r="F2" s="325"/>
      <c r="G2" s="326"/>
      <c r="H2" s="136" t="s">
        <v>5</v>
      </c>
      <c r="I2" s="137" t="s">
        <v>2</v>
      </c>
      <c r="J2" s="137" t="s">
        <v>236</v>
      </c>
      <c r="K2" s="135"/>
    </row>
    <row r="3" spans="1:11" ht="59.25" customHeight="1" x14ac:dyDescent="0.2">
      <c r="A3" s="131"/>
      <c r="B3" s="327"/>
      <c r="C3" s="328"/>
      <c r="D3" s="328"/>
      <c r="E3" s="328"/>
      <c r="F3" s="328"/>
      <c r="G3" s="328"/>
      <c r="H3" s="320">
        <f>SUM(H5,H10)</f>
        <v>379370</v>
      </c>
      <c r="I3" s="320">
        <f>SUM(I5,I10)</f>
        <v>119710</v>
      </c>
      <c r="J3" s="322">
        <f>ROUND(I3/H3,5)</f>
        <v>0.31555</v>
      </c>
      <c r="K3" s="135"/>
    </row>
    <row r="4" spans="1:11" ht="33" customHeight="1" thickBot="1" x14ac:dyDescent="0.25">
      <c r="A4" s="131"/>
      <c r="B4" s="329" t="str">
        <f>"As of: "&amp;TEXT(INDEX(MMWR_DATES[],1,1),"MMMM DD, YYYY")</f>
        <v>As of: July 18, 2015</v>
      </c>
      <c r="C4" s="330"/>
      <c r="D4" s="330"/>
      <c r="E4" s="330"/>
      <c r="F4" s="330"/>
      <c r="G4" s="331"/>
      <c r="H4" s="321"/>
      <c r="I4" s="321"/>
      <c r="J4" s="323"/>
      <c r="K4" s="138"/>
    </row>
    <row r="5" spans="1:11" ht="16.5" customHeight="1" thickBot="1" x14ac:dyDescent="0.25">
      <c r="A5" s="131"/>
      <c r="B5" s="318" t="s">
        <v>241</v>
      </c>
      <c r="C5" s="319"/>
      <c r="D5" s="319"/>
      <c r="E5" s="319"/>
      <c r="F5" s="319"/>
      <c r="G5" s="139" t="s">
        <v>252</v>
      </c>
      <c r="H5" s="162">
        <f>SUM(H6:H9)</f>
        <v>145413</v>
      </c>
      <c r="I5" s="162">
        <f>SUM(I6:I9)</f>
        <v>51751</v>
      </c>
      <c r="J5" s="163">
        <f t="shared" ref="J5:J15" si="0">IF(H5=0, 0,I5/H5)</f>
        <v>0.35588977601727495</v>
      </c>
      <c r="K5" s="135"/>
    </row>
    <row r="6" spans="1:11" ht="16.5" customHeight="1" x14ac:dyDescent="0.2">
      <c r="A6" s="131"/>
      <c r="B6" s="283" t="s">
        <v>16</v>
      </c>
      <c r="C6" s="284"/>
      <c r="D6" s="284"/>
      <c r="E6" s="284"/>
      <c r="F6" s="284"/>
      <c r="G6" s="140" t="s">
        <v>198</v>
      </c>
      <c r="H6" s="164">
        <f>IFERROR(VLOOKUP(MID($G6,4,3),MMWR_TRAD_AGG_NATIONAL[],2,0),0)</f>
        <v>41586</v>
      </c>
      <c r="I6" s="164">
        <f>IFERROR(VLOOKUP(MID($G6,4,3),MMWR_TRAD_AGG_NATIONAL[],3,0),0)</f>
        <v>16481</v>
      </c>
      <c r="J6" s="165">
        <f t="shared" si="0"/>
        <v>0.39631125859664312</v>
      </c>
      <c r="K6" s="135"/>
    </row>
    <row r="7" spans="1:11" ht="16.5" customHeight="1" x14ac:dyDescent="0.2">
      <c r="A7" s="131"/>
      <c r="B7" s="285" t="s">
        <v>0</v>
      </c>
      <c r="C7" s="286"/>
      <c r="D7" s="286"/>
      <c r="E7" s="286"/>
      <c r="F7" s="286"/>
      <c r="G7" s="141" t="s">
        <v>199</v>
      </c>
      <c r="H7" s="164">
        <f>IFERROR(VLOOKUP(MID($G7,4,3),MMWR_TRAD_AGG_NATIONAL[],2,0),0)</f>
        <v>92506</v>
      </c>
      <c r="I7" s="164">
        <f>IFERROR(VLOOKUP(MID($G7,4,3),MMWR_TRAD_AGG_NATIONAL[],3,0),0)</f>
        <v>33923</v>
      </c>
      <c r="J7" s="165">
        <f t="shared" si="0"/>
        <v>0.36671134845307329</v>
      </c>
      <c r="K7" s="135"/>
    </row>
    <row r="8" spans="1:11" ht="16.5" customHeight="1" x14ac:dyDescent="0.2">
      <c r="A8" s="131"/>
      <c r="B8" s="287" t="s">
        <v>242</v>
      </c>
      <c r="C8" s="288"/>
      <c r="D8" s="288"/>
      <c r="E8" s="288"/>
      <c r="F8" s="288"/>
      <c r="G8" s="142" t="s">
        <v>201</v>
      </c>
      <c r="H8" s="164">
        <f>IFERROR(VLOOKUP(MID($G8,4,3),MMWR_TRAD_AGG_NATIONAL[],2,0),0)</f>
        <v>5004</v>
      </c>
      <c r="I8" s="164">
        <f>IFERROR(VLOOKUP(MID($G8,4,3),MMWR_TRAD_AGG_NATIONAL[],3,0),0)</f>
        <v>285</v>
      </c>
      <c r="J8" s="165">
        <f t="shared" si="0"/>
        <v>5.6954436450839328E-2</v>
      </c>
      <c r="K8" s="135"/>
    </row>
    <row r="9" spans="1:11" ht="16.5" customHeight="1" thickBot="1" x14ac:dyDescent="0.25">
      <c r="A9" s="131"/>
      <c r="B9" s="292" t="s">
        <v>17</v>
      </c>
      <c r="C9" s="293"/>
      <c r="D9" s="293"/>
      <c r="E9" s="293"/>
      <c r="F9" s="293"/>
      <c r="G9" s="141" t="s">
        <v>203</v>
      </c>
      <c r="H9" s="164">
        <f>IFERROR(VLOOKUP(MID($G9,4,3),MMWR_TRAD_AGG_NATIONAL[],2,0),0)</f>
        <v>6317</v>
      </c>
      <c r="I9" s="164">
        <f>IFERROR(VLOOKUP(MID($G9,4,3),MMWR_TRAD_AGG_NATIONAL[],3,0),0)</f>
        <v>1062</v>
      </c>
      <c r="J9" s="165">
        <f t="shared" si="0"/>
        <v>0.16811777742599335</v>
      </c>
      <c r="K9" s="135"/>
    </row>
    <row r="10" spans="1:11" ht="17.25" thickBot="1" x14ac:dyDescent="0.25">
      <c r="A10" s="131"/>
      <c r="B10" s="318" t="s">
        <v>1</v>
      </c>
      <c r="C10" s="319"/>
      <c r="D10" s="319"/>
      <c r="E10" s="319"/>
      <c r="F10" s="319"/>
      <c r="G10" s="139" t="s">
        <v>252</v>
      </c>
      <c r="H10" s="162">
        <f>SUM(H11:H18)</f>
        <v>233957</v>
      </c>
      <c r="I10" s="162">
        <f>SUM(I11:I18)</f>
        <v>67959</v>
      </c>
      <c r="J10" s="163">
        <f t="shared" si="0"/>
        <v>0.29047645507507791</v>
      </c>
      <c r="K10" s="135"/>
    </row>
    <row r="11" spans="1:11" ht="16.5" customHeight="1" x14ac:dyDescent="0.2">
      <c r="A11" s="131"/>
      <c r="B11" s="283" t="s">
        <v>207</v>
      </c>
      <c r="C11" s="284"/>
      <c r="D11" s="284"/>
      <c r="E11" s="284"/>
      <c r="F11" s="284"/>
      <c r="G11" s="143" t="s">
        <v>202</v>
      </c>
      <c r="H11" s="166">
        <f>IFERROR(VLOOKUP(MID($G11,4,3),MMWR_TRAD_AGG_NATIONAL[],2,0),0)</f>
        <v>5473</v>
      </c>
      <c r="I11" s="164">
        <f>IFERROR(VLOOKUP(MID($G11,4,3),MMWR_TRAD_AGG_NATIONAL[],3,0),0)</f>
        <v>274</v>
      </c>
      <c r="J11" s="165">
        <f t="shared" si="0"/>
        <v>5.006395030147999E-2</v>
      </c>
      <c r="K11" s="135"/>
    </row>
    <row r="12" spans="1:11" ht="16.5" customHeight="1" x14ac:dyDescent="0.2">
      <c r="A12" s="131"/>
      <c r="B12" s="285" t="s">
        <v>18</v>
      </c>
      <c r="C12" s="286"/>
      <c r="D12" s="286"/>
      <c r="E12" s="286"/>
      <c r="F12" s="286"/>
      <c r="G12" s="144" t="s">
        <v>200</v>
      </c>
      <c r="H12" s="167">
        <f>IFERROR(VLOOKUP(MID($G12,4,3),MMWR_TRAD_AGG_NATIONAL[],2,0),0)</f>
        <v>211424</v>
      </c>
      <c r="I12" s="164">
        <f>IFERROR(VLOOKUP(MID($G12,4,3),MMWR_TRAD_AGG_NATIONAL[],3,0),0)</f>
        <v>64857</v>
      </c>
      <c r="J12" s="165">
        <f t="shared" si="0"/>
        <v>0.30676271378840625</v>
      </c>
      <c r="K12" s="135"/>
    </row>
    <row r="13" spans="1:11" ht="16.5" customHeight="1" x14ac:dyDescent="0.2">
      <c r="A13" s="131"/>
      <c r="B13" s="285" t="s">
        <v>14</v>
      </c>
      <c r="C13" s="286"/>
      <c r="D13" s="286"/>
      <c r="E13" s="286"/>
      <c r="F13" s="286"/>
      <c r="G13" s="144" t="s">
        <v>204</v>
      </c>
      <c r="H13" s="167">
        <f>IFERROR(VLOOKUP(MID($G13,4,3),MMWR_TRAD_AGG_NATIONAL[],2,0),0)</f>
        <v>16749</v>
      </c>
      <c r="I13" s="164">
        <f>IFERROR(VLOOKUP(MID($G13,4,3),MMWR_TRAD_AGG_NATIONAL[],3,0),0)</f>
        <v>2780</v>
      </c>
      <c r="J13" s="165">
        <f t="shared" si="0"/>
        <v>0.16598005851095587</v>
      </c>
      <c r="K13" s="135"/>
    </row>
    <row r="14" spans="1:11" ht="16.5" customHeight="1" x14ac:dyDescent="0.2">
      <c r="A14" s="131"/>
      <c r="B14" s="287" t="s">
        <v>19</v>
      </c>
      <c r="C14" s="288"/>
      <c r="D14" s="288"/>
      <c r="E14" s="288"/>
      <c r="F14" s="288"/>
      <c r="G14" s="143" t="s">
        <v>205</v>
      </c>
      <c r="H14" s="167">
        <f>IFERROR(VLOOKUP(MID($G14,4,3),MMWR_TRAD_AGG_NATIONAL[],2,0),0)</f>
        <v>264</v>
      </c>
      <c r="I14" s="164">
        <f>IFERROR(VLOOKUP(MID($G14,4,3),MMWR_TRAD_AGG_NATIONAL[],3,0),0)</f>
        <v>40</v>
      </c>
      <c r="J14" s="165">
        <f t="shared" si="0"/>
        <v>0.15151515151515152</v>
      </c>
      <c r="K14" s="135"/>
    </row>
    <row r="15" spans="1:11" ht="16.5" customHeight="1" x14ac:dyDescent="0.2">
      <c r="A15" s="131"/>
      <c r="B15" s="287" t="s">
        <v>87</v>
      </c>
      <c r="C15" s="288"/>
      <c r="D15" s="288"/>
      <c r="E15" s="288"/>
      <c r="F15" s="288"/>
      <c r="G15" s="143" t="s">
        <v>208</v>
      </c>
      <c r="H15" s="167">
        <f>IFERROR(VLOOKUP(MID($G15,4,3),MMWR_TRAD_AGG_NATIONAL[],2,0),0)</f>
        <v>19</v>
      </c>
      <c r="I15" s="164">
        <f>IFERROR(VLOOKUP(MID($G15,4,3),MMWR_TRAD_AGG_NATIONAL[],3,0),0)</f>
        <v>7</v>
      </c>
      <c r="J15" s="165">
        <f t="shared" si="0"/>
        <v>0.36842105263157893</v>
      </c>
      <c r="K15" s="135"/>
    </row>
    <row r="16" spans="1:11" ht="15" x14ac:dyDescent="0.2">
      <c r="A16" s="131"/>
      <c r="B16" s="287" t="s">
        <v>88</v>
      </c>
      <c r="C16" s="288"/>
      <c r="D16" s="288"/>
      <c r="E16" s="288"/>
      <c r="F16" s="288"/>
      <c r="G16" s="143" t="s">
        <v>209</v>
      </c>
      <c r="H16" s="167">
        <f>IFERROR(VLOOKUP(MID($G16,4,3),MMWR_TRAD_AGG_NATIONAL[],2,0),0)</f>
        <v>1</v>
      </c>
      <c r="I16" s="164">
        <f>IFERROR(VLOOKUP(MID($G16,4,3),MMWR_TRAD_AGG_NATIONAL[],3,0),0)</f>
        <v>1</v>
      </c>
      <c r="J16" s="165">
        <f>IF(H16=0, 0,I16/H16)</f>
        <v>1</v>
      </c>
      <c r="K16" s="135"/>
    </row>
    <row r="17" spans="1:11" ht="16.5" customHeight="1" x14ac:dyDescent="0.2">
      <c r="A17" s="131"/>
      <c r="B17" s="287" t="s">
        <v>90</v>
      </c>
      <c r="C17" s="288"/>
      <c r="D17" s="288"/>
      <c r="E17" s="288"/>
      <c r="F17" s="288"/>
      <c r="G17" s="143" t="s">
        <v>210</v>
      </c>
      <c r="H17" s="167">
        <f>IFERROR(VLOOKUP(MID($G17,4,3),MMWR_TRAD_AGG_NATIONAL[],2,0),0)</f>
        <v>23</v>
      </c>
      <c r="I17" s="164">
        <f>IFERROR(VLOOKUP(MID($G17,4,3),MMWR_TRAD_AGG_NATIONAL[],3,0),0)</f>
        <v>0</v>
      </c>
      <c r="J17" s="165">
        <f>IF(H17=0, 0,I17/H17)</f>
        <v>0</v>
      </c>
      <c r="K17" s="135"/>
    </row>
    <row r="18" spans="1:11" ht="16.5" customHeight="1" thickBot="1" x14ac:dyDescent="0.25">
      <c r="A18" s="131"/>
      <c r="B18" s="292" t="s">
        <v>89</v>
      </c>
      <c r="C18" s="293"/>
      <c r="D18" s="293"/>
      <c r="E18" s="293"/>
      <c r="F18" s="293"/>
      <c r="G18" s="143" t="s">
        <v>211</v>
      </c>
      <c r="H18" s="168">
        <f>IFERROR(VLOOKUP(MID($G18,4,3),MMWR_TRAD_AGG_NATIONAL[],2,0),0)</f>
        <v>4</v>
      </c>
      <c r="I18" s="164">
        <f>IFERROR(VLOOKUP(MID($G18,4,3),MMWR_TRAD_AGG_NATIONAL[],3,0),0)</f>
        <v>0</v>
      </c>
      <c r="J18" s="169">
        <f>IF(H18=0, 0,I18/H18)</f>
        <v>0</v>
      </c>
      <c r="K18" s="135"/>
    </row>
    <row r="19" spans="1:11" ht="16.5" customHeight="1" x14ac:dyDescent="0.2">
      <c r="A19" s="131"/>
      <c r="B19" s="297" t="s">
        <v>992</v>
      </c>
      <c r="C19" s="298"/>
      <c r="D19" s="298"/>
      <c r="E19" s="298"/>
      <c r="F19" s="298"/>
      <c r="G19" s="298"/>
      <c r="H19" s="298"/>
      <c r="I19" s="298"/>
      <c r="J19" s="299"/>
      <c r="K19" s="135"/>
    </row>
    <row r="20" spans="1:11" ht="36" customHeight="1" thickBot="1" x14ac:dyDescent="0.25">
      <c r="A20" s="131"/>
      <c r="B20" s="300"/>
      <c r="C20" s="301"/>
      <c r="D20" s="301"/>
      <c r="E20" s="301"/>
      <c r="F20" s="301"/>
      <c r="G20" s="301"/>
      <c r="H20" s="301"/>
      <c r="I20" s="301"/>
      <c r="J20" s="302"/>
      <c r="K20" s="135"/>
    </row>
    <row r="21" spans="1:11" ht="36" customHeight="1" x14ac:dyDescent="0.2">
      <c r="A21" s="131"/>
      <c r="B21" s="312" t="s">
        <v>983</v>
      </c>
      <c r="C21" s="313"/>
      <c r="D21" s="314"/>
      <c r="E21" s="312" t="s">
        <v>984</v>
      </c>
      <c r="F21" s="313"/>
      <c r="G21" s="314"/>
      <c r="H21" s="312" t="s">
        <v>985</v>
      </c>
      <c r="I21" s="313"/>
      <c r="J21" s="314"/>
      <c r="K21" s="135"/>
    </row>
    <row r="22" spans="1:11" ht="29.25" customHeight="1" thickBot="1" x14ac:dyDescent="0.25">
      <c r="A22" s="131"/>
      <c r="B22" s="315"/>
      <c r="C22" s="316"/>
      <c r="D22" s="317"/>
      <c r="E22" s="315"/>
      <c r="F22" s="316"/>
      <c r="G22" s="317"/>
      <c r="H22" s="315"/>
      <c r="I22" s="316"/>
      <c r="J22" s="317"/>
      <c r="K22" s="135"/>
    </row>
    <row r="23" spans="1:11" ht="36" customHeight="1" x14ac:dyDescent="0.35">
      <c r="A23" s="131"/>
      <c r="B23" s="312" t="s">
        <v>976</v>
      </c>
      <c r="C23" s="313"/>
      <c r="D23" s="314"/>
      <c r="E23" s="312" t="s">
        <v>977</v>
      </c>
      <c r="F23" s="313"/>
      <c r="G23" s="314"/>
      <c r="H23" s="145"/>
      <c r="I23" s="145"/>
      <c r="J23" s="145"/>
      <c r="K23" s="135"/>
    </row>
    <row r="24" spans="1:11" ht="29.25" customHeight="1" thickBot="1" x14ac:dyDescent="0.4">
      <c r="A24" s="131"/>
      <c r="B24" s="315"/>
      <c r="C24" s="316"/>
      <c r="D24" s="317"/>
      <c r="E24" s="315"/>
      <c r="F24" s="316"/>
      <c r="G24" s="317"/>
      <c r="H24" s="145"/>
      <c r="I24" s="145"/>
      <c r="J24" s="145"/>
      <c r="K24" s="135"/>
    </row>
    <row r="25" spans="1:11" ht="29.25" customHeight="1" thickBot="1" x14ac:dyDescent="0.25">
      <c r="A25" s="131"/>
      <c r="B25" s="146"/>
      <c r="C25" s="147"/>
      <c r="D25" s="147"/>
      <c r="E25" s="147"/>
      <c r="F25" s="147"/>
      <c r="G25" s="147"/>
      <c r="H25" s="147"/>
      <c r="I25" s="147"/>
      <c r="J25" s="147"/>
      <c r="K25" s="148"/>
    </row>
    <row r="26" spans="1:11" ht="38.25" x14ac:dyDescent="0.2">
      <c r="A26" s="131"/>
      <c r="B26" s="149" t="s">
        <v>23</v>
      </c>
      <c r="C26" s="338"/>
      <c r="D26" s="338"/>
      <c r="E26" s="338"/>
      <c r="F26" s="339"/>
      <c r="G26" s="50" t="s">
        <v>28</v>
      </c>
      <c r="H26" s="50" t="s">
        <v>29</v>
      </c>
      <c r="I26" s="50" t="s">
        <v>30</v>
      </c>
      <c r="J26" s="150" t="s">
        <v>31</v>
      </c>
      <c r="K26" s="135"/>
    </row>
    <row r="27" spans="1:11" ht="16.5" x14ac:dyDescent="0.2">
      <c r="A27" s="131"/>
      <c r="B27" s="294" t="s">
        <v>986</v>
      </c>
      <c r="C27" s="295"/>
      <c r="D27" s="295"/>
      <c r="E27" s="295"/>
      <c r="F27" s="296"/>
      <c r="G27" s="260">
        <v>14568</v>
      </c>
      <c r="H27" s="260">
        <v>12500</v>
      </c>
      <c r="I27" s="260">
        <v>2068</v>
      </c>
      <c r="J27" s="261">
        <v>0.16500000000000001</v>
      </c>
      <c r="K27" s="135"/>
    </row>
    <row r="28" spans="1:11" ht="15" x14ac:dyDescent="0.2">
      <c r="A28" s="131"/>
      <c r="B28" s="332" t="s">
        <v>24</v>
      </c>
      <c r="C28" s="333"/>
      <c r="D28" s="333"/>
      <c r="E28" s="333"/>
      <c r="F28" s="334"/>
      <c r="G28" s="262">
        <v>1685</v>
      </c>
      <c r="H28" s="262">
        <v>1351</v>
      </c>
      <c r="I28" s="262">
        <v>334</v>
      </c>
      <c r="J28" s="257">
        <v>0.247</v>
      </c>
      <c r="K28" s="135"/>
    </row>
    <row r="29" spans="1:11" ht="15" x14ac:dyDescent="0.2">
      <c r="A29" s="131"/>
      <c r="B29" s="303" t="s">
        <v>25</v>
      </c>
      <c r="C29" s="304"/>
      <c r="D29" s="304"/>
      <c r="E29" s="304"/>
      <c r="F29" s="305"/>
      <c r="G29" s="263">
        <v>1197</v>
      </c>
      <c r="H29" s="263">
        <v>1009</v>
      </c>
      <c r="I29" s="263">
        <v>188</v>
      </c>
      <c r="J29" s="258">
        <v>0.186</v>
      </c>
      <c r="K29" s="135"/>
    </row>
    <row r="30" spans="1:11" ht="15" x14ac:dyDescent="0.2">
      <c r="A30" s="131"/>
      <c r="B30" s="306" t="s">
        <v>26</v>
      </c>
      <c r="C30" s="307"/>
      <c r="D30" s="307"/>
      <c r="E30" s="307"/>
      <c r="F30" s="308"/>
      <c r="G30" s="263">
        <v>2678</v>
      </c>
      <c r="H30" s="263">
        <v>1966</v>
      </c>
      <c r="I30" s="263">
        <v>712</v>
      </c>
      <c r="J30" s="258">
        <v>0.36199999999999999</v>
      </c>
      <c r="K30" s="135"/>
    </row>
    <row r="31" spans="1:11" ht="15" x14ac:dyDescent="0.2">
      <c r="A31" s="131"/>
      <c r="B31" s="335" t="s">
        <v>27</v>
      </c>
      <c r="C31" s="336"/>
      <c r="D31" s="336"/>
      <c r="E31" s="336"/>
      <c r="F31" s="337"/>
      <c r="G31" s="264">
        <v>9008</v>
      </c>
      <c r="H31" s="264">
        <v>8174</v>
      </c>
      <c r="I31" s="264">
        <v>834</v>
      </c>
      <c r="J31" s="259">
        <v>0.10199999999999999</v>
      </c>
      <c r="K31" s="135"/>
    </row>
    <row r="32" spans="1:11" ht="16.5" x14ac:dyDescent="0.2">
      <c r="A32" s="131"/>
      <c r="B32" s="294" t="s">
        <v>243</v>
      </c>
      <c r="C32" s="295"/>
      <c r="D32" s="295"/>
      <c r="E32" s="295"/>
      <c r="F32" s="296"/>
      <c r="G32" s="260">
        <v>106954</v>
      </c>
      <c r="H32" s="260">
        <v>92559</v>
      </c>
      <c r="I32" s="260">
        <v>14395</v>
      </c>
      <c r="J32" s="261">
        <v>0.156</v>
      </c>
      <c r="K32" s="135"/>
    </row>
    <row r="33" spans="1:11" ht="15" x14ac:dyDescent="0.2">
      <c r="A33" s="131"/>
      <c r="B33" s="332" t="s">
        <v>24</v>
      </c>
      <c r="C33" s="333"/>
      <c r="D33" s="333"/>
      <c r="E33" s="333"/>
      <c r="F33" s="334"/>
      <c r="G33" s="262">
        <v>10326</v>
      </c>
      <c r="H33" s="262">
        <v>7574</v>
      </c>
      <c r="I33" s="262">
        <v>2752</v>
      </c>
      <c r="J33" s="257">
        <v>0.36299999999999999</v>
      </c>
      <c r="K33" s="135"/>
    </row>
    <row r="34" spans="1:11" ht="15" x14ac:dyDescent="0.2">
      <c r="A34" s="131"/>
      <c r="B34" s="303" t="s">
        <v>25</v>
      </c>
      <c r="C34" s="304"/>
      <c r="D34" s="304"/>
      <c r="E34" s="304"/>
      <c r="F34" s="305"/>
      <c r="G34" s="263">
        <v>6797</v>
      </c>
      <c r="H34" s="263">
        <v>5783</v>
      </c>
      <c r="I34" s="263">
        <v>1014</v>
      </c>
      <c r="J34" s="258">
        <v>0.17499999999999999</v>
      </c>
      <c r="K34" s="135"/>
    </row>
    <row r="35" spans="1:11" ht="15" x14ac:dyDescent="0.2">
      <c r="A35" s="131"/>
      <c r="B35" s="306" t="s">
        <v>26</v>
      </c>
      <c r="C35" s="307"/>
      <c r="D35" s="307"/>
      <c r="E35" s="307"/>
      <c r="F35" s="308"/>
      <c r="G35" s="263">
        <v>27750</v>
      </c>
      <c r="H35" s="263">
        <v>22532</v>
      </c>
      <c r="I35" s="263">
        <v>5218</v>
      </c>
      <c r="J35" s="258">
        <v>0.23200000000000001</v>
      </c>
      <c r="K35" s="135"/>
    </row>
    <row r="36" spans="1:11" ht="15.75" thickBot="1" x14ac:dyDescent="0.25">
      <c r="A36" s="131"/>
      <c r="B36" s="309" t="s">
        <v>27</v>
      </c>
      <c r="C36" s="310"/>
      <c r="D36" s="310"/>
      <c r="E36" s="310"/>
      <c r="F36" s="311"/>
      <c r="G36" s="263">
        <v>62081</v>
      </c>
      <c r="H36" s="263">
        <v>56670</v>
      </c>
      <c r="I36" s="263">
        <v>5411</v>
      </c>
      <c r="J36" s="258">
        <v>9.5000000000000001E-2</v>
      </c>
      <c r="K36" s="135"/>
    </row>
    <row r="37" spans="1:11" ht="15.75" customHeight="1" thickBot="1" x14ac:dyDescent="0.25">
      <c r="A37" s="131"/>
      <c r="B37" s="289" t="s">
        <v>991</v>
      </c>
      <c r="C37" s="290"/>
      <c r="D37" s="290"/>
      <c r="E37" s="290"/>
      <c r="F37" s="290"/>
      <c r="G37" s="290"/>
      <c r="H37" s="290"/>
      <c r="I37" s="290"/>
      <c r="J37" s="291"/>
      <c r="K37" s="135"/>
    </row>
    <row r="38" spans="1:11" ht="15" customHeight="1" x14ac:dyDescent="0.2">
      <c r="A38" s="151"/>
      <c r="B38" s="152"/>
      <c r="C38" s="152"/>
      <c r="D38" s="152"/>
      <c r="E38" s="152"/>
      <c r="F38" s="152"/>
      <c r="G38" s="152"/>
      <c r="H38" s="152"/>
      <c r="I38" s="152"/>
      <c r="J38" s="152"/>
      <c r="K38" s="148"/>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A3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7" priority="26" stopIfTrue="1">
      <formula>ISERROR(J6)</formula>
    </cfRule>
  </conditionalFormatting>
  <conditionalFormatting sqref="J8">
    <cfRule type="expression" dxfId="436"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2"/>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3" t="s">
        <v>304</v>
      </c>
      <c r="D2" s="354"/>
      <c r="E2" s="354"/>
      <c r="F2" s="354"/>
      <c r="G2" s="354"/>
      <c r="H2" s="354"/>
      <c r="I2" s="354"/>
      <c r="J2" s="354"/>
      <c r="K2" s="355"/>
      <c r="L2" s="353" t="s">
        <v>309</v>
      </c>
      <c r="M2" s="354"/>
      <c r="N2" s="354"/>
      <c r="O2" s="355"/>
      <c r="P2" s="28"/>
    </row>
    <row r="3" spans="1:16" ht="24" customHeight="1" thickBot="1" x14ac:dyDescent="0.4">
      <c r="A3" s="25"/>
      <c r="B3" s="29"/>
      <c r="C3" s="356"/>
      <c r="D3" s="357"/>
      <c r="E3" s="357"/>
      <c r="F3" s="357"/>
      <c r="G3" s="357"/>
      <c r="H3" s="357"/>
      <c r="I3" s="357"/>
      <c r="J3" s="357"/>
      <c r="K3" s="358"/>
      <c r="L3" s="356" t="str">
        <f>Transformation!B4</f>
        <v>As of: July 18, 2015</v>
      </c>
      <c r="M3" s="357"/>
      <c r="N3" s="357"/>
      <c r="O3" s="358"/>
      <c r="P3" s="28"/>
    </row>
    <row r="4" spans="1:16" ht="51.75" customHeight="1" thickBot="1" x14ac:dyDescent="0.35">
      <c r="A4" s="30"/>
      <c r="B4" s="250" t="s">
        <v>465</v>
      </c>
      <c r="C4" s="359" t="s">
        <v>313</v>
      </c>
      <c r="D4" s="360"/>
      <c r="E4" s="360"/>
      <c r="F4" s="360"/>
      <c r="G4" s="360"/>
      <c r="H4" s="360"/>
      <c r="I4" s="360"/>
      <c r="J4" s="360"/>
      <c r="K4" s="360"/>
      <c r="L4" s="360"/>
      <c r="M4" s="360"/>
      <c r="N4" s="360"/>
      <c r="O4" s="361"/>
      <c r="P4" s="28"/>
    </row>
    <row r="5" spans="1:16" ht="27" customHeight="1" thickBot="1" x14ac:dyDescent="0.25">
      <c r="A5" s="30"/>
      <c r="B5" s="26"/>
      <c r="C5" s="362" t="s">
        <v>1065</v>
      </c>
      <c r="D5" s="363"/>
      <c r="E5" s="363"/>
      <c r="F5" s="363"/>
      <c r="G5" s="363"/>
      <c r="H5" s="363"/>
      <c r="I5" s="363"/>
      <c r="J5" s="363"/>
      <c r="K5" s="363"/>
      <c r="L5" s="363"/>
      <c r="M5" s="363"/>
      <c r="N5" s="363"/>
      <c r="O5" s="364"/>
      <c r="P5" s="28"/>
    </row>
    <row r="6" spans="1:16" ht="55.5" customHeight="1" x14ac:dyDescent="0.2">
      <c r="A6" s="30"/>
      <c r="B6" s="31"/>
      <c r="C6" s="32" t="s">
        <v>198</v>
      </c>
      <c r="D6" s="365" t="s">
        <v>16</v>
      </c>
      <c r="E6" s="366"/>
      <c r="F6" s="33" t="s">
        <v>201</v>
      </c>
      <c r="G6" s="365" t="s">
        <v>206</v>
      </c>
      <c r="H6" s="367"/>
      <c r="I6" s="33" t="s">
        <v>204</v>
      </c>
      <c r="J6" s="371" t="s">
        <v>14</v>
      </c>
      <c r="K6" s="372"/>
      <c r="L6" s="33" t="s">
        <v>209</v>
      </c>
      <c r="M6" s="368" t="s">
        <v>88</v>
      </c>
      <c r="N6" s="369"/>
      <c r="O6" s="370"/>
      <c r="P6" s="28"/>
    </row>
    <row r="7" spans="1:16" ht="51.75" customHeight="1" x14ac:dyDescent="0.2">
      <c r="A7" s="30"/>
      <c r="B7" s="34"/>
      <c r="C7" s="35" t="s">
        <v>199</v>
      </c>
      <c r="D7" s="375" t="s">
        <v>0</v>
      </c>
      <c r="E7" s="376"/>
      <c r="F7" s="36" t="s">
        <v>202</v>
      </c>
      <c r="G7" s="377" t="s">
        <v>207</v>
      </c>
      <c r="H7" s="377"/>
      <c r="I7" s="36" t="s">
        <v>205</v>
      </c>
      <c r="J7" s="340" t="s">
        <v>19</v>
      </c>
      <c r="K7" s="341"/>
      <c r="L7" s="36" t="s">
        <v>210</v>
      </c>
      <c r="M7" s="350" t="s">
        <v>90</v>
      </c>
      <c r="N7" s="351"/>
      <c r="O7" s="352"/>
      <c r="P7" s="28"/>
    </row>
    <row r="8" spans="1:16" ht="51.75" customHeight="1" thickBot="1" x14ac:dyDescent="0.25">
      <c r="A8" s="25"/>
      <c r="B8" s="28"/>
      <c r="C8" s="37" t="s">
        <v>200</v>
      </c>
      <c r="D8" s="378" t="s">
        <v>18</v>
      </c>
      <c r="E8" s="379"/>
      <c r="F8" s="38" t="s">
        <v>203</v>
      </c>
      <c r="G8" s="380" t="s">
        <v>17</v>
      </c>
      <c r="H8" s="380"/>
      <c r="I8" s="38" t="s">
        <v>208</v>
      </c>
      <c r="J8" s="342" t="s">
        <v>87</v>
      </c>
      <c r="K8" s="343"/>
      <c r="L8" s="38" t="s">
        <v>211</v>
      </c>
      <c r="M8" s="382" t="s">
        <v>89</v>
      </c>
      <c r="N8" s="383"/>
      <c r="O8" s="384"/>
      <c r="P8" s="28"/>
    </row>
    <row r="9" spans="1:16" x14ac:dyDescent="0.2">
      <c r="A9" s="28"/>
      <c r="B9" s="28"/>
      <c r="C9" s="39" t="s">
        <v>721</v>
      </c>
      <c r="D9" s="39" t="s">
        <v>723</v>
      </c>
      <c r="E9" s="39" t="s">
        <v>722</v>
      </c>
      <c r="F9" s="39" t="s">
        <v>725</v>
      </c>
      <c r="G9" s="39" t="s">
        <v>724</v>
      </c>
      <c r="H9" s="39" t="s">
        <v>727</v>
      </c>
      <c r="I9" s="39" t="s">
        <v>726</v>
      </c>
      <c r="J9" s="39" t="s">
        <v>937</v>
      </c>
      <c r="K9" s="39" t="s">
        <v>938</v>
      </c>
      <c r="L9" s="39" t="s">
        <v>940</v>
      </c>
      <c r="M9" s="39" t="s">
        <v>941</v>
      </c>
      <c r="N9" s="39" t="s">
        <v>942</v>
      </c>
      <c r="O9" s="39" t="s">
        <v>943</v>
      </c>
      <c r="P9" s="28"/>
    </row>
    <row r="10" spans="1:16" ht="15.75" customHeight="1" x14ac:dyDescent="0.2">
      <c r="A10" s="25"/>
      <c r="B10" s="26"/>
      <c r="C10" s="381" t="s">
        <v>302</v>
      </c>
      <c r="D10" s="381"/>
      <c r="E10" s="381"/>
      <c r="F10" s="381"/>
      <c r="G10" s="381"/>
      <c r="H10" s="381"/>
      <c r="I10" s="381"/>
      <c r="J10" s="381"/>
      <c r="K10" s="381"/>
      <c r="L10" s="381"/>
      <c r="M10" s="381"/>
      <c r="N10" s="381"/>
      <c r="O10" s="381"/>
      <c r="P10" s="28"/>
    </row>
    <row r="11" spans="1:16" ht="32.25" customHeight="1" x14ac:dyDescent="0.2">
      <c r="A11" s="25"/>
      <c r="B11" s="26"/>
      <c r="C11" s="344" t="s">
        <v>234</v>
      </c>
      <c r="D11" s="344" t="s">
        <v>140</v>
      </c>
      <c r="E11" s="344" t="s">
        <v>235</v>
      </c>
      <c r="F11" s="344" t="s">
        <v>195</v>
      </c>
      <c r="G11" s="344" t="s">
        <v>212</v>
      </c>
      <c r="H11" s="344" t="s">
        <v>214</v>
      </c>
      <c r="I11" s="344" t="s">
        <v>215</v>
      </c>
      <c r="J11" s="348" t="s">
        <v>947</v>
      </c>
      <c r="K11" s="348" t="s">
        <v>948</v>
      </c>
      <c r="L11" s="346" t="s">
        <v>197</v>
      </c>
      <c r="M11" s="347"/>
      <c r="N11" s="346" t="s">
        <v>196</v>
      </c>
      <c r="O11" s="347"/>
      <c r="P11" s="28"/>
    </row>
    <row r="12" spans="1:16" ht="32.25" customHeight="1" x14ac:dyDescent="0.2">
      <c r="A12" s="25"/>
      <c r="B12" s="26"/>
      <c r="C12" s="345"/>
      <c r="D12" s="345"/>
      <c r="E12" s="345"/>
      <c r="F12" s="345"/>
      <c r="G12" s="345"/>
      <c r="H12" s="345"/>
      <c r="I12" s="345"/>
      <c r="J12" s="349"/>
      <c r="K12" s="349"/>
      <c r="L12" s="40" t="s">
        <v>944</v>
      </c>
      <c r="M12" s="40" t="s">
        <v>953</v>
      </c>
      <c r="N12" s="40" t="s">
        <v>944</v>
      </c>
      <c r="O12" s="40" t="s">
        <v>953</v>
      </c>
      <c r="P12" s="28"/>
    </row>
    <row r="13" spans="1:16" x14ac:dyDescent="0.2">
      <c r="A13" s="25"/>
      <c r="B13" s="41" t="s">
        <v>746</v>
      </c>
      <c r="C13" s="156">
        <f>IF($B13=" ","",IFERROR(INDEX(MMWR_RATING_RO_ROLLUP[],MATCH($B13,MMWR_RATING_RO_ROLLUP[MMWR_RATING_RO_ROLLUP],0),MATCH(C$9,MMWR_RATING_RO_ROLLUP[#Headers],0)),"ERROR"))</f>
        <v>379370</v>
      </c>
      <c r="D13" s="157">
        <f>IF($B13=" ","",IFERROR(INDEX(MMWR_RATING_RO_ROLLUP[],MATCH($B13,MMWR_RATING_RO_ROLLUP[MMWR_RATING_RO_ROLLUP],0),MATCH(D$9,MMWR_RATING_RO_ROLLUP[#Headers],0)),"ERROR"))</f>
        <v>116.2956375043</v>
      </c>
      <c r="E13" s="158">
        <f>IF($B13=" ","",IFERROR(INDEX(MMWR_RATING_RO_ROLLUP[],MATCH($B13,MMWR_RATING_RO_ROLLUP[MMWR_RATING_RO_ROLLUP],0),MATCH(E$9,MMWR_RATING_RO_ROLLUP[#Headers],0))/$C13,"ERROR"))</f>
        <v>0.31554946358436353</v>
      </c>
      <c r="F13" s="156">
        <f>IF($B13=" ","",IFERROR(INDEX(MMWR_RATING_RO_ROLLUP[],MATCH($B13,MMWR_RATING_RO_ROLLUP[MMWR_RATING_RO_ROLLUP],0),MATCH(F$9,MMWR_RATING_RO_ROLLUP[#Headers],0)),"ERROR"))</f>
        <v>61832</v>
      </c>
      <c r="G13" s="156">
        <f>IF($B13=" ","",IFERROR(INDEX(MMWR_RATING_RO_ROLLUP[],MATCH($B13,MMWR_RATING_RO_ROLLUP[MMWR_RATING_RO_ROLLUP],0),MATCH(G$9,MMWR_RATING_RO_ROLLUP[#Headers],0)),"ERROR"))</f>
        <v>1102390</v>
      </c>
      <c r="H13" s="157">
        <f>IF($B13=" ","",IFERROR(INDEX(MMWR_RATING_RO_ROLLUP[],MATCH($B13,MMWR_RATING_RO_ROLLUP[MMWR_RATING_RO_ROLLUP],0),MATCH(H$9,MMWR_RATING_RO_ROLLUP[#Headers],0)),"ERROR"))</f>
        <v>152.62144197180001</v>
      </c>
      <c r="I13" s="157">
        <f>IF($B13=" ","",IFERROR(INDEX(MMWR_RATING_RO_ROLLUP[],MATCH($B13,MMWR_RATING_RO_ROLLUP[MMWR_RATING_RO_ROLLUP],0),MATCH(I$9,MMWR_RATING_RO_ROLLUP[#Headers],0)),"ERROR"))</f>
        <v>174.92684440170001</v>
      </c>
      <c r="J13" s="159">
        <f>VLOOKUP($B13,MMWR_ACCURACY_RO[],MATCH(J$9,MMWR_ACCURACY_RO[#Headers],0),0)</f>
        <v>0.96182586538183457</v>
      </c>
      <c r="K13" s="159">
        <f>VLOOKUP($B13,MMWR_ACCURACY_RO[],MATCH(K$9,MMWR_ACCURACY_RO[#Headers],0),0)</f>
        <v>0.90110625575584147</v>
      </c>
      <c r="L13" s="159">
        <f>VLOOKUP($B13,MMWR_ACCURACY_RO[],MATCH(L$9,MMWR_ACCURACY_RO[#Headers],0),0)</f>
        <v>0.90686154524514007</v>
      </c>
      <c r="M13" s="159">
        <f>VLOOKUP($B13,MMWR_ACCURACY_RO[],MATCH(M$9,MMWR_ACCURACY_RO[#Headers],0),0)</f>
        <v>6.8423548499075794E-3</v>
      </c>
      <c r="N13" s="159">
        <f>VLOOKUP($B13,MMWR_ACCURACY_RO[],MATCH(N$9,MMWR_ACCURACY_RO[#Headers],0),0)</f>
        <v>0.91566535234070079</v>
      </c>
      <c r="O13" s="159">
        <f>VLOOKUP($B13,MMWR_ACCURACY_RO[],MATCH(O$9,MMWR_ACCURACY_RO[#Headers],0),0)</f>
        <v>7.0650939435798676E-3</v>
      </c>
      <c r="P13" s="28"/>
    </row>
    <row r="14" spans="1:16" x14ac:dyDescent="0.2">
      <c r="A14" s="25"/>
      <c r="B14" s="373" t="s">
        <v>749</v>
      </c>
      <c r="C14" s="374"/>
      <c r="D14" s="374"/>
      <c r="E14" s="374"/>
      <c r="F14" s="374"/>
      <c r="G14" s="374"/>
      <c r="H14" s="374"/>
      <c r="I14" s="374"/>
      <c r="J14" s="374"/>
      <c r="K14" s="374"/>
      <c r="L14" s="374"/>
      <c r="M14" s="374"/>
      <c r="N14" s="374"/>
      <c r="O14" s="374"/>
      <c r="P14" s="28"/>
    </row>
    <row r="15" spans="1:16" x14ac:dyDescent="0.2">
      <c r="A15" s="25"/>
      <c r="B15" s="41" t="s">
        <v>745</v>
      </c>
      <c r="C15" s="156">
        <f>IF($B15=" ","",IFERROR(INDEX(MMWR_RATING_RO_ROLLUP[],MATCH($B15,MMWR_RATING_RO_ROLLUP[MMWR_RATING_RO_ROLLUP],0),MATCH(C$9,MMWR_RATING_RO_ROLLUP[#Headers],0)),"ERROR"))</f>
        <v>344036</v>
      </c>
      <c r="D15" s="157">
        <f>IF($B15=" ","",IFERROR(INDEX(MMWR_RATING_RO_ROLLUP[],MATCH($B15,MMWR_RATING_RO_ROLLUP[MMWR_RATING_RO_ROLLUP],0),MATCH(D$9,MMWR_RATING_RO_ROLLUP[#Headers],0)),"ERROR"))</f>
        <v>121.27516597100001</v>
      </c>
      <c r="E15" s="158">
        <f>IF($B15=" ","",IFERROR(INDEX(MMWR_RATING_RO_ROLLUP[],MATCH($B15,MMWR_RATING_RO_ROLLUP[MMWR_RATING_RO_ROLLUP],0),MATCH(E$9,MMWR_RATING_RO_ROLLUP[#Headers],0))/$C15,"ERROR"))</f>
        <v>0.33494169214849606</v>
      </c>
      <c r="F15" s="156">
        <f>IF($B15=" ","",IFERROR(INDEX(MMWR_RATING_RO_ROLLUP[],MATCH($B15,MMWR_RATING_RO_ROLLUP[MMWR_RATING_RO_ROLLUP],0),MATCH(F$9,MMWR_RATING_RO_ROLLUP[#Headers],0)),"ERROR"))</f>
        <v>53325</v>
      </c>
      <c r="G15" s="156">
        <f>IF($B15=" ","",IFERROR(INDEX(MMWR_RATING_RO_ROLLUP[],MATCH($B15,MMWR_RATING_RO_ROLLUP[MMWR_RATING_RO_ROLLUP],0),MATCH(G$9,MMWR_RATING_RO_ROLLUP[#Headers],0)),"ERROR"))</f>
        <v>939269</v>
      </c>
      <c r="H15" s="157">
        <f>IF($B15=" ","",IFERROR(INDEX(MMWR_RATING_RO_ROLLUP[],MATCH($B15,MMWR_RATING_RO_ROLLUP[MMWR_RATING_RO_ROLLUP],0),MATCH(H$9,MMWR_RATING_RO_ROLLUP[#Headers],0)),"ERROR"))</f>
        <v>163.5784528833</v>
      </c>
      <c r="I15" s="157">
        <f>IF($B15=" ","",IFERROR(INDEX(MMWR_RATING_RO_ROLLUP[],MATCH($B15,MMWR_RATING_RO_ROLLUP[MMWR_RATING_RO_ROLLUP],0),MATCH(I$9,MMWR_RATING_RO_ROLLUP[#Headers],0)),"ERROR"))</f>
        <v>190.61052797439999</v>
      </c>
      <c r="J15" s="160"/>
      <c r="K15" s="160"/>
      <c r="L15" s="160"/>
      <c r="M15" s="160"/>
      <c r="N15" s="160"/>
      <c r="O15" s="160"/>
      <c r="P15" s="28"/>
    </row>
    <row r="16" spans="1:16" x14ac:dyDescent="0.2">
      <c r="A16" s="25"/>
      <c r="B16" s="251" t="s">
        <v>379</v>
      </c>
      <c r="C16" s="156">
        <f>IF($B16=" ","",IFERROR(INDEX(MMWR_RATING_RO_ROLLUP[],MATCH($B16,MMWR_RATING_RO_ROLLUP[MMWR_RATING_RO_ROLLUP],0),MATCH(C$9,MMWR_RATING_RO_ROLLUP[#Headers],0)),"ERROR"))</f>
        <v>74792</v>
      </c>
      <c r="D16" s="157">
        <f>IF($B16=" ","",IFERROR(INDEX(MMWR_RATING_RO_ROLLUP[],MATCH($B16,MMWR_RATING_RO_ROLLUP[MMWR_RATING_RO_ROLLUP],0),MATCH(D$9,MMWR_RATING_RO_ROLLUP[#Headers],0)),"ERROR"))</f>
        <v>121.324580169</v>
      </c>
      <c r="E16" s="158">
        <f>IF($B16=" ","",IFERROR(INDEX(MMWR_RATING_RO_ROLLUP[],MATCH($B16,MMWR_RATING_RO_ROLLUP[MMWR_RATING_RO_ROLLUP],0),MATCH(E$9,MMWR_RATING_RO_ROLLUP[#Headers],0))/$C16,"ERROR"))</f>
        <v>0.33876617820087712</v>
      </c>
      <c r="F16" s="156">
        <f>IF($B16=" ","",IFERROR(INDEX(MMWR_RATING_RO_ROLLUP[],MATCH($B16,MMWR_RATING_RO_ROLLUP[MMWR_RATING_RO_ROLLUP],0),MATCH(F$9,MMWR_RATING_RO_ROLLUP[#Headers],0)),"ERROR"))</f>
        <v>11669</v>
      </c>
      <c r="G16" s="156">
        <f>IF($B16=" ","",IFERROR(INDEX(MMWR_RATING_RO_ROLLUP[],MATCH($B16,MMWR_RATING_RO_ROLLUP[MMWR_RATING_RO_ROLLUP],0),MATCH(G$9,MMWR_RATING_RO_ROLLUP[#Headers],0)),"ERROR"))</f>
        <v>205123</v>
      </c>
      <c r="H16" s="157">
        <f>IF($B16=" ","",IFERROR(INDEX(MMWR_RATING_RO_ROLLUP[],MATCH($B16,MMWR_RATING_RO_ROLLUP[MMWR_RATING_RO_ROLLUP],0),MATCH(H$9,MMWR_RATING_RO_ROLLUP[#Headers],0)),"ERROR"))</f>
        <v>168.5094695347</v>
      </c>
      <c r="I16" s="157">
        <f>IF($B16=" ","",IFERROR(INDEX(MMWR_RATING_RO_ROLLUP[],MATCH($B16,MMWR_RATING_RO_ROLLUP[MMWR_RATING_RO_ROLLUP],0),MATCH(I$9,MMWR_RATING_RO_ROLLUP[#Headers],0)),"ERROR"))</f>
        <v>193.72769509029999</v>
      </c>
      <c r="J16" s="160"/>
      <c r="K16" s="160"/>
      <c r="L16" s="160"/>
      <c r="M16" s="160"/>
      <c r="N16" s="160"/>
      <c r="O16" s="160"/>
      <c r="P16" s="28"/>
    </row>
    <row r="17" spans="1:16" x14ac:dyDescent="0.2">
      <c r="A17" s="25"/>
      <c r="B17" s="8" t="str">
        <f>VLOOKUP($B$16,DISTRICT_RO[],2,0)</f>
        <v>Baltimore VSC</v>
      </c>
      <c r="C17" s="156">
        <f>IF($B17=" ","",IFERROR(INDEX(MMWR_RATING_RO_ROLLUP[],MATCH($B17,MMWR_RATING_RO_ROLLUP[MMWR_RATING_RO_ROLLUP],0),MATCH(C$9,MMWR_RATING_RO_ROLLUP[#Headers],0)),"ERROR"))</f>
        <v>2269</v>
      </c>
      <c r="D17" s="157">
        <f>IF($B17=" ","",IFERROR(INDEX(MMWR_RATING_RO_ROLLUP[],MATCH($B17,MMWR_RATING_RO_ROLLUP[MMWR_RATING_RO_ROLLUP],0),MATCH(D$9,MMWR_RATING_RO_ROLLUP[#Headers],0)),"ERROR"))</f>
        <v>90.4204495372</v>
      </c>
      <c r="E17" s="158">
        <f>IF($B17=" ","",IFERROR(INDEX(MMWR_RATING_RO_ROLLUP[],MATCH($B17,MMWR_RATING_RO_ROLLUP[MMWR_RATING_RO_ROLLUP],0),MATCH(E$9,MMWR_RATING_RO_ROLLUP[#Headers],0))/$C17,"ERROR"))</f>
        <v>0.18289995592772146</v>
      </c>
      <c r="F17" s="156">
        <f>IF($B17=" ","",IFERROR(INDEX(MMWR_RATING_RO_ROLLUP[],MATCH($B17,MMWR_RATING_RO_ROLLUP[MMWR_RATING_RO_ROLLUP],0),MATCH(F$9,MMWR_RATING_RO_ROLLUP[#Headers],0)),"ERROR"))</f>
        <v>423</v>
      </c>
      <c r="G17" s="156">
        <f>IF($B17=" ","",IFERROR(INDEX(MMWR_RATING_RO_ROLLUP[],MATCH($B17,MMWR_RATING_RO_ROLLUP[MMWR_RATING_RO_ROLLUP],0),MATCH(G$9,MMWR_RATING_RO_ROLLUP[#Headers],0)),"ERROR"))</f>
        <v>4783</v>
      </c>
      <c r="H17" s="157">
        <f>IF($B17=" ","",IFERROR(INDEX(MMWR_RATING_RO_ROLLUP[],MATCH($B17,MMWR_RATING_RO_ROLLUP[MMWR_RATING_RO_ROLLUP],0),MATCH(H$9,MMWR_RATING_RO_ROLLUP[#Headers],0)),"ERROR"))</f>
        <v>145.75177304959999</v>
      </c>
      <c r="I17" s="157">
        <f>IF($B17=" ","",IFERROR(INDEX(MMWR_RATING_RO_ROLLUP[],MATCH($B17,MMWR_RATING_RO_ROLLUP[MMWR_RATING_RO_ROLLUP],0),MATCH(I$9,MMWR_RATING_RO_ROLLUP[#Headers],0)),"ERROR"))</f>
        <v>254.4963412084</v>
      </c>
      <c r="J17" s="161">
        <f>IF($B17=" ","",IFERROR(VLOOKUP($B17,MMWR_ACCURACY_RO[],MATCH(J$9,MMWR_ACCURACY_RO[#Headers],0),0),"ERROR"))</f>
        <v>0.93134075670949423</v>
      </c>
      <c r="K17" s="161">
        <f>IF($B17=" ","",IFERROR(VLOOKUP($B17,MMWR_ACCURACY_RO[],MATCH(K$9,MMWR_ACCURACY_RO[#Headers],0),0),"ERROR"))</f>
        <v>0.87277920163492295</v>
      </c>
      <c r="L17" s="161">
        <f>IF($B17=" ","",IFERROR(VLOOKUP($B17,MMWR_ACCURACY_RO[],MATCH(L$9,MMWR_ACCURACY_RO[#Headers],0),0),"ERROR"))</f>
        <v>0.83221513545106207</v>
      </c>
      <c r="M17" s="161">
        <f>IF($B17=" ","",IFERROR(VLOOKUP($B17,MMWR_ACCURACY_RO[],MATCH(M$9,MMWR_ACCURACY_RO[#Headers],0),0),"ERROR"))</f>
        <v>4.7832508114165645E-2</v>
      </c>
      <c r="N17" s="161">
        <f>IF($B17=" ","",IFERROR(VLOOKUP($B17,MMWR_ACCURACY_RO[],MATCH(N$9,MMWR_ACCURACY_RO[#Headers],0),0),"ERROR"))</f>
        <v>0.83830711771888256</v>
      </c>
      <c r="O17" s="161">
        <f>IF($B17=" ","",IFERROR(VLOOKUP($B17,MMWR_ACCURACY_RO[],MATCH(O$9,MMWR_ACCURACY_RO[#Headers],0),0),"ERROR"))</f>
        <v>4.9479304242210628E-2</v>
      </c>
      <c r="P17" s="28"/>
    </row>
    <row r="18" spans="1:16" x14ac:dyDescent="0.2">
      <c r="A18" s="25"/>
      <c r="B18" s="8" t="str">
        <f>VLOOKUP($B$16,DISTRICT_RO[],3,0)</f>
        <v>Boston VSC</v>
      </c>
      <c r="C18" s="156">
        <f>IF($B18=" ","",IFERROR(INDEX(MMWR_RATING_RO_ROLLUP[],MATCH($B18,MMWR_RATING_RO_ROLLUP[MMWR_RATING_RO_ROLLUP],0),MATCH(C$9,MMWR_RATING_RO_ROLLUP[#Headers],0)),"ERROR"))</f>
        <v>3398</v>
      </c>
      <c r="D18" s="157">
        <f>IF($B18=" ","",IFERROR(INDEX(MMWR_RATING_RO_ROLLUP[],MATCH($B18,MMWR_RATING_RO_ROLLUP[MMWR_RATING_RO_ROLLUP],0),MATCH(D$9,MMWR_RATING_RO_ROLLUP[#Headers],0)),"ERROR"))</f>
        <v>99.786050618000004</v>
      </c>
      <c r="E18" s="158">
        <f>IF($B18=" ","",IFERROR(INDEX(MMWR_RATING_RO_ROLLUP[],MATCH($B18,MMWR_RATING_RO_ROLLUP[MMWR_RATING_RO_ROLLUP],0),MATCH(E$9,MMWR_RATING_RO_ROLLUP[#Headers],0))/$C18,"ERROR"))</f>
        <v>0.2872277810476751</v>
      </c>
      <c r="F18" s="156">
        <f>IF($B18=" ","",IFERROR(INDEX(MMWR_RATING_RO_ROLLUP[],MATCH($B18,MMWR_RATING_RO_ROLLUP[MMWR_RATING_RO_ROLLUP],0),MATCH(F$9,MMWR_RATING_RO_ROLLUP[#Headers],0)),"ERROR"))</f>
        <v>459</v>
      </c>
      <c r="G18" s="156">
        <f>IF($B18=" ","",IFERROR(INDEX(MMWR_RATING_RO_ROLLUP[],MATCH($B18,MMWR_RATING_RO_ROLLUP[MMWR_RATING_RO_ROLLUP],0),MATCH(G$9,MMWR_RATING_RO_ROLLUP[#Headers],0)),"ERROR"))</f>
        <v>8121</v>
      </c>
      <c r="H18" s="157">
        <f>IF($B18=" ","",IFERROR(INDEX(MMWR_RATING_RO_ROLLUP[],MATCH($B18,MMWR_RATING_RO_ROLLUP[MMWR_RATING_RO_ROLLUP],0),MATCH(H$9,MMWR_RATING_RO_ROLLUP[#Headers],0)),"ERROR"))</f>
        <v>165.1764705882</v>
      </c>
      <c r="I18" s="157">
        <f>IF($B18=" ","",IFERROR(INDEX(MMWR_RATING_RO_ROLLUP[],MATCH($B18,MMWR_RATING_RO_ROLLUP[MMWR_RATING_RO_ROLLUP],0),MATCH(I$9,MMWR_RATING_RO_ROLLUP[#Headers],0)),"ERROR"))</f>
        <v>208.06747937450001</v>
      </c>
      <c r="J18" s="161">
        <f>IF($B18=" ","",IFERROR(VLOOKUP($B18,MMWR_ACCURACY_RO[],MATCH(J$9,MMWR_ACCURACY_RO[#Headers],0),0),"ERROR"))</f>
        <v>0.89547703739678575</v>
      </c>
      <c r="K18" s="161">
        <f>IF($B18=" ","",IFERROR(VLOOKUP($B18,MMWR_ACCURACY_RO[],MATCH(K$9,MMWR_ACCURACY_RO[#Headers],0),0),"ERROR"))</f>
        <v>0.85724912090884497</v>
      </c>
      <c r="L18" s="161">
        <f>IF($B18=" ","",IFERROR(VLOOKUP($B18,MMWR_ACCURACY_RO[],MATCH(L$9,MMWR_ACCURACY_RO[#Headers],0),0),"ERROR"))</f>
        <v>0.88080231846990087</v>
      </c>
      <c r="M18" s="161">
        <f>IF($B18=" ","",IFERROR(VLOOKUP($B18,MMWR_ACCURACY_RO[],MATCH(M$9,MMWR_ACCURACY_RO[#Headers],0),0),"ERROR"))</f>
        <v>4.8730308413492907E-2</v>
      </c>
      <c r="N18" s="161">
        <f>IF($B18=" ","",IFERROR(VLOOKUP($B18,MMWR_ACCURACY_RO[],MATCH(N$9,MMWR_ACCURACY_RO[#Headers],0),0),"ERROR"))</f>
        <v>0.87561903097797933</v>
      </c>
      <c r="O18" s="161">
        <f>IF($B18=" ","",IFERROR(VLOOKUP($B18,MMWR_ACCURACY_RO[],MATCH(O$9,MMWR_ACCURACY_RO[#Headers],0),0),"ERROR"))</f>
        <v>5.9075420563334619E-2</v>
      </c>
      <c r="P18" s="28"/>
    </row>
    <row r="19" spans="1:16" x14ac:dyDescent="0.2">
      <c r="A19" s="25"/>
      <c r="B19" s="8" t="str">
        <f>VLOOKUP($B$16,DISTRICT_RO[],4,0)</f>
        <v>Buffalo VSC</v>
      </c>
      <c r="C19" s="156">
        <f>IF($B19=" ","",IFERROR(INDEX(MMWR_RATING_RO_ROLLUP[],MATCH($B19,MMWR_RATING_RO_ROLLUP[MMWR_RATING_RO_ROLLUP],0),MATCH(C$9,MMWR_RATING_RO_ROLLUP[#Headers],0)),"ERROR"))</f>
        <v>4133</v>
      </c>
      <c r="D19" s="157">
        <f>IF($B19=" ","",IFERROR(INDEX(MMWR_RATING_RO_ROLLUP[],MATCH($B19,MMWR_RATING_RO_ROLLUP[MMWR_RATING_RO_ROLLUP],0),MATCH(D$9,MMWR_RATING_RO_ROLLUP[#Headers],0)),"ERROR"))</f>
        <v>95.664408420000001</v>
      </c>
      <c r="E19" s="158">
        <f>IF($B19=" ","",IFERROR(INDEX(MMWR_RATING_RO_ROLLUP[],MATCH($B19,MMWR_RATING_RO_ROLLUP[MMWR_RATING_RO_ROLLUP],0),MATCH(E$9,MMWR_RATING_RO_ROLLUP[#Headers],0))/$C19,"ERROR"))</f>
        <v>0.21195257682071134</v>
      </c>
      <c r="F19" s="156">
        <f>IF($B19=" ","",IFERROR(INDEX(MMWR_RATING_RO_ROLLUP[],MATCH($B19,MMWR_RATING_RO_ROLLUP[MMWR_RATING_RO_ROLLUP],0),MATCH(F$9,MMWR_RATING_RO_ROLLUP[#Headers],0)),"ERROR"))</f>
        <v>396</v>
      </c>
      <c r="G19" s="156">
        <f>IF($B19=" ","",IFERROR(INDEX(MMWR_RATING_RO_ROLLUP[],MATCH($B19,MMWR_RATING_RO_ROLLUP[MMWR_RATING_RO_ROLLUP],0),MATCH(G$9,MMWR_RATING_RO_ROLLUP[#Headers],0)),"ERROR"))</f>
        <v>9271</v>
      </c>
      <c r="H19" s="157">
        <f>IF($B19=" ","",IFERROR(INDEX(MMWR_RATING_RO_ROLLUP[],MATCH($B19,MMWR_RATING_RO_ROLLUP[MMWR_RATING_RO_ROLLUP],0),MATCH(H$9,MMWR_RATING_RO_ROLLUP[#Headers],0)),"ERROR"))</f>
        <v>204.75252525249999</v>
      </c>
      <c r="I19" s="157">
        <f>IF($B19=" ","",IFERROR(INDEX(MMWR_RATING_RO_ROLLUP[],MATCH($B19,MMWR_RATING_RO_ROLLUP[MMWR_RATING_RO_ROLLUP],0),MATCH(I$9,MMWR_RATING_RO_ROLLUP[#Headers],0)),"ERROR"))</f>
        <v>214.41484198040001</v>
      </c>
      <c r="J19" s="161">
        <f>IF($B19=" ","",IFERROR(VLOOKUP($B19,MMWR_ACCURACY_RO[],MATCH(J$9,MMWR_ACCURACY_RO[#Headers],0),0),"ERROR"))</f>
        <v>0.90460762202875344</v>
      </c>
      <c r="K19" s="161">
        <f>IF($B19=" ","",IFERROR(VLOOKUP($B19,MMWR_ACCURACY_RO[],MATCH(K$9,MMWR_ACCURACY_RO[#Headers],0),0),"ERROR"))</f>
        <v>0.84031885306905862</v>
      </c>
      <c r="L19" s="161">
        <f>IF($B19=" ","",IFERROR(VLOOKUP($B19,MMWR_ACCURACY_RO[],MATCH(L$9,MMWR_ACCURACY_RO[#Headers],0),0),"ERROR"))</f>
        <v>0.90570831544016039</v>
      </c>
      <c r="M19" s="161">
        <f>IF($B19=" ","",IFERROR(VLOOKUP($B19,MMWR_ACCURACY_RO[],MATCH(M$9,MMWR_ACCURACY_RO[#Headers],0),0),"ERROR"))</f>
        <v>4.1002036623732113E-2</v>
      </c>
      <c r="N19" s="161">
        <f>IF($B19=" ","",IFERROR(VLOOKUP($B19,MMWR_ACCURACY_RO[],MATCH(N$9,MMWR_ACCURACY_RO[#Headers],0),0),"ERROR"))</f>
        <v>0.87463737062674474</v>
      </c>
      <c r="O19" s="161">
        <f>IF($B19=" ","",IFERROR(VLOOKUP($B19,MMWR_ACCURACY_RO[],MATCH(O$9,MMWR_ACCURACY_RO[#Headers],0),0),"ERROR"))</f>
        <v>4.3542756692518267E-2</v>
      </c>
      <c r="P19" s="28"/>
    </row>
    <row r="20" spans="1:16" x14ac:dyDescent="0.2">
      <c r="A20" s="25"/>
      <c r="B20" s="8" t="str">
        <f>VLOOKUP($B$16,DISTRICT_RO[],5,0)</f>
        <v>Hartford VSC</v>
      </c>
      <c r="C20" s="156">
        <f>IF($B20=" ","",IFERROR(INDEX(MMWR_RATING_RO_ROLLUP[],MATCH($B20,MMWR_RATING_RO_ROLLUP[MMWR_RATING_RO_ROLLUP],0),MATCH(C$9,MMWR_RATING_RO_ROLLUP[#Headers],0)),"ERROR"))</f>
        <v>2980</v>
      </c>
      <c r="D20" s="157">
        <f>IF($B20=" ","",IFERROR(INDEX(MMWR_RATING_RO_ROLLUP[],MATCH($B20,MMWR_RATING_RO_ROLLUP[MMWR_RATING_RO_ROLLUP],0),MATCH(D$9,MMWR_RATING_RO_ROLLUP[#Headers],0)),"ERROR"))</f>
        <v>134.9446308725</v>
      </c>
      <c r="E20" s="158">
        <f>IF($B20=" ","",IFERROR(INDEX(MMWR_RATING_RO_ROLLUP[],MATCH($B20,MMWR_RATING_RO_ROLLUP[MMWR_RATING_RO_ROLLUP],0),MATCH(E$9,MMWR_RATING_RO_ROLLUP[#Headers],0))/$C20,"ERROR"))</f>
        <v>0.42382550335570468</v>
      </c>
      <c r="F20" s="156">
        <f>IF($B20=" ","",IFERROR(INDEX(MMWR_RATING_RO_ROLLUP[],MATCH($B20,MMWR_RATING_RO_ROLLUP[MMWR_RATING_RO_ROLLUP],0),MATCH(F$9,MMWR_RATING_RO_ROLLUP[#Headers],0)),"ERROR"))</f>
        <v>443</v>
      </c>
      <c r="G20" s="156">
        <f>IF($B20=" ","",IFERROR(INDEX(MMWR_RATING_RO_ROLLUP[],MATCH($B20,MMWR_RATING_RO_ROLLUP[MMWR_RATING_RO_ROLLUP],0),MATCH(G$9,MMWR_RATING_RO_ROLLUP[#Headers],0)),"ERROR"))</f>
        <v>7876</v>
      </c>
      <c r="H20" s="157">
        <f>IF($B20=" ","",IFERROR(INDEX(MMWR_RATING_RO_ROLLUP[],MATCH($B20,MMWR_RATING_RO_ROLLUP[MMWR_RATING_RO_ROLLUP],0),MATCH(H$9,MMWR_RATING_RO_ROLLUP[#Headers],0)),"ERROR"))</f>
        <v>177.44920993229999</v>
      </c>
      <c r="I20" s="157">
        <f>IF($B20=" ","",IFERROR(INDEX(MMWR_RATING_RO_ROLLUP[],MATCH($B20,MMWR_RATING_RO_ROLLUP[MMWR_RATING_RO_ROLLUP],0),MATCH(I$9,MMWR_RATING_RO_ROLLUP[#Headers],0)),"ERROR"))</f>
        <v>174.51104621639999</v>
      </c>
      <c r="J20" s="161">
        <f>IF($B20=" ","",IFERROR(VLOOKUP($B20,MMWR_ACCURACY_RO[],MATCH(J$9,MMWR_ACCURACY_RO[#Headers],0),0),"ERROR"))</f>
        <v>0.96061599959001698</v>
      </c>
      <c r="K20" s="161">
        <f>IF($B20=" ","",IFERROR(VLOOKUP($B20,MMWR_ACCURACY_RO[],MATCH(K$9,MMWR_ACCURACY_RO[#Headers],0),0),"ERROR"))</f>
        <v>0.92735426008968613</v>
      </c>
      <c r="L20" s="161">
        <f>IF($B20=" ","",IFERROR(VLOOKUP($B20,MMWR_ACCURACY_RO[],MATCH(L$9,MMWR_ACCURACY_RO[#Headers],0),0),"ERROR"))</f>
        <v>0.93565771383262453</v>
      </c>
      <c r="M20" s="161">
        <f>IF($B20=" ","",IFERROR(VLOOKUP($B20,MMWR_ACCURACY_RO[],MATCH(M$9,MMWR_ACCURACY_RO[#Headers],0),0),"ERROR"))</f>
        <v>3.2359269054381912E-2</v>
      </c>
      <c r="N20" s="161">
        <f>IF($B20=" ","",IFERROR(VLOOKUP($B20,MMWR_ACCURACY_RO[],MATCH(N$9,MMWR_ACCURACY_RO[#Headers],0),0),"ERROR"))</f>
        <v>0.97464881883895971</v>
      </c>
      <c r="O20" s="161">
        <f>IF($B20=" ","",IFERROR(VLOOKUP($B20,MMWR_ACCURACY_RO[],MATCH(O$9,MMWR_ACCURACY_RO[#Headers],0),0),"ERROR"))</f>
        <v>2.6565834709229037E-2</v>
      </c>
      <c r="P20" s="28"/>
    </row>
    <row r="21" spans="1:16" x14ac:dyDescent="0.2">
      <c r="A21" s="25"/>
      <c r="B21" s="8" t="str">
        <f>VLOOKUP($B$16,DISTRICT_RO[],6,0)</f>
        <v>Huntington VSC</v>
      </c>
      <c r="C21" s="156">
        <f>IF($B21=" ","",IFERROR(INDEX(MMWR_RATING_RO_ROLLUP[],MATCH($B21,MMWR_RATING_RO_ROLLUP[MMWR_RATING_RO_ROLLUP],0),MATCH(C$9,MMWR_RATING_RO_ROLLUP[#Headers],0)),"ERROR"))</f>
        <v>4654</v>
      </c>
      <c r="D21" s="157">
        <f>IF($B21=" ","",IFERROR(INDEX(MMWR_RATING_RO_ROLLUP[],MATCH($B21,MMWR_RATING_RO_ROLLUP[MMWR_RATING_RO_ROLLUP],0),MATCH(D$9,MMWR_RATING_RO_ROLLUP[#Headers],0)),"ERROR"))</f>
        <v>126.1607219596</v>
      </c>
      <c r="E21" s="158">
        <f>IF($B21=" ","",IFERROR(INDEX(MMWR_RATING_RO_ROLLUP[],MATCH($B21,MMWR_RATING_RO_ROLLUP[MMWR_RATING_RO_ROLLUP],0),MATCH(E$9,MMWR_RATING_RO_ROLLUP[#Headers],0))/$C21,"ERROR"))</f>
        <v>0.37129351095831542</v>
      </c>
      <c r="F21" s="156">
        <f>IF($B21=" ","",IFERROR(INDEX(MMWR_RATING_RO_ROLLUP[],MATCH($B21,MMWR_RATING_RO_ROLLUP[MMWR_RATING_RO_ROLLUP],0),MATCH(F$9,MMWR_RATING_RO_ROLLUP[#Headers],0)),"ERROR"))</f>
        <v>1122</v>
      </c>
      <c r="G21" s="156">
        <f>IF($B21=" ","",IFERROR(INDEX(MMWR_RATING_RO_ROLLUP[],MATCH($B21,MMWR_RATING_RO_ROLLUP[MMWR_RATING_RO_ROLLUP],0),MATCH(G$9,MMWR_RATING_RO_ROLLUP[#Headers],0)),"ERROR"))</f>
        <v>14705</v>
      </c>
      <c r="H21" s="157">
        <f>IF($B21=" ","",IFERROR(INDEX(MMWR_RATING_RO_ROLLUP[],MATCH($B21,MMWR_RATING_RO_ROLLUP[MMWR_RATING_RO_ROLLUP],0),MATCH(H$9,MMWR_RATING_RO_ROLLUP[#Headers],0)),"ERROR"))</f>
        <v>170.19251336900001</v>
      </c>
      <c r="I21" s="157">
        <f>IF($B21=" ","",IFERROR(INDEX(MMWR_RATING_RO_ROLLUP[],MATCH($B21,MMWR_RATING_RO_ROLLUP[MMWR_RATING_RO_ROLLUP],0),MATCH(I$9,MMWR_RATING_RO_ROLLUP[#Headers],0)),"ERROR"))</f>
        <v>181.23964637879999</v>
      </c>
      <c r="J21" s="161">
        <f>IF($B21=" ","",IFERROR(VLOOKUP($B21,MMWR_ACCURACY_RO[],MATCH(J$9,MMWR_ACCURACY_RO[#Headers],0),0),"ERROR"))</f>
        <v>0.88047528089071614</v>
      </c>
      <c r="K21" s="161">
        <f>IF($B21=" ","",IFERROR(VLOOKUP($B21,MMWR_ACCURACY_RO[],MATCH(K$9,MMWR_ACCURACY_RO[#Headers],0),0),"ERROR"))</f>
        <v>0.85989691242609534</v>
      </c>
      <c r="L21" s="161">
        <f>IF($B21=" ","",IFERROR(VLOOKUP($B21,MMWR_ACCURACY_RO[],MATCH(L$9,MMWR_ACCURACY_RO[#Headers],0),0),"ERROR"))</f>
        <v>0.91264354378571755</v>
      </c>
      <c r="M21" s="161">
        <f>IF($B21=" ","",IFERROR(VLOOKUP($B21,MMWR_ACCURACY_RO[],MATCH(M$9,MMWR_ACCURACY_RO[#Headers],0),0),"ERROR"))</f>
        <v>3.9663167617869491E-2</v>
      </c>
      <c r="N21" s="161">
        <f>IF($B21=" ","",IFERROR(VLOOKUP($B21,MMWR_ACCURACY_RO[],MATCH(N$9,MMWR_ACCURACY_RO[#Headers],0),0),"ERROR"))</f>
        <v>0.93151672050268219</v>
      </c>
      <c r="O21" s="161">
        <f>IF($B21=" ","",IFERROR(VLOOKUP($B21,MMWR_ACCURACY_RO[],MATCH(O$9,MMWR_ACCURACY_RO[#Headers],0),0),"ERROR"))</f>
        <v>3.8916220579615697E-2</v>
      </c>
      <c r="P21" s="28"/>
    </row>
    <row r="22" spans="1:16" x14ac:dyDescent="0.2">
      <c r="A22" s="25"/>
      <c r="B22" s="8" t="str">
        <f>VLOOKUP($B$16,DISTRICT_RO[],7,0)</f>
        <v>Manchester VSC</v>
      </c>
      <c r="C22" s="156">
        <f>IF($B22=" ","",IFERROR(INDEX(MMWR_RATING_RO_ROLLUP[],MATCH($B22,MMWR_RATING_RO_ROLLUP[MMWR_RATING_RO_ROLLUP],0),MATCH(C$9,MMWR_RATING_RO_ROLLUP[#Headers],0)),"ERROR"))</f>
        <v>1595</v>
      </c>
      <c r="D22" s="157">
        <f>IF($B22=" ","",IFERROR(INDEX(MMWR_RATING_RO_ROLLUP[],MATCH($B22,MMWR_RATING_RO_ROLLUP[MMWR_RATING_RO_ROLLUP],0),MATCH(D$9,MMWR_RATING_RO_ROLLUP[#Headers],0)),"ERROR"))</f>
        <v>117.82006269590001</v>
      </c>
      <c r="E22" s="158">
        <f>IF($B22=" ","",IFERROR(INDEX(MMWR_RATING_RO_ROLLUP[],MATCH($B22,MMWR_RATING_RO_ROLLUP[MMWR_RATING_RO_ROLLUP],0),MATCH(E$9,MMWR_RATING_RO_ROLLUP[#Headers],0))/$C22,"ERROR"))</f>
        <v>0.2927899686520376</v>
      </c>
      <c r="F22" s="156">
        <f>IF($B22=" ","",IFERROR(INDEX(MMWR_RATING_RO_ROLLUP[],MATCH($B22,MMWR_RATING_RO_ROLLUP[MMWR_RATING_RO_ROLLUP],0),MATCH(F$9,MMWR_RATING_RO_ROLLUP[#Headers],0)),"ERROR"))</f>
        <v>240</v>
      </c>
      <c r="G22" s="156">
        <f>IF($B22=" ","",IFERROR(INDEX(MMWR_RATING_RO_ROLLUP[],MATCH($B22,MMWR_RATING_RO_ROLLUP[MMWR_RATING_RO_ROLLUP],0),MATCH(G$9,MMWR_RATING_RO_ROLLUP[#Headers],0)),"ERROR"))</f>
        <v>3842</v>
      </c>
      <c r="H22" s="157">
        <f>IF($B22=" ","",IFERROR(INDEX(MMWR_RATING_RO_ROLLUP[],MATCH($B22,MMWR_RATING_RO_ROLLUP[MMWR_RATING_RO_ROLLUP],0),MATCH(H$9,MMWR_RATING_RO_ROLLUP[#Headers],0)),"ERROR"))</f>
        <v>183.01249999999999</v>
      </c>
      <c r="I22" s="157">
        <f>IF($B22=" ","",IFERROR(INDEX(MMWR_RATING_RO_ROLLUP[],MATCH($B22,MMWR_RATING_RO_ROLLUP[MMWR_RATING_RO_ROLLUP],0),MATCH(I$9,MMWR_RATING_RO_ROLLUP[#Headers],0)),"ERROR"))</f>
        <v>194.8555439875</v>
      </c>
      <c r="J22" s="161">
        <f>IF($B22=" ","",IFERROR(VLOOKUP($B22,MMWR_ACCURACY_RO[],MATCH(J$9,MMWR_ACCURACY_RO[#Headers],0),0),"ERROR"))</f>
        <v>0.94562122567128137</v>
      </c>
      <c r="K22" s="161">
        <f>IF($B22=" ","",IFERROR(VLOOKUP($B22,MMWR_ACCURACY_RO[],MATCH(K$9,MMWR_ACCURACY_RO[#Headers],0),0),"ERROR"))</f>
        <v>0.88989076184198135</v>
      </c>
      <c r="L22" s="161">
        <f>IF($B22=" ","",IFERROR(VLOOKUP($B22,MMWR_ACCURACY_RO[],MATCH(L$9,MMWR_ACCURACY_RO[#Headers],0),0),"ERROR"))</f>
        <v>0.90027656773516762</v>
      </c>
      <c r="M22" s="161">
        <f>IF($B22=" ","",IFERROR(VLOOKUP($B22,MMWR_ACCURACY_RO[],MATCH(M$9,MMWR_ACCURACY_RO[#Headers],0),0),"ERROR"))</f>
        <v>4.3131920360894679E-2</v>
      </c>
      <c r="N22" s="161">
        <f>IF($B22=" ","",IFERROR(VLOOKUP($B22,MMWR_ACCURACY_RO[],MATCH(N$9,MMWR_ACCURACY_RO[#Headers],0),0),"ERROR"))</f>
        <v>0.93063214403375671</v>
      </c>
      <c r="O22" s="161">
        <f>IF($B22=" ","",IFERROR(VLOOKUP($B22,MMWR_ACCURACY_RO[],MATCH(O$9,MMWR_ACCURACY_RO[#Headers],0),0),"ERROR"))</f>
        <v>2.9201016572666133E-2</v>
      </c>
      <c r="P22" s="28"/>
    </row>
    <row r="23" spans="1:16" x14ac:dyDescent="0.2">
      <c r="A23" s="25"/>
      <c r="B23" s="8" t="str">
        <f>VLOOKUP($B$16,DISTRICT_RO[],8,0)</f>
        <v>New York VSC</v>
      </c>
      <c r="C23" s="156">
        <f>IF($B23=" ","",IFERROR(INDEX(MMWR_RATING_RO_ROLLUP[],MATCH($B23,MMWR_RATING_RO_ROLLUP[MMWR_RATING_RO_ROLLUP],0),MATCH(C$9,MMWR_RATING_RO_ROLLUP[#Headers],0)),"ERROR"))</f>
        <v>4427</v>
      </c>
      <c r="D23" s="157">
        <f>IF($B23=" ","",IFERROR(INDEX(MMWR_RATING_RO_ROLLUP[],MATCH($B23,MMWR_RATING_RO_ROLLUP[MMWR_RATING_RO_ROLLUP],0),MATCH(D$9,MMWR_RATING_RO_ROLLUP[#Headers],0)),"ERROR"))</f>
        <v>102.6814998871</v>
      </c>
      <c r="E23" s="158">
        <f>IF($B23=" ","",IFERROR(INDEX(MMWR_RATING_RO_ROLLUP[],MATCH($B23,MMWR_RATING_RO_ROLLUP[MMWR_RATING_RO_ROLLUP],0),MATCH(E$9,MMWR_RATING_RO_ROLLUP[#Headers],0))/$C23,"ERROR"))</f>
        <v>0.28235825615540999</v>
      </c>
      <c r="F23" s="156">
        <f>IF($B23=" ","",IFERROR(INDEX(MMWR_RATING_RO_ROLLUP[],MATCH($B23,MMWR_RATING_RO_ROLLUP[MMWR_RATING_RO_ROLLUP],0),MATCH(F$9,MMWR_RATING_RO_ROLLUP[#Headers],0)),"ERROR"))</f>
        <v>660</v>
      </c>
      <c r="G23" s="156">
        <f>IF($B23=" ","",IFERROR(INDEX(MMWR_RATING_RO_ROLLUP[],MATCH($B23,MMWR_RATING_RO_ROLLUP[MMWR_RATING_RO_ROLLUP],0),MATCH(G$9,MMWR_RATING_RO_ROLLUP[#Headers],0)),"ERROR"))</f>
        <v>11337</v>
      </c>
      <c r="H23" s="157">
        <f>IF($B23=" ","",IFERROR(INDEX(MMWR_RATING_RO_ROLLUP[],MATCH($B23,MMWR_RATING_RO_ROLLUP[MMWR_RATING_RO_ROLLUP],0),MATCH(H$9,MMWR_RATING_RO_ROLLUP[#Headers],0)),"ERROR"))</f>
        <v>155.98484848480001</v>
      </c>
      <c r="I23" s="157">
        <f>IF($B23=" ","",IFERROR(INDEX(MMWR_RATING_RO_ROLLUP[],MATCH($B23,MMWR_RATING_RO_ROLLUP[MMWR_RATING_RO_ROLLUP],0),MATCH(I$9,MMWR_RATING_RO_ROLLUP[#Headers],0)),"ERROR"))</f>
        <v>196.51195201549999</v>
      </c>
      <c r="J23" s="161">
        <f>IF($B23=" ","",IFERROR(VLOOKUP($B23,MMWR_ACCURACY_RO[],MATCH(J$9,MMWR_ACCURACY_RO[#Headers],0),0),"ERROR"))</f>
        <v>0.94380649199729905</v>
      </c>
      <c r="K23" s="161">
        <f>IF($B23=" ","",IFERROR(VLOOKUP($B23,MMWR_ACCURACY_RO[],MATCH(K$9,MMWR_ACCURACY_RO[#Headers],0),0),"ERROR"))</f>
        <v>0.89254704199909662</v>
      </c>
      <c r="L23" s="161">
        <f>IF($B23=" ","",IFERROR(VLOOKUP($B23,MMWR_ACCURACY_RO[],MATCH(L$9,MMWR_ACCURACY_RO[#Headers],0),0),"ERROR"))</f>
        <v>0.90507961152224692</v>
      </c>
      <c r="M23" s="161">
        <f>IF($B23=" ","",IFERROR(VLOOKUP($B23,MMWR_ACCURACY_RO[],MATCH(M$9,MMWR_ACCURACY_RO[#Headers],0),0),"ERROR"))</f>
        <v>4.2516139834241858E-2</v>
      </c>
      <c r="N23" s="161">
        <f>IF($B23=" ","",IFERROR(VLOOKUP($B23,MMWR_ACCURACY_RO[],MATCH(N$9,MMWR_ACCURACY_RO[#Headers],0),0),"ERROR"))</f>
        <v>0.89503876121664161</v>
      </c>
      <c r="O23" s="161">
        <f>IF($B23=" ","",IFERROR(VLOOKUP($B23,MMWR_ACCURACY_RO[],MATCH(O$9,MMWR_ACCURACY_RO[#Headers],0),0),"ERROR"))</f>
        <v>4.5780591180819244E-2</v>
      </c>
      <c r="P23" s="28"/>
    </row>
    <row r="24" spans="1:16" x14ac:dyDescent="0.2">
      <c r="A24" s="25"/>
      <c r="B24" s="8" t="str">
        <f>VLOOKUP($B$16,DISTRICT_RO[],9,0)</f>
        <v>Newark VSC</v>
      </c>
      <c r="C24" s="156">
        <f>IF($B24=" ","",IFERROR(INDEX(MMWR_RATING_RO_ROLLUP[],MATCH($B24,MMWR_RATING_RO_ROLLUP[MMWR_RATING_RO_ROLLUP],0),MATCH(C$9,MMWR_RATING_RO_ROLLUP[#Headers],0)),"ERROR"))</f>
        <v>2545</v>
      </c>
      <c r="D24" s="157">
        <f>IF($B24=" ","",IFERROR(INDEX(MMWR_RATING_RO_ROLLUP[],MATCH($B24,MMWR_RATING_RO_ROLLUP[MMWR_RATING_RO_ROLLUP],0),MATCH(D$9,MMWR_RATING_RO_ROLLUP[#Headers],0)),"ERROR"))</f>
        <v>103.04125736739999</v>
      </c>
      <c r="E24" s="158">
        <f>IF($B24=" ","",IFERROR(INDEX(MMWR_RATING_RO_ROLLUP[],MATCH($B24,MMWR_RATING_RO_ROLLUP[MMWR_RATING_RO_ROLLUP],0),MATCH(E$9,MMWR_RATING_RO_ROLLUP[#Headers],0))/$C24,"ERROR"))</f>
        <v>0.30766208251473476</v>
      </c>
      <c r="F24" s="156">
        <f>IF($B24=" ","",IFERROR(INDEX(MMWR_RATING_RO_ROLLUP[],MATCH($B24,MMWR_RATING_RO_ROLLUP[MMWR_RATING_RO_ROLLUP],0),MATCH(F$9,MMWR_RATING_RO_ROLLUP[#Headers],0)),"ERROR"))</f>
        <v>374</v>
      </c>
      <c r="G24" s="156">
        <f>IF($B24=" ","",IFERROR(INDEX(MMWR_RATING_RO_ROLLUP[],MATCH($B24,MMWR_RATING_RO_ROLLUP[MMWR_RATING_RO_ROLLUP],0),MATCH(G$9,MMWR_RATING_RO_ROLLUP[#Headers],0)),"ERROR"))</f>
        <v>6089</v>
      </c>
      <c r="H24" s="157">
        <f>IF($B24=" ","",IFERROR(INDEX(MMWR_RATING_RO_ROLLUP[],MATCH($B24,MMWR_RATING_RO_ROLLUP[MMWR_RATING_RO_ROLLUP],0),MATCH(H$9,MMWR_RATING_RO_ROLLUP[#Headers],0)),"ERROR"))</f>
        <v>149.58556149730001</v>
      </c>
      <c r="I24" s="157">
        <f>IF($B24=" ","",IFERROR(INDEX(MMWR_RATING_RO_ROLLUP[],MATCH($B24,MMWR_RATING_RO_ROLLUP[MMWR_RATING_RO_ROLLUP],0),MATCH(I$9,MMWR_RATING_RO_ROLLUP[#Headers],0)),"ERROR"))</f>
        <v>167.71965840039999</v>
      </c>
      <c r="J24" s="161">
        <f>IF($B24=" ","",IFERROR(VLOOKUP($B24,MMWR_ACCURACY_RO[],MATCH(J$9,MMWR_ACCURACY_RO[#Headers],0),0),"ERROR"))</f>
        <v>0.95362548688336601</v>
      </c>
      <c r="K24" s="161">
        <f>IF($B24=" ","",IFERROR(VLOOKUP($B24,MMWR_ACCURACY_RO[],MATCH(K$9,MMWR_ACCURACY_RO[#Headers],0),0),"ERROR"))</f>
        <v>0.88282261545101415</v>
      </c>
      <c r="L24" s="161">
        <f>IF($B24=" ","",IFERROR(VLOOKUP($B24,MMWR_ACCURACY_RO[],MATCH(L$9,MMWR_ACCURACY_RO[#Headers],0),0),"ERROR"))</f>
        <v>0.86581783171170357</v>
      </c>
      <c r="M24" s="161">
        <f>IF($B24=" ","",IFERROR(VLOOKUP($B24,MMWR_ACCURACY_RO[],MATCH(M$9,MMWR_ACCURACY_RO[#Headers],0),0),"ERROR"))</f>
        <v>4.4544866268599888E-2</v>
      </c>
      <c r="N24" s="161">
        <f>IF($B24=" ","",IFERROR(VLOOKUP($B24,MMWR_ACCURACY_RO[],MATCH(N$9,MMWR_ACCURACY_RO[#Headers],0),0),"ERROR"))</f>
        <v>0.84286298940536586</v>
      </c>
      <c r="O24" s="161">
        <f>IF($B24=" ","",IFERROR(VLOOKUP($B24,MMWR_ACCURACY_RO[],MATCH(O$9,MMWR_ACCURACY_RO[#Headers],0),0),"ERROR"))</f>
        <v>4.4991386866490402E-2</v>
      </c>
      <c r="P24" s="28"/>
    </row>
    <row r="25" spans="1:16" x14ac:dyDescent="0.2">
      <c r="A25" s="25"/>
      <c r="B25" s="8" t="str">
        <f>VLOOKUP($B$16,DISTRICT_RO[],10,0)</f>
        <v>Philadelphia VSC</v>
      </c>
      <c r="C25" s="156">
        <f>IF($B25=" ","",IFERROR(INDEX(MMWR_RATING_RO_ROLLUP[],MATCH($B25,MMWR_RATING_RO_ROLLUP[MMWR_RATING_RO_ROLLUP],0),MATCH(C$9,MMWR_RATING_RO_ROLLUP[#Headers],0)),"ERROR"))</f>
        <v>8205</v>
      </c>
      <c r="D25" s="157">
        <f>IF($B25=" ","",IFERROR(INDEX(MMWR_RATING_RO_ROLLUP[],MATCH($B25,MMWR_RATING_RO_ROLLUP[MMWR_RATING_RO_ROLLUP],0),MATCH(D$9,MMWR_RATING_RO_ROLLUP[#Headers],0)),"ERROR"))</f>
        <v>143.05496648389999</v>
      </c>
      <c r="E25" s="158">
        <f>IF($B25=" ","",IFERROR(INDEX(MMWR_RATING_RO_ROLLUP[],MATCH($B25,MMWR_RATING_RO_ROLLUP[MMWR_RATING_RO_ROLLUP],0),MATCH(E$9,MMWR_RATING_RO_ROLLUP[#Headers],0))/$C25,"ERROR"))</f>
        <v>0.42388787324801952</v>
      </c>
      <c r="F25" s="156">
        <f>IF($B25=" ","",IFERROR(INDEX(MMWR_RATING_RO_ROLLUP[],MATCH($B25,MMWR_RATING_RO_ROLLUP[MMWR_RATING_RO_ROLLUP],0),MATCH(F$9,MMWR_RATING_RO_ROLLUP[#Headers],0)),"ERROR"))</f>
        <v>1190</v>
      </c>
      <c r="G25" s="156">
        <f>IF($B25=" ","",IFERROR(INDEX(MMWR_RATING_RO_ROLLUP[],MATCH($B25,MMWR_RATING_RO_ROLLUP[MMWR_RATING_RO_ROLLUP],0),MATCH(G$9,MMWR_RATING_RO_ROLLUP[#Headers],0)),"ERROR"))</f>
        <v>24261</v>
      </c>
      <c r="H25" s="157">
        <f>IF($B25=" ","",IFERROR(INDEX(MMWR_RATING_RO_ROLLUP[],MATCH($B25,MMWR_RATING_RO_ROLLUP[MMWR_RATING_RO_ROLLUP],0),MATCH(H$9,MMWR_RATING_RO_ROLLUP[#Headers],0)),"ERROR"))</f>
        <v>186.3672268908</v>
      </c>
      <c r="I25" s="157">
        <f>IF($B25=" ","",IFERROR(INDEX(MMWR_RATING_RO_ROLLUP[],MATCH($B25,MMWR_RATING_RO_ROLLUP[MMWR_RATING_RO_ROLLUP],0),MATCH(I$9,MMWR_RATING_RO_ROLLUP[#Headers],0)),"ERROR"))</f>
        <v>232.26148963360001</v>
      </c>
      <c r="J25" s="161">
        <f>IF($B25=" ","",IFERROR(VLOOKUP($B25,MMWR_ACCURACY_RO[],MATCH(J$9,MMWR_ACCURACY_RO[#Headers],0),0),"ERROR"))</f>
        <v>0.90865213041132786</v>
      </c>
      <c r="K25" s="161">
        <f>IF($B25=" ","",IFERROR(VLOOKUP($B25,MMWR_ACCURACY_RO[],MATCH(K$9,MMWR_ACCURACY_RO[#Headers],0),0),"ERROR"))</f>
        <v>0.78308141584780711</v>
      </c>
      <c r="L25" s="161">
        <f>IF($B25=" ","",IFERROR(VLOOKUP($B25,MMWR_ACCURACY_RO[],MATCH(L$9,MMWR_ACCURACY_RO[#Headers],0),0),"ERROR"))</f>
        <v>0.86450871504688398</v>
      </c>
      <c r="M25" s="161">
        <f>IF($B25=" ","",IFERROR(VLOOKUP($B25,MMWR_ACCURACY_RO[],MATCH(M$9,MMWR_ACCURACY_RO[#Headers],0),0),"ERROR"))</f>
        <v>4.898247766391968E-2</v>
      </c>
      <c r="N25" s="161">
        <f>IF($B25=" ","",IFERROR(VLOOKUP($B25,MMWR_ACCURACY_RO[],MATCH(N$9,MMWR_ACCURACY_RO[#Headers],0),0),"ERROR"))</f>
        <v>0.91848003911697462</v>
      </c>
      <c r="O25" s="161">
        <f>IF($B25=" ","",IFERROR(VLOOKUP($B25,MMWR_ACCURACY_RO[],MATCH(O$9,MMWR_ACCURACY_RO[#Headers],0),0),"ERROR"))</f>
        <v>4.3623460147812522E-2</v>
      </c>
      <c r="P25" s="28"/>
    </row>
    <row r="26" spans="1:16" x14ac:dyDescent="0.2">
      <c r="A26" s="25"/>
      <c r="B26" s="8" t="str">
        <f>VLOOKUP($B$16,DISTRICT_RO[],11,0)</f>
        <v>Pittsburgh VSC</v>
      </c>
      <c r="C26" s="156">
        <f>IF($B26=" ","",IFERROR(INDEX(MMWR_RATING_RO_ROLLUP[],MATCH($B26,MMWR_RATING_RO_ROLLUP[MMWR_RATING_RO_ROLLUP],0),MATCH(C$9,MMWR_RATING_RO_ROLLUP[#Headers],0)),"ERROR"))</f>
        <v>4979</v>
      </c>
      <c r="D26" s="157">
        <f>IF($B26=" ","",IFERROR(INDEX(MMWR_RATING_RO_ROLLUP[],MATCH($B26,MMWR_RATING_RO_ROLLUP[MMWR_RATING_RO_ROLLUP],0),MATCH(D$9,MMWR_RATING_RO_ROLLUP[#Headers],0)),"ERROR"))</f>
        <v>133.9509941755</v>
      </c>
      <c r="E26" s="158">
        <f>IF($B26=" ","",IFERROR(INDEX(MMWR_RATING_RO_ROLLUP[],MATCH($B26,MMWR_RATING_RO_ROLLUP[MMWR_RATING_RO_ROLLUP],0),MATCH(E$9,MMWR_RATING_RO_ROLLUP[#Headers],0))/$C26,"ERROR"))</f>
        <v>0.35428800964049006</v>
      </c>
      <c r="F26" s="156">
        <f>IF($B26=" ","",IFERROR(INDEX(MMWR_RATING_RO_ROLLUP[],MATCH($B26,MMWR_RATING_RO_ROLLUP[MMWR_RATING_RO_ROLLUP],0),MATCH(F$9,MMWR_RATING_RO_ROLLUP[#Headers],0)),"ERROR"))</f>
        <v>480</v>
      </c>
      <c r="G26" s="156">
        <f>IF($B26=" ","",IFERROR(INDEX(MMWR_RATING_RO_ROLLUP[],MATCH($B26,MMWR_RATING_RO_ROLLUP[MMWR_RATING_RO_ROLLUP],0),MATCH(G$9,MMWR_RATING_RO_ROLLUP[#Headers],0)),"ERROR"))</f>
        <v>9411</v>
      </c>
      <c r="H26" s="157">
        <f>IF($B26=" ","",IFERROR(INDEX(MMWR_RATING_RO_ROLLUP[],MATCH($B26,MMWR_RATING_RO_ROLLUP[MMWR_RATING_RO_ROLLUP],0),MATCH(H$9,MMWR_RATING_RO_ROLLUP[#Headers],0)),"ERROR"))</f>
        <v>188.43125000000001</v>
      </c>
      <c r="I26" s="157">
        <f>IF($B26=" ","",IFERROR(INDEX(MMWR_RATING_RO_ROLLUP[],MATCH($B26,MMWR_RATING_RO_ROLLUP[MMWR_RATING_RO_ROLLUP],0),MATCH(I$9,MMWR_RATING_RO_ROLLUP[#Headers],0)),"ERROR"))</f>
        <v>207.66018489000001</v>
      </c>
      <c r="J26" s="161">
        <f>IF($B26=" ","",IFERROR(VLOOKUP($B26,MMWR_ACCURACY_RO[],MATCH(J$9,MMWR_ACCURACY_RO[#Headers],0),0),"ERROR"))</f>
        <v>0.94871407496934057</v>
      </c>
      <c r="K26" s="161">
        <f>IF($B26=" ","",IFERROR(VLOOKUP($B26,MMWR_ACCURACY_RO[],MATCH(K$9,MMWR_ACCURACY_RO[#Headers],0),0),"ERROR"))</f>
        <v>0.84826126053578133</v>
      </c>
      <c r="L26" s="161">
        <f>IF($B26=" ","",IFERROR(VLOOKUP($B26,MMWR_ACCURACY_RO[],MATCH(L$9,MMWR_ACCURACY_RO[#Headers],0),0),"ERROR"))</f>
        <v>0.89220254852439496</v>
      </c>
      <c r="M26" s="161">
        <f>IF($B26=" ","",IFERROR(VLOOKUP($B26,MMWR_ACCURACY_RO[],MATCH(M$9,MMWR_ACCURACY_RO[#Headers],0),0),"ERROR"))</f>
        <v>4.4380652729539206E-2</v>
      </c>
      <c r="N26" s="161">
        <f>IF($B26=" ","",IFERROR(VLOOKUP($B26,MMWR_ACCURACY_RO[],MATCH(N$9,MMWR_ACCURACY_RO[#Headers],0),0),"ERROR"))</f>
        <v>0.90551892337998352</v>
      </c>
      <c r="O26" s="161">
        <f>IF($B26=" ","",IFERROR(VLOOKUP($B26,MMWR_ACCURACY_RO[],MATCH(O$9,MMWR_ACCURACY_RO[#Headers],0),0),"ERROR"))</f>
        <v>5.0594791823523055E-2</v>
      </c>
      <c r="P26" s="28"/>
    </row>
    <row r="27" spans="1:16" x14ac:dyDescent="0.2">
      <c r="A27" s="25"/>
      <c r="B27" s="8" t="str">
        <f>VLOOKUP($B$16,DISTRICT_RO[],12,0)</f>
        <v>Providence VSC</v>
      </c>
      <c r="C27" s="156">
        <f>IF($B27=" ","",IFERROR(INDEX(MMWR_RATING_RO_ROLLUP[],MATCH($B27,MMWR_RATING_RO_ROLLUP[MMWR_RATING_RO_ROLLUP],0),MATCH(C$9,MMWR_RATING_RO_ROLLUP[#Headers],0)),"ERROR"))</f>
        <v>4259</v>
      </c>
      <c r="D27" s="157">
        <f>IF($B27=" ","",IFERROR(INDEX(MMWR_RATING_RO_ROLLUP[],MATCH($B27,MMWR_RATING_RO_ROLLUP[MMWR_RATING_RO_ROLLUP],0),MATCH(D$9,MMWR_RATING_RO_ROLLUP[#Headers],0)),"ERROR"))</f>
        <v>148.2378492604</v>
      </c>
      <c r="E27" s="158">
        <f>IF($B27=" ","",IFERROR(INDEX(MMWR_RATING_RO_ROLLUP[],MATCH($B27,MMWR_RATING_RO_ROLLUP[MMWR_RATING_RO_ROLLUP],0),MATCH(E$9,MMWR_RATING_RO_ROLLUP[#Headers],0))/$C27,"ERROR"))</f>
        <v>0.46090631603662829</v>
      </c>
      <c r="F27" s="156">
        <f>IF($B27=" ","",IFERROR(INDEX(MMWR_RATING_RO_ROLLUP[],MATCH($B27,MMWR_RATING_RO_ROLLUP[MMWR_RATING_RO_ROLLUP],0),MATCH(F$9,MMWR_RATING_RO_ROLLUP[#Headers],0)),"ERROR"))</f>
        <v>1284</v>
      </c>
      <c r="G27" s="156">
        <f>IF($B27=" ","",IFERROR(INDEX(MMWR_RATING_RO_ROLLUP[],MATCH($B27,MMWR_RATING_RO_ROLLUP[MMWR_RATING_RO_ROLLUP],0),MATCH(G$9,MMWR_RATING_RO_ROLLUP[#Headers],0)),"ERROR"))</f>
        <v>24021</v>
      </c>
      <c r="H27" s="157">
        <f>IF($B27=" ","",IFERROR(INDEX(MMWR_RATING_RO_ROLLUP[],MATCH($B27,MMWR_RATING_RO_ROLLUP[MMWR_RATING_RO_ROLLUP],0),MATCH(H$9,MMWR_RATING_RO_ROLLUP[#Headers],0)),"ERROR"))</f>
        <v>102.87538940810001</v>
      </c>
      <c r="I27" s="157">
        <f>IF($B27=" ","",IFERROR(INDEX(MMWR_RATING_RO_ROLLUP[],MATCH($B27,MMWR_RATING_RO_ROLLUP[MMWR_RATING_RO_ROLLUP],0),MATCH(I$9,MMWR_RATING_RO_ROLLUP[#Headers],0)),"ERROR"))</f>
        <v>85.711835477299999</v>
      </c>
      <c r="J27" s="161">
        <f>IF($B27=" ","",IFERROR(VLOOKUP($B27,MMWR_ACCURACY_RO[],MATCH(J$9,MMWR_ACCURACY_RO[#Headers],0),0),"ERROR"))</f>
        <v>0.95877532475481553</v>
      </c>
      <c r="K27" s="161">
        <f>IF($B27=" ","",IFERROR(VLOOKUP($B27,MMWR_ACCURACY_RO[],MATCH(K$9,MMWR_ACCURACY_RO[#Headers],0),0),"ERROR"))</f>
        <v>0.74662914896060639</v>
      </c>
      <c r="L27" s="161">
        <f>IF($B27=" ","",IFERROR(VLOOKUP($B27,MMWR_ACCURACY_RO[],MATCH(L$9,MMWR_ACCURACY_RO[#Headers],0),0),"ERROR"))</f>
        <v>0.87104958417637723</v>
      </c>
      <c r="M27" s="161">
        <f>IF($B27=" ","",IFERROR(VLOOKUP($B27,MMWR_ACCURACY_RO[],MATCH(M$9,MMWR_ACCURACY_RO[#Headers],0),0),"ERROR"))</f>
        <v>5.4077870587640506E-2</v>
      </c>
      <c r="N27" s="161">
        <f>IF($B27=" ","",IFERROR(VLOOKUP($B27,MMWR_ACCURACY_RO[],MATCH(N$9,MMWR_ACCURACY_RO[#Headers],0),0),"ERROR"))</f>
        <v>0.94176371022342575</v>
      </c>
      <c r="O27" s="161">
        <f>IF($B27=" ","",IFERROR(VLOOKUP($B27,MMWR_ACCURACY_RO[],MATCH(O$9,MMWR_ACCURACY_RO[#Headers],0),0),"ERROR"))</f>
        <v>3.2726725697578306E-2</v>
      </c>
      <c r="P27" s="28"/>
    </row>
    <row r="28" spans="1:16" x14ac:dyDescent="0.2">
      <c r="A28" s="25"/>
      <c r="B28" s="8" t="str">
        <f>VLOOKUP($B$16,DISTRICT_RO[],13,0)</f>
        <v>Roanoke VSC</v>
      </c>
      <c r="C28" s="156">
        <f>IF($B28=" ","",IFERROR(INDEX(MMWR_RATING_RO_ROLLUP[],MATCH($B28,MMWR_RATING_RO_ROLLUP[MMWR_RATING_RO_ROLLUP],0),MATCH(C$9,MMWR_RATING_RO_ROLLUP[#Headers],0)),"ERROR"))</f>
        <v>12112</v>
      </c>
      <c r="D28" s="157">
        <f>IF($B28=" ","",IFERROR(INDEX(MMWR_RATING_RO_ROLLUP[],MATCH($B28,MMWR_RATING_RO_ROLLUP[MMWR_RATING_RO_ROLLUP],0),MATCH(D$9,MMWR_RATING_RO_ROLLUP[#Headers],0)),"ERROR"))</f>
        <v>112.5817371202</v>
      </c>
      <c r="E28" s="158">
        <f>IF($B28=" ","",IFERROR(INDEX(MMWR_RATING_RO_ROLLUP[],MATCH($B28,MMWR_RATING_RO_ROLLUP[MMWR_RATING_RO_ROLLUP],0),MATCH(E$9,MMWR_RATING_RO_ROLLUP[#Headers],0))/$C28,"ERROR"))</f>
        <v>0.32207727873183617</v>
      </c>
      <c r="F28" s="156">
        <f>IF($B28=" ","",IFERROR(INDEX(MMWR_RATING_RO_ROLLUP[],MATCH($B28,MMWR_RATING_RO_ROLLUP[MMWR_RATING_RO_ROLLUP],0),MATCH(F$9,MMWR_RATING_RO_ROLLUP[#Headers],0)),"ERROR"))</f>
        <v>1855</v>
      </c>
      <c r="G28" s="156">
        <f>IF($B28=" ","",IFERROR(INDEX(MMWR_RATING_RO_ROLLUP[],MATCH($B28,MMWR_RATING_RO_ROLLUP[MMWR_RATING_RO_ROLLUP],0),MATCH(G$9,MMWR_RATING_RO_ROLLUP[#Headers],0)),"ERROR"))</f>
        <v>29647</v>
      </c>
      <c r="H28" s="157">
        <f>IF($B28=" ","",IFERROR(INDEX(MMWR_RATING_RO_ROLLUP[],MATCH($B28,MMWR_RATING_RO_ROLLUP[MMWR_RATING_RO_ROLLUP],0),MATCH(H$9,MMWR_RATING_RO_ROLLUP[#Headers],0)),"ERROR"))</f>
        <v>170.2991913747</v>
      </c>
      <c r="I28" s="157">
        <f>IF($B28=" ","",IFERROR(INDEX(MMWR_RATING_RO_ROLLUP[],MATCH($B28,MMWR_RATING_RO_ROLLUP[MMWR_RATING_RO_ROLLUP],0),MATCH(I$9,MMWR_RATING_RO_ROLLUP[#Headers],0)),"ERROR"))</f>
        <v>202.73950146729999</v>
      </c>
      <c r="J28" s="161">
        <f>IF($B28=" ","",IFERROR(VLOOKUP($B28,MMWR_ACCURACY_RO[],MATCH(J$9,MMWR_ACCURACY_RO[#Headers],0),0),"ERROR"))</f>
        <v>0.96690726900268587</v>
      </c>
      <c r="K28" s="161">
        <f>IF($B28=" ","",IFERROR(VLOOKUP($B28,MMWR_ACCURACY_RO[],MATCH(K$9,MMWR_ACCURACY_RO[#Headers],0),0),"ERROR"))</f>
        <v>0.85710220464893372</v>
      </c>
      <c r="L28" s="161">
        <f>IF($B28=" ","",IFERROR(VLOOKUP($B28,MMWR_ACCURACY_RO[],MATCH(L$9,MMWR_ACCURACY_RO[#Headers],0),0),"ERROR"))</f>
        <v>0.91197422642180992</v>
      </c>
      <c r="M28" s="161">
        <f>IF($B28=" ","",IFERROR(VLOOKUP($B28,MMWR_ACCURACY_RO[],MATCH(M$9,MMWR_ACCURACY_RO[#Headers],0),0),"ERROR"))</f>
        <v>4.4676480650515132E-2</v>
      </c>
      <c r="N28" s="161">
        <f>IF($B28=" ","",IFERROR(VLOOKUP($B28,MMWR_ACCURACY_RO[],MATCH(N$9,MMWR_ACCURACY_RO[#Headers],0),0),"ERROR"))</f>
        <v>0.95360792222993207</v>
      </c>
      <c r="O28" s="161">
        <f>IF($B28=" ","",IFERROR(VLOOKUP($B28,MMWR_ACCURACY_RO[],MATCH(O$9,MMWR_ACCURACY_RO[#Headers],0),0),"ERROR"))</f>
        <v>2.6055898443749826E-2</v>
      </c>
      <c r="P28" s="28"/>
    </row>
    <row r="29" spans="1:16" x14ac:dyDescent="0.2">
      <c r="A29" s="25"/>
      <c r="B29" s="8" t="str">
        <f>VLOOKUP($B$16,DISTRICT_RO[],14,0)</f>
        <v>Togus VSC</v>
      </c>
      <c r="C29" s="156">
        <f>IF($B29=" ","",IFERROR(INDEX(MMWR_RATING_RO_ROLLUP[],MATCH($B29,MMWR_RATING_RO_ROLLUP[MMWR_RATING_RO_ROLLUP],0),MATCH(C$9,MMWR_RATING_RO_ROLLUP[#Headers],0)),"ERROR"))</f>
        <v>5740</v>
      </c>
      <c r="D29" s="157">
        <f>IF($B29=" ","",IFERROR(INDEX(MMWR_RATING_RO_ROLLUP[],MATCH($B29,MMWR_RATING_RO_ROLLUP[MMWR_RATING_RO_ROLLUP],0),MATCH(D$9,MMWR_RATING_RO_ROLLUP[#Headers],0)),"ERROR"))</f>
        <v>131.7742160279</v>
      </c>
      <c r="E29" s="158">
        <f>IF($B29=" ","",IFERROR(INDEX(MMWR_RATING_RO_ROLLUP[],MATCH($B29,MMWR_RATING_RO_ROLLUP[MMWR_RATING_RO_ROLLUP],0),MATCH(E$9,MMWR_RATING_RO_ROLLUP[#Headers],0))/$C29,"ERROR"))</f>
        <v>0.33797909407665505</v>
      </c>
      <c r="F29" s="156">
        <f>IF($B29=" ","",IFERROR(INDEX(MMWR_RATING_RO_ROLLUP[],MATCH($B29,MMWR_RATING_RO_ROLLUP[MMWR_RATING_RO_ROLLUP],0),MATCH(F$9,MMWR_RATING_RO_ROLLUP[#Headers],0)),"ERROR"))</f>
        <v>925</v>
      </c>
      <c r="G29" s="156">
        <f>IF($B29=" ","",IFERROR(INDEX(MMWR_RATING_RO_ROLLUP[],MATCH($B29,MMWR_RATING_RO_ROLLUP[MMWR_RATING_RO_ROLLUP],0),MATCH(G$9,MMWR_RATING_RO_ROLLUP[#Headers],0)),"ERROR"))</f>
        <v>15720</v>
      </c>
      <c r="H29" s="157">
        <f>IF($B29=" ","",IFERROR(INDEX(MMWR_RATING_RO_ROLLUP[],MATCH($B29,MMWR_RATING_RO_ROLLUP[MMWR_RATING_RO_ROLLUP],0),MATCH(H$9,MMWR_RATING_RO_ROLLUP[#Headers],0)),"ERROR"))</f>
        <v>203.3502702703</v>
      </c>
      <c r="I29" s="157">
        <f>IF($B29=" ","",IFERROR(INDEX(MMWR_RATING_RO_ROLLUP[],MATCH($B29,MMWR_RATING_RO_ROLLUP[MMWR_RATING_RO_ROLLUP],0),MATCH(I$9,MMWR_RATING_RO_ROLLUP[#Headers],0)),"ERROR"))</f>
        <v>213.77188295170001</v>
      </c>
      <c r="J29" s="161">
        <f>IF($B29=" ","",IFERROR(VLOOKUP($B29,MMWR_ACCURACY_RO[],MATCH(J$9,MMWR_ACCURACY_RO[#Headers],0),0),"ERROR"))</f>
        <v>0.97136833894912233</v>
      </c>
      <c r="K29" s="161">
        <f>IF($B29=" ","",IFERROR(VLOOKUP($B29,MMWR_ACCURACY_RO[],MATCH(K$9,MMWR_ACCURACY_RO[#Headers],0),0),"ERROR"))</f>
        <v>0.90754927919976458</v>
      </c>
      <c r="L29" s="161">
        <f>IF($B29=" ","",IFERROR(VLOOKUP($B29,MMWR_ACCURACY_RO[],MATCH(L$9,MMWR_ACCURACY_RO[#Headers],0),0),"ERROR"))</f>
        <v>0.89543861051315943</v>
      </c>
      <c r="M29" s="161">
        <f>IF($B29=" ","",IFERROR(VLOOKUP($B29,MMWR_ACCURACY_RO[],MATCH(M$9,MMWR_ACCURACY_RO[#Headers],0),0),"ERROR"))</f>
        <v>5.0565755933903486E-2</v>
      </c>
      <c r="N29" s="161">
        <f>IF($B29=" ","",IFERROR(VLOOKUP($B29,MMWR_ACCURACY_RO[],MATCH(N$9,MMWR_ACCURACY_RO[#Headers],0),0),"ERROR"))</f>
        <v>0.96208750600990522</v>
      </c>
      <c r="O29" s="161">
        <f>IF($B29=" ","",IFERROR(VLOOKUP($B29,MMWR_ACCURACY_RO[],MATCH(O$9,MMWR_ACCURACY_RO[#Headers],0),0),"ERROR"))</f>
        <v>3.2102920575488907E-2</v>
      </c>
      <c r="P29" s="28"/>
    </row>
    <row r="30" spans="1:16" x14ac:dyDescent="0.2">
      <c r="A30" s="25"/>
      <c r="B30" s="8" t="str">
        <f>VLOOKUP($B$16,DISTRICT_RO[],15,0)</f>
        <v>White River Junction VSC</v>
      </c>
      <c r="C30" s="156">
        <f>IF($B30=" ","",IFERROR(INDEX(MMWR_RATING_RO_ROLLUP[],MATCH($B30,MMWR_RATING_RO_ROLLUP[MMWR_RATING_RO_ROLLUP],0),MATCH(C$9,MMWR_RATING_RO_ROLLUP[#Headers],0)),"ERROR"))</f>
        <v>635</v>
      </c>
      <c r="D30" s="157">
        <f>IF($B30=" ","",IFERROR(INDEX(MMWR_RATING_RO_ROLLUP[],MATCH($B30,MMWR_RATING_RO_ROLLUP[MMWR_RATING_RO_ROLLUP],0),MATCH(D$9,MMWR_RATING_RO_ROLLUP[#Headers],0)),"ERROR"))</f>
        <v>141.81889763780001</v>
      </c>
      <c r="E30" s="158">
        <f>IF($B30=" ","",IFERROR(INDEX(MMWR_RATING_RO_ROLLUP[],MATCH($B30,MMWR_RATING_RO_ROLLUP[MMWR_RATING_RO_ROLLUP],0),MATCH(E$9,MMWR_RATING_RO_ROLLUP[#Headers],0))/$C30,"ERROR"))</f>
        <v>0.58897637795275593</v>
      </c>
      <c r="F30" s="156">
        <f>IF($B30=" ","",IFERROR(INDEX(MMWR_RATING_RO_ROLLUP[],MATCH($B30,MMWR_RATING_RO_ROLLUP[MMWR_RATING_RO_ROLLUP],0),MATCH(F$9,MMWR_RATING_RO_ROLLUP[#Headers],0)),"ERROR"))</f>
        <v>90</v>
      </c>
      <c r="G30" s="156">
        <f>IF($B30=" ","",IFERROR(INDEX(MMWR_RATING_RO_ROLLUP[],MATCH($B30,MMWR_RATING_RO_ROLLUP[MMWR_RATING_RO_ROLLUP],0),MATCH(G$9,MMWR_RATING_RO_ROLLUP[#Headers],0)),"ERROR"))</f>
        <v>1871</v>
      </c>
      <c r="H30" s="157">
        <f>IF($B30=" ","",IFERROR(INDEX(MMWR_RATING_RO_ROLLUP[],MATCH($B30,MMWR_RATING_RO_ROLLUP[MMWR_RATING_RO_ROLLUP],0),MATCH(H$9,MMWR_RATING_RO_ROLLUP[#Headers],0)),"ERROR"))</f>
        <v>161.5666666667</v>
      </c>
      <c r="I30" s="157">
        <f>IF($B30=" ","",IFERROR(INDEX(MMWR_RATING_RO_ROLLUP[],MATCH($B30,MMWR_RATING_RO_ROLLUP[MMWR_RATING_RO_ROLLUP],0),MATCH(I$9,MMWR_RATING_RO_ROLLUP[#Headers],0)),"ERROR"))</f>
        <v>192.72421165150001</v>
      </c>
      <c r="J30" s="161">
        <f>IF($B30=" ","",IFERROR(VLOOKUP($B30,MMWR_ACCURACY_RO[],MATCH(J$9,MMWR_ACCURACY_RO[#Headers],0),0),"ERROR"))</f>
        <v>0.90407738295156836</v>
      </c>
      <c r="K30" s="161">
        <f>IF($B30=" ","",IFERROR(VLOOKUP($B30,MMWR_ACCURACY_RO[],MATCH(K$9,MMWR_ACCURACY_RO[#Headers],0),0),"ERROR"))</f>
        <v>0.78799392097264431</v>
      </c>
      <c r="L30" s="161">
        <f>IF($B30=" ","",IFERROR(VLOOKUP($B30,MMWR_ACCURACY_RO[],MATCH(L$9,MMWR_ACCURACY_RO[#Headers],0),0),"ERROR"))</f>
        <v>0.83558366623763303</v>
      </c>
      <c r="M30" s="161">
        <f>IF($B30=" ","",IFERROR(VLOOKUP($B30,MMWR_ACCURACY_RO[],MATCH(M$9,MMWR_ACCURACY_RO[#Headers],0),0),"ERROR"))</f>
        <v>5.0315883255151878E-2</v>
      </c>
      <c r="N30" s="161">
        <f>IF($B30=" ","",IFERROR(VLOOKUP($B30,MMWR_ACCURACY_RO[],MATCH(N$9,MMWR_ACCURACY_RO[#Headers],0),0),"ERROR"))</f>
        <v>0.86957951296460589</v>
      </c>
      <c r="O30" s="161">
        <f>IF($B30=" ","",IFERROR(VLOOKUP($B30,MMWR_ACCURACY_RO[],MATCH(O$9,MMWR_ACCURACY_RO[#Headers],0),0),"ERROR"))</f>
        <v>3.6472295560088103E-2</v>
      </c>
      <c r="P30" s="28"/>
    </row>
    <row r="31" spans="1:16" x14ac:dyDescent="0.2">
      <c r="A31" s="25"/>
      <c r="B31" s="8" t="str">
        <f>VLOOKUP($B$16,DISTRICT_RO[],16,0)</f>
        <v>Wilmington VSC</v>
      </c>
      <c r="C31" s="156">
        <f>IF($B31=" ","",IFERROR(INDEX(MMWR_RATING_RO_ROLLUP[],MATCH($B31,MMWR_RATING_RO_ROLLUP[MMWR_RATING_RO_ROLLUP],0),MATCH(C$9,MMWR_RATING_RO_ROLLUP[#Headers],0)),"ERROR"))</f>
        <v>701</v>
      </c>
      <c r="D31" s="157">
        <f>IF($B31=" ","",IFERROR(INDEX(MMWR_RATING_RO_ROLLUP[],MATCH($B31,MMWR_RATING_RO_ROLLUP[MMWR_RATING_RO_ROLLUP],0),MATCH(D$9,MMWR_RATING_RO_ROLLUP[#Headers],0)),"ERROR"))</f>
        <v>122.8145506419</v>
      </c>
      <c r="E31" s="158">
        <f>IF($B31=" ","",IFERROR(INDEX(MMWR_RATING_RO_ROLLUP[],MATCH($B31,MMWR_RATING_RO_ROLLUP[MMWR_RATING_RO_ROLLUP],0),MATCH(E$9,MMWR_RATING_RO_ROLLUP[#Headers],0))/$C31,"ERROR"))</f>
        <v>0.29529243937232524</v>
      </c>
      <c r="F31" s="156">
        <f>IF($B31=" ","",IFERROR(INDEX(MMWR_RATING_RO_ROLLUP[],MATCH($B31,MMWR_RATING_RO_ROLLUP[MMWR_RATING_RO_ROLLUP],0),MATCH(F$9,MMWR_RATING_RO_ROLLUP[#Headers],0)),"ERROR"))</f>
        <v>75</v>
      </c>
      <c r="G31" s="156">
        <f>IF($B31=" ","",IFERROR(INDEX(MMWR_RATING_RO_ROLLUP[],MATCH($B31,MMWR_RATING_RO_ROLLUP[MMWR_RATING_RO_ROLLUP],0),MATCH(G$9,MMWR_RATING_RO_ROLLUP[#Headers],0)),"ERROR"))</f>
        <v>1741</v>
      </c>
      <c r="H31" s="157">
        <f>IF($B31=" ","",IFERROR(INDEX(MMWR_RATING_RO_ROLLUP[],MATCH($B31,MMWR_RATING_RO_ROLLUP[MMWR_RATING_RO_ROLLUP],0),MATCH(H$9,MMWR_RATING_RO_ROLLUP[#Headers],0)),"ERROR"))</f>
        <v>245.5066666667</v>
      </c>
      <c r="I31" s="157">
        <f>IF($B31=" ","",IFERROR(INDEX(MMWR_RATING_RO_ROLLUP[],MATCH($B31,MMWR_RATING_RO_ROLLUP[MMWR_RATING_RO_ROLLUP],0),MATCH(I$9,MMWR_RATING_RO_ROLLUP[#Headers],0)),"ERROR"))</f>
        <v>229.99080987939999</v>
      </c>
      <c r="J31" s="161">
        <f>IF($B31=" ","",IFERROR(VLOOKUP($B31,MMWR_ACCURACY_RO[],MATCH(J$9,MMWR_ACCURACY_RO[#Headers],0),0),"ERROR"))</f>
        <v>0.94191628545479666</v>
      </c>
      <c r="K31" s="161">
        <f>IF($B31=" ","",IFERROR(VLOOKUP($B31,MMWR_ACCURACY_RO[],MATCH(K$9,MMWR_ACCURACY_RO[#Headers],0),0),"ERROR"))</f>
        <v>0.87576237391508338</v>
      </c>
      <c r="L31" s="161">
        <f>IF($B31=" ","",IFERROR(VLOOKUP($B31,MMWR_ACCURACY_RO[],MATCH(L$9,MMWR_ACCURACY_RO[#Headers],0),0),"ERROR"))</f>
        <v>0.87278812135354511</v>
      </c>
      <c r="M31" s="161">
        <f>IF($B31=" ","",IFERROR(VLOOKUP($B31,MMWR_ACCURACY_RO[],MATCH(M$9,MMWR_ACCURACY_RO[#Headers],0),0),"ERROR"))</f>
        <v>4.1148542696516376E-2</v>
      </c>
      <c r="N31" s="161">
        <f>IF($B31=" ","",IFERROR(VLOOKUP($B31,MMWR_ACCURACY_RO[],MATCH(N$9,MMWR_ACCURACY_RO[#Headers],0),0),"ERROR"))</f>
        <v>0.89020310815742787</v>
      </c>
      <c r="O31" s="161">
        <f>IF($B31=" ","",IFERROR(VLOOKUP($B31,MMWR_ACCURACY_RO[],MATCH(O$9,MMWR_ACCURACY_RO[#Headers],0),0),"ERROR"))</f>
        <v>4.6809227432633167E-2</v>
      </c>
      <c r="P31" s="28"/>
    </row>
    <row r="32" spans="1:16" x14ac:dyDescent="0.2">
      <c r="A32" s="25"/>
      <c r="B32" s="8" t="str">
        <f>VLOOKUP($B$16,DISTRICT_RO[],17,0)</f>
        <v>Winston-Salem VSC</v>
      </c>
      <c r="C32" s="156">
        <f>IF($B32=" ","",IFERROR(INDEX(MMWR_RATING_RO_ROLLUP[],MATCH($B32,MMWR_RATING_RO_ROLLUP[MMWR_RATING_RO_ROLLUP],0),MATCH(C$9,MMWR_RATING_RO_ROLLUP[#Headers],0)),"ERROR"))</f>
        <v>12160</v>
      </c>
      <c r="D32" s="157">
        <f>IF($B32=" ","",IFERROR(INDEX(MMWR_RATING_RO_ROLLUP[],MATCH($B32,MMWR_RATING_RO_ROLLUP[MMWR_RATING_RO_ROLLUP],0),MATCH(D$9,MMWR_RATING_RO_ROLLUP[#Headers],0)),"ERROR"))</f>
        <v>121.0768092105</v>
      </c>
      <c r="E32" s="158">
        <f>IF($B32=" ","",IFERROR(INDEX(MMWR_RATING_RO_ROLLUP[],MATCH($B32,MMWR_RATING_RO_ROLLUP[MMWR_RATING_RO_ROLLUP],0),MATCH(E$9,MMWR_RATING_RO_ROLLUP[#Headers],0))/$C32,"ERROR"))</f>
        <v>0.32500000000000001</v>
      </c>
      <c r="F32" s="156">
        <f>IF($B32=" ","",IFERROR(INDEX(MMWR_RATING_RO_ROLLUP[],MATCH($B32,MMWR_RATING_RO_ROLLUP[MMWR_RATING_RO_ROLLUP],0),MATCH(F$9,MMWR_RATING_RO_ROLLUP[#Headers],0)),"ERROR"))</f>
        <v>1653</v>
      </c>
      <c r="G32" s="156">
        <f>IF($B32=" ","",IFERROR(INDEX(MMWR_RATING_RO_ROLLUP[],MATCH($B32,MMWR_RATING_RO_ROLLUP[MMWR_RATING_RO_ROLLUP],0),MATCH(G$9,MMWR_RATING_RO_ROLLUP[#Headers],0)),"ERROR"))</f>
        <v>32427</v>
      </c>
      <c r="H32" s="157">
        <f>IF($B32=" ","",IFERROR(INDEX(MMWR_RATING_RO_ROLLUP[],MATCH($B32,MMWR_RATING_RO_ROLLUP[MMWR_RATING_RO_ROLLUP],0),MATCH(H$9,MMWR_RATING_RO_ROLLUP[#Headers],0)),"ERROR"))</f>
        <v>177.9358741682</v>
      </c>
      <c r="I32" s="157">
        <f>IF($B32=" ","",IFERROR(INDEX(MMWR_RATING_RO_ROLLUP[],MATCH($B32,MMWR_RATING_RO_ROLLUP[MMWR_RATING_RO_ROLLUP],0),MATCH(I$9,MMWR_RATING_RO_ROLLUP[#Headers],0)),"ERROR"))</f>
        <v>216.66194837640001</v>
      </c>
      <c r="J32" s="161">
        <f>IF($B32=" ","",IFERROR(VLOOKUP($B32,MMWR_ACCURACY_RO[],MATCH(J$9,MMWR_ACCURACY_RO[#Headers],0),0),"ERROR"))</f>
        <v>0.95892118819625649</v>
      </c>
      <c r="K32" s="161">
        <f>IF($B32=" ","",IFERROR(VLOOKUP($B32,MMWR_ACCURACY_RO[],MATCH(K$9,MMWR_ACCURACY_RO[#Headers],0),0),"ERROR"))</f>
        <v>0.79939185656733402</v>
      </c>
      <c r="L32" s="161">
        <f>IF($B32=" ","",IFERROR(VLOOKUP($B32,MMWR_ACCURACY_RO[],MATCH(L$9,MMWR_ACCURACY_RO[#Headers],0),0),"ERROR"))</f>
        <v>0.83629756840852632</v>
      </c>
      <c r="M32" s="161">
        <f>IF($B32=" ","",IFERROR(VLOOKUP($B32,MMWR_ACCURACY_RO[],MATCH(M$9,MMWR_ACCURACY_RO[#Headers],0),0),"ERROR"))</f>
        <v>5.0583679595135961E-2</v>
      </c>
      <c r="N32" s="161">
        <f>IF($B32=" ","",IFERROR(VLOOKUP($B32,MMWR_ACCURACY_RO[],MATCH(N$9,MMWR_ACCURACY_RO[#Headers],0),0),"ERROR"))</f>
        <v>0.93371976313245308</v>
      </c>
      <c r="O32" s="161">
        <f>IF($B32=" ","",IFERROR(VLOOKUP($B32,MMWR_ACCURACY_RO[],MATCH(O$9,MMWR_ACCURACY_RO[#Headers],0),0),"ERROR"))</f>
        <v>3.0014731871330795E-2</v>
      </c>
      <c r="P32" s="28"/>
    </row>
    <row r="33" spans="1:16" x14ac:dyDescent="0.2">
      <c r="A33" s="25"/>
      <c r="B33" s="373" t="s">
        <v>750</v>
      </c>
      <c r="C33" s="374"/>
      <c r="D33" s="374"/>
      <c r="E33" s="374"/>
      <c r="F33" s="374"/>
      <c r="G33" s="374"/>
      <c r="H33" s="374"/>
      <c r="I33" s="374"/>
      <c r="J33" s="374"/>
      <c r="K33" s="374"/>
      <c r="L33" s="374"/>
      <c r="M33" s="374"/>
      <c r="N33" s="374"/>
      <c r="O33" s="374"/>
      <c r="P33" s="28"/>
    </row>
    <row r="34" spans="1:16" x14ac:dyDescent="0.2">
      <c r="A34" s="25"/>
      <c r="B34" s="11" t="s">
        <v>713</v>
      </c>
      <c r="C34" s="156">
        <f>IF($B34=" ","",IFERROR(INDEX(MMWR_RATING_RO_ROLLUP[],MATCH($B34,MMWR_RATING_RO_ROLLUP[MMWR_RATING_RO_ROLLUP],0),MATCH(C$9,MMWR_RATING_RO_ROLLUP[#Headers],0)),"ERROR"))</f>
        <v>18335</v>
      </c>
      <c r="D34" s="157">
        <f>IF($B34=" ","",IFERROR(INDEX(MMWR_RATING_RO_ROLLUP[],MATCH($B34,MMWR_RATING_RO_ROLLUP[MMWR_RATING_RO_ROLLUP],0),MATCH(D$9,MMWR_RATING_RO_ROLLUP[#Headers],0)),"ERROR"))</f>
        <v>62.930188164699999</v>
      </c>
      <c r="E34" s="158">
        <f>IF($B34=" ","",IFERROR(INDEX(MMWR_RATING_RO_ROLLUP[],MATCH($B34,MMWR_RATING_RO_ROLLUP[MMWR_RATING_RO_ROLLUP],0),MATCH(E$9,MMWR_RATING_RO_ROLLUP[#Headers],0))/$C34,"ERROR"))</f>
        <v>0.10297245704935915</v>
      </c>
      <c r="F34" s="156">
        <f>IF($B34=" ","",IFERROR(INDEX(MMWR_RATING_RO_ROLLUP[],MATCH($B34,MMWR_RATING_RO_ROLLUP[MMWR_RATING_RO_ROLLUP],0),MATCH(F$9,MMWR_RATING_RO_ROLLUP[#Headers],0)),"ERROR"))</f>
        <v>6337</v>
      </c>
      <c r="G34" s="156">
        <f>IF($B34=" ","",IFERROR(INDEX(MMWR_RATING_RO_ROLLUP[],MATCH($B34,MMWR_RATING_RO_ROLLUP[MMWR_RATING_RO_ROLLUP],0),MATCH(G$9,MMWR_RATING_RO_ROLLUP[#Headers],0)),"ERROR"))</f>
        <v>122040</v>
      </c>
      <c r="H34" s="157">
        <f>IF($B34=" ","",IFERROR(INDEX(MMWR_RATING_RO_ROLLUP[],MATCH($B34,MMWR_RATING_RO_ROLLUP[MMWR_RATING_RO_ROLLUP],0),MATCH(H$9,MMWR_RATING_RO_ROLLUP[#Headers],0)),"ERROR"))</f>
        <v>66.252011993099998</v>
      </c>
      <c r="I34" s="157">
        <f>IF($B34=" ","",IFERROR(INDEX(MMWR_RATING_RO_ROLLUP[],MATCH($B34,MMWR_RATING_RO_ROLLUP[MMWR_RATING_RO_ROLLUP],0),MATCH(I$9,MMWR_RATING_RO_ROLLUP[#Headers],0)),"ERROR"))</f>
        <v>64.531202884300001</v>
      </c>
      <c r="J34" s="42"/>
      <c r="K34" s="43"/>
      <c r="L34" s="43"/>
      <c r="M34" s="43"/>
      <c r="N34" s="43"/>
      <c r="O34" s="43"/>
      <c r="P34" s="28"/>
    </row>
    <row r="35" spans="1:16" x14ac:dyDescent="0.2">
      <c r="A35" s="25"/>
      <c r="B35" s="12" t="s">
        <v>218</v>
      </c>
      <c r="C35" s="156">
        <f>IF($B35=" ","",IFERROR(INDEX(MMWR_RATING_RO_ROLLUP[],MATCH($B35,MMWR_RATING_RO_ROLLUP[MMWR_RATING_RO_ROLLUP],0),MATCH(C$9,MMWR_RATING_RO_ROLLUP[#Headers],0)),"ERROR"))</f>
        <v>5430</v>
      </c>
      <c r="D35" s="157">
        <f>IF($B35=" ","",IFERROR(INDEX(MMWR_RATING_RO_ROLLUP[],MATCH($B35,MMWR_RATING_RO_ROLLUP[MMWR_RATING_RO_ROLLUP],0),MATCH(D$9,MMWR_RATING_RO_ROLLUP[#Headers],0)),"ERROR"))</f>
        <v>69.159300184200006</v>
      </c>
      <c r="E35" s="158">
        <f>IF($B35=" ","",IFERROR(INDEX(MMWR_RATING_RO_ROLLUP[],MATCH($B35,MMWR_RATING_RO_ROLLUP[MMWR_RATING_RO_ROLLUP],0),MATCH(E$9,MMWR_RATING_RO_ROLLUP[#Headers],0))/$C35,"ERROR"))</f>
        <v>0.13333333333333333</v>
      </c>
      <c r="F35" s="156">
        <f>IF($B35=" ","",IFERROR(INDEX(MMWR_RATING_RO_ROLLUP[],MATCH($B35,MMWR_RATING_RO_ROLLUP[MMWR_RATING_RO_ROLLUP],0),MATCH(F$9,MMWR_RATING_RO_ROLLUP[#Headers],0)),"ERROR"))</f>
        <v>2208</v>
      </c>
      <c r="G35" s="156">
        <f>IF($B35=" ","",IFERROR(INDEX(MMWR_RATING_RO_ROLLUP[],MATCH($B35,MMWR_RATING_RO_ROLLUP[MMWR_RATING_RO_ROLLUP],0),MATCH(G$9,MMWR_RATING_RO_ROLLUP[#Headers],0)),"ERROR"))</f>
        <v>39002</v>
      </c>
      <c r="H35" s="157">
        <f>IF($B35=" ","",IFERROR(INDEX(MMWR_RATING_RO_ROLLUP[],MATCH($B35,MMWR_RATING_RO_ROLLUP[MMWR_RATING_RO_ROLLUP],0),MATCH(H$9,MMWR_RATING_RO_ROLLUP[#Headers],0)),"ERROR"))</f>
        <v>73.359601449300001</v>
      </c>
      <c r="I35" s="157">
        <f>IF($B35=" ","",IFERROR(INDEX(MMWR_RATING_RO_ROLLUP[],MATCH($B35,MMWR_RATING_RO_ROLLUP[MMWR_RATING_RO_ROLLUP],0),MATCH(I$9,MMWR_RATING_RO_ROLLUP[#Headers],0)),"ERROR"))</f>
        <v>72.743474693600007</v>
      </c>
      <c r="J35" s="42"/>
      <c r="K35" s="255">
        <f>IF($B35=" ","",IFERROR(VLOOKUP($B35,MMWR_ACCURACY_RO[],MATCH(K$49,MMWR_ACCURACY_RO[#Headers],0),0),"ERROR"))</f>
        <v>0.96956848030018761</v>
      </c>
      <c r="L35" s="255">
        <f>IF($B35=" ","",IFERROR(VLOOKUP($B35,MMWR_ACCURACY_RO[],MATCH(L$49,MMWR_ACCURACY_RO[#Headers],0),0),"ERROR"))</f>
        <v>0.97429808300267595</v>
      </c>
      <c r="M35" s="255">
        <f>IF($B35=" ","",IFERROR(VLOOKUP($B35,MMWR_ACCURACY_RO[],MATCH(M$49,MMWR_ACCURACY_RO[#Headers],0),0),"ERROR"))</f>
        <v>2.6383439443076213E-2</v>
      </c>
      <c r="N35" s="255">
        <f>IF($B35=" ","",IFERROR(VLOOKUP($B35,MMWR_ACCURACY_RO[],MATCH(N$49,MMWR_ACCURACY_RO[#Headers],0),0),"ERROR"))</f>
        <v>0.95524786762096037</v>
      </c>
      <c r="O35" s="255">
        <f>IF($B35=" ","",IFERROR(VLOOKUP($B35,MMWR_ACCURACY_RO[],MATCH(O$49,MMWR_ACCURACY_RO[#Headers],0),0),"ERROR"))</f>
        <v>3.8407991962022478E-2</v>
      </c>
      <c r="P35" s="28"/>
    </row>
    <row r="36" spans="1:16" x14ac:dyDescent="0.2">
      <c r="A36" s="44"/>
      <c r="B36" s="12" t="s">
        <v>217</v>
      </c>
      <c r="C36" s="156">
        <f>IF($B36=" ","",IFERROR(INDEX(MMWR_RATING_RO_ROLLUP[],MATCH($B36,MMWR_RATING_RO_ROLLUP[MMWR_RATING_RO_ROLLUP],0),MATCH(C$9,MMWR_RATING_RO_ROLLUP[#Headers],0)),"ERROR"))</f>
        <v>4597</v>
      </c>
      <c r="D36" s="157">
        <f>IF($B36=" ","",IFERROR(INDEX(MMWR_RATING_RO_ROLLUP[],MATCH($B36,MMWR_RATING_RO_ROLLUP[MMWR_RATING_RO_ROLLUP],0),MATCH(D$9,MMWR_RATING_RO_ROLLUP[#Headers],0)),"ERROR"))</f>
        <v>56.9812921471</v>
      </c>
      <c r="E36" s="158">
        <f>IF($B36=" ","",IFERROR(INDEX(MMWR_RATING_RO_ROLLUP[],MATCH($B36,MMWR_RATING_RO_ROLLUP[MMWR_RATING_RO_ROLLUP],0),MATCH(E$9,MMWR_RATING_RO_ROLLUP[#Headers],0))/$C36,"ERROR"))</f>
        <v>9.2886665216445508E-2</v>
      </c>
      <c r="F36" s="156">
        <f>IF($B36=" ","",IFERROR(INDEX(MMWR_RATING_RO_ROLLUP[],MATCH($B36,MMWR_RATING_RO_ROLLUP[MMWR_RATING_RO_ROLLUP],0),MATCH(F$9,MMWR_RATING_RO_ROLLUP[#Headers],0)),"ERROR"))</f>
        <v>1537</v>
      </c>
      <c r="G36" s="156">
        <f>IF($B36=" ","",IFERROR(INDEX(MMWR_RATING_RO_ROLLUP[],MATCH($B36,MMWR_RATING_RO_ROLLUP[MMWR_RATING_RO_ROLLUP],0),MATCH(G$9,MMWR_RATING_RO_ROLLUP[#Headers],0)),"ERROR"))</f>
        <v>34396</v>
      </c>
      <c r="H36" s="157">
        <f>IF($B36=" ","",IFERROR(INDEX(MMWR_RATING_RO_ROLLUP[],MATCH($B36,MMWR_RATING_RO_ROLLUP[MMWR_RATING_RO_ROLLUP],0),MATCH(H$9,MMWR_RATING_RO_ROLLUP[#Headers],0)),"ERROR"))</f>
        <v>53.3786597267</v>
      </c>
      <c r="I36" s="157">
        <f>IF($B36=" ","",IFERROR(INDEX(MMWR_RATING_RO_ROLLUP[],MATCH($B36,MMWR_RATING_RO_ROLLUP[MMWR_RATING_RO_ROLLUP],0),MATCH(I$9,MMWR_RATING_RO_ROLLUP[#Headers],0)),"ERROR"))</f>
        <v>55.250232585200003</v>
      </c>
      <c r="J36" s="42"/>
      <c r="K36" s="255">
        <f>IF($B36=" ","",IFERROR(VLOOKUP($B36,MMWR_ACCURACY_RO[],MATCH(K$49,MMWR_ACCURACY_RO[#Headers],0),0),"ERROR"))</f>
        <v>0.92004174357860691</v>
      </c>
      <c r="L36" s="255">
        <f>IF($B36=" ","",IFERROR(VLOOKUP($B36,MMWR_ACCURACY_RO[],MATCH(L$49,MMWR_ACCURACY_RO[#Headers],0),0),"ERROR"))</f>
        <v>0.96470723620678556</v>
      </c>
      <c r="M36" s="255">
        <f>IF($B36=" ","",IFERROR(VLOOKUP($B36,MMWR_ACCURACY_RO[],MATCH(M$49,MMWR_ACCURACY_RO[#Headers],0),0),"ERROR"))</f>
        <v>2.6375501105053302E-2</v>
      </c>
      <c r="N36" s="255">
        <f>IF($B36=" ","",IFERROR(VLOOKUP($B36,MMWR_ACCURACY_RO[],MATCH(N$49,MMWR_ACCURACY_RO[#Headers],0),0),"ERROR"))</f>
        <v>0.99654953665206458</v>
      </c>
      <c r="O36" s="255">
        <f>IF($B36=" ","",IFERROR(VLOOKUP($B36,MMWR_ACCURACY_RO[],MATCH(O$49,MMWR_ACCURACY_RO[#Headers],0),0),"ERROR"))</f>
        <v>5.1258035087415974E-3</v>
      </c>
      <c r="P36" s="28"/>
    </row>
    <row r="37" spans="1:16" x14ac:dyDescent="0.2">
      <c r="A37" s="25"/>
      <c r="B37" s="12" t="s">
        <v>220</v>
      </c>
      <c r="C37" s="156">
        <f>IF($B37=" ","",IFERROR(INDEX(MMWR_RATING_RO_ROLLUP[],MATCH($B37,MMWR_RATING_RO_ROLLUP[MMWR_RATING_RO_ROLLUP],0),MATCH(C$9,MMWR_RATING_RO_ROLLUP[#Headers],0)),"ERROR"))</f>
        <v>7861</v>
      </c>
      <c r="D37" s="157">
        <f>IF($B37=" ","",IFERROR(INDEX(MMWR_RATING_RO_ROLLUP[],MATCH($B37,MMWR_RATING_RO_ROLLUP[MMWR_RATING_RO_ROLLUP],0),MATCH(D$9,MMWR_RATING_RO_ROLLUP[#Headers],0)),"ERROR"))</f>
        <v>56.037145401300002</v>
      </c>
      <c r="E37" s="158">
        <f>IF($B37=" ","",IFERROR(INDEX(MMWR_RATING_RO_ROLLUP[],MATCH($B37,MMWR_RATING_RO_ROLLUP[MMWR_RATING_RO_ROLLUP],0),MATCH(E$9,MMWR_RATING_RO_ROLLUP[#Headers],0))/$C37,"ERROR"))</f>
        <v>6.6022134588474751E-2</v>
      </c>
      <c r="F37" s="156">
        <f>IF($B37=" ","",IFERROR(INDEX(MMWR_RATING_RO_ROLLUP[],MATCH($B37,MMWR_RATING_RO_ROLLUP[MMWR_RATING_RO_ROLLUP],0),MATCH(F$9,MMWR_RATING_RO_ROLLUP[#Headers],0)),"ERROR"))</f>
        <v>2380</v>
      </c>
      <c r="G37" s="156">
        <f>IF($B37=" ","",IFERROR(INDEX(MMWR_RATING_RO_ROLLUP[],MATCH($B37,MMWR_RATING_RO_ROLLUP[MMWR_RATING_RO_ROLLUP],0),MATCH(G$9,MMWR_RATING_RO_ROLLUP[#Headers],0)),"ERROR"))</f>
        <v>44343</v>
      </c>
      <c r="H37" s="157">
        <f>IF($B37=" ","",IFERROR(INDEX(MMWR_RATING_RO_ROLLUP[],MATCH($B37,MMWR_RATING_RO_ROLLUP[MMWR_RATING_RO_ROLLUP],0),MATCH(H$9,MMWR_RATING_RO_ROLLUP[#Headers],0)),"ERROR"))</f>
        <v>67.973949579800006</v>
      </c>
      <c r="I37" s="157">
        <f>IF($B37=" ","",IFERROR(INDEX(MMWR_RATING_RO_ROLLUP[],MATCH($B37,MMWR_RATING_RO_ROLLUP[MMWR_RATING_RO_ROLLUP],0),MATCH(I$9,MMWR_RATING_RO_ROLLUP[#Headers],0)),"ERROR"))</f>
        <v>64.925692893999994</v>
      </c>
      <c r="J37" s="42"/>
      <c r="K37" s="255">
        <f>IF($B37=" ","",IFERROR(VLOOKUP($B37,MMWR_ACCURACY_RO[],MATCH(K$49,MMWR_ACCURACY_RO[#Headers],0),0),"ERROR"))</f>
        <v>1</v>
      </c>
      <c r="L37" s="255">
        <f>IF($B37=" ","",IFERROR(VLOOKUP($B37,MMWR_ACCURACY_RO[],MATCH(L$49,MMWR_ACCURACY_RO[#Headers],0),0),"ERROR"))</f>
        <v>0.99185396206751464</v>
      </c>
      <c r="M37" s="255">
        <f>IF($B37=" ","",IFERROR(VLOOKUP($B37,MMWR_ACCURACY_RO[],MATCH(M$49,MMWR_ACCURACY_RO[#Headers],0),0),"ERROR"))</f>
        <v>9.7579621915807029E-3</v>
      </c>
      <c r="N37" s="255">
        <f>IF($B37=" ","",IFERROR(VLOOKUP($B37,MMWR_ACCURACY_RO[],MATCH(N$49,MMWR_ACCURACY_RO[#Headers],0),0),"ERROR"))</f>
        <v>0.98049425229308584</v>
      </c>
      <c r="O37" s="255">
        <f>IF($B37=" ","",IFERROR(VLOOKUP($B37,MMWR_ACCURACY_RO[],MATCH(O$49,MMWR_ACCURACY_RO[#Headers],0),0),"ERROR"))</f>
        <v>2.3698938642957044E-2</v>
      </c>
      <c r="P37" s="28"/>
    </row>
    <row r="38" spans="1:16" x14ac:dyDescent="0.2">
      <c r="A38" s="25"/>
      <c r="B38" s="13" t="s">
        <v>232</v>
      </c>
      <c r="C38" s="156">
        <f>IF($B38=" ","",IFERROR(INDEX(MMWR_RATING_RO_ROLLUP[],MATCH($B38,MMWR_RATING_RO_ROLLUP[MMWR_RATING_RO_ROLLUP],0),MATCH(C$9,MMWR_RATING_RO_ROLLUP[#Headers],0)),"ERROR"))</f>
        <v>447</v>
      </c>
      <c r="D38" s="157">
        <f>IF($B38=" ","",IFERROR(INDEX(MMWR_RATING_RO_ROLLUP[],MATCH($B38,MMWR_RATING_RO_ROLLUP[MMWR_RATING_RO_ROLLUP],0),MATCH(D$9,MMWR_RATING_RO_ROLLUP[#Headers],0)),"ERROR"))</f>
        <v>169.6621923937</v>
      </c>
      <c r="E38" s="158">
        <f>IF($B38=" ","",IFERROR(INDEX(MMWR_RATING_RO_ROLLUP[],MATCH($B38,MMWR_RATING_RO_ROLLUP[MMWR_RATING_RO_ROLLUP],0),MATCH(E$9,MMWR_RATING_RO_ROLLUP[#Headers],0))/$C38,"ERROR"))</f>
        <v>0.48769574944071586</v>
      </c>
      <c r="F38" s="156">
        <f>IF($B38=" ","",IFERROR(INDEX(MMWR_RATING_RO_ROLLUP[],MATCH($B38,MMWR_RATING_RO_ROLLUP[MMWR_RATING_RO_ROLLUP],0),MATCH(F$9,MMWR_RATING_RO_ROLLUP[#Headers],0)),"ERROR"))</f>
        <v>212</v>
      </c>
      <c r="G38" s="156">
        <f>IF($B38=" ","",IFERROR(INDEX(MMWR_RATING_RO_ROLLUP[],MATCH($B38,MMWR_RATING_RO_ROLLUP[MMWR_RATING_RO_ROLLUP],0),MATCH(G$9,MMWR_RATING_RO_ROLLUP[#Headers],0)),"ERROR"))</f>
        <v>4299</v>
      </c>
      <c r="H38" s="157">
        <f>IF($B38=" ","",IFERROR(INDEX(MMWR_RATING_RO_ROLLUP[],MATCH($B38,MMWR_RATING_RO_ROLLUP[MMWR_RATING_RO_ROLLUP],0),MATCH(H$9,MMWR_RATING_RO_ROLLUP[#Headers],0)),"ERROR"))</f>
        <v>66.226415094299995</v>
      </c>
      <c r="I38" s="157">
        <f>IF($B38=" ","",IFERROR(INDEX(MMWR_RATING_RO_ROLLUP[],MATCH($B38,MMWR_RATING_RO_ROLLUP[MMWR_RATING_RO_ROLLUP],0),MATCH(I$9,MMWR_RATING_RO_ROLLUP[#Headers],0)),"ERROR"))</f>
        <v>60.214003256600002</v>
      </c>
      <c r="J38" s="42"/>
      <c r="K38" s="42"/>
      <c r="L38" s="42"/>
      <c r="M38" s="42"/>
      <c r="N38" s="42"/>
      <c r="O38" s="42"/>
      <c r="P38" s="28"/>
    </row>
    <row r="39" spans="1:16" x14ac:dyDescent="0.2">
      <c r="A39" s="25"/>
      <c r="B39" s="373" t="s">
        <v>933</v>
      </c>
      <c r="C39" s="374"/>
      <c r="D39" s="374"/>
      <c r="E39" s="374"/>
      <c r="F39" s="374"/>
      <c r="G39" s="374"/>
      <c r="H39" s="374"/>
      <c r="I39" s="374"/>
      <c r="J39" s="374"/>
      <c r="K39" s="374"/>
      <c r="L39" s="374"/>
      <c r="M39" s="374"/>
      <c r="N39" s="374"/>
      <c r="O39" s="374"/>
      <c r="P39" s="28"/>
    </row>
    <row r="40" spans="1:16" x14ac:dyDescent="0.2">
      <c r="A40" s="25"/>
      <c r="B40" s="45" t="s">
        <v>714</v>
      </c>
      <c r="C40" s="156">
        <f>IF($B40=" ","",IFERROR(INDEX(MMWR_RATING_RO_ROLLUP[],MATCH($B40,MMWR_RATING_RO_ROLLUP[MMWR_RATING_RO_ROLLUP],0),MATCH(C$9,MMWR_RATING_RO_ROLLUP[#Headers],0)),"ERROR"))</f>
        <v>8367</v>
      </c>
      <c r="D40" s="157">
        <f>IF($B40=" ","",IFERROR(INDEX(MMWR_RATING_RO_ROLLUP[],MATCH($B40,MMWR_RATING_RO_ROLLUP[MMWR_RATING_RO_ROLLUP],0),MATCH(D$9,MMWR_RATING_RO_ROLLUP[#Headers],0)),"ERROR"))</f>
        <v>73.192183578300003</v>
      </c>
      <c r="E40" s="158">
        <f>IF($B40=" ","",IFERROR(INDEX(MMWR_RATING_RO_ROLLUP[],MATCH($B40,MMWR_RATING_RO_ROLLUP[MMWR_RATING_RO_ROLLUP],0),MATCH(E$9,MMWR_RATING_RO_ROLLUP[#Headers],0))/$C40,"ERROR"))</f>
        <v>0.15824070754153222</v>
      </c>
      <c r="F40" s="156">
        <f>IF($B40=" ","",IFERROR(INDEX(MMWR_RATING_RO_ROLLUP[],MATCH($B40,MMWR_RATING_RO_ROLLUP[MMWR_RATING_RO_ROLLUP],0),MATCH(F$9,MMWR_RATING_RO_ROLLUP[#Headers],0)),"ERROR"))</f>
        <v>1019</v>
      </c>
      <c r="G40" s="156">
        <f>IF($B40=" ","",IFERROR(INDEX(MMWR_RATING_RO_ROLLUP[],MATCH($B40,MMWR_RATING_RO_ROLLUP[MMWR_RATING_RO_ROLLUP],0),MATCH(G$9,MMWR_RATING_RO_ROLLUP[#Headers],0)),"ERROR"))</f>
        <v>20417</v>
      </c>
      <c r="H40" s="157">
        <f>IF($B40=" ","",IFERROR(INDEX(MMWR_RATING_RO_ROLLUP[],MATCH($B40,MMWR_RATING_RO_ROLLUP[MMWR_RATING_RO_ROLLUP],0),MATCH(H$9,MMWR_RATING_RO_ROLLUP[#Headers],0)),"ERROR"))</f>
        <v>130.2551521099</v>
      </c>
      <c r="I40" s="157">
        <f>IF($B40=" ","",IFERROR(INDEX(MMWR_RATING_RO_ROLLUP[],MATCH($B40,MMWR_RATING_RO_ROLLUP[MMWR_RATING_RO_ROLLUP],0),MATCH(I$9,MMWR_RATING_RO_ROLLUP[#Headers],0)),"ERROR"))</f>
        <v>134.99833472110001</v>
      </c>
      <c r="J40" s="42"/>
      <c r="K40" s="42"/>
      <c r="L40" s="42"/>
      <c r="M40" s="42"/>
      <c r="N40" s="42"/>
      <c r="O40" s="42"/>
      <c r="P40" s="28"/>
    </row>
    <row r="41" spans="1:16" x14ac:dyDescent="0.2">
      <c r="A41" s="25"/>
      <c r="B41" s="46" t="s">
        <v>978</v>
      </c>
      <c r="C41" s="156">
        <f>IF($B41=" ","",IFERROR(INDEX(MMWR_RATING_RO_ROLLUP[],MATCH($B41,MMWR_RATING_RO_ROLLUP[MMWR_RATING_RO_ROLLUP],0),MATCH(C$9,MMWR_RATING_RO_ROLLUP[#Headers],0)),"ERROR"))</f>
        <v>3661</v>
      </c>
      <c r="D41" s="157">
        <f>IF($B41=" ","",IFERROR(INDEX(MMWR_RATING_RO_ROLLUP[],MATCH($B41,MMWR_RATING_RO_ROLLUP[MMWR_RATING_RO_ROLLUP],0),MATCH(D$9,MMWR_RATING_RO_ROLLUP[#Headers],0)),"ERROR"))</f>
        <v>66.125921879299995</v>
      </c>
      <c r="E41" s="158">
        <f>IF($B41=" ","",IFERROR(INDEX(MMWR_RATING_RO_ROLLUP[],MATCH($B41,MMWR_RATING_RO_ROLLUP[MMWR_RATING_RO_ROLLUP],0),MATCH(E$9,MMWR_RATING_RO_ROLLUP[#Headers],0))/$C41,"ERROR"))</f>
        <v>0.12892652280797595</v>
      </c>
      <c r="F41" s="156">
        <f>IF($B41=" ","",IFERROR(INDEX(MMWR_RATING_RO_ROLLUP[],MATCH($B41,MMWR_RATING_RO_ROLLUP[MMWR_RATING_RO_ROLLUP],0),MATCH(F$9,MMWR_RATING_RO_ROLLUP[#Headers],0)),"ERROR"))</f>
        <v>574</v>
      </c>
      <c r="G41" s="156">
        <f>IF($B41=" ","",IFERROR(INDEX(MMWR_RATING_RO_ROLLUP[],MATCH($B41,MMWR_RATING_RO_ROLLUP[MMWR_RATING_RO_ROLLUP],0),MATCH(G$9,MMWR_RATING_RO_ROLLUP[#Headers],0)),"ERROR"))</f>
        <v>10606</v>
      </c>
      <c r="H41" s="157">
        <f>IF($B41=" ","",IFERROR(INDEX(MMWR_RATING_RO_ROLLUP[],MATCH($B41,MMWR_RATING_RO_ROLLUP[MMWR_RATING_RO_ROLLUP],0),MATCH(H$9,MMWR_RATING_RO_ROLLUP[#Headers],0)),"ERROR"))</f>
        <v>114.6602787456</v>
      </c>
      <c r="I41" s="157">
        <f>IF($B41=" ","",IFERROR(INDEX(MMWR_RATING_RO_ROLLUP[],MATCH($B41,MMWR_RATING_RO_ROLLUP[MMWR_RATING_RO_ROLLUP],0),MATCH(I$9,MMWR_RATING_RO_ROLLUP[#Headers],0)),"ERROR"))</f>
        <v>117.5779747313</v>
      </c>
      <c r="J41" s="42"/>
      <c r="K41" s="42"/>
      <c r="L41" s="42"/>
      <c r="M41" s="42"/>
      <c r="N41" s="42"/>
      <c r="O41" s="42"/>
      <c r="P41" s="28"/>
    </row>
    <row r="42" spans="1:16" x14ac:dyDescent="0.2">
      <c r="A42" s="25"/>
      <c r="B42" s="46" t="s">
        <v>979</v>
      </c>
      <c r="C42" s="156">
        <f>IF($B42=" ","",IFERROR(INDEX(MMWR_RATING_RO_ROLLUP[],MATCH($B42,MMWR_RATING_RO_ROLLUP[MMWR_RATING_RO_ROLLUP],0),MATCH(C$9,MMWR_RATING_RO_ROLLUP[#Headers],0)),"ERROR"))</f>
        <v>4172</v>
      </c>
      <c r="D42" s="157">
        <f>IF($B42=" ","",IFERROR(INDEX(MMWR_RATING_RO_ROLLUP[],MATCH($B42,MMWR_RATING_RO_ROLLUP[MMWR_RATING_RO_ROLLUP],0),MATCH(D$9,MMWR_RATING_RO_ROLLUP[#Headers],0)),"ERROR"))</f>
        <v>81.523729626100007</v>
      </c>
      <c r="E42" s="158">
        <f>IF($B42=" ","",IFERROR(INDEX(MMWR_RATING_RO_ROLLUP[],MATCH($B42,MMWR_RATING_RO_ROLLUP[MMWR_RATING_RO_ROLLUP],0),MATCH(E$9,MMWR_RATING_RO_ROLLUP[#Headers],0))/$C42,"ERROR"))</f>
        <v>0.19079578139980824</v>
      </c>
      <c r="F42" s="156">
        <f>IF($B42=" ","",IFERROR(INDEX(MMWR_RATING_RO_ROLLUP[],MATCH($B42,MMWR_RATING_RO_ROLLUP[MMWR_RATING_RO_ROLLUP],0),MATCH(F$9,MMWR_RATING_RO_ROLLUP[#Headers],0)),"ERROR"))</f>
        <v>420</v>
      </c>
      <c r="G42" s="156">
        <f>IF($B42=" ","",IFERROR(INDEX(MMWR_RATING_RO_ROLLUP[],MATCH($B42,MMWR_RATING_RO_ROLLUP[MMWR_RATING_RO_ROLLUP],0),MATCH(G$9,MMWR_RATING_RO_ROLLUP[#Headers],0)),"ERROR"))</f>
        <v>9256</v>
      </c>
      <c r="H42" s="157">
        <f>IF($B42=" ","",IFERROR(INDEX(MMWR_RATING_RO_ROLLUP[],MATCH($B42,MMWR_RATING_RO_ROLLUP[MMWR_RATING_RO_ROLLUP],0),MATCH(H$9,MMWR_RATING_RO_ROLLUP[#Headers],0)),"ERROR"))</f>
        <v>152.4904761905</v>
      </c>
      <c r="I42" s="157">
        <f>IF($B42=" ","",IFERROR(INDEX(MMWR_RATING_RO_ROLLUP[],MATCH($B42,MMWR_RATING_RO_ROLLUP[MMWR_RATING_RO_ROLLUP],0),MATCH(I$9,MMWR_RATING_RO_ROLLUP[#Headers],0)),"ERROR"))</f>
        <v>151.38612791700001</v>
      </c>
      <c r="J42" s="42"/>
      <c r="K42" s="42"/>
      <c r="L42" s="42"/>
      <c r="M42" s="42"/>
      <c r="N42" s="42"/>
      <c r="O42" s="42"/>
      <c r="P42" s="28"/>
    </row>
    <row r="43" spans="1:16" x14ac:dyDescent="0.2">
      <c r="A43" s="25"/>
      <c r="B43" s="47" t="s">
        <v>316</v>
      </c>
      <c r="C43" s="156">
        <f>IF($B43=" ","",IFERROR(INDEX(MMWR_RATING_RO_ROLLUP[],MATCH($B43,MMWR_RATING_RO_ROLLUP[MMWR_RATING_RO_ROLLUP],0),MATCH(C$9,MMWR_RATING_RO_ROLLUP[#Headers],0)),"ERROR"))</f>
        <v>534</v>
      </c>
      <c r="D43" s="157">
        <f>IF($B43=" ","",IFERROR(INDEX(MMWR_RATING_RO_ROLLUP[],MATCH($B43,MMWR_RATING_RO_ROLLUP[MMWR_RATING_RO_ROLLUP],0),MATCH(D$9,MMWR_RATING_RO_ROLLUP[#Headers],0)),"ERROR"))</f>
        <v>56.544943820199997</v>
      </c>
      <c r="E43" s="158">
        <f>IF($B43=" ","",IFERROR(INDEX(MMWR_RATING_RO_ROLLUP[],MATCH($B43,MMWR_RATING_RO_ROLLUP[MMWR_RATING_RO_ROLLUP],0),MATCH(E$9,MMWR_RATING_RO_ROLLUP[#Headers],0))/$C43,"ERROR"))</f>
        <v>0.10486891385767791</v>
      </c>
      <c r="F43" s="156">
        <f>IF($B43=" ","",IFERROR(INDEX(MMWR_RATING_RO_ROLLUP[],MATCH($B43,MMWR_RATING_RO_ROLLUP[MMWR_RATING_RO_ROLLUP],0),MATCH(F$9,MMWR_RATING_RO_ROLLUP[#Headers],0)),"ERROR"))</f>
        <v>25</v>
      </c>
      <c r="G43" s="156">
        <f>IF($B43=" ","",IFERROR(INDEX(MMWR_RATING_RO_ROLLUP[],MATCH($B43,MMWR_RATING_RO_ROLLUP[MMWR_RATING_RO_ROLLUP],0),MATCH(G$9,MMWR_RATING_RO_ROLLUP[#Headers],0)),"ERROR"))</f>
        <v>555</v>
      </c>
      <c r="H43" s="157">
        <f>IF($B43=" ","",IFERROR(INDEX(MMWR_RATING_RO_ROLLUP[],MATCH($B43,MMWR_RATING_RO_ROLLUP[MMWR_RATING_RO_ROLLUP],0),MATCH(H$9,MMWR_RATING_RO_ROLLUP[#Headers],0)),"ERROR"))</f>
        <v>114.76</v>
      </c>
      <c r="I43" s="157">
        <f>IF($B43=" ","",IFERROR(INDEX(MMWR_RATING_RO_ROLLUP[],MATCH($B43,MMWR_RATING_RO_ROLLUP[MMWR_RATING_RO_ROLLUP],0),MATCH(I$9,MMWR_RATING_RO_ROLLUP[#Headers],0)),"ERROR"))</f>
        <v>194.5927927928</v>
      </c>
      <c r="J43" s="42"/>
      <c r="K43" s="42"/>
      <c r="L43" s="42"/>
      <c r="M43" s="42"/>
      <c r="N43" s="42"/>
      <c r="O43" s="42"/>
      <c r="P43" s="28"/>
    </row>
    <row r="44" spans="1:16" x14ac:dyDescent="0.2">
      <c r="A44" s="25"/>
      <c r="B44" s="373" t="s">
        <v>751</v>
      </c>
      <c r="C44" s="374"/>
      <c r="D44" s="374"/>
      <c r="E44" s="374"/>
      <c r="F44" s="374"/>
      <c r="G44" s="374"/>
      <c r="H44" s="374"/>
      <c r="I44" s="374"/>
      <c r="J44" s="374"/>
      <c r="K44" s="374"/>
      <c r="L44" s="374"/>
      <c r="M44" s="374"/>
      <c r="N44" s="374"/>
      <c r="O44" s="374"/>
      <c r="P44" s="28"/>
    </row>
    <row r="45" spans="1:16" x14ac:dyDescent="0.2">
      <c r="A45" s="25"/>
      <c r="B45" s="45" t="s">
        <v>712</v>
      </c>
      <c r="C45" s="156">
        <f>IF($B45=" ","",IFERROR(INDEX(MMWR_RATING_RO_ROLLUP[],MATCH($B45,MMWR_RATING_RO_ROLLUP[MMWR_RATING_RO_ROLLUP],0),MATCH(C$9,MMWR_RATING_RO_ROLLUP[#Headers],0)),"ERROR"))</f>
        <v>8632</v>
      </c>
      <c r="D45" s="157">
        <f>IF($B45=" ","",IFERROR(INDEX(MMWR_RATING_RO_ROLLUP[],MATCH($B45,MMWR_RATING_RO_ROLLUP[MMWR_RATING_RO_ROLLUP],0),MATCH(D$9,MMWR_RATING_RO_ROLLUP[#Headers],0)),"ERROR"))</f>
        <v>72.964434661699997</v>
      </c>
      <c r="E45" s="158">
        <f>IF($B45=" ","",IFERROR(INDEX(MMWR_RATING_RO_ROLLUP[],MATCH($B45,MMWR_RATING_RO_ROLLUP[MMWR_RATING_RO_ROLLUP],0),MATCH(E$9,MMWR_RATING_RO_ROLLUP[#Headers],0))/$C45,"ERROR"))</f>
        <v>0.14666357738646896</v>
      </c>
      <c r="F45" s="156">
        <f>IF($B45=" ","",IFERROR(INDEX(MMWR_RATING_RO_ROLLUP[],MATCH($B45,MMWR_RATING_RO_ROLLUP[MMWR_RATING_RO_ROLLUP],0),MATCH(F$9,MMWR_RATING_RO_ROLLUP[#Headers],0)),"ERROR"))</f>
        <v>1151</v>
      </c>
      <c r="G45" s="156">
        <f>IF($B45=" ","",IFERROR(INDEX(MMWR_RATING_RO_ROLLUP[],MATCH($B45,MMWR_RATING_RO_ROLLUP[MMWR_RATING_RO_ROLLUP],0),MATCH(G$9,MMWR_RATING_RO_ROLLUP[#Headers],0)),"ERROR"))</f>
        <v>20664</v>
      </c>
      <c r="H45" s="157">
        <f>IF($B45=" ","",IFERROR(INDEX(MMWR_RATING_RO_ROLLUP[],MATCH($B45,MMWR_RATING_RO_ROLLUP[MMWR_RATING_RO_ROLLUP],0),MATCH(H$9,MMWR_RATING_RO_ROLLUP[#Headers],0)),"ERROR"))</f>
        <v>140.3119026933</v>
      </c>
      <c r="I45" s="157">
        <f>IF($B45=" ","",IFERROR(INDEX(MMWR_RATING_RO_ROLLUP[],MATCH($B45,MMWR_RATING_RO_ROLLUP[MMWR_RATING_RO_ROLLUP],0),MATCH(I$9,MMWR_RATING_RO_ROLLUP[#Headers],0)),"ERROR"))</f>
        <v>153.47439992260001</v>
      </c>
      <c r="J45" s="42"/>
      <c r="K45" s="42"/>
      <c r="L45" s="42"/>
      <c r="M45" s="42"/>
      <c r="N45" s="42"/>
      <c r="O45" s="42"/>
      <c r="P45" s="28"/>
    </row>
    <row r="46" spans="1:16" x14ac:dyDescent="0.2">
      <c r="A46" s="25"/>
      <c r="B46" s="46" t="s">
        <v>219</v>
      </c>
      <c r="C46" s="156">
        <f>IF($B46=" ","",IFERROR(INDEX(MMWR_RATING_RO_ROLLUP[],MATCH($B46,MMWR_RATING_RO_ROLLUP[MMWR_RATING_RO_ROLLUP],0),MATCH(C$9,MMWR_RATING_RO_ROLLUP[#Headers],0)),"ERROR"))</f>
        <v>3178</v>
      </c>
      <c r="D46" s="157">
        <f>IF($B46=" ","",IFERROR(INDEX(MMWR_RATING_RO_ROLLUP[],MATCH($B46,MMWR_RATING_RO_ROLLUP[MMWR_RATING_RO_ROLLUP],0),MATCH(D$9,MMWR_RATING_RO_ROLLUP[#Headers],0)),"ERROR"))</f>
        <v>72.947451227200006</v>
      </c>
      <c r="E46" s="158">
        <f>IF($B46=" ","",IFERROR(INDEX(MMWR_RATING_RO_ROLLUP[],MATCH($B46,MMWR_RATING_RO_ROLLUP[MMWR_RATING_RO_ROLLUP],0),MATCH(E$9,MMWR_RATING_RO_ROLLUP[#Headers],0))/$C46,"ERROR"))</f>
        <v>0.13467589679043424</v>
      </c>
      <c r="F46" s="156">
        <f>IF($B46=" ","",IFERROR(INDEX(MMWR_RATING_RO_ROLLUP[],MATCH($B46,MMWR_RATING_RO_ROLLUP[MMWR_RATING_RO_ROLLUP],0),MATCH(F$9,MMWR_RATING_RO_ROLLUP[#Headers],0)),"ERROR"))</f>
        <v>571</v>
      </c>
      <c r="G46" s="156">
        <f>IF($B46=" ","",IFERROR(INDEX(MMWR_RATING_RO_ROLLUP[],MATCH($B46,MMWR_RATING_RO_ROLLUP[MMWR_RATING_RO_ROLLUP],0),MATCH(G$9,MMWR_RATING_RO_ROLLUP[#Headers],0)),"ERROR"))</f>
        <v>10853</v>
      </c>
      <c r="H46" s="157">
        <f>IF($B46=" ","",IFERROR(INDEX(MMWR_RATING_RO_ROLLUP[],MATCH($B46,MMWR_RATING_RO_ROLLUP[MMWR_RATING_RO_ROLLUP],0),MATCH(H$9,MMWR_RATING_RO_ROLLUP[#Headers],0)),"ERROR"))</f>
        <v>138.24693520139999</v>
      </c>
      <c r="I46" s="157">
        <f>IF($B46=" ","",IFERROR(INDEX(MMWR_RATING_RO_ROLLUP[],MATCH($B46,MMWR_RATING_RO_ROLLUP[MMWR_RATING_RO_ROLLUP],0),MATCH(I$9,MMWR_RATING_RO_ROLLUP[#Headers],0)),"ERROR"))</f>
        <v>172.03409195610001</v>
      </c>
      <c r="J46" s="42"/>
      <c r="K46" s="42"/>
      <c r="L46" s="42"/>
      <c r="M46" s="42"/>
      <c r="N46" s="42"/>
      <c r="O46" s="42"/>
      <c r="P46" s="28"/>
    </row>
    <row r="47" spans="1:16" x14ac:dyDescent="0.2">
      <c r="A47" s="25"/>
      <c r="B47" s="46" t="s">
        <v>221</v>
      </c>
      <c r="C47" s="156">
        <f>IF($B47=" ","",IFERROR(INDEX(MMWR_RATING_RO_ROLLUP[],MATCH($B47,MMWR_RATING_RO_ROLLUP[MMWR_RATING_RO_ROLLUP],0),MATCH(C$9,MMWR_RATING_RO_ROLLUP[#Headers],0)),"ERROR"))</f>
        <v>4731</v>
      </c>
      <c r="D47" s="157">
        <f>IF($B47=" ","",IFERROR(INDEX(MMWR_RATING_RO_ROLLUP[],MATCH($B47,MMWR_RATING_RO_ROLLUP[MMWR_RATING_RO_ROLLUP],0),MATCH(D$9,MMWR_RATING_RO_ROLLUP[#Headers],0)),"ERROR"))</f>
        <v>72.095962798599999</v>
      </c>
      <c r="E47" s="158">
        <f>IF($B47=" ","",IFERROR(INDEX(MMWR_RATING_RO_ROLLUP[],MATCH($B47,MMWR_RATING_RO_ROLLUP[MMWR_RATING_RO_ROLLUP],0),MATCH(E$9,MMWR_RATING_RO_ROLLUP[#Headers],0))/$C47,"ERROR"))</f>
        <v>0.1511308391460579</v>
      </c>
      <c r="F47" s="156">
        <f>IF($B47=" ","",IFERROR(INDEX(MMWR_RATING_RO_ROLLUP[],MATCH($B47,MMWR_RATING_RO_ROLLUP[MMWR_RATING_RO_ROLLUP],0),MATCH(F$9,MMWR_RATING_RO_ROLLUP[#Headers],0)),"ERROR"))</f>
        <v>493</v>
      </c>
      <c r="G47" s="156">
        <f>IF($B47=" ","",IFERROR(INDEX(MMWR_RATING_RO_ROLLUP[],MATCH($B47,MMWR_RATING_RO_ROLLUP[MMWR_RATING_RO_ROLLUP],0),MATCH(G$9,MMWR_RATING_RO_ROLLUP[#Headers],0)),"ERROR"))</f>
        <v>8149</v>
      </c>
      <c r="H47" s="157">
        <f>IF($B47=" ","",IFERROR(INDEX(MMWR_RATING_RO_ROLLUP[],MATCH($B47,MMWR_RATING_RO_ROLLUP[MMWR_RATING_RO_ROLLUP],0),MATCH(H$9,MMWR_RATING_RO_ROLLUP[#Headers],0)),"ERROR"))</f>
        <v>145.4888438134</v>
      </c>
      <c r="I47" s="157">
        <f>IF($B47=" ","",IFERROR(INDEX(MMWR_RATING_RO_ROLLUP[],MATCH($B47,MMWR_RATING_RO_ROLLUP[MMWR_RATING_RO_ROLLUP],0),MATCH(I$9,MMWR_RATING_RO_ROLLUP[#Headers],0)),"ERROR"))</f>
        <v>129.56289115230001</v>
      </c>
      <c r="J47" s="42"/>
      <c r="K47" s="42"/>
      <c r="L47" s="42"/>
      <c r="M47" s="42"/>
      <c r="N47" s="42"/>
      <c r="O47" s="42"/>
      <c r="P47" s="28"/>
    </row>
    <row r="48" spans="1:16" x14ac:dyDescent="0.2">
      <c r="A48" s="25"/>
      <c r="B48" s="48" t="s">
        <v>317</v>
      </c>
      <c r="C48" s="156">
        <f>IF($B48=" ","",IFERROR(INDEX(MMWR_RATING_RO_ROLLUP[],MATCH($B48,MMWR_RATING_RO_ROLLUP[MMWR_RATING_RO_ROLLUP],0),MATCH(C$9,MMWR_RATING_RO_ROLLUP[#Headers],0)),"ERROR"))</f>
        <v>723</v>
      </c>
      <c r="D48" s="157">
        <f>IF($B48=" ","",IFERROR(INDEX(MMWR_RATING_RO_ROLLUP[],MATCH($B48,MMWR_RATING_RO_ROLLUP[MMWR_RATING_RO_ROLLUP],0),MATCH(D$9,MMWR_RATING_RO_ROLLUP[#Headers],0)),"ERROR"))</f>
        <v>78.721991701199997</v>
      </c>
      <c r="E48" s="158">
        <f>IF($B48=" ","",IFERROR(INDEX(MMWR_RATING_RO_ROLLUP[],MATCH($B48,MMWR_RATING_RO_ROLLUP[MMWR_RATING_RO_ROLLUP],0),MATCH(E$9,MMWR_RATING_RO_ROLLUP[#Headers],0))/$C48,"ERROR"))</f>
        <v>0.17012448132780084</v>
      </c>
      <c r="F48" s="156">
        <f>IF($B48=" ","",IFERROR(INDEX(MMWR_RATING_RO_ROLLUP[],MATCH($B48,MMWR_RATING_RO_ROLLUP[MMWR_RATING_RO_ROLLUP],0),MATCH(F$9,MMWR_RATING_RO_ROLLUP[#Headers],0)),"ERROR"))</f>
        <v>87</v>
      </c>
      <c r="G48" s="156">
        <f>IF($B48=" ","",IFERROR(INDEX(MMWR_RATING_RO_ROLLUP[],MATCH($B48,MMWR_RATING_RO_ROLLUP[MMWR_RATING_RO_ROLLUP],0),MATCH(G$9,MMWR_RATING_RO_ROLLUP[#Headers],0)),"ERROR"))</f>
        <v>1662</v>
      </c>
      <c r="H48" s="157">
        <f>IF($B48=" ","",IFERROR(INDEX(MMWR_RATING_RO_ROLLUP[],MATCH($B48,MMWR_RATING_RO_ROLLUP[MMWR_RATING_RO_ROLLUP],0),MATCH(H$9,MMWR_RATING_RO_ROLLUP[#Headers],0)),"ERROR"))</f>
        <v>124.5287356322</v>
      </c>
      <c r="I48" s="157">
        <f>IF($B48=" ","",IFERROR(INDEX(MMWR_RATING_RO_ROLLUP[],MATCH($B48,MMWR_RATING_RO_ROLLUP[MMWR_RATING_RO_ROLLUP],0),MATCH(I$9,MMWR_RATING_RO_ROLLUP[#Headers],0)),"ERROR"))</f>
        <v>149.51925391099999</v>
      </c>
      <c r="J48" s="42"/>
      <c r="K48" s="42"/>
      <c r="L48" s="42"/>
      <c r="M48" s="42"/>
      <c r="N48" s="42"/>
      <c r="O48" s="42"/>
      <c r="P48" s="28"/>
    </row>
    <row r="49" spans="1:16" ht="12" customHeight="1" x14ac:dyDescent="0.2">
      <c r="A49" s="25"/>
      <c r="B49" s="26"/>
      <c r="C49" s="26"/>
      <c r="D49" s="26"/>
      <c r="E49" s="26"/>
      <c r="F49" s="26"/>
      <c r="G49" s="26"/>
      <c r="H49" s="26"/>
      <c r="I49" s="26"/>
      <c r="J49" s="26"/>
      <c r="K49" s="27" t="s">
        <v>939</v>
      </c>
      <c r="L49" s="27" t="s">
        <v>949</v>
      </c>
      <c r="M49" s="27" t="s">
        <v>950</v>
      </c>
      <c r="N49" s="27" t="s">
        <v>951</v>
      </c>
      <c r="O49" s="27" t="s">
        <v>952</v>
      </c>
      <c r="P49" s="28"/>
    </row>
    <row r="50" spans="1:16" hidden="1" x14ac:dyDescent="0.2"/>
    <row r="51" spans="1:16" hidden="1" x14ac:dyDescent="0.2"/>
    <row r="52" spans="1:16" hidden="1" x14ac:dyDescent="0.2"/>
  </sheetData>
  <sheetProtection password="A320" sheet="1" autoFilter="0"/>
  <protectedRanges>
    <protectedRange sqref="C34:K38 C45:K48 C40:K43 C15:K32 C13:K13" name="SOJ"/>
  </protectedRanges>
  <mergeCells count="33">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I11:I12"/>
    <mergeCell ref="L11:M11"/>
    <mergeCell ref="N11:O11"/>
    <mergeCell ref="J11:J12"/>
    <mergeCell ref="K11:K12"/>
    <mergeCell ref="M7:O7"/>
  </mergeCells>
  <conditionalFormatting sqref="A1:P3 A9:P49 P6:P8 L6:M8 A6:J8 A5:P5 A4 C4:P4">
    <cfRule type="expression" dxfId="435" priority="2">
      <formula>IF(OR(ISERROR(A1),A1="ERROR"),TRUE,FALSE)</formula>
    </cfRule>
  </conditionalFormatting>
  <conditionalFormatting sqref="B4">
    <cfRule type="expression" dxfId="434"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3" t="s">
        <v>303</v>
      </c>
      <c r="D2" s="354"/>
      <c r="E2" s="354"/>
      <c r="F2" s="354"/>
      <c r="G2" s="354"/>
      <c r="H2" s="354"/>
      <c r="I2" s="354"/>
      <c r="J2" s="353" t="s">
        <v>309</v>
      </c>
      <c r="K2" s="354"/>
      <c r="L2" s="354"/>
      <c r="M2" s="355"/>
      <c r="N2" s="28"/>
    </row>
    <row r="3" spans="1:16" ht="24" customHeight="1" thickBot="1" x14ac:dyDescent="0.4">
      <c r="A3" s="25"/>
      <c r="B3" s="29"/>
      <c r="C3" s="356"/>
      <c r="D3" s="357"/>
      <c r="E3" s="357"/>
      <c r="F3" s="357"/>
      <c r="G3" s="357"/>
      <c r="H3" s="357"/>
      <c r="I3" s="357"/>
      <c r="J3" s="356" t="str">
        <f>Transformation!B4</f>
        <v>As of: July 18, 2015</v>
      </c>
      <c r="K3" s="357"/>
      <c r="L3" s="357"/>
      <c r="M3" s="358"/>
      <c r="N3" s="28"/>
    </row>
    <row r="4" spans="1:16" ht="51" customHeight="1" thickBot="1" x14ac:dyDescent="0.35">
      <c r="A4" s="30"/>
      <c r="B4" s="250" t="s">
        <v>465</v>
      </c>
      <c r="C4" s="359" t="s">
        <v>993</v>
      </c>
      <c r="D4" s="360"/>
      <c r="E4" s="360"/>
      <c r="F4" s="360"/>
      <c r="G4" s="360"/>
      <c r="H4" s="360"/>
      <c r="I4" s="360"/>
      <c r="J4" s="360"/>
      <c r="K4" s="360"/>
      <c r="L4" s="360"/>
      <c r="M4" s="361"/>
      <c r="N4" s="28"/>
      <c r="O4" s="22"/>
      <c r="P4" s="23"/>
    </row>
    <row r="5" spans="1:16" ht="27" customHeight="1" thickBot="1" x14ac:dyDescent="0.25">
      <c r="A5" s="30"/>
      <c r="B5" s="49"/>
      <c r="C5" s="362" t="s">
        <v>1065</v>
      </c>
      <c r="D5" s="363"/>
      <c r="E5" s="363"/>
      <c r="F5" s="363"/>
      <c r="G5" s="363"/>
      <c r="H5" s="363"/>
      <c r="I5" s="363"/>
      <c r="J5" s="363"/>
      <c r="K5" s="363"/>
      <c r="L5" s="363"/>
      <c r="M5" s="363"/>
      <c r="N5" s="363"/>
      <c r="O5" s="364"/>
    </row>
    <row r="6" spans="1:16" ht="55.5" customHeight="1" x14ac:dyDescent="0.2">
      <c r="A6" s="30"/>
      <c r="B6" s="31"/>
      <c r="C6" s="32" t="s">
        <v>198</v>
      </c>
      <c r="D6" s="365" t="s">
        <v>16</v>
      </c>
      <c r="E6" s="366"/>
      <c r="F6" s="33" t="s">
        <v>201</v>
      </c>
      <c r="G6" s="365" t="s">
        <v>206</v>
      </c>
      <c r="H6" s="367"/>
      <c r="I6" s="33" t="s">
        <v>204</v>
      </c>
      <c r="J6" s="50" t="s">
        <v>14</v>
      </c>
      <c r="K6" s="33" t="s">
        <v>209</v>
      </c>
      <c r="L6" s="371" t="s">
        <v>88</v>
      </c>
      <c r="M6" s="394"/>
      <c r="N6" s="28"/>
    </row>
    <row r="7" spans="1:16" ht="51.75" customHeight="1" x14ac:dyDescent="0.2">
      <c r="A7" s="30"/>
      <c r="B7" s="34"/>
      <c r="C7" s="35" t="s">
        <v>199</v>
      </c>
      <c r="D7" s="375" t="s">
        <v>0</v>
      </c>
      <c r="E7" s="376"/>
      <c r="F7" s="36" t="s">
        <v>202</v>
      </c>
      <c r="G7" s="377" t="s">
        <v>207</v>
      </c>
      <c r="H7" s="377"/>
      <c r="I7" s="36" t="s">
        <v>205</v>
      </c>
      <c r="J7" s="51" t="s">
        <v>19</v>
      </c>
      <c r="K7" s="36" t="s">
        <v>210</v>
      </c>
      <c r="L7" s="390" t="s">
        <v>90</v>
      </c>
      <c r="M7" s="391"/>
      <c r="N7" s="28"/>
    </row>
    <row r="8" spans="1:16" ht="51.75" customHeight="1" thickBot="1" x14ac:dyDescent="0.25">
      <c r="A8" s="25"/>
      <c r="B8" s="28"/>
      <c r="C8" s="37" t="s">
        <v>200</v>
      </c>
      <c r="D8" s="378" t="s">
        <v>18</v>
      </c>
      <c r="E8" s="379"/>
      <c r="F8" s="38" t="s">
        <v>203</v>
      </c>
      <c r="G8" s="380" t="s">
        <v>17</v>
      </c>
      <c r="H8" s="380"/>
      <c r="I8" s="38" t="s">
        <v>208</v>
      </c>
      <c r="J8" s="52" t="s">
        <v>87</v>
      </c>
      <c r="K8" s="38" t="s">
        <v>211</v>
      </c>
      <c r="L8" s="392" t="s">
        <v>89</v>
      </c>
      <c r="M8" s="393"/>
      <c r="N8" s="28"/>
    </row>
    <row r="9" spans="1:16" x14ac:dyDescent="0.2">
      <c r="A9" s="28"/>
      <c r="B9" s="28"/>
      <c r="C9" s="39" t="s">
        <v>716</v>
      </c>
      <c r="D9" s="39" t="s">
        <v>718</v>
      </c>
      <c r="E9" s="39" t="s">
        <v>717</v>
      </c>
      <c r="F9" s="39" t="s">
        <v>720</v>
      </c>
      <c r="G9" s="39" t="s">
        <v>719</v>
      </c>
      <c r="H9" s="39" t="s">
        <v>730</v>
      </c>
      <c r="I9" s="39" t="s">
        <v>729</v>
      </c>
      <c r="J9" s="39"/>
      <c r="K9" s="39"/>
      <c r="L9" s="39"/>
      <c r="M9" s="39"/>
      <c r="N9" s="28"/>
    </row>
    <row r="10" spans="1:16" ht="15.75" customHeight="1" x14ac:dyDescent="0.2">
      <c r="A10" s="25"/>
      <c r="B10" s="26"/>
      <c r="C10" s="381" t="s">
        <v>302</v>
      </c>
      <c r="D10" s="381"/>
      <c r="E10" s="381"/>
      <c r="F10" s="381"/>
      <c r="G10" s="381"/>
      <c r="H10" s="381"/>
      <c r="I10" s="381"/>
      <c r="J10" s="381"/>
      <c r="K10" s="381"/>
      <c r="L10" s="381"/>
      <c r="M10" s="385"/>
      <c r="N10" s="28"/>
    </row>
    <row r="11" spans="1:16" ht="64.5" customHeight="1" x14ac:dyDescent="0.2">
      <c r="A11" s="25"/>
      <c r="B11" s="26"/>
      <c r="C11" s="53" t="s">
        <v>234</v>
      </c>
      <c r="D11" s="53" t="s">
        <v>140</v>
      </c>
      <c r="E11" s="53" t="s">
        <v>235</v>
      </c>
      <c r="F11" s="53" t="s">
        <v>195</v>
      </c>
      <c r="G11" s="53" t="s">
        <v>212</v>
      </c>
      <c r="H11" s="53" t="s">
        <v>214</v>
      </c>
      <c r="I11" s="53" t="s">
        <v>215</v>
      </c>
      <c r="J11" s="387" t="s">
        <v>994</v>
      </c>
      <c r="K11" s="388"/>
      <c r="L11" s="388"/>
      <c r="M11" s="389"/>
      <c r="N11" s="28"/>
    </row>
    <row r="12" spans="1:16" x14ac:dyDescent="0.2">
      <c r="A12" s="25"/>
      <c r="B12" s="41" t="s">
        <v>746</v>
      </c>
      <c r="C12" s="156">
        <f>IF($B12=" ","",IFERROR(INDEX(MMWR_RATING_RO_ROLLUP[],MATCH($B12,MMWR_RATING_RO_ROLLUP[MMWR_RATING_RO_ROLLUP],0),MATCH(C$9,MMWR_RATING_RO_ROLLUP[#Headers],0)),"ERROR"))</f>
        <v>379370</v>
      </c>
      <c r="D12" s="157">
        <f>IF($B12=" ","",IFERROR(INDEX(MMWR_RATING_RO_ROLLUP[],MATCH($B12,MMWR_RATING_RO_ROLLUP[MMWR_RATING_RO_ROLLUP],0),MATCH(D$9,MMWR_RATING_RO_ROLLUP[#Headers],0)),"ERROR"))</f>
        <v>116.2956375043</v>
      </c>
      <c r="E12" s="158">
        <f>IF($B12=" ","",IFERROR(INDEX(MMWR_RATING_RO_ROLLUP[],MATCH($B12,MMWR_RATING_RO_ROLLUP[MMWR_RATING_RO_ROLLUP],0),MATCH(E$9,MMWR_RATING_RO_ROLLUP[#Headers],0))/$C12,"ERROR"))</f>
        <v>0.31554946358436353</v>
      </c>
      <c r="F12" s="156">
        <f>IF($B12=" ","",IFERROR(INDEX(MMWR_RATING_RO_ROLLUP[],MATCH($B12,MMWR_RATING_RO_ROLLUP[MMWR_RATING_RO_ROLLUP],0),MATCH(F$9,MMWR_RATING_RO_ROLLUP[#Headers],0)),"ERROR"))</f>
        <v>61832</v>
      </c>
      <c r="G12" s="156">
        <f>IF($B12=" ","",IFERROR(INDEX(MMWR_RATING_RO_ROLLUP[],MATCH($B12,MMWR_RATING_RO_ROLLUP[MMWR_RATING_RO_ROLLUP],0),MATCH(G$9,MMWR_RATING_RO_ROLLUP[#Headers],0)),"ERROR"))</f>
        <v>1102390</v>
      </c>
      <c r="H12" s="157">
        <f>IF($B12=" ","",IFERROR(INDEX(MMWR_RATING_RO_ROLLUP[],MATCH($B12,MMWR_RATING_RO_ROLLUP[MMWR_RATING_RO_ROLLUP],0),MATCH(H$9,MMWR_RATING_RO_ROLLUP[#Headers],0)),"ERROR"))</f>
        <v>152.62144197180001</v>
      </c>
      <c r="I12" s="157">
        <f>IF($B12=" ","",IFERROR(INDEX(MMWR_RATING_RO_ROLLUP[],MATCH($B12,MMWR_RATING_RO_ROLLUP[MMWR_RATING_RO_ROLLUP],0),MATCH(I$9,MMWR_RATING_RO_ROLLUP[#Headers],0)),"ERROR"))</f>
        <v>174.92684440170001</v>
      </c>
      <c r="J12" s="42"/>
      <c r="K12" s="42"/>
      <c r="L12" s="42"/>
      <c r="M12" s="42"/>
      <c r="N12" s="28"/>
    </row>
    <row r="13" spans="1:16" x14ac:dyDescent="0.2">
      <c r="A13" s="25"/>
      <c r="B13" s="373" t="s">
        <v>749</v>
      </c>
      <c r="C13" s="374"/>
      <c r="D13" s="374"/>
      <c r="E13" s="374"/>
      <c r="F13" s="374"/>
      <c r="G13" s="374"/>
      <c r="H13" s="374"/>
      <c r="I13" s="374"/>
      <c r="J13" s="374"/>
      <c r="K13" s="374"/>
      <c r="L13" s="374"/>
      <c r="M13" s="386"/>
      <c r="N13" s="28"/>
    </row>
    <row r="14" spans="1:16" x14ac:dyDescent="0.2">
      <c r="A14" s="25"/>
      <c r="B14" s="41" t="s">
        <v>745</v>
      </c>
      <c r="C14" s="156">
        <f>IF($B14=" ","",IFERROR(INDEX(MMWR_RATING_RO_ROLLUP[],MATCH($B14,MMWR_RATING_RO_ROLLUP[MMWR_RATING_RO_ROLLUP],0),MATCH(C$9,MMWR_RATING_RO_ROLLUP[#Headers],0)),"ERROR"))</f>
        <v>344036</v>
      </c>
      <c r="D14" s="157">
        <f>IF($B14=" ","",IFERROR(INDEX(MMWR_RATING_RO_ROLLUP[],MATCH($B14,MMWR_RATING_RO_ROLLUP[MMWR_RATING_RO_ROLLUP],0),MATCH(D$9,MMWR_RATING_RO_ROLLUP[#Headers],0)),"ERROR"))</f>
        <v>121.27516597100001</v>
      </c>
      <c r="E14" s="158">
        <f>IF($B14=" ","",IFERROR(INDEX(MMWR_RATING_RO_ROLLUP[],MATCH($B14,MMWR_RATING_RO_ROLLUP[MMWR_RATING_RO_ROLLUP],0),MATCH(E$9,MMWR_RATING_RO_ROLLUP[#Headers],0))/$C14,"ERROR"))</f>
        <v>0.33494169214849606</v>
      </c>
      <c r="F14" s="156">
        <f>IF($B14=" ","",IFERROR(INDEX(MMWR_RATING_RO_ROLLUP[],MATCH($B14,MMWR_RATING_RO_ROLLUP[MMWR_RATING_RO_ROLLUP],0),MATCH(F$9,MMWR_RATING_RO_ROLLUP[#Headers],0)),"ERROR"))</f>
        <v>53325</v>
      </c>
      <c r="G14" s="156">
        <f>IF($B14=" ","",IFERROR(INDEX(MMWR_RATING_RO_ROLLUP[],MATCH($B14,MMWR_RATING_RO_ROLLUP[MMWR_RATING_RO_ROLLUP],0),MATCH(G$9,MMWR_RATING_RO_ROLLUP[#Headers],0)),"ERROR"))</f>
        <v>939270</v>
      </c>
      <c r="H14" s="157">
        <f>IF($B14=" ","",IFERROR(INDEX(MMWR_RATING_RO_ROLLUP[],MATCH($B14,MMWR_RATING_RO_ROLLUP[MMWR_RATING_RO_ROLLUP],0),MATCH(H$9,MMWR_RATING_RO_ROLLUP[#Headers],0)),"ERROR"))</f>
        <v>163.5784528833</v>
      </c>
      <c r="I14" s="157">
        <f>IF($B14=" ","",IFERROR(INDEX(MMWR_RATING_RO_ROLLUP[],MATCH($B14,MMWR_RATING_RO_ROLLUP[MMWR_RATING_RO_ROLLUP],0),MATCH(I$9,MMWR_RATING_RO_ROLLUP[#Headers],0)),"ERROR"))</f>
        <v>190.61078390669999</v>
      </c>
      <c r="J14" s="42"/>
      <c r="K14" s="42"/>
      <c r="L14" s="42"/>
      <c r="M14" s="42"/>
      <c r="N14" s="28"/>
    </row>
    <row r="15" spans="1:16" x14ac:dyDescent="0.2">
      <c r="A15" s="25"/>
      <c r="B15" s="251" t="s">
        <v>379</v>
      </c>
      <c r="C15" s="156">
        <f>IF($B15=" ","",IFERROR(INDEX(MMWR_RATING_RO_ROLLUP[],MATCH($B15,MMWR_RATING_RO_ROLLUP[MMWR_RATING_RO_ROLLUP],0),MATCH(C$9,MMWR_RATING_RO_ROLLUP[#Headers],0)),"ERROR"))</f>
        <v>74994</v>
      </c>
      <c r="D15" s="157">
        <f>IF($B15=" ","",IFERROR(INDEX(MMWR_RATING_RO_ROLLUP[],MATCH($B15,MMWR_RATING_RO_ROLLUP[MMWR_RATING_RO_ROLLUP],0),MATCH(D$9,MMWR_RATING_RO_ROLLUP[#Headers],0)),"ERROR"))</f>
        <v>122.1863615756</v>
      </c>
      <c r="E15" s="158">
        <f>IF($B15=" ","",IFERROR(INDEX(MMWR_RATING_RO_ROLLUP[],MATCH($B15,MMWR_RATING_RO_ROLLUP[MMWR_RATING_RO_ROLLUP],0),MATCH(E$9,MMWR_RATING_RO_ROLLUP[#Headers],0))/$C15,"ERROR"))</f>
        <v>0.33498679894391553</v>
      </c>
      <c r="F15" s="156">
        <f>IF($B15=" ","",IFERROR(INDEX(MMWR_RATING_RO_ROLLUP[],MATCH($B15,MMWR_RATING_RO_ROLLUP[MMWR_RATING_RO_ROLLUP],0),MATCH(F$9,MMWR_RATING_RO_ROLLUP[#Headers],0)),"ERROR"))</f>
        <v>11619</v>
      </c>
      <c r="G15" s="156">
        <f>IF($B15=" ","",IFERROR(INDEX(MMWR_RATING_RO_ROLLUP[],MATCH($B15,MMWR_RATING_RO_ROLLUP[MMWR_RATING_RO_ROLLUP],0),MATCH(G$9,MMWR_RATING_RO_ROLLUP[#Headers],0)),"ERROR"))</f>
        <v>207537</v>
      </c>
      <c r="H15" s="157">
        <f>IF($B15=" ","",IFERROR(INDEX(MMWR_RATING_RO_ROLLUP[],MATCH($B15,MMWR_RATING_RO_ROLLUP[MMWR_RATING_RO_ROLLUP],0),MATCH(H$9,MMWR_RATING_RO_ROLLUP[#Headers],0)),"ERROR"))</f>
        <v>168.82597469660001</v>
      </c>
      <c r="I15" s="157">
        <f>IF($B15=" ","",IFERROR(INDEX(MMWR_RATING_RO_ROLLUP[],MATCH($B15,MMWR_RATING_RO_ROLLUP[MMWR_RATING_RO_ROLLUP],0),MATCH(I$9,MMWR_RATING_RO_ROLLUP[#Headers],0)),"ERROR"))</f>
        <v>196.5260507765</v>
      </c>
      <c r="J15" s="42"/>
      <c r="K15" s="42"/>
      <c r="L15" s="42"/>
      <c r="M15" s="42"/>
      <c r="N15" s="28"/>
    </row>
    <row r="16" spans="1:16" x14ac:dyDescent="0.2">
      <c r="A16" s="25"/>
      <c r="B16" s="8" t="str">
        <f>VLOOKUP($B$15,DISTRICT_RO[],2,0)</f>
        <v>Baltimore VSC</v>
      </c>
      <c r="C16" s="156">
        <f>IF($B16=" ","",IFERROR(INDEX(MMWR_RATING_RO_ROLLUP[],MATCH($B16,MMWR_RATING_RO_ROLLUP[MMWR_RATING_RO_ROLLUP],0),MATCH(C$9,MMWR_RATING_RO_ROLLUP[#Headers],0)),"ERROR"))</f>
        <v>5386</v>
      </c>
      <c r="D16" s="157">
        <f>IF($B16=" ","",IFERROR(INDEX(MMWR_RATING_RO_ROLLUP[],MATCH($B16,MMWR_RATING_RO_ROLLUP[MMWR_RATING_RO_ROLLUP],0),MATCH(D$9,MMWR_RATING_RO_ROLLUP[#Headers],0)),"ERROR"))</f>
        <v>144.82807278129999</v>
      </c>
      <c r="E16" s="158">
        <f>IF($B16=" ","",IFERROR(INDEX(MMWR_RATING_RO_ROLLUP[],MATCH($B16,MMWR_RATING_RO_ROLLUP[MMWR_RATING_RO_ROLLUP],0),MATCH(E$9,MMWR_RATING_RO_ROLLUP[#Headers],0))/$C16,"ERROR"))</f>
        <v>0.3850724099517267</v>
      </c>
      <c r="F16" s="156">
        <f>IF($B16=" ","",IFERROR(INDEX(MMWR_RATING_RO_ROLLUP[],MATCH($B16,MMWR_RATING_RO_ROLLUP[MMWR_RATING_RO_ROLLUP],0),MATCH(F$9,MMWR_RATING_RO_ROLLUP[#Headers],0)),"ERROR"))</f>
        <v>1053</v>
      </c>
      <c r="G16" s="156">
        <f>IF($B16=" ","",IFERROR(INDEX(MMWR_RATING_RO_ROLLUP[],MATCH($B16,MMWR_RATING_RO_ROLLUP[MMWR_RATING_RO_ROLLUP],0),MATCH(G$9,MMWR_RATING_RO_ROLLUP[#Headers],0)),"ERROR"))</f>
        <v>15702</v>
      </c>
      <c r="H16" s="157">
        <f>IF($B16=" ","",IFERROR(INDEX(MMWR_RATING_RO_ROLLUP[],MATCH($B16,MMWR_RATING_RO_ROLLUP[MMWR_RATING_RO_ROLLUP],0),MATCH(H$9,MMWR_RATING_RO_ROLLUP[#Headers],0)),"ERROR"))</f>
        <v>200.69230769230001</v>
      </c>
      <c r="I16" s="157">
        <f>IF($B16=" ","",IFERROR(INDEX(MMWR_RATING_RO_ROLLUP[],MATCH($B16,MMWR_RATING_RO_ROLLUP[MMWR_RATING_RO_ROLLUP],0),MATCH(I$9,MMWR_RATING_RO_ROLLUP[#Headers],0)),"ERROR"))</f>
        <v>257.79836963439999</v>
      </c>
      <c r="J16" s="42"/>
      <c r="K16" s="42"/>
      <c r="L16" s="42"/>
      <c r="M16" s="42"/>
      <c r="N16" s="28"/>
    </row>
    <row r="17" spans="1:14" x14ac:dyDescent="0.2">
      <c r="A17" s="25"/>
      <c r="B17" s="8" t="str">
        <f>VLOOKUP($B$15,DISTRICT_RO[],3,0)</f>
        <v>Boston VSC</v>
      </c>
      <c r="C17" s="156">
        <f>IF($B17=" ","",IFERROR(INDEX(MMWR_RATING_RO_ROLLUP[],MATCH($B17,MMWR_RATING_RO_ROLLUP[MMWR_RATING_RO_ROLLUP],0),MATCH(C$9,MMWR_RATING_RO_ROLLUP[#Headers],0)),"ERROR"))</f>
        <v>3777</v>
      </c>
      <c r="D17" s="157">
        <f>IF($B17=" ","",IFERROR(INDEX(MMWR_RATING_RO_ROLLUP[],MATCH($B17,MMWR_RATING_RO_ROLLUP[MMWR_RATING_RO_ROLLUP],0),MATCH(D$9,MMWR_RATING_RO_ROLLUP[#Headers],0)),"ERROR"))</f>
        <v>117.49139528729999</v>
      </c>
      <c r="E17" s="158">
        <f>IF($B17=" ","",IFERROR(INDEX(MMWR_RATING_RO_ROLLUP[],MATCH($B17,MMWR_RATING_RO_ROLLUP[MMWR_RATING_RO_ROLLUP],0),MATCH(E$9,MMWR_RATING_RO_ROLLUP[#Headers],0))/$C17,"ERROR"))</f>
        <v>0.29520783690759861</v>
      </c>
      <c r="F17" s="156">
        <f>IF($B17=" ","",IFERROR(INDEX(MMWR_RATING_RO_ROLLUP[],MATCH($B17,MMWR_RATING_RO_ROLLUP[MMWR_RATING_RO_ROLLUP],0),MATCH(F$9,MMWR_RATING_RO_ROLLUP[#Headers],0)),"ERROR"))</f>
        <v>501</v>
      </c>
      <c r="G17" s="156">
        <f>IF($B17=" ","",IFERROR(INDEX(MMWR_RATING_RO_ROLLUP[],MATCH($B17,MMWR_RATING_RO_ROLLUP[MMWR_RATING_RO_ROLLUP],0),MATCH(G$9,MMWR_RATING_RO_ROLLUP[#Headers],0)),"ERROR"))</f>
        <v>9704</v>
      </c>
      <c r="H17" s="157">
        <f>IF($B17=" ","",IFERROR(INDEX(MMWR_RATING_RO_ROLLUP[],MATCH($B17,MMWR_RATING_RO_ROLLUP[MMWR_RATING_RO_ROLLUP],0),MATCH(H$9,MMWR_RATING_RO_ROLLUP[#Headers],0)),"ERROR"))</f>
        <v>195.0538922156</v>
      </c>
      <c r="I17" s="157">
        <f>IF($B17=" ","",IFERROR(INDEX(MMWR_RATING_RO_ROLLUP[],MATCH($B17,MMWR_RATING_RO_ROLLUP[MMWR_RATING_RO_ROLLUP],0),MATCH(I$9,MMWR_RATING_RO_ROLLUP[#Headers],0)),"ERROR"))</f>
        <v>221.57491755980001</v>
      </c>
      <c r="J17" s="42"/>
      <c r="K17" s="42"/>
      <c r="L17" s="42"/>
      <c r="M17" s="42"/>
      <c r="N17" s="28"/>
    </row>
    <row r="18" spans="1:14" x14ac:dyDescent="0.2">
      <c r="A18" s="25"/>
      <c r="B18" s="8" t="str">
        <f>VLOOKUP($B$15,DISTRICT_RO[],4,0)</f>
        <v>Buffalo VSC</v>
      </c>
      <c r="C18" s="156">
        <f>IF($B18=" ","",IFERROR(INDEX(MMWR_RATING_RO_ROLLUP[],MATCH($B18,MMWR_RATING_RO_ROLLUP[MMWR_RATING_RO_ROLLUP],0),MATCH(C$9,MMWR_RATING_RO_ROLLUP[#Headers],0)),"ERROR"))</f>
        <v>4864</v>
      </c>
      <c r="D18" s="157">
        <f>IF($B18=" ","",IFERROR(INDEX(MMWR_RATING_RO_ROLLUP[],MATCH($B18,MMWR_RATING_RO_ROLLUP[MMWR_RATING_RO_ROLLUP],0),MATCH(D$9,MMWR_RATING_RO_ROLLUP[#Headers],0)),"ERROR"))</f>
        <v>113.88096217109999</v>
      </c>
      <c r="E18" s="158">
        <f>IF($B18=" ","",IFERROR(INDEX(MMWR_RATING_RO_ROLLUP[],MATCH($B18,MMWR_RATING_RO_ROLLUP[MMWR_RATING_RO_ROLLUP],0),MATCH(E$9,MMWR_RATING_RO_ROLLUP[#Headers],0))/$C18,"ERROR"))</f>
        <v>0.30263157894736842</v>
      </c>
      <c r="F18" s="156">
        <f>IF($B18=" ","",IFERROR(INDEX(MMWR_RATING_RO_ROLLUP[],MATCH($B18,MMWR_RATING_RO_ROLLUP[MMWR_RATING_RO_ROLLUP],0),MATCH(F$9,MMWR_RATING_RO_ROLLUP[#Headers],0)),"ERROR"))</f>
        <v>558</v>
      </c>
      <c r="G18" s="156">
        <f>IF($B18=" ","",IFERROR(INDEX(MMWR_RATING_RO_ROLLUP[],MATCH($B18,MMWR_RATING_RO_ROLLUP[MMWR_RATING_RO_ROLLUP],0),MATCH(G$9,MMWR_RATING_RO_ROLLUP[#Headers],0)),"ERROR"))</f>
        <v>10636</v>
      </c>
      <c r="H18" s="157">
        <f>IF($B18=" ","",IFERROR(INDEX(MMWR_RATING_RO_ROLLUP[],MATCH($B18,MMWR_RATING_RO_ROLLUP[MMWR_RATING_RO_ROLLUP],0),MATCH(H$9,MMWR_RATING_RO_ROLLUP[#Headers],0)),"ERROR"))</f>
        <v>211.1720430108</v>
      </c>
      <c r="I18" s="157">
        <f>IF($B18=" ","",IFERROR(INDEX(MMWR_RATING_RO_ROLLUP[],MATCH($B18,MMWR_RATING_RO_ROLLUP[MMWR_RATING_RO_ROLLUP],0),MATCH(I$9,MMWR_RATING_RO_ROLLUP[#Headers],0)),"ERROR"))</f>
        <v>214.82596840919999</v>
      </c>
      <c r="J18" s="42"/>
      <c r="K18" s="42"/>
      <c r="L18" s="42"/>
      <c r="M18" s="42"/>
      <c r="N18" s="28"/>
    </row>
    <row r="19" spans="1:14" x14ac:dyDescent="0.2">
      <c r="A19" s="25"/>
      <c r="B19" s="8" t="str">
        <f>VLOOKUP($B$15,DISTRICT_RO[],5,0)</f>
        <v>Hartford VSC</v>
      </c>
      <c r="C19" s="156">
        <f>IF($B19=" ","",IFERROR(INDEX(MMWR_RATING_RO_ROLLUP[],MATCH($B19,MMWR_RATING_RO_ROLLUP[MMWR_RATING_RO_ROLLUP],0),MATCH(C$9,MMWR_RATING_RO_ROLLUP[#Headers],0)),"ERROR"))</f>
        <v>1927</v>
      </c>
      <c r="D19" s="157">
        <f>IF($B19=" ","",IFERROR(INDEX(MMWR_RATING_RO_ROLLUP[],MATCH($B19,MMWR_RATING_RO_ROLLUP[MMWR_RATING_RO_ROLLUP],0),MATCH(D$9,MMWR_RATING_RO_ROLLUP[#Headers],0)),"ERROR"))</f>
        <v>100.0550077841</v>
      </c>
      <c r="E19" s="158">
        <f>IF($B19=" ","",IFERROR(INDEX(MMWR_RATING_RO_ROLLUP[],MATCH($B19,MMWR_RATING_RO_ROLLUP[MMWR_RATING_RO_ROLLUP],0),MATCH(E$9,MMWR_RATING_RO_ROLLUP[#Headers],0))/$C19,"ERROR"))</f>
        <v>0.27555786196159832</v>
      </c>
      <c r="F19" s="156">
        <f>IF($B19=" ","",IFERROR(INDEX(MMWR_RATING_RO_ROLLUP[],MATCH($B19,MMWR_RATING_RO_ROLLUP[MMWR_RATING_RO_ROLLUP],0),MATCH(F$9,MMWR_RATING_RO_ROLLUP[#Headers],0)),"ERROR"))</f>
        <v>244</v>
      </c>
      <c r="G19" s="156">
        <f>IF($B19=" ","",IFERROR(INDEX(MMWR_RATING_RO_ROLLUP[],MATCH($B19,MMWR_RATING_RO_ROLLUP[MMWR_RATING_RO_ROLLUP],0),MATCH(G$9,MMWR_RATING_RO_ROLLUP[#Headers],0)),"ERROR"))</f>
        <v>5125</v>
      </c>
      <c r="H19" s="157">
        <f>IF($B19=" ","",IFERROR(INDEX(MMWR_RATING_RO_ROLLUP[],MATCH($B19,MMWR_RATING_RO_ROLLUP[MMWR_RATING_RO_ROLLUP],0),MATCH(H$9,MMWR_RATING_RO_ROLLUP[#Headers],0)),"ERROR"))</f>
        <v>143.09016393440001</v>
      </c>
      <c r="I19" s="157">
        <f>IF($B19=" ","",IFERROR(INDEX(MMWR_RATING_RO_ROLLUP[],MATCH($B19,MMWR_RATING_RO_ROLLUP[MMWR_RATING_RO_ROLLUP],0),MATCH(I$9,MMWR_RATING_RO_ROLLUP[#Headers],0)),"ERROR"))</f>
        <v>151.98985365850001</v>
      </c>
      <c r="J19" s="42"/>
      <c r="K19" s="42"/>
      <c r="L19" s="42"/>
      <c r="M19" s="42"/>
      <c r="N19" s="28"/>
    </row>
    <row r="20" spans="1:14" x14ac:dyDescent="0.2">
      <c r="A20" s="25"/>
      <c r="B20" s="8" t="str">
        <f>VLOOKUP($B$15,DISTRICT_RO[],6,0)</f>
        <v>Huntington VSC</v>
      </c>
      <c r="C20" s="156">
        <f>IF($B20=" ","",IFERROR(INDEX(MMWR_RATING_RO_ROLLUP[],MATCH($B20,MMWR_RATING_RO_ROLLUP[MMWR_RATING_RO_ROLLUP],0),MATCH(C$9,MMWR_RATING_RO_ROLLUP[#Headers],0)),"ERROR"))</f>
        <v>2554</v>
      </c>
      <c r="D20" s="157">
        <f>IF($B20=" ","",IFERROR(INDEX(MMWR_RATING_RO_ROLLUP[],MATCH($B20,MMWR_RATING_RO_ROLLUP[MMWR_RATING_RO_ROLLUP],0),MATCH(D$9,MMWR_RATING_RO_ROLLUP[#Headers],0)),"ERROR"))</f>
        <v>95.2689898199</v>
      </c>
      <c r="E20" s="158">
        <f>IF($B20=" ","",IFERROR(INDEX(MMWR_RATING_RO_ROLLUP[],MATCH($B20,MMWR_RATING_RO_ROLLUP[MMWR_RATING_RO_ROLLUP],0),MATCH(E$9,MMWR_RATING_RO_ROLLUP[#Headers],0))/$C20,"ERROR"))</f>
        <v>0.23492560689115113</v>
      </c>
      <c r="F20" s="156">
        <f>IF($B20=" ","",IFERROR(INDEX(MMWR_RATING_RO_ROLLUP[],MATCH($B20,MMWR_RATING_RO_ROLLUP[MMWR_RATING_RO_ROLLUP],0),MATCH(F$9,MMWR_RATING_RO_ROLLUP[#Headers],0)),"ERROR"))</f>
        <v>603</v>
      </c>
      <c r="G20" s="156">
        <f>IF($B20=" ","",IFERROR(INDEX(MMWR_RATING_RO_ROLLUP[],MATCH($B20,MMWR_RATING_RO_ROLLUP[MMWR_RATING_RO_ROLLUP],0),MATCH(G$9,MMWR_RATING_RO_ROLLUP[#Headers],0)),"ERROR"))</f>
        <v>7288</v>
      </c>
      <c r="H20" s="157">
        <f>IF($B20=" ","",IFERROR(INDEX(MMWR_RATING_RO_ROLLUP[],MATCH($B20,MMWR_RATING_RO_ROLLUP[MMWR_RATING_RO_ROLLUP],0),MATCH(H$9,MMWR_RATING_RO_ROLLUP[#Headers],0)),"ERROR"))</f>
        <v>133.6086235489</v>
      </c>
      <c r="I20" s="157">
        <f>IF($B20=" ","",IFERROR(INDEX(MMWR_RATING_RO_ROLLUP[],MATCH($B20,MMWR_RATING_RO_ROLLUP[MMWR_RATING_RO_ROLLUP],0),MATCH(I$9,MMWR_RATING_RO_ROLLUP[#Headers],0)),"ERROR"))</f>
        <v>146.26083973659999</v>
      </c>
      <c r="J20" s="42"/>
      <c r="K20" s="42"/>
      <c r="L20" s="42"/>
      <c r="M20" s="42"/>
      <c r="N20" s="28"/>
    </row>
    <row r="21" spans="1:14" x14ac:dyDescent="0.2">
      <c r="A21" s="25"/>
      <c r="B21" s="8" t="str">
        <f>VLOOKUP($B$15,DISTRICT_RO[],7,0)</f>
        <v>Manchester VSC</v>
      </c>
      <c r="C21" s="156">
        <f>IF($B21=" ","",IFERROR(INDEX(MMWR_RATING_RO_ROLLUP[],MATCH($B21,MMWR_RATING_RO_ROLLUP[MMWR_RATING_RO_ROLLUP],0),MATCH(C$9,MMWR_RATING_RO_ROLLUP[#Headers],0)),"ERROR"))</f>
        <v>1395</v>
      </c>
      <c r="D21" s="157">
        <f>IF($B21=" ","",IFERROR(INDEX(MMWR_RATING_RO_ROLLUP[],MATCH($B21,MMWR_RATING_RO_ROLLUP[MMWR_RATING_RO_ROLLUP],0),MATCH(D$9,MMWR_RATING_RO_ROLLUP[#Headers],0)),"ERROR"))</f>
        <v>97.348387096799996</v>
      </c>
      <c r="E21" s="158">
        <f>IF($B21=" ","",IFERROR(INDEX(MMWR_RATING_RO_ROLLUP[],MATCH($B21,MMWR_RATING_RO_ROLLUP[MMWR_RATING_RO_ROLLUP],0),MATCH(E$9,MMWR_RATING_RO_ROLLUP[#Headers],0))/$C21,"ERROR"))</f>
        <v>0.22293906810035843</v>
      </c>
      <c r="F21" s="156">
        <f>IF($B21=" ","",IFERROR(INDEX(MMWR_RATING_RO_ROLLUP[],MATCH($B21,MMWR_RATING_RO_ROLLUP[MMWR_RATING_RO_ROLLUP],0),MATCH(F$9,MMWR_RATING_RO_ROLLUP[#Headers],0)),"ERROR"))</f>
        <v>197</v>
      </c>
      <c r="G21" s="156">
        <f>IF($B21=" ","",IFERROR(INDEX(MMWR_RATING_RO_ROLLUP[],MATCH($B21,MMWR_RATING_RO_ROLLUP[MMWR_RATING_RO_ROLLUP],0),MATCH(G$9,MMWR_RATING_RO_ROLLUP[#Headers],0)),"ERROR"))</f>
        <v>3175</v>
      </c>
      <c r="H21" s="157">
        <f>IF($B21=" ","",IFERROR(INDEX(MMWR_RATING_RO_ROLLUP[],MATCH($B21,MMWR_RATING_RO_ROLLUP[MMWR_RATING_RO_ROLLUP],0),MATCH(H$9,MMWR_RATING_RO_ROLLUP[#Headers],0)),"ERROR"))</f>
        <v>152.35025380709999</v>
      </c>
      <c r="I21" s="157">
        <f>IF($B21=" ","",IFERROR(INDEX(MMWR_RATING_RO_ROLLUP[],MATCH($B21,MMWR_RATING_RO_ROLLUP[MMWR_RATING_RO_ROLLUP],0),MATCH(I$9,MMWR_RATING_RO_ROLLUP[#Headers],0)),"ERROR"))</f>
        <v>179.45448818899999</v>
      </c>
      <c r="J21" s="42"/>
      <c r="K21" s="42"/>
      <c r="L21" s="42"/>
      <c r="M21" s="42"/>
      <c r="N21" s="28"/>
    </row>
    <row r="22" spans="1:14" x14ac:dyDescent="0.2">
      <c r="A22" s="25"/>
      <c r="B22" s="8" t="str">
        <f>VLOOKUP($B$15,DISTRICT_RO[],8,0)</f>
        <v>New York VSC</v>
      </c>
      <c r="C22" s="156">
        <f>IF($B22=" ","",IFERROR(INDEX(MMWR_RATING_RO_ROLLUP[],MATCH($B22,MMWR_RATING_RO_ROLLUP[MMWR_RATING_RO_ROLLUP],0),MATCH(C$9,MMWR_RATING_RO_ROLLUP[#Headers],0)),"ERROR"))</f>
        <v>4965</v>
      </c>
      <c r="D22" s="157">
        <f>IF($B22=" ","",IFERROR(INDEX(MMWR_RATING_RO_ROLLUP[],MATCH($B22,MMWR_RATING_RO_ROLLUP[MMWR_RATING_RO_ROLLUP],0),MATCH(D$9,MMWR_RATING_RO_ROLLUP[#Headers],0)),"ERROR"))</f>
        <v>126.04209466259999</v>
      </c>
      <c r="E22" s="158">
        <f>IF($B22=" ","",IFERROR(INDEX(MMWR_RATING_RO_ROLLUP[],MATCH($B22,MMWR_RATING_RO_ROLLUP[MMWR_RATING_RO_ROLLUP],0),MATCH(E$9,MMWR_RATING_RO_ROLLUP[#Headers],0))/$C22,"ERROR"))</f>
        <v>0.36112789526686806</v>
      </c>
      <c r="F22" s="156">
        <f>IF($B22=" ","",IFERROR(INDEX(MMWR_RATING_RO_ROLLUP[],MATCH($B22,MMWR_RATING_RO_ROLLUP[MMWR_RATING_RO_ROLLUP],0),MATCH(F$9,MMWR_RATING_RO_ROLLUP[#Headers],0)),"ERROR"))</f>
        <v>780</v>
      </c>
      <c r="G22" s="156">
        <f>IF($B22=" ","",IFERROR(INDEX(MMWR_RATING_RO_ROLLUP[],MATCH($B22,MMWR_RATING_RO_ROLLUP[MMWR_RATING_RO_ROLLUP],0),MATCH(G$9,MMWR_RATING_RO_ROLLUP[#Headers],0)),"ERROR"))</f>
        <v>13429</v>
      </c>
      <c r="H22" s="157">
        <f>IF($B22=" ","",IFERROR(INDEX(MMWR_RATING_RO_ROLLUP[],MATCH($B22,MMWR_RATING_RO_ROLLUP[MMWR_RATING_RO_ROLLUP],0),MATCH(H$9,MMWR_RATING_RO_ROLLUP[#Headers],0)),"ERROR"))</f>
        <v>178.96410256409999</v>
      </c>
      <c r="I22" s="157">
        <f>IF($B22=" ","",IFERROR(INDEX(MMWR_RATING_RO_ROLLUP[],MATCH($B22,MMWR_RATING_RO_ROLLUP[MMWR_RATING_RO_ROLLUP],0),MATCH(I$9,MMWR_RATING_RO_ROLLUP[#Headers],0)),"ERROR"))</f>
        <v>208.01712711299999</v>
      </c>
      <c r="J22" s="42"/>
      <c r="K22" s="42"/>
      <c r="L22" s="42"/>
      <c r="M22" s="42"/>
      <c r="N22" s="28"/>
    </row>
    <row r="23" spans="1:14" x14ac:dyDescent="0.2">
      <c r="A23" s="25"/>
      <c r="B23" s="8" t="str">
        <f>VLOOKUP($B$15,DISTRICT_RO[],9,0)</f>
        <v>Newark VSC</v>
      </c>
      <c r="C23" s="156">
        <f>IF($B23=" ","",IFERROR(INDEX(MMWR_RATING_RO_ROLLUP[],MATCH($B23,MMWR_RATING_RO_ROLLUP[MMWR_RATING_RO_ROLLUP],0),MATCH(C$9,MMWR_RATING_RO_ROLLUP[#Headers],0)),"ERROR"))</f>
        <v>2895</v>
      </c>
      <c r="D23" s="157">
        <f>IF($B23=" ","",IFERROR(INDEX(MMWR_RATING_RO_ROLLUP[],MATCH($B23,MMWR_RATING_RO_ROLLUP[MMWR_RATING_RO_ROLLUP],0),MATCH(D$9,MMWR_RATING_RO_ROLLUP[#Headers],0)),"ERROR"))</f>
        <v>105.6956822107</v>
      </c>
      <c r="E23" s="158">
        <f>IF($B23=" ","",IFERROR(INDEX(MMWR_RATING_RO_ROLLUP[],MATCH($B23,MMWR_RATING_RO_ROLLUP[MMWR_RATING_RO_ROLLUP],0),MATCH(E$9,MMWR_RATING_RO_ROLLUP[#Headers],0))/$C23,"ERROR"))</f>
        <v>0.30293609671848015</v>
      </c>
      <c r="F23" s="156">
        <f>IF($B23=" ","",IFERROR(INDEX(MMWR_RATING_RO_ROLLUP[],MATCH($B23,MMWR_RATING_RO_ROLLUP[MMWR_RATING_RO_ROLLUP],0),MATCH(F$9,MMWR_RATING_RO_ROLLUP[#Headers],0)),"ERROR"))</f>
        <v>395</v>
      </c>
      <c r="G23" s="156">
        <f>IF($B23=" ","",IFERROR(INDEX(MMWR_RATING_RO_ROLLUP[],MATCH($B23,MMWR_RATING_RO_ROLLUP[MMWR_RATING_RO_ROLLUP],0),MATCH(G$9,MMWR_RATING_RO_ROLLUP[#Headers],0)),"ERROR"))</f>
        <v>5863</v>
      </c>
      <c r="H23" s="157">
        <f>IF($B23=" ","",IFERROR(INDEX(MMWR_RATING_RO_ROLLUP[],MATCH($B23,MMWR_RATING_RO_ROLLUP[MMWR_RATING_RO_ROLLUP],0),MATCH(H$9,MMWR_RATING_RO_ROLLUP[#Headers],0)),"ERROR"))</f>
        <v>148.59493670890001</v>
      </c>
      <c r="I23" s="157">
        <f>IF($B23=" ","",IFERROR(INDEX(MMWR_RATING_RO_ROLLUP[],MATCH($B23,MMWR_RATING_RO_ROLLUP[MMWR_RATING_RO_ROLLUP],0),MATCH(I$9,MMWR_RATING_RO_ROLLUP[#Headers],0)),"ERROR"))</f>
        <v>166.53402694869999</v>
      </c>
      <c r="J23" s="42"/>
      <c r="K23" s="42"/>
      <c r="L23" s="42"/>
      <c r="M23" s="42"/>
      <c r="N23" s="28"/>
    </row>
    <row r="24" spans="1:14" x14ac:dyDescent="0.2">
      <c r="A24" s="25"/>
      <c r="B24" s="8" t="str">
        <f>VLOOKUP($B$15,DISTRICT_RO[],10,0)</f>
        <v>Philadelphia VSC</v>
      </c>
      <c r="C24" s="156">
        <f>IF($B24=" ","",IFERROR(INDEX(MMWR_RATING_RO_ROLLUP[],MATCH($B24,MMWR_RATING_RO_ROLLUP[MMWR_RATING_RO_ROLLUP],0),MATCH(C$9,MMWR_RATING_RO_ROLLUP[#Headers],0)),"ERROR"))</f>
        <v>7800</v>
      </c>
      <c r="D24" s="157">
        <f>IF($B24=" ","",IFERROR(INDEX(MMWR_RATING_RO_ROLLUP[],MATCH($B24,MMWR_RATING_RO_ROLLUP[MMWR_RATING_RO_ROLLUP],0),MATCH(D$9,MMWR_RATING_RO_ROLLUP[#Headers],0)),"ERROR"))</f>
        <v>141.79179487179999</v>
      </c>
      <c r="E24" s="158">
        <f>IF($B24=" ","",IFERROR(INDEX(MMWR_RATING_RO_ROLLUP[],MATCH($B24,MMWR_RATING_RO_ROLLUP[MMWR_RATING_RO_ROLLUP],0),MATCH(E$9,MMWR_RATING_RO_ROLLUP[#Headers],0))/$C24,"ERROR"))</f>
        <v>0.41205128205128205</v>
      </c>
      <c r="F24" s="156">
        <f>IF($B24=" ","",IFERROR(INDEX(MMWR_RATING_RO_ROLLUP[],MATCH($B24,MMWR_RATING_RO_ROLLUP[MMWR_RATING_RO_ROLLUP],0),MATCH(F$9,MMWR_RATING_RO_ROLLUP[#Headers],0)),"ERROR"))</f>
        <v>1122</v>
      </c>
      <c r="G24" s="156">
        <f>IF($B24=" ","",IFERROR(INDEX(MMWR_RATING_RO_ROLLUP[],MATCH($B24,MMWR_RATING_RO_ROLLUP[MMWR_RATING_RO_ROLLUP],0),MATCH(G$9,MMWR_RATING_RO_ROLLUP[#Headers],0)),"ERROR"))</f>
        <v>23746</v>
      </c>
      <c r="H24" s="157">
        <f>IF($B24=" ","",IFERROR(INDEX(MMWR_RATING_RO_ROLLUP[],MATCH($B24,MMWR_RATING_RO_ROLLUP[MMWR_RATING_RO_ROLLUP],0),MATCH(H$9,MMWR_RATING_RO_ROLLUP[#Headers],0)),"ERROR"))</f>
        <v>186.20320855610001</v>
      </c>
      <c r="I24" s="157">
        <f>IF($B24=" ","",IFERROR(INDEX(MMWR_RATING_RO_ROLLUP[],MATCH($B24,MMWR_RATING_RO_ROLLUP[MMWR_RATING_RO_ROLLUP],0),MATCH(I$9,MMWR_RATING_RO_ROLLUP[#Headers],0)),"ERROR"))</f>
        <v>233.89033942559999</v>
      </c>
      <c r="J24" s="42"/>
      <c r="K24" s="42"/>
      <c r="L24" s="42"/>
      <c r="M24" s="42"/>
      <c r="N24" s="28"/>
    </row>
    <row r="25" spans="1:14" x14ac:dyDescent="0.2">
      <c r="A25" s="25"/>
      <c r="B25" s="8" t="str">
        <f>VLOOKUP($B$15,DISTRICT_RO[],11,0)</f>
        <v>Pittsburgh VSC</v>
      </c>
      <c r="C25" s="156">
        <f>IF($B25=" ","",IFERROR(INDEX(MMWR_RATING_RO_ROLLUP[],MATCH($B25,MMWR_RATING_RO_ROLLUP[MMWR_RATING_RO_ROLLUP],0),MATCH(C$9,MMWR_RATING_RO_ROLLUP[#Headers],0)),"ERROR"))</f>
        <v>4749</v>
      </c>
      <c r="D25" s="157">
        <f>IF($B25=" ","",IFERROR(INDEX(MMWR_RATING_RO_ROLLUP[],MATCH($B25,MMWR_RATING_RO_ROLLUP[MMWR_RATING_RO_ROLLUP],0),MATCH(D$9,MMWR_RATING_RO_ROLLUP[#Headers],0)),"ERROR"))</f>
        <v>140.4946304485</v>
      </c>
      <c r="E25" s="158">
        <f>IF($B25=" ","",IFERROR(INDEX(MMWR_RATING_RO_ROLLUP[],MATCH($B25,MMWR_RATING_RO_ROLLUP[MMWR_RATING_RO_ROLLUP],0),MATCH(E$9,MMWR_RATING_RO_ROLLUP[#Headers],0))/$C25,"ERROR"))</f>
        <v>0.37502632133080649</v>
      </c>
      <c r="F25" s="156">
        <f>IF($B25=" ","",IFERROR(INDEX(MMWR_RATING_RO_ROLLUP[],MATCH($B25,MMWR_RATING_RO_ROLLUP[MMWR_RATING_RO_ROLLUP],0),MATCH(F$9,MMWR_RATING_RO_ROLLUP[#Headers],0)),"ERROR"))</f>
        <v>509</v>
      </c>
      <c r="G25" s="156">
        <f>IF($B25=" ","",IFERROR(INDEX(MMWR_RATING_RO_ROLLUP[],MATCH($B25,MMWR_RATING_RO_ROLLUP[MMWR_RATING_RO_ROLLUP],0),MATCH(G$9,MMWR_RATING_RO_ROLLUP[#Headers],0)),"ERROR"))</f>
        <v>10821</v>
      </c>
      <c r="H25" s="157">
        <f>IF($B25=" ","",IFERROR(INDEX(MMWR_RATING_RO_ROLLUP[],MATCH($B25,MMWR_RATING_RO_ROLLUP[MMWR_RATING_RO_ROLLUP],0),MATCH(H$9,MMWR_RATING_RO_ROLLUP[#Headers],0)),"ERROR"))</f>
        <v>194.7485265226</v>
      </c>
      <c r="I25" s="157">
        <f>IF($B25=" ","",IFERROR(INDEX(MMWR_RATING_RO_ROLLUP[],MATCH($B25,MMWR_RATING_RO_ROLLUP[MMWR_RATING_RO_ROLLUP],0),MATCH(I$9,MMWR_RATING_RO_ROLLUP[#Headers],0)),"ERROR"))</f>
        <v>211.59513908139999</v>
      </c>
      <c r="J25" s="42"/>
      <c r="K25" s="42"/>
      <c r="L25" s="42"/>
      <c r="M25" s="42"/>
      <c r="N25" s="28"/>
    </row>
    <row r="26" spans="1:14" x14ac:dyDescent="0.2">
      <c r="A26" s="25"/>
      <c r="B26" s="8" t="str">
        <f>VLOOKUP($B$15,DISTRICT_RO[],12,0)</f>
        <v>Providence VSC</v>
      </c>
      <c r="C26" s="156">
        <f>IF($B26=" ","",IFERROR(INDEX(MMWR_RATING_RO_ROLLUP[],MATCH($B26,MMWR_RATING_RO_ROLLUP[MMWR_RATING_RO_ROLLUP],0),MATCH(C$9,MMWR_RATING_RO_ROLLUP[#Headers],0)),"ERROR"))</f>
        <v>2245</v>
      </c>
      <c r="D26" s="157">
        <f>IF($B26=" ","",IFERROR(INDEX(MMWR_RATING_RO_ROLLUP[],MATCH($B26,MMWR_RATING_RO_ROLLUP[MMWR_RATING_RO_ROLLUP],0),MATCH(D$9,MMWR_RATING_RO_ROLLUP[#Headers],0)),"ERROR"))</f>
        <v>85.278841870799994</v>
      </c>
      <c r="E26" s="158">
        <f>IF($B26=" ","",IFERROR(INDEX(MMWR_RATING_RO_ROLLUP[],MATCH($B26,MMWR_RATING_RO_ROLLUP[MMWR_RATING_RO_ROLLUP],0),MATCH(E$9,MMWR_RATING_RO_ROLLUP[#Headers],0))/$C26,"ERROR"))</f>
        <v>0.20757238307349665</v>
      </c>
      <c r="F26" s="156">
        <f>IF($B26=" ","",IFERROR(INDEX(MMWR_RATING_RO_ROLLUP[],MATCH($B26,MMWR_RATING_RO_ROLLUP[MMWR_RATING_RO_ROLLUP],0),MATCH(F$9,MMWR_RATING_RO_ROLLUP[#Headers],0)),"ERROR"))</f>
        <v>978</v>
      </c>
      <c r="G26" s="156">
        <f>IF($B26=" ","",IFERROR(INDEX(MMWR_RATING_RO_ROLLUP[],MATCH($B26,MMWR_RATING_RO_ROLLUP[MMWR_RATING_RO_ROLLUP],0),MATCH(G$9,MMWR_RATING_RO_ROLLUP[#Headers],0)),"ERROR"))</f>
        <v>19360</v>
      </c>
      <c r="H26" s="157">
        <f>IF($B26=" ","",IFERROR(INDEX(MMWR_RATING_RO_ROLLUP[],MATCH($B26,MMWR_RATING_RO_ROLLUP[MMWR_RATING_RO_ROLLUP],0),MATCH(H$9,MMWR_RATING_RO_ROLLUP[#Headers],0)),"ERROR"))</f>
        <v>51.702453987699997</v>
      </c>
      <c r="I26" s="157">
        <f>IF($B26=" ","",IFERROR(INDEX(MMWR_RATING_RO_ROLLUP[],MATCH($B26,MMWR_RATING_RO_ROLLUP[MMWR_RATING_RO_ROLLUP],0),MATCH(I$9,MMWR_RATING_RO_ROLLUP[#Headers],0)),"ERROR"))</f>
        <v>56.148657024800002</v>
      </c>
      <c r="J26" s="42"/>
      <c r="K26" s="42"/>
      <c r="L26" s="42"/>
      <c r="M26" s="42"/>
      <c r="N26" s="28"/>
    </row>
    <row r="27" spans="1:14" x14ac:dyDescent="0.2">
      <c r="A27" s="25"/>
      <c r="B27" s="8" t="str">
        <f>VLOOKUP($B$15,DISTRICT_RO[],13,0)</f>
        <v>Roanoke VSC</v>
      </c>
      <c r="C27" s="156">
        <f>IF($B27=" ","",IFERROR(INDEX(MMWR_RATING_RO_ROLLUP[],MATCH($B27,MMWR_RATING_RO_ROLLUP[MMWR_RATING_RO_ROLLUP],0),MATCH(C$9,MMWR_RATING_RO_ROLLUP[#Headers],0)),"ERROR"))</f>
        <v>11647</v>
      </c>
      <c r="D27" s="157">
        <f>IF($B27=" ","",IFERROR(INDEX(MMWR_RATING_RO_ROLLUP[],MATCH($B27,MMWR_RATING_RO_ROLLUP[MMWR_RATING_RO_ROLLUP],0),MATCH(D$9,MMWR_RATING_RO_ROLLUP[#Headers],0)),"ERROR"))</f>
        <v>115.5387653473</v>
      </c>
      <c r="E27" s="158">
        <f>IF($B27=" ","",IFERROR(INDEX(MMWR_RATING_RO_ROLLUP[],MATCH($B27,MMWR_RATING_RO_ROLLUP[MMWR_RATING_RO_ROLLUP],0),MATCH(E$9,MMWR_RATING_RO_ROLLUP[#Headers],0))/$C27,"ERROR"))</f>
        <v>0.32368850347729028</v>
      </c>
      <c r="F27" s="156">
        <f>IF($B27=" ","",IFERROR(INDEX(MMWR_RATING_RO_ROLLUP[],MATCH($B27,MMWR_RATING_RO_ROLLUP[MMWR_RATING_RO_ROLLUP],0),MATCH(F$9,MMWR_RATING_RO_ROLLUP[#Headers],0)),"ERROR"))</f>
        <v>1780</v>
      </c>
      <c r="G27" s="156">
        <f>IF($B27=" ","",IFERROR(INDEX(MMWR_RATING_RO_ROLLUP[],MATCH($B27,MMWR_RATING_RO_ROLLUP[MMWR_RATING_RO_ROLLUP],0),MATCH(G$9,MMWR_RATING_RO_ROLLUP[#Headers],0)),"ERROR"))</f>
        <v>30887</v>
      </c>
      <c r="H27" s="157">
        <f>IF($B27=" ","",IFERROR(INDEX(MMWR_RATING_RO_ROLLUP[],MATCH($B27,MMWR_RATING_RO_ROLLUP[MMWR_RATING_RO_ROLLUP],0),MATCH(H$9,MMWR_RATING_RO_ROLLUP[#Headers],0)),"ERROR"))</f>
        <v>177.21460674159999</v>
      </c>
      <c r="I27" s="157">
        <f>IF($B27=" ","",IFERROR(INDEX(MMWR_RATING_RO_ROLLUP[],MATCH($B27,MMWR_RATING_RO_ROLLUP[MMWR_RATING_RO_ROLLUP],0),MATCH(I$9,MMWR_RATING_RO_ROLLUP[#Headers],0)),"ERROR"))</f>
        <v>214.0824942532</v>
      </c>
      <c r="J27" s="42"/>
      <c r="K27" s="42"/>
      <c r="L27" s="42"/>
      <c r="M27" s="42"/>
      <c r="N27" s="28"/>
    </row>
    <row r="28" spans="1:14" x14ac:dyDescent="0.2">
      <c r="A28" s="25"/>
      <c r="B28" s="8" t="str">
        <f>VLOOKUP($B$15,DISTRICT_RO[],14,0)</f>
        <v>Togus VSC</v>
      </c>
      <c r="C28" s="156">
        <f>IF($B28=" ","",IFERROR(INDEX(MMWR_RATING_RO_ROLLUP[],MATCH($B28,MMWR_RATING_RO_ROLLUP[MMWR_RATING_RO_ROLLUP],0),MATCH(C$9,MMWR_RATING_RO_ROLLUP[#Headers],0)),"ERROR"))</f>
        <v>1425</v>
      </c>
      <c r="D28" s="157">
        <f>IF($B28=" ","",IFERROR(INDEX(MMWR_RATING_RO_ROLLUP[],MATCH($B28,MMWR_RATING_RO_ROLLUP[MMWR_RATING_RO_ROLLUP],0),MATCH(D$9,MMWR_RATING_RO_ROLLUP[#Headers],0)),"ERROR"))</f>
        <v>83.120701754400002</v>
      </c>
      <c r="E28" s="158">
        <f>IF($B28=" ","",IFERROR(INDEX(MMWR_RATING_RO_ROLLUP[],MATCH($B28,MMWR_RATING_RO_ROLLUP[MMWR_RATING_RO_ROLLUP],0),MATCH(E$9,MMWR_RATING_RO_ROLLUP[#Headers],0))/$C28,"ERROR"))</f>
        <v>0.15649122807017543</v>
      </c>
      <c r="F28" s="156">
        <f>IF($B28=" ","",IFERROR(INDEX(MMWR_RATING_RO_ROLLUP[],MATCH($B28,MMWR_RATING_RO_ROLLUP[MMWR_RATING_RO_ROLLUP],0),MATCH(F$9,MMWR_RATING_RO_ROLLUP[#Headers],0)),"ERROR"))</f>
        <v>200</v>
      </c>
      <c r="G28" s="156">
        <f>IF($B28=" ","",IFERROR(INDEX(MMWR_RATING_RO_ROLLUP[],MATCH($B28,MMWR_RATING_RO_ROLLUP[MMWR_RATING_RO_ROLLUP],0),MATCH(G$9,MMWR_RATING_RO_ROLLUP[#Headers],0)),"ERROR"))</f>
        <v>3538</v>
      </c>
      <c r="H28" s="157">
        <f>IF($B28=" ","",IFERROR(INDEX(MMWR_RATING_RO_ROLLUP[],MATCH($B28,MMWR_RATING_RO_ROLLUP[MMWR_RATING_RO_ROLLUP],0),MATCH(H$9,MMWR_RATING_RO_ROLLUP[#Headers],0)),"ERROR"))</f>
        <v>150.245</v>
      </c>
      <c r="I28" s="157">
        <f>IF($B28=" ","",IFERROR(INDEX(MMWR_RATING_RO_ROLLUP[],MATCH($B28,MMWR_RATING_RO_ROLLUP[MMWR_RATING_RO_ROLLUP],0),MATCH(I$9,MMWR_RATING_RO_ROLLUP[#Headers],0)),"ERROR"))</f>
        <v>129.48021481059999</v>
      </c>
      <c r="J28" s="42"/>
      <c r="K28" s="42"/>
      <c r="L28" s="42"/>
      <c r="M28" s="42"/>
      <c r="N28" s="28"/>
    </row>
    <row r="29" spans="1:14" x14ac:dyDescent="0.2">
      <c r="A29" s="25"/>
      <c r="B29" s="8" t="str">
        <f>VLOOKUP($B$15,DISTRICT_RO[],15,0)</f>
        <v>White River Junction VSC</v>
      </c>
      <c r="C29" s="156">
        <f>IF($B29=" ","",IFERROR(INDEX(MMWR_RATING_RO_ROLLUP[],MATCH($B29,MMWR_RATING_RO_ROLLUP[MMWR_RATING_RO_ROLLUP],0),MATCH(C$9,MMWR_RATING_RO_ROLLUP[#Headers],0)),"ERROR"))</f>
        <v>418</v>
      </c>
      <c r="D29" s="157">
        <f>IF($B29=" ","",IFERROR(INDEX(MMWR_RATING_RO_ROLLUP[],MATCH($B29,MMWR_RATING_RO_ROLLUP[MMWR_RATING_RO_ROLLUP],0),MATCH(D$9,MMWR_RATING_RO_ROLLUP[#Headers],0)),"ERROR"))</f>
        <v>112.6172248804</v>
      </c>
      <c r="E29" s="158">
        <f>IF($B29=" ","",IFERROR(INDEX(MMWR_RATING_RO_ROLLUP[],MATCH($B29,MMWR_RATING_RO_ROLLUP[MMWR_RATING_RO_ROLLUP],0),MATCH(E$9,MMWR_RATING_RO_ROLLUP[#Headers],0))/$C29,"ERROR"))</f>
        <v>0.3133971291866029</v>
      </c>
      <c r="F29" s="156">
        <f>IF($B29=" ","",IFERROR(INDEX(MMWR_RATING_RO_ROLLUP[],MATCH($B29,MMWR_RATING_RO_ROLLUP[MMWR_RATING_RO_ROLLUP],0),MATCH(F$9,MMWR_RATING_RO_ROLLUP[#Headers],0)),"ERROR"))</f>
        <v>46</v>
      </c>
      <c r="G29" s="156">
        <f>IF($B29=" ","",IFERROR(INDEX(MMWR_RATING_RO_ROLLUP[],MATCH($B29,MMWR_RATING_RO_ROLLUP[MMWR_RATING_RO_ROLLUP],0),MATCH(G$9,MMWR_RATING_RO_ROLLUP[#Headers],0)),"ERROR"))</f>
        <v>1231</v>
      </c>
      <c r="H29" s="157">
        <f>IF($B29=" ","",IFERROR(INDEX(MMWR_RATING_RO_ROLLUP[],MATCH($B29,MMWR_RATING_RO_ROLLUP[MMWR_RATING_RO_ROLLUP],0),MATCH(H$9,MMWR_RATING_RO_ROLLUP[#Headers],0)),"ERROR"))</f>
        <v>136.47826086960001</v>
      </c>
      <c r="I29" s="157">
        <f>IF($B29=" ","",IFERROR(INDEX(MMWR_RATING_RO_ROLLUP[],MATCH($B29,MMWR_RATING_RO_ROLLUP[MMWR_RATING_RO_ROLLUP],0),MATCH(I$9,MMWR_RATING_RO_ROLLUP[#Headers],0)),"ERROR"))</f>
        <v>171.67343623069999</v>
      </c>
      <c r="J29" s="42"/>
      <c r="K29" s="42"/>
      <c r="L29" s="42"/>
      <c r="M29" s="42"/>
      <c r="N29" s="28"/>
    </row>
    <row r="30" spans="1:14" x14ac:dyDescent="0.2">
      <c r="A30" s="25"/>
      <c r="B30" s="8" t="str">
        <f>VLOOKUP($B$15,DISTRICT_RO[],16,0)</f>
        <v>Wilmington VSC</v>
      </c>
      <c r="C30" s="156">
        <f>IF($B30=" ","",IFERROR(INDEX(MMWR_RATING_RO_ROLLUP[],MATCH($B30,MMWR_RATING_RO_ROLLUP[MMWR_RATING_RO_ROLLUP],0),MATCH(C$9,MMWR_RATING_RO_ROLLUP[#Headers],0)),"ERROR"))</f>
        <v>867</v>
      </c>
      <c r="D30" s="157">
        <f>IF($B30=" ","",IFERROR(INDEX(MMWR_RATING_RO_ROLLUP[],MATCH($B30,MMWR_RATING_RO_ROLLUP[MMWR_RATING_RO_ROLLUP],0),MATCH(D$9,MMWR_RATING_RO_ROLLUP[#Headers],0)),"ERROR"))</f>
        <v>130.92156862749999</v>
      </c>
      <c r="E30" s="158">
        <f>IF($B30=" ","",IFERROR(INDEX(MMWR_RATING_RO_ROLLUP[],MATCH($B30,MMWR_RATING_RO_ROLLUP[MMWR_RATING_RO_ROLLUP],0),MATCH(E$9,MMWR_RATING_RO_ROLLUP[#Headers],0))/$C30,"ERROR"))</f>
        <v>0.35524798154555942</v>
      </c>
      <c r="F30" s="156">
        <f>IF($B30=" ","",IFERROR(INDEX(MMWR_RATING_RO_ROLLUP[],MATCH($B30,MMWR_RATING_RO_ROLLUP[MMWR_RATING_RO_ROLLUP],0),MATCH(F$9,MMWR_RATING_RO_ROLLUP[#Headers],0)),"ERROR"))</f>
        <v>106</v>
      </c>
      <c r="G30" s="156">
        <f>IF($B30=" ","",IFERROR(INDEX(MMWR_RATING_RO_ROLLUP[],MATCH($B30,MMWR_RATING_RO_ROLLUP[MMWR_RATING_RO_ROLLUP],0),MATCH(G$9,MMWR_RATING_RO_ROLLUP[#Headers],0)),"ERROR"))</f>
        <v>2196</v>
      </c>
      <c r="H30" s="157">
        <f>IF($B30=" ","",IFERROR(INDEX(MMWR_RATING_RO_ROLLUP[],MATCH($B30,MMWR_RATING_RO_ROLLUP[MMWR_RATING_RO_ROLLUP],0),MATCH(H$9,MMWR_RATING_RO_ROLLUP[#Headers],0)),"ERROR"))</f>
        <v>230.45283018870001</v>
      </c>
      <c r="I30" s="157">
        <f>IF($B30=" ","",IFERROR(INDEX(MMWR_RATING_RO_ROLLUP[],MATCH($B30,MMWR_RATING_RO_ROLLUP[MMWR_RATING_RO_ROLLUP],0),MATCH(I$9,MMWR_RATING_RO_ROLLUP[#Headers],0)),"ERROR"))</f>
        <v>224.48360655740001</v>
      </c>
      <c r="J30" s="42"/>
      <c r="K30" s="42"/>
      <c r="L30" s="42"/>
      <c r="M30" s="42"/>
      <c r="N30" s="28"/>
    </row>
    <row r="31" spans="1:14" x14ac:dyDescent="0.2">
      <c r="A31" s="25"/>
      <c r="B31" s="8" t="str">
        <f>VLOOKUP($B$15,DISTRICT_RO[],17,0)</f>
        <v>Winston-Salem VSC</v>
      </c>
      <c r="C31" s="156">
        <f>IF($B31=" ","",IFERROR(INDEX(MMWR_RATING_RO_ROLLUP[],MATCH($B31,MMWR_RATING_RO_ROLLUP[MMWR_RATING_RO_ROLLUP],0),MATCH(C$9,MMWR_RATING_RO_ROLLUP[#Headers],0)),"ERROR"))</f>
        <v>18080</v>
      </c>
      <c r="D31" s="157">
        <f>IF($B31=" ","",IFERROR(INDEX(MMWR_RATING_RO_ROLLUP[],MATCH($B31,MMWR_RATING_RO_ROLLUP[MMWR_RATING_RO_ROLLUP],0),MATCH(D$9,MMWR_RATING_RO_ROLLUP[#Headers],0)),"ERROR"))</f>
        <v>126.7953539823</v>
      </c>
      <c r="E31" s="158">
        <f>IF($B31=" ","",IFERROR(INDEX(MMWR_RATING_RO_ROLLUP[],MATCH($B31,MMWR_RATING_RO_ROLLUP[MMWR_RATING_RO_ROLLUP],0),MATCH(E$9,MMWR_RATING_RO_ROLLUP[#Headers],0))/$C31,"ERROR"))</f>
        <v>0.35707964601769909</v>
      </c>
      <c r="F31" s="156">
        <f>IF($B31=" ","",IFERROR(INDEX(MMWR_RATING_RO_ROLLUP[],MATCH($B31,MMWR_RATING_RO_ROLLUP[MMWR_RATING_RO_ROLLUP],0),MATCH(F$9,MMWR_RATING_RO_ROLLUP[#Headers],0)),"ERROR"))</f>
        <v>2547</v>
      </c>
      <c r="G31" s="156">
        <f>IF($B31=" ","",IFERROR(INDEX(MMWR_RATING_RO_ROLLUP[],MATCH($B31,MMWR_RATING_RO_ROLLUP[MMWR_RATING_RO_ROLLUP],0),MATCH(G$9,MMWR_RATING_RO_ROLLUP[#Headers],0)),"ERROR"))</f>
        <v>44836</v>
      </c>
      <c r="H31" s="157">
        <f>IF($B31=" ","",IFERROR(INDEX(MMWR_RATING_RO_ROLLUP[],MATCH($B31,MMWR_RATING_RO_ROLLUP[MMWR_RATING_RO_ROLLUP],0),MATCH(H$9,MMWR_RATING_RO_ROLLUP[#Headers],0)),"ERROR"))</f>
        <v>179.079308991</v>
      </c>
      <c r="I31" s="157">
        <f>IF($B31=" ","",IFERROR(INDEX(MMWR_RATING_RO_ROLLUP[],MATCH($B31,MMWR_RATING_RO_ROLLUP[MMWR_RATING_RO_ROLLUP],0),MATCH(I$9,MMWR_RATING_RO_ROLLUP[#Headers],0)),"ERROR"))</f>
        <v>209.95354179680001</v>
      </c>
      <c r="J31" s="42"/>
      <c r="K31" s="42"/>
      <c r="L31" s="42"/>
      <c r="M31" s="42"/>
      <c r="N31" s="28"/>
    </row>
    <row r="32" spans="1:14" x14ac:dyDescent="0.2">
      <c r="A32" s="25"/>
      <c r="B32" s="373" t="s">
        <v>750</v>
      </c>
      <c r="C32" s="374"/>
      <c r="D32" s="374"/>
      <c r="E32" s="374"/>
      <c r="F32" s="374"/>
      <c r="G32" s="374"/>
      <c r="H32" s="374"/>
      <c r="I32" s="374"/>
      <c r="J32" s="374"/>
      <c r="K32" s="374"/>
      <c r="L32" s="374"/>
      <c r="M32" s="386"/>
      <c r="N32" s="28"/>
    </row>
    <row r="33" spans="1:14" x14ac:dyDescent="0.2">
      <c r="A33" s="25"/>
      <c r="B33" s="11" t="s">
        <v>713</v>
      </c>
      <c r="C33" s="156">
        <f>IF($B33=" ","",IFERROR(INDEX(MMWR_RATING_RO_ROLLUP[],MATCH($B33,MMWR_RATING_RO_ROLLUP[MMWR_RATING_RO_ROLLUP],0),MATCH(C$9,MMWR_RATING_RO_ROLLUP[#Headers],0)),"ERROR"))</f>
        <v>18335</v>
      </c>
      <c r="D33" s="157">
        <f>IF($B33=" ","",IFERROR(INDEX(MMWR_RATING_RO_ROLLUP[],MATCH($B33,MMWR_RATING_RO_ROLLUP[MMWR_RATING_RO_ROLLUP],0),MATCH(D$9,MMWR_RATING_RO_ROLLUP[#Headers],0)),"ERROR"))</f>
        <v>62.930188164699999</v>
      </c>
      <c r="E33" s="158">
        <f>IF($B33=" ","",IFERROR(INDEX(MMWR_RATING_RO_ROLLUP[],MATCH($B33,MMWR_RATING_RO_ROLLUP[MMWR_RATING_RO_ROLLUP],0),MATCH(E$9,MMWR_RATING_RO_ROLLUP[#Headers],0))/$C33,"ERROR"))</f>
        <v>0.10297245704935915</v>
      </c>
      <c r="F33" s="156">
        <f>IF($B33=" ","",IFERROR(INDEX(MMWR_RATING_RO_ROLLUP[],MATCH($B33,MMWR_RATING_RO_ROLLUP[MMWR_RATING_RO_ROLLUP],0),MATCH(F$9,MMWR_RATING_RO_ROLLUP[#Headers],0)),"ERROR"))</f>
        <v>6337</v>
      </c>
      <c r="G33" s="156">
        <f>IF($B33=" ","",IFERROR(INDEX(MMWR_RATING_RO_ROLLUP[],MATCH($B33,MMWR_RATING_RO_ROLLUP[MMWR_RATING_RO_ROLLUP],0),MATCH(G$9,MMWR_RATING_RO_ROLLUP[#Headers],0)),"ERROR"))</f>
        <v>122039</v>
      </c>
      <c r="H33" s="157">
        <f>IF($B33=" ","",IFERROR(INDEX(MMWR_RATING_RO_ROLLUP[],MATCH($B33,MMWR_RATING_RO_ROLLUP[MMWR_RATING_RO_ROLLUP],0),MATCH(H$9,MMWR_RATING_RO_ROLLUP[#Headers],0)),"ERROR"))</f>
        <v>66.252011993099998</v>
      </c>
      <c r="I33" s="157">
        <f>IF($B33=" ","",IFERROR(INDEX(MMWR_RATING_RO_ROLLUP[],MATCH($B33,MMWR_RATING_RO_ROLLUP[MMWR_RATING_RO_ROLLUP],0),MATCH(I$9,MMWR_RATING_RO_ROLLUP[#Headers],0)),"ERROR"))</f>
        <v>64.528200001599998</v>
      </c>
      <c r="J33" s="42"/>
      <c r="K33" s="42"/>
      <c r="L33" s="42"/>
      <c r="M33" s="42"/>
      <c r="N33" s="28"/>
    </row>
    <row r="34" spans="1:14" x14ac:dyDescent="0.2">
      <c r="A34" s="25"/>
      <c r="B34" s="12" t="s">
        <v>218</v>
      </c>
      <c r="C34" s="156">
        <f>IF($B34=" ","",IFERROR(INDEX(MMWR_RATING_RO_ROLLUP[],MATCH($B34,MMWR_RATING_RO_ROLLUP[MMWR_RATING_RO_ROLLUP],0),MATCH(C$9,MMWR_RATING_RO_ROLLUP[#Headers],0)),"ERROR"))</f>
        <v>5404</v>
      </c>
      <c r="D34" s="157">
        <f>IF($B34=" ","",IFERROR(INDEX(MMWR_RATING_RO_ROLLUP[],MATCH($B34,MMWR_RATING_RO_ROLLUP[MMWR_RATING_RO_ROLLUP],0),MATCH(D$9,MMWR_RATING_RO_ROLLUP[#Headers],0)),"ERROR"))</f>
        <v>68.840118430800004</v>
      </c>
      <c r="E34" s="158">
        <f>IF($B34=" ","",IFERROR(INDEX(MMWR_RATING_RO_ROLLUP[],MATCH($B34,MMWR_RATING_RO_ROLLUP[MMWR_RATING_RO_ROLLUP],0),MATCH(E$9,MMWR_RATING_RO_ROLLUP[#Headers],0))/$C34,"ERROR"))</f>
        <v>0.13193930421909697</v>
      </c>
      <c r="F34" s="156">
        <f>IF($B34=" ","",IFERROR(INDEX(MMWR_RATING_RO_ROLLUP[],MATCH($B34,MMWR_RATING_RO_ROLLUP[MMWR_RATING_RO_ROLLUP],0),MATCH(F$9,MMWR_RATING_RO_ROLLUP[#Headers],0)),"ERROR"))</f>
        <v>2190</v>
      </c>
      <c r="G34" s="156">
        <f>IF($B34=" ","",IFERROR(INDEX(MMWR_RATING_RO_ROLLUP[],MATCH($B34,MMWR_RATING_RO_ROLLUP[MMWR_RATING_RO_ROLLUP],0),MATCH(G$9,MMWR_RATING_RO_ROLLUP[#Headers],0)),"ERROR"))</f>
        <v>38915</v>
      </c>
      <c r="H34" s="157">
        <f>IF($B34=" ","",IFERROR(INDEX(MMWR_RATING_RO_ROLLUP[],MATCH($B34,MMWR_RATING_RO_ROLLUP[MMWR_RATING_RO_ROLLUP],0),MATCH(H$9,MMWR_RATING_RO_ROLLUP[#Headers],0)),"ERROR"))</f>
        <v>72.827397260300003</v>
      </c>
      <c r="I34" s="157">
        <f>IF($B34=" ","",IFERROR(INDEX(MMWR_RATING_RO_ROLLUP[],MATCH($B34,MMWR_RATING_RO_ROLLUP[MMWR_RATING_RO_ROLLUP],0),MATCH(I$9,MMWR_RATING_RO_ROLLUP[#Headers],0)),"ERROR"))</f>
        <v>72.456148014899995</v>
      </c>
      <c r="J34" s="42"/>
      <c r="K34" s="42"/>
      <c r="L34" s="42"/>
      <c r="M34" s="42"/>
      <c r="N34" s="28"/>
    </row>
    <row r="35" spans="1:14" x14ac:dyDescent="0.2">
      <c r="A35" s="44"/>
      <c r="B35" s="12" t="s">
        <v>217</v>
      </c>
      <c r="C35" s="156">
        <f>IF($B35=" ","",IFERROR(INDEX(MMWR_RATING_RO_ROLLUP[],MATCH($B35,MMWR_RATING_RO_ROLLUP[MMWR_RATING_RO_ROLLUP],0),MATCH(C$9,MMWR_RATING_RO_ROLLUP[#Headers],0)),"ERROR"))</f>
        <v>4584</v>
      </c>
      <c r="D35" s="157">
        <f>IF($B35=" ","",IFERROR(INDEX(MMWR_RATING_RO_ROLLUP[],MATCH($B35,MMWR_RATING_RO_ROLLUP[MMWR_RATING_RO_ROLLUP],0),MATCH(D$9,MMWR_RATING_RO_ROLLUP[#Headers],0)),"ERROR"))</f>
        <v>56.766579406600002</v>
      </c>
      <c r="E35" s="158">
        <f>IF($B35=" ","",IFERROR(INDEX(MMWR_RATING_RO_ROLLUP[],MATCH($B35,MMWR_RATING_RO_ROLLUP[MMWR_RATING_RO_ROLLUP],0),MATCH(E$9,MMWR_RATING_RO_ROLLUP[#Headers],0))/$C35,"ERROR"))</f>
        <v>9.2277486910994758E-2</v>
      </c>
      <c r="F35" s="156">
        <f>IF($B35=" ","",IFERROR(INDEX(MMWR_RATING_RO_ROLLUP[],MATCH($B35,MMWR_RATING_RO_ROLLUP[MMWR_RATING_RO_ROLLUP],0),MATCH(F$9,MMWR_RATING_RO_ROLLUP[#Headers],0)),"ERROR"))</f>
        <v>1530</v>
      </c>
      <c r="G35" s="156">
        <f>IF($B35=" ","",IFERROR(INDEX(MMWR_RATING_RO_ROLLUP[],MATCH($B35,MMWR_RATING_RO_ROLLUP[MMWR_RATING_RO_ROLLUP],0),MATCH(G$9,MMWR_RATING_RO_ROLLUP[#Headers],0)),"ERROR"))</f>
        <v>34316</v>
      </c>
      <c r="H35" s="157">
        <f>IF($B35=" ","",IFERROR(INDEX(MMWR_RATING_RO_ROLLUP[],MATCH($B35,MMWR_RATING_RO_ROLLUP[MMWR_RATING_RO_ROLLUP],0),MATCH(H$9,MMWR_RATING_RO_ROLLUP[#Headers],0)),"ERROR"))</f>
        <v>52.9032679739</v>
      </c>
      <c r="I35" s="157">
        <f>IF($B35=" ","",IFERROR(INDEX(MMWR_RATING_RO_ROLLUP[],MATCH($B35,MMWR_RATING_RO_ROLLUP[MMWR_RATING_RO_ROLLUP],0),MATCH(I$9,MMWR_RATING_RO_ROLLUP[#Headers],0)),"ERROR"))</f>
        <v>54.933471267000002</v>
      </c>
      <c r="J35" s="42"/>
      <c r="K35" s="42"/>
      <c r="L35" s="42"/>
      <c r="M35" s="42"/>
      <c r="N35" s="28"/>
    </row>
    <row r="36" spans="1:14" x14ac:dyDescent="0.2">
      <c r="A36" s="25"/>
      <c r="B36" s="12" t="s">
        <v>220</v>
      </c>
      <c r="C36" s="156">
        <f>IF($B36=" ","",IFERROR(INDEX(MMWR_RATING_RO_ROLLUP[],MATCH($B36,MMWR_RATING_RO_ROLLUP[MMWR_RATING_RO_ROLLUP],0),MATCH(C$9,MMWR_RATING_RO_ROLLUP[#Headers],0)),"ERROR"))</f>
        <v>7840</v>
      </c>
      <c r="D36" s="157">
        <f>IF($B36=" ","",IFERROR(INDEX(MMWR_RATING_RO_ROLLUP[],MATCH($B36,MMWR_RATING_RO_ROLLUP[MMWR_RATING_RO_ROLLUP],0),MATCH(D$9,MMWR_RATING_RO_ROLLUP[#Headers],0)),"ERROR"))</f>
        <v>55.946556122399997</v>
      </c>
      <c r="E36" s="158">
        <f>IF($B36=" ","",IFERROR(INDEX(MMWR_RATING_RO_ROLLUP[],MATCH($B36,MMWR_RATING_RO_ROLLUP[MMWR_RATING_RO_ROLLUP],0),MATCH(E$9,MMWR_RATING_RO_ROLLUP[#Headers],0))/$C36,"ERROR"))</f>
        <v>6.5943877551020408E-2</v>
      </c>
      <c r="F36" s="156">
        <f>IF($B36=" ","",IFERROR(INDEX(MMWR_RATING_RO_ROLLUP[],MATCH($B36,MMWR_RATING_RO_ROLLUP[MMWR_RATING_RO_ROLLUP],0),MATCH(F$9,MMWR_RATING_RO_ROLLUP[#Headers],0)),"ERROR"))</f>
        <v>2366</v>
      </c>
      <c r="G36" s="156">
        <f>IF($B36=" ","",IFERROR(INDEX(MMWR_RATING_RO_ROLLUP[],MATCH($B36,MMWR_RATING_RO_ROLLUP[MMWR_RATING_RO_ROLLUP],0),MATCH(G$9,MMWR_RATING_RO_ROLLUP[#Headers],0)),"ERROR"))</f>
        <v>44228</v>
      </c>
      <c r="H36" s="157">
        <f>IF($B36=" ","",IFERROR(INDEX(MMWR_RATING_RO_ROLLUP[],MATCH($B36,MMWR_RATING_RO_ROLLUP[MMWR_RATING_RO_ROLLUP],0),MATCH(H$9,MMWR_RATING_RO_ROLLUP[#Headers],0)),"ERROR"))</f>
        <v>67.718512257</v>
      </c>
      <c r="I36" s="157">
        <f>IF($B36=" ","",IFERROR(INDEX(MMWR_RATING_RO_ROLLUP[],MATCH($B36,MMWR_RATING_RO_ROLLUP[MMWR_RATING_RO_ROLLUP],0),MATCH(I$9,MMWR_RATING_RO_ROLLUP[#Headers],0)),"ERROR"))</f>
        <v>64.652595640800001</v>
      </c>
      <c r="J36" s="42"/>
      <c r="K36" s="42"/>
      <c r="L36" s="42"/>
      <c r="M36" s="42"/>
      <c r="N36" s="28"/>
    </row>
    <row r="37" spans="1:14" x14ac:dyDescent="0.2">
      <c r="A37" s="25"/>
      <c r="B37" s="13" t="s">
        <v>232</v>
      </c>
      <c r="C37" s="156">
        <f>IF($B37=" ","",IFERROR(INDEX(MMWR_RATING_RO_ROLLUP[],MATCH($B37,MMWR_RATING_RO_ROLLUP[MMWR_RATING_RO_ROLLUP],0),MATCH(C$9,MMWR_RATING_RO_ROLLUP[#Headers],0)),"ERROR"))</f>
        <v>507</v>
      </c>
      <c r="D37" s="157">
        <f>IF($B37=" ","",IFERROR(INDEX(MMWR_RATING_RO_ROLLUP[],MATCH($B37,MMWR_RATING_RO_ROLLUP[MMWR_RATING_RO_ROLLUP],0),MATCH(D$9,MMWR_RATING_RO_ROLLUP[#Headers],0)),"ERROR"))</f>
        <v>163.6568047337</v>
      </c>
      <c r="E37" s="158">
        <f>IF($B37=" ","",IFERROR(INDEX(MMWR_RATING_RO_ROLLUP[],MATCH($B37,MMWR_RATING_RO_ROLLUP[MMWR_RATING_RO_ROLLUP],0),MATCH(E$9,MMWR_RATING_RO_ROLLUP[#Headers],0))/$C37,"ERROR"))</f>
        <v>0.46351084812623272</v>
      </c>
      <c r="F37" s="156">
        <f>IF($B37=" ","",IFERROR(INDEX(MMWR_RATING_RO_ROLLUP[],MATCH($B37,MMWR_RATING_RO_ROLLUP[MMWR_RATING_RO_ROLLUP],0),MATCH(F$9,MMWR_RATING_RO_ROLLUP[#Headers],0)),"ERROR"))</f>
        <v>251</v>
      </c>
      <c r="G37" s="156">
        <f>IF($B37=" ","",IFERROR(INDEX(MMWR_RATING_RO_ROLLUP[],MATCH($B37,MMWR_RATING_RO_ROLLUP[MMWR_RATING_RO_ROLLUP],0),MATCH(G$9,MMWR_RATING_RO_ROLLUP[#Headers],0)),"ERROR"))</f>
        <v>4580</v>
      </c>
      <c r="H37" s="157">
        <f>IF($B37=" ","",IFERROR(INDEX(MMWR_RATING_RO_ROLLUP[],MATCH($B37,MMWR_RATING_RO_ROLLUP[MMWR_RATING_RO_ROLLUP],0),MATCH(H$9,MMWR_RATING_RO_ROLLUP[#Headers],0)),"ERROR"))</f>
        <v>76.426294820699994</v>
      </c>
      <c r="I37" s="157">
        <f>IF($B37=" ","",IFERROR(INDEX(MMWR_RATING_RO_ROLLUP[],MATCH($B37,MMWR_RATING_RO_ROLLUP[MMWR_RATING_RO_ROLLUP],0),MATCH(I$9,MMWR_RATING_RO_ROLLUP[#Headers],0)),"ERROR"))</f>
        <v>67.854585152799999</v>
      </c>
      <c r="J37" s="42"/>
      <c r="K37" s="42"/>
      <c r="L37" s="42"/>
      <c r="M37" s="42"/>
      <c r="N37" s="28"/>
    </row>
    <row r="38" spans="1:14" x14ac:dyDescent="0.2">
      <c r="A38" s="25"/>
      <c r="B38" s="373" t="s">
        <v>933</v>
      </c>
      <c r="C38" s="374"/>
      <c r="D38" s="374"/>
      <c r="E38" s="374"/>
      <c r="F38" s="374"/>
      <c r="G38" s="374"/>
      <c r="H38" s="374"/>
      <c r="I38" s="374"/>
      <c r="J38" s="374"/>
      <c r="K38" s="374"/>
      <c r="L38" s="374"/>
      <c r="M38" s="386"/>
      <c r="N38" s="28"/>
    </row>
    <row r="39" spans="1:14" x14ac:dyDescent="0.2">
      <c r="A39" s="25"/>
      <c r="B39" s="45" t="s">
        <v>714</v>
      </c>
      <c r="C39" s="156">
        <f>IF($B39=" ","",IFERROR(INDEX(MMWR_RATING_RO_ROLLUP[],MATCH($B39,MMWR_RATING_RO_ROLLUP[MMWR_RATING_RO_ROLLUP],0),MATCH(C$9,MMWR_RATING_RO_ROLLUP[#Headers],0)),"ERROR"))</f>
        <v>8367</v>
      </c>
      <c r="D39" s="157">
        <f>IF($B39=" ","",IFERROR(INDEX(MMWR_RATING_RO_ROLLUP[],MATCH($B39,MMWR_RATING_RO_ROLLUP[MMWR_RATING_RO_ROLLUP],0),MATCH(D$9,MMWR_RATING_RO_ROLLUP[#Headers],0)),"ERROR"))</f>
        <v>73.192183578300003</v>
      </c>
      <c r="E39" s="158">
        <f>IF($B39=" ","",IFERROR(INDEX(MMWR_RATING_RO_ROLLUP[],MATCH($B39,MMWR_RATING_RO_ROLLUP[MMWR_RATING_RO_ROLLUP],0),MATCH(E$9,MMWR_RATING_RO_ROLLUP[#Headers],0))/$C39,"ERROR"))</f>
        <v>0.15824070754153222</v>
      </c>
      <c r="F39" s="156">
        <f>IF($B39=" ","",IFERROR(INDEX(MMWR_RATING_RO_ROLLUP[],MATCH($B39,MMWR_RATING_RO_ROLLUP[MMWR_RATING_RO_ROLLUP],0),MATCH(F$9,MMWR_RATING_RO_ROLLUP[#Headers],0)),"ERROR"))</f>
        <v>1019</v>
      </c>
      <c r="G39" s="156">
        <f>IF($B39=" ","",IFERROR(INDEX(MMWR_RATING_RO_ROLLUP[],MATCH($B39,MMWR_RATING_RO_ROLLUP[MMWR_RATING_RO_ROLLUP],0),MATCH(G$9,MMWR_RATING_RO_ROLLUP[#Headers],0)),"ERROR"))</f>
        <v>20417</v>
      </c>
      <c r="H39" s="157">
        <f>IF($B39=" ","",IFERROR(INDEX(MMWR_RATING_RO_ROLLUP[],MATCH($B39,MMWR_RATING_RO_ROLLUP[MMWR_RATING_RO_ROLLUP],0),MATCH(H$9,MMWR_RATING_RO_ROLLUP[#Headers],0)),"ERROR"))</f>
        <v>130.2551521099</v>
      </c>
      <c r="I39" s="157">
        <f>IF($B39=" ","",IFERROR(INDEX(MMWR_RATING_RO_ROLLUP[],MATCH($B39,MMWR_RATING_RO_ROLLUP[MMWR_RATING_RO_ROLLUP],0),MATCH(I$9,MMWR_RATING_RO_ROLLUP[#Headers],0)),"ERROR"))</f>
        <v>134.99833472110001</v>
      </c>
      <c r="J39" s="42"/>
      <c r="K39" s="42"/>
      <c r="L39" s="42"/>
      <c r="M39" s="42"/>
      <c r="N39" s="28"/>
    </row>
    <row r="40" spans="1:14" x14ac:dyDescent="0.2">
      <c r="A40" s="25"/>
      <c r="B40" s="54" t="s">
        <v>978</v>
      </c>
      <c r="C40" s="156">
        <f>IF($B40=" ","",IFERROR(INDEX(MMWR_RATING_RO_ROLLUP[],MATCH($B40,MMWR_RATING_RO_ROLLUP[MMWR_RATING_RO_ROLLUP],0),MATCH(C$9,MMWR_RATING_RO_ROLLUP[#Headers],0)),"ERROR"))</f>
        <v>2687</v>
      </c>
      <c r="D40" s="157">
        <f>IF($B40=" ","",IFERROR(INDEX(MMWR_RATING_RO_ROLLUP[],MATCH($B40,MMWR_RATING_RO_ROLLUP[MMWR_RATING_RO_ROLLUP],0),MATCH(D$9,MMWR_RATING_RO_ROLLUP[#Headers],0)),"ERROR"))</f>
        <v>67.521399330099996</v>
      </c>
      <c r="E40" s="158">
        <f>IF($B40=" ","",IFERROR(INDEX(MMWR_RATING_RO_ROLLUP[],MATCH($B40,MMWR_RATING_RO_ROLLUP[MMWR_RATING_RO_ROLLUP],0),MATCH(E$9,MMWR_RATING_RO_ROLLUP[#Headers],0))/$C40,"ERROR"))</f>
        <v>0.14365463342017121</v>
      </c>
      <c r="F40" s="156">
        <f>IF($B40=" ","",IFERROR(INDEX(MMWR_RATING_RO_ROLLUP[],MATCH($B40,MMWR_RATING_RO_ROLLUP[MMWR_RATING_RO_ROLLUP],0),MATCH(F$9,MMWR_RATING_RO_ROLLUP[#Headers],0)),"ERROR"))</f>
        <v>442</v>
      </c>
      <c r="G40" s="156">
        <f>IF($B40=" ","",IFERROR(INDEX(MMWR_RATING_RO_ROLLUP[],MATCH($B40,MMWR_RATING_RO_ROLLUP[MMWR_RATING_RO_ROLLUP],0),MATCH(G$9,MMWR_RATING_RO_ROLLUP[#Headers],0)),"ERROR"))</f>
        <v>8610</v>
      </c>
      <c r="H40" s="157">
        <f>IF($B40=" ","",IFERROR(INDEX(MMWR_RATING_RO_ROLLUP[],MATCH($B40,MMWR_RATING_RO_ROLLUP[MMWR_RATING_RO_ROLLUP],0),MATCH(H$9,MMWR_RATING_RO_ROLLUP[#Headers],0)),"ERROR"))</f>
        <v>116.0113122172</v>
      </c>
      <c r="I40" s="157">
        <f>IF($B40=" ","",IFERROR(INDEX(MMWR_RATING_RO_ROLLUP[],MATCH($B40,MMWR_RATING_RO_ROLLUP[MMWR_RATING_RO_ROLLUP],0),MATCH(I$9,MMWR_RATING_RO_ROLLUP[#Headers],0)),"ERROR"))</f>
        <v>120.4321718931</v>
      </c>
      <c r="J40" s="42"/>
      <c r="K40" s="42"/>
      <c r="L40" s="42"/>
      <c r="M40" s="42"/>
      <c r="N40" s="28"/>
    </row>
    <row r="41" spans="1:14" x14ac:dyDescent="0.2">
      <c r="A41" s="25"/>
      <c r="B41" s="54" t="s">
        <v>979</v>
      </c>
      <c r="C41" s="156">
        <f>IF($B41=" ","",IFERROR(INDEX(MMWR_RATING_RO_ROLLUP[],MATCH($B41,MMWR_RATING_RO_ROLLUP[MMWR_RATING_RO_ROLLUP],0),MATCH(C$9,MMWR_RATING_RO_ROLLUP[#Headers],0)),"ERROR"))</f>
        <v>2995</v>
      </c>
      <c r="D41" s="157">
        <f>IF($B41=" ","",IFERROR(INDEX(MMWR_RATING_RO_ROLLUP[],MATCH($B41,MMWR_RATING_RO_ROLLUP[MMWR_RATING_RO_ROLLUP],0),MATCH(D$9,MMWR_RATING_RO_ROLLUP[#Headers],0)),"ERROR"))</f>
        <v>85.699499165299997</v>
      </c>
      <c r="E41" s="158">
        <f>IF($B41=" ","",IFERROR(INDEX(MMWR_RATING_RO_ROLLUP[],MATCH($B41,MMWR_RATING_RO_ROLLUP[MMWR_RATING_RO_ROLLUP],0),MATCH(E$9,MMWR_RATING_RO_ROLLUP[#Headers],0))/$C41,"ERROR"))</f>
        <v>0.22036727879799667</v>
      </c>
      <c r="F41" s="156">
        <f>IF($B41=" ","",IFERROR(INDEX(MMWR_RATING_RO_ROLLUP[],MATCH($B41,MMWR_RATING_RO_ROLLUP[MMWR_RATING_RO_ROLLUP],0),MATCH(F$9,MMWR_RATING_RO_ROLLUP[#Headers],0)),"ERROR"))</f>
        <v>359</v>
      </c>
      <c r="G41" s="156">
        <f>IF($B41=" ","",IFERROR(INDEX(MMWR_RATING_RO_ROLLUP[],MATCH($B41,MMWR_RATING_RO_ROLLUP[MMWR_RATING_RO_ROLLUP],0),MATCH(G$9,MMWR_RATING_RO_ROLLUP[#Headers],0)),"ERROR"))</f>
        <v>8908</v>
      </c>
      <c r="H41" s="157">
        <f>IF($B41=" ","",IFERROR(INDEX(MMWR_RATING_RO_ROLLUP[],MATCH($B41,MMWR_RATING_RO_ROLLUP[MMWR_RATING_RO_ROLLUP],0),MATCH(H$9,MMWR_RATING_RO_ROLLUP[#Headers],0)),"ERROR"))</f>
        <v>153.51253481890001</v>
      </c>
      <c r="I41" s="157">
        <f>IF($B41=" ","",IFERROR(INDEX(MMWR_RATING_RO_ROLLUP[],MATCH($B41,MMWR_RATING_RO_ROLLUP[MMWR_RATING_RO_ROLLUP],0),MATCH(I$9,MMWR_RATING_RO_ROLLUP[#Headers],0)),"ERROR"))</f>
        <v>151.94431971259999</v>
      </c>
      <c r="J41" s="42"/>
      <c r="K41" s="42"/>
      <c r="L41" s="42"/>
      <c r="M41" s="42"/>
      <c r="N41" s="28"/>
    </row>
    <row r="42" spans="1:14" x14ac:dyDescent="0.2">
      <c r="A42" s="25"/>
      <c r="B42" s="47" t="s">
        <v>316</v>
      </c>
      <c r="C42" s="156">
        <f>IF($B42=" ","",IFERROR(INDEX(MMWR_RATING_RO_ROLLUP[],MATCH($B42,MMWR_RATING_RO_ROLLUP[MMWR_RATING_RO_ROLLUP],0),MATCH(C$9,MMWR_RATING_RO_ROLLUP[#Headers],0)),"ERROR"))</f>
        <v>2685</v>
      </c>
      <c r="D42" s="157">
        <f>IF($B42=" ","",IFERROR(INDEX(MMWR_RATING_RO_ROLLUP[],MATCH($B42,MMWR_RATING_RO_ROLLUP[MMWR_RATING_RO_ROLLUP],0),MATCH(D$9,MMWR_RATING_RO_ROLLUP[#Headers],0)),"ERROR"))</f>
        <v>64.915828677799993</v>
      </c>
      <c r="E42" s="158">
        <f>IF($B42=" ","",IFERROR(INDEX(MMWR_RATING_RO_ROLLUP[],MATCH($B42,MMWR_RATING_RO_ROLLUP[MMWR_RATING_RO_ROLLUP],0),MATCH(E$9,MMWR_RATING_RO_ROLLUP[#Headers],0))/$C42,"ERROR"))</f>
        <v>0.10353817504655494</v>
      </c>
      <c r="F42" s="156">
        <f>IF($B42=" ","",IFERROR(INDEX(MMWR_RATING_RO_ROLLUP[],MATCH($B42,MMWR_RATING_RO_ROLLUP[MMWR_RATING_RO_ROLLUP],0),MATCH(F$9,MMWR_RATING_RO_ROLLUP[#Headers],0)),"ERROR"))</f>
        <v>218</v>
      </c>
      <c r="G42" s="156">
        <f>IF($B42=" ","",IFERROR(INDEX(MMWR_RATING_RO_ROLLUP[],MATCH($B42,MMWR_RATING_RO_ROLLUP[MMWR_RATING_RO_ROLLUP],0),MATCH(G$9,MMWR_RATING_RO_ROLLUP[#Headers],0)),"ERROR"))</f>
        <v>2899</v>
      </c>
      <c r="H42" s="157">
        <f>IF($B42=" ","",IFERROR(INDEX(MMWR_RATING_RO_ROLLUP[],MATCH($B42,MMWR_RATING_RO_ROLLUP[MMWR_RATING_RO_ROLLUP],0),MATCH(H$9,MMWR_RATING_RO_ROLLUP[#Headers],0)),"ERROR"))</f>
        <v>120.8348623853</v>
      </c>
      <c r="I42" s="157">
        <f>IF($B42=" ","",IFERROR(INDEX(MMWR_RATING_RO_ROLLUP[],MATCH($B42,MMWR_RATING_RO_ROLLUP[MMWR_RATING_RO_ROLLUP],0),MATCH(I$9,MMWR_RATING_RO_ROLLUP[#Headers],0)),"ERROR"))</f>
        <v>126.18834080720001</v>
      </c>
      <c r="J42" s="42"/>
      <c r="K42" s="42"/>
      <c r="L42" s="42"/>
      <c r="M42" s="42"/>
      <c r="N42" s="28"/>
    </row>
    <row r="43" spans="1:14" x14ac:dyDescent="0.2">
      <c r="A43" s="25"/>
      <c r="B43" s="373" t="s">
        <v>751</v>
      </c>
      <c r="C43" s="374"/>
      <c r="D43" s="374"/>
      <c r="E43" s="374"/>
      <c r="F43" s="374"/>
      <c r="G43" s="374"/>
      <c r="H43" s="374"/>
      <c r="I43" s="374"/>
      <c r="J43" s="374"/>
      <c r="K43" s="374"/>
      <c r="L43" s="374"/>
      <c r="M43" s="386"/>
      <c r="N43" s="28"/>
    </row>
    <row r="44" spans="1:14" x14ac:dyDescent="0.2">
      <c r="A44" s="25"/>
      <c r="B44" s="45" t="s">
        <v>712</v>
      </c>
      <c r="C44" s="156">
        <f>IF($B44=" ","",IFERROR(INDEX(MMWR_RATING_RO_ROLLUP[],MATCH($B44,MMWR_RATING_RO_ROLLUP[MMWR_RATING_RO_ROLLUP],0),MATCH(C$9,MMWR_RATING_RO_ROLLUP[#Headers],0)),"ERROR"))</f>
        <v>8632</v>
      </c>
      <c r="D44" s="157">
        <f>IF($B44=" ","",IFERROR(INDEX(MMWR_RATING_RO_ROLLUP[],MATCH($B44,MMWR_RATING_RO_ROLLUP[MMWR_RATING_RO_ROLLUP],0),MATCH(D$9,MMWR_RATING_RO_ROLLUP[#Headers],0)),"ERROR"))</f>
        <v>72.964434661699997</v>
      </c>
      <c r="E44" s="158">
        <f>IF($B44=" ","",IFERROR(INDEX(MMWR_RATING_RO_ROLLUP[],MATCH($B44,MMWR_RATING_RO_ROLLUP[MMWR_RATING_RO_ROLLUP],0),MATCH(E$9,MMWR_RATING_RO_ROLLUP[#Headers],0))/$C44,"ERROR"))</f>
        <v>0.14666357738646896</v>
      </c>
      <c r="F44" s="156">
        <f>IF($B44=" ","",IFERROR(INDEX(MMWR_RATING_RO_ROLLUP[],MATCH($B44,MMWR_RATING_RO_ROLLUP[MMWR_RATING_RO_ROLLUP],0),MATCH(F$9,MMWR_RATING_RO_ROLLUP[#Headers],0)),"ERROR"))</f>
        <v>1151</v>
      </c>
      <c r="G44" s="156">
        <f>IF($B44=" ","",IFERROR(INDEX(MMWR_RATING_RO_ROLLUP[],MATCH($B44,MMWR_RATING_RO_ROLLUP[MMWR_RATING_RO_ROLLUP],0),MATCH(G$9,MMWR_RATING_RO_ROLLUP[#Headers],0)),"ERROR"))</f>
        <v>20664</v>
      </c>
      <c r="H44" s="157">
        <f>IF($B44=" ","",IFERROR(INDEX(MMWR_RATING_RO_ROLLUP[],MATCH($B44,MMWR_RATING_RO_ROLLUP[MMWR_RATING_RO_ROLLUP],0),MATCH(H$9,MMWR_RATING_RO_ROLLUP[#Headers],0)),"ERROR"))</f>
        <v>140.3119026933</v>
      </c>
      <c r="I44" s="157">
        <f>IF($B44=" ","",IFERROR(INDEX(MMWR_RATING_RO_ROLLUP[],MATCH($B44,MMWR_RATING_RO_ROLLUP[MMWR_RATING_RO_ROLLUP],0),MATCH(I$9,MMWR_RATING_RO_ROLLUP[#Headers],0)),"ERROR"))</f>
        <v>153.47439992260001</v>
      </c>
      <c r="J44" s="42"/>
      <c r="K44" s="42"/>
      <c r="L44" s="42"/>
      <c r="M44" s="42"/>
      <c r="N44" s="28"/>
    </row>
    <row r="45" spans="1:14" x14ac:dyDescent="0.2">
      <c r="A45" s="25"/>
      <c r="B45" s="46" t="s">
        <v>219</v>
      </c>
      <c r="C45" s="156">
        <f>IF($B45=" ","",IFERROR(INDEX(MMWR_RATING_RO_ROLLUP[],MATCH($B45,MMWR_RATING_RO_ROLLUP[MMWR_RATING_RO_ROLLUP],0),MATCH(C$9,MMWR_RATING_RO_ROLLUP[#Headers],0)),"ERROR"))</f>
        <v>3208</v>
      </c>
      <c r="D45" s="157">
        <f>IF($B45=" ","",IFERROR(INDEX(MMWR_RATING_RO_ROLLUP[],MATCH($B45,MMWR_RATING_RO_ROLLUP[MMWR_RATING_RO_ROLLUP],0),MATCH(D$9,MMWR_RATING_RO_ROLLUP[#Headers],0)),"ERROR"))</f>
        <v>72.806109725699997</v>
      </c>
      <c r="E45" s="158">
        <f>IF($B45=" ","",IFERROR(INDEX(MMWR_RATING_RO_ROLLUP[],MATCH($B45,MMWR_RATING_RO_ROLLUP[MMWR_RATING_RO_ROLLUP],0),MATCH(E$9,MMWR_RATING_RO_ROLLUP[#Headers],0))/$C45,"ERROR"))</f>
        <v>0.13248129675810474</v>
      </c>
      <c r="F45" s="156">
        <f>IF($B45=" ","",IFERROR(INDEX(MMWR_RATING_RO_ROLLUP[],MATCH($B45,MMWR_RATING_RO_ROLLUP[MMWR_RATING_RO_ROLLUP],0),MATCH(F$9,MMWR_RATING_RO_ROLLUP[#Headers],0)),"ERROR"))</f>
        <v>568</v>
      </c>
      <c r="G45" s="156">
        <f>IF($B45=" ","",IFERROR(INDEX(MMWR_RATING_RO_ROLLUP[],MATCH($B45,MMWR_RATING_RO_ROLLUP[MMWR_RATING_RO_ROLLUP],0),MATCH(G$9,MMWR_RATING_RO_ROLLUP[#Headers],0)),"ERROR"))</f>
        <v>10838</v>
      </c>
      <c r="H45" s="157">
        <f>IF($B45=" ","",IFERROR(INDEX(MMWR_RATING_RO_ROLLUP[],MATCH($B45,MMWR_RATING_RO_ROLLUP[MMWR_RATING_RO_ROLLUP],0),MATCH(H$9,MMWR_RATING_RO_ROLLUP[#Headers],0)),"ERROR"))</f>
        <v>137.74823943659999</v>
      </c>
      <c r="I45" s="157">
        <f>IF($B45=" ","",IFERROR(INDEX(MMWR_RATING_RO_ROLLUP[],MATCH($B45,MMWR_RATING_RO_ROLLUP[MMWR_RATING_RO_ROLLUP],0),MATCH(I$9,MMWR_RATING_RO_ROLLUP[#Headers],0)),"ERROR"))</f>
        <v>172.01771544569999</v>
      </c>
      <c r="J45" s="42"/>
      <c r="K45" s="42"/>
      <c r="L45" s="42"/>
      <c r="M45" s="42"/>
      <c r="N45" s="28"/>
    </row>
    <row r="46" spans="1:14" x14ac:dyDescent="0.2">
      <c r="A46" s="25"/>
      <c r="B46" s="46" t="s">
        <v>221</v>
      </c>
      <c r="C46" s="156">
        <f>IF($B46=" ","",IFERROR(INDEX(MMWR_RATING_RO_ROLLUP[],MATCH($B46,MMWR_RATING_RO_ROLLUP[MMWR_RATING_RO_ROLLUP],0),MATCH(C$9,MMWR_RATING_RO_ROLLUP[#Headers],0)),"ERROR"))</f>
        <v>3762</v>
      </c>
      <c r="D46" s="157">
        <f>IF($B46=" ","",IFERROR(INDEX(MMWR_RATING_RO_ROLLUP[],MATCH($B46,MMWR_RATING_RO_ROLLUP[MMWR_RATING_RO_ROLLUP],0),MATCH(D$9,MMWR_RATING_RO_ROLLUP[#Headers],0)),"ERROR"))</f>
        <v>74.913343965999999</v>
      </c>
      <c r="E46" s="158">
        <f>IF($B46=" ","",IFERROR(INDEX(MMWR_RATING_RO_ROLLUP[],MATCH($B46,MMWR_RATING_RO_ROLLUP[MMWR_RATING_RO_ROLLUP],0),MATCH(E$9,MMWR_RATING_RO_ROLLUP[#Headers],0))/$C46,"ERROR"))</f>
        <v>0.16640085061137694</v>
      </c>
      <c r="F46" s="156">
        <f>IF($B46=" ","",IFERROR(INDEX(MMWR_RATING_RO_ROLLUP[],MATCH($B46,MMWR_RATING_RO_ROLLUP[MMWR_RATING_RO_ROLLUP],0),MATCH(F$9,MMWR_RATING_RO_ROLLUP[#Headers],0)),"ERROR"))</f>
        <v>433</v>
      </c>
      <c r="G46" s="156">
        <f>IF($B46=" ","",IFERROR(INDEX(MMWR_RATING_RO_ROLLUP[],MATCH($B46,MMWR_RATING_RO_ROLLUP[MMWR_RATING_RO_ROLLUP],0),MATCH(G$9,MMWR_RATING_RO_ROLLUP[#Headers],0)),"ERROR"))</f>
        <v>7887</v>
      </c>
      <c r="H46" s="157">
        <f>IF($B46=" ","",IFERROR(INDEX(MMWR_RATING_RO_ROLLUP[],MATCH($B46,MMWR_RATING_RO_ROLLUP[MMWR_RATING_RO_ROLLUP],0),MATCH(H$9,MMWR_RATING_RO_ROLLUP[#Headers],0)),"ERROR"))</f>
        <v>146.5658198614</v>
      </c>
      <c r="I46" s="157">
        <f>IF($B46=" ","",IFERROR(INDEX(MMWR_RATING_RO_ROLLUP[],MATCH($B46,MMWR_RATING_RO_ROLLUP[MMWR_RATING_RO_ROLLUP],0),MATCH(I$9,MMWR_RATING_RO_ROLLUP[#Headers],0)),"ERROR"))</f>
        <v>129.50703689619999</v>
      </c>
      <c r="J46" s="42"/>
      <c r="K46" s="42"/>
      <c r="L46" s="42"/>
      <c r="M46" s="42"/>
      <c r="N46" s="28"/>
    </row>
    <row r="47" spans="1:14" x14ac:dyDescent="0.2">
      <c r="A47" s="25"/>
      <c r="B47" s="48" t="s">
        <v>317</v>
      </c>
      <c r="C47" s="156">
        <f>IF($B47=" ","",IFERROR(INDEX(MMWR_RATING_RO_ROLLUP[],MATCH($B47,MMWR_RATING_RO_ROLLUP[MMWR_RATING_RO_ROLLUP],0),MATCH(C$9,MMWR_RATING_RO_ROLLUP[#Headers],0)),"ERROR"))</f>
        <v>1662</v>
      </c>
      <c r="D47" s="157">
        <f>IF($B47=" ","",IFERROR(INDEX(MMWR_RATING_RO_ROLLUP[],MATCH($B47,MMWR_RATING_RO_ROLLUP[MMWR_RATING_RO_ROLLUP],0),MATCH(D$9,MMWR_RATING_RO_ROLLUP[#Headers],0)),"ERROR"))</f>
        <v>68.858604091499998</v>
      </c>
      <c r="E47" s="158">
        <f>IF($B47=" ","",IFERROR(INDEX(MMWR_RATING_RO_ROLLUP[],MATCH($B47,MMWR_RATING_RO_ROLLUP[MMWR_RATING_RO_ROLLUP],0),MATCH(E$9,MMWR_RATING_RO_ROLLUP[#Headers],0))/$C47,"ERROR"))</f>
        <v>0.12936221419975932</v>
      </c>
      <c r="F47" s="156">
        <f>IF($B47=" ","",IFERROR(INDEX(MMWR_RATING_RO_ROLLUP[],MATCH($B47,MMWR_RATING_RO_ROLLUP[MMWR_RATING_RO_ROLLUP],0),MATCH(F$9,MMWR_RATING_RO_ROLLUP[#Headers],0)),"ERROR"))</f>
        <v>150</v>
      </c>
      <c r="G47" s="156">
        <f>IF($B47=" ","",IFERROR(INDEX(MMWR_RATING_RO_ROLLUP[],MATCH($B47,MMWR_RATING_RO_ROLLUP[MMWR_RATING_RO_ROLLUP],0),MATCH(G$9,MMWR_RATING_RO_ROLLUP[#Headers],0)),"ERROR"))</f>
        <v>1939</v>
      </c>
      <c r="H47" s="157">
        <f>IF($B47=" ","",IFERROR(INDEX(MMWR_RATING_RO_ROLLUP[],MATCH($B47,MMWR_RATING_RO_ROLLUP[MMWR_RATING_RO_ROLLUP],0),MATCH(H$9,MMWR_RATING_RO_ROLLUP[#Headers],0)),"ERROR"))</f>
        <v>131.96666666670001</v>
      </c>
      <c r="I47" s="157">
        <f>IF($B47=" ","",IFERROR(INDEX(MMWR_RATING_RO_ROLLUP[],MATCH($B47,MMWR_RATING_RO_ROLLUP[MMWR_RATING_RO_ROLLUP],0),MATCH(I$9,MMWR_RATING_RO_ROLLUP[#Headers],0)),"ERROR"))</f>
        <v>147.3156266117</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A3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3" priority="4">
      <formula>IF(OR(ISERROR(A1048576),A1="ERROR"),TRUE,FALSE)</formula>
    </cfRule>
  </conditionalFormatting>
  <conditionalFormatting sqref="B4">
    <cfRule type="expression" dxfId="432" priority="2">
      <formula>IF(OR(ISERROR(B4),B4="ERROR"),TRUE,FALSE)</formula>
    </cfRule>
  </conditionalFormatting>
  <conditionalFormatting sqref="C5:O5">
    <cfRule type="expression" dxfId="431"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3" t="s">
        <v>1001</v>
      </c>
      <c r="D2" s="354"/>
      <c r="E2" s="354"/>
      <c r="F2" s="354"/>
      <c r="G2" s="354"/>
      <c r="H2" s="354"/>
      <c r="I2" s="354"/>
      <c r="J2" s="353" t="s">
        <v>309</v>
      </c>
      <c r="K2" s="354"/>
      <c r="L2" s="354"/>
      <c r="M2" s="355"/>
      <c r="N2" s="28"/>
    </row>
    <row r="3" spans="1:15" ht="24" customHeight="1" thickBot="1" x14ac:dyDescent="0.4">
      <c r="A3" s="25"/>
      <c r="B3" s="29"/>
      <c r="C3" s="356"/>
      <c r="D3" s="357"/>
      <c r="E3" s="357"/>
      <c r="F3" s="357"/>
      <c r="G3" s="357"/>
      <c r="H3" s="357"/>
      <c r="I3" s="357"/>
      <c r="J3" s="356" t="str">
        <f>Transformation!B4</f>
        <v>As of: July 18, 2015</v>
      </c>
      <c r="K3" s="357"/>
      <c r="L3" s="357"/>
      <c r="M3" s="358"/>
      <c r="N3" s="28"/>
    </row>
    <row r="4" spans="1:15" ht="51.75" customHeight="1" thickBot="1" x14ac:dyDescent="0.35">
      <c r="A4" s="30"/>
      <c r="B4" s="250" t="s">
        <v>465</v>
      </c>
      <c r="C4" s="359" t="s">
        <v>441</v>
      </c>
      <c r="D4" s="360"/>
      <c r="E4" s="360"/>
      <c r="F4" s="360"/>
      <c r="G4" s="360"/>
      <c r="H4" s="360"/>
      <c r="I4" s="360"/>
      <c r="J4" s="360"/>
      <c r="K4" s="360"/>
      <c r="L4" s="360"/>
      <c r="M4" s="361"/>
      <c r="N4" s="28"/>
    </row>
    <row r="5" spans="1:15" ht="27" customHeight="1" thickBot="1" x14ac:dyDescent="0.25">
      <c r="A5" s="30"/>
      <c r="B5" s="249" t="s">
        <v>379</v>
      </c>
      <c r="C5" s="362" t="s">
        <v>1065</v>
      </c>
      <c r="D5" s="363"/>
      <c r="E5" s="363"/>
      <c r="F5" s="363"/>
      <c r="G5" s="363"/>
      <c r="H5" s="363"/>
      <c r="I5" s="363"/>
      <c r="J5" s="363"/>
      <c r="K5" s="363"/>
      <c r="L5" s="363"/>
      <c r="M5" s="363"/>
      <c r="N5" s="363"/>
      <c r="O5" s="364"/>
    </row>
    <row r="6" spans="1:15" ht="55.5" customHeight="1" x14ac:dyDescent="0.2">
      <c r="A6" s="30"/>
      <c r="B6" s="31"/>
      <c r="C6" s="32" t="s">
        <v>198</v>
      </c>
      <c r="D6" s="365" t="s">
        <v>16</v>
      </c>
      <c r="E6" s="366"/>
      <c r="F6" s="33" t="s">
        <v>201</v>
      </c>
      <c r="G6" s="365" t="s">
        <v>206</v>
      </c>
      <c r="H6" s="367"/>
      <c r="I6" s="33" t="s">
        <v>204</v>
      </c>
      <c r="J6" s="50" t="s">
        <v>14</v>
      </c>
      <c r="K6" s="33" t="s">
        <v>209</v>
      </c>
      <c r="L6" s="371" t="s">
        <v>88</v>
      </c>
      <c r="M6" s="394"/>
      <c r="N6" s="28"/>
    </row>
    <row r="7" spans="1:15" ht="51.75" customHeight="1" x14ac:dyDescent="0.2">
      <c r="A7" s="30"/>
      <c r="B7" s="34"/>
      <c r="C7" s="35" t="s">
        <v>199</v>
      </c>
      <c r="D7" s="375" t="s">
        <v>0</v>
      </c>
      <c r="E7" s="376"/>
      <c r="F7" s="36" t="s">
        <v>202</v>
      </c>
      <c r="G7" s="377" t="s">
        <v>207</v>
      </c>
      <c r="H7" s="377"/>
      <c r="I7" s="36" t="s">
        <v>205</v>
      </c>
      <c r="J7" s="51" t="s">
        <v>19</v>
      </c>
      <c r="K7" s="36" t="s">
        <v>210</v>
      </c>
      <c r="L7" s="390" t="s">
        <v>90</v>
      </c>
      <c r="M7" s="391"/>
      <c r="N7" s="28"/>
    </row>
    <row r="8" spans="1:15" ht="51.75" customHeight="1" thickBot="1" x14ac:dyDescent="0.25">
      <c r="A8" s="25"/>
      <c r="B8" s="28"/>
      <c r="C8" s="37" t="s">
        <v>200</v>
      </c>
      <c r="D8" s="378" t="s">
        <v>18</v>
      </c>
      <c r="E8" s="379"/>
      <c r="F8" s="38" t="s">
        <v>203</v>
      </c>
      <c r="G8" s="380" t="s">
        <v>17</v>
      </c>
      <c r="H8" s="380"/>
      <c r="I8" s="38" t="s">
        <v>208</v>
      </c>
      <c r="J8" s="52" t="s">
        <v>87</v>
      </c>
      <c r="K8" s="38" t="s">
        <v>211</v>
      </c>
      <c r="L8" s="392" t="s">
        <v>89</v>
      </c>
      <c r="M8" s="393"/>
      <c r="N8" s="28"/>
    </row>
    <row r="9" spans="1:15" x14ac:dyDescent="0.2">
      <c r="A9" s="28"/>
      <c r="B9" s="39"/>
      <c r="C9" s="39" t="s">
        <v>731</v>
      </c>
      <c r="D9" s="39" t="s">
        <v>733</v>
      </c>
      <c r="E9" s="39" t="s">
        <v>732</v>
      </c>
      <c r="F9" s="39" t="s">
        <v>735</v>
      </c>
      <c r="G9" s="39" t="s">
        <v>734</v>
      </c>
      <c r="H9" s="39" t="s">
        <v>737</v>
      </c>
      <c r="I9" s="39" t="s">
        <v>736</v>
      </c>
      <c r="J9" s="39"/>
      <c r="K9" s="39"/>
      <c r="L9" s="39"/>
      <c r="M9" s="39"/>
      <c r="N9" s="39"/>
    </row>
    <row r="10" spans="1:15" ht="15.75" customHeight="1" x14ac:dyDescent="0.2">
      <c r="A10" s="25"/>
      <c r="B10" s="26"/>
      <c r="C10" s="381" t="s">
        <v>302</v>
      </c>
      <c r="D10" s="381"/>
      <c r="E10" s="381"/>
      <c r="F10" s="381"/>
      <c r="G10" s="381"/>
      <c r="H10" s="381"/>
      <c r="I10" s="381"/>
      <c r="J10" s="381"/>
      <c r="K10" s="381"/>
      <c r="L10" s="381"/>
      <c r="M10" s="385"/>
      <c r="N10" s="28"/>
    </row>
    <row r="11" spans="1:15" ht="63.75" customHeight="1" x14ac:dyDescent="0.2">
      <c r="A11" s="25"/>
      <c r="B11" s="26"/>
      <c r="C11" s="53" t="s">
        <v>234</v>
      </c>
      <c r="D11" s="53" t="s">
        <v>140</v>
      </c>
      <c r="E11" s="53" t="s">
        <v>235</v>
      </c>
      <c r="F11" s="53" t="s">
        <v>195</v>
      </c>
      <c r="G11" s="53" t="s">
        <v>212</v>
      </c>
      <c r="H11" s="53" t="s">
        <v>214</v>
      </c>
      <c r="I11" s="53" t="s">
        <v>215</v>
      </c>
      <c r="J11" s="387" t="s">
        <v>995</v>
      </c>
      <c r="K11" s="388"/>
      <c r="L11" s="388"/>
      <c r="M11" s="389"/>
      <c r="N11" s="28"/>
    </row>
    <row r="12" spans="1:15" x14ac:dyDescent="0.2">
      <c r="A12" s="25"/>
      <c r="B12" s="41" t="s">
        <v>746</v>
      </c>
      <c r="C12" s="156">
        <f>IF($B12=" ","",IFERROR(INDEX(MMWR_RATING_STATE_ROLLUP_VSC[],MATCH($B12,MMWR_RATING_STATE_ROLLUP_VSC[MMWR_RATING_STATE_ROLLUP_VSC],0),MATCH(C$9,MMWR_RATING_STATE_ROLLUP_VSC[#Headers],0)),"ERROR"))</f>
        <v>379370</v>
      </c>
      <c r="D12" s="157">
        <f>IF($B12=" ","",IFERROR(INDEX(MMWR_RATING_STATE_ROLLUP_VSC[],MATCH($B12,MMWR_RATING_STATE_ROLLUP_VSC[MMWR_RATING_STATE_ROLLUP_VSC],0),MATCH(D$9,MMWR_RATING_STATE_ROLLUP_VSC[#Headers],0)),"ERROR"))</f>
        <v>116.2956375043</v>
      </c>
      <c r="E12" s="161">
        <f>IF($B12=" ","",IFERROR(INDEX(MMWR_RATING_STATE_ROLLUP_VSC[],MATCH($B12,MMWR_RATING_STATE_ROLLUP_VSC[MMWR_RATING_STATE_ROLLUP_VSC],0),MATCH(E$9,MMWR_RATING_STATE_ROLLUP_VSC[#Headers],0))/$C12,"ERROR"))</f>
        <v>0.31554946358436353</v>
      </c>
      <c r="F12" s="156">
        <f>IF($B12=" ","",IFERROR(INDEX(MMWR_RATING_STATE_ROLLUP_VSC[],MATCH($B12,MMWR_RATING_STATE_ROLLUP_VSC[MMWR_RATING_STATE_ROLLUP_VSC],0),MATCH(F$9,MMWR_RATING_STATE_ROLLUP_VSC[#Headers],0)),"ERROR"))</f>
        <v>61832</v>
      </c>
      <c r="G12" s="156">
        <f>IF($B12=" ","",IFERROR(INDEX(MMWR_RATING_STATE_ROLLUP_VSC[],MATCH($B12,MMWR_RATING_STATE_ROLLUP_VSC[MMWR_RATING_STATE_ROLLUP_VSC],0),MATCH(G$9,MMWR_RATING_STATE_ROLLUP_VSC[#Headers],0)),"ERROR"))</f>
        <v>1102390</v>
      </c>
      <c r="H12" s="157">
        <f>IF($B12=" ","",IFERROR(INDEX(MMWR_RATING_STATE_ROLLUP_VSC[],MATCH($B12,MMWR_RATING_STATE_ROLLUP_VSC[MMWR_RATING_STATE_ROLLUP_VSC],0),MATCH(H$9,MMWR_RATING_STATE_ROLLUP_VSC[#Headers],0)),"ERROR"))</f>
        <v>152.62144197180001</v>
      </c>
      <c r="I12" s="157">
        <f>IF($B12=" ","",IFERROR(INDEX(MMWR_RATING_STATE_ROLLUP_VSC[],MATCH($B12,MMWR_RATING_STATE_ROLLUP_VSC[MMWR_RATING_STATE_ROLLUP_VSC],0),MATCH(I$9,MMWR_RATING_STATE_ROLLUP_VSC[#Headers],0)),"ERROR"))</f>
        <v>174.92684440170001</v>
      </c>
      <c r="J12" s="42"/>
      <c r="K12" s="42"/>
      <c r="L12" s="42"/>
      <c r="M12" s="42"/>
      <c r="N12" s="28"/>
    </row>
    <row r="13" spans="1:15" x14ac:dyDescent="0.2">
      <c r="A13" s="25"/>
      <c r="B13" s="373" t="s">
        <v>981</v>
      </c>
      <c r="C13" s="374"/>
      <c r="D13" s="374"/>
      <c r="E13" s="374"/>
      <c r="F13" s="374"/>
      <c r="G13" s="374"/>
      <c r="H13" s="374"/>
      <c r="I13" s="374"/>
      <c r="J13" s="374"/>
      <c r="K13" s="374"/>
      <c r="L13" s="374"/>
      <c r="M13" s="386"/>
      <c r="N13" s="28"/>
    </row>
    <row r="14" spans="1:15" x14ac:dyDescent="0.2">
      <c r="A14" s="25"/>
      <c r="B14" s="41" t="s">
        <v>1059</v>
      </c>
      <c r="C14" s="156">
        <f>IF($B14=" ","",IFERROR(INDEX(MMWR_RATING_STATE_ROLLUP_VSC[],MATCH($B14,MMWR_RATING_STATE_ROLLUP_VSC[MMWR_RATING_STATE_ROLLUP_VSC],0),MATCH(C$9,MMWR_RATING_STATE_ROLLUP_VSC[#Headers],0)),"ERROR"))</f>
        <v>344036</v>
      </c>
      <c r="D14" s="157">
        <f>IF($B14=" ","",IFERROR(INDEX(MMWR_RATING_STATE_ROLLUP_VSC[],MATCH($B14,MMWR_RATING_STATE_ROLLUP_VSC[MMWR_RATING_STATE_ROLLUP_VSC],0),MATCH(D$9,MMWR_RATING_STATE_ROLLUP_VSC[#Headers],0)),"ERROR"))</f>
        <v>121.27516597100001</v>
      </c>
      <c r="E14" s="158">
        <f>IF($B14=" ","",IFERROR(INDEX(MMWR_RATING_STATE_ROLLUP_VSC[],MATCH($B14,MMWR_RATING_STATE_ROLLUP_VSC[MMWR_RATING_STATE_ROLLUP_VSC],0),MATCH(E$9,MMWR_RATING_STATE_ROLLUP_VSC[#Headers],0))/$C14,"ERROR"))</f>
        <v>0.33494169214849606</v>
      </c>
      <c r="F14" s="156">
        <f>IF($B14=" ","",IFERROR(INDEX(MMWR_RATING_STATE_ROLLUP_VSC[],MATCH($B14,MMWR_RATING_STATE_ROLLUP_VSC[MMWR_RATING_STATE_ROLLUP_VSC],0),MATCH(F$9,MMWR_RATING_STATE_ROLLUP_VSC[#Headers],0)),"ERROR"))</f>
        <v>53325</v>
      </c>
      <c r="G14" s="156">
        <f>IF($B14=" ","",IFERROR(INDEX(MMWR_RATING_STATE_ROLLUP_VSC[],MATCH($B14,MMWR_RATING_STATE_ROLLUP_VSC[MMWR_RATING_STATE_ROLLUP_VSC],0),MATCH(G$9,MMWR_RATING_STATE_ROLLUP_VSC[#Headers],0)),"ERROR"))</f>
        <v>939269</v>
      </c>
      <c r="H14" s="157">
        <f>IF($B14=" ","",IFERROR(INDEX(MMWR_RATING_STATE_ROLLUP_VSC[],MATCH($B14,MMWR_RATING_STATE_ROLLUP_VSC[MMWR_RATING_STATE_ROLLUP_VSC],0),MATCH(H$9,MMWR_RATING_STATE_ROLLUP_VSC[#Headers],0)),"ERROR"))</f>
        <v>163.5784528833</v>
      </c>
      <c r="I14" s="157">
        <f>IF($B14=" ","",IFERROR(INDEX(MMWR_RATING_STATE_ROLLUP_VSC[],MATCH($B14,MMWR_RATING_STATE_ROLLUP_VSC[MMWR_RATING_STATE_ROLLUP_VSC],0),MATCH(I$9,MMWR_RATING_STATE_ROLLUP_VSC[#Headers],0)),"ERROR"))</f>
        <v>190.61052797439999</v>
      </c>
      <c r="J14" s="42"/>
      <c r="K14" s="42"/>
      <c r="L14" s="42"/>
      <c r="M14" s="42"/>
      <c r="N14" s="28"/>
    </row>
    <row r="15" spans="1:15" x14ac:dyDescent="0.2">
      <c r="A15" s="25"/>
      <c r="B15" s="252" t="str">
        <f>INDEX(DISTRICT_STATES[],MATCH($B$5,DISTRICT_RO[District],0),1)</f>
        <v>North Atlantic</v>
      </c>
      <c r="C15" s="156">
        <f>IF($B15=" ","",IFERROR(INDEX(MMWR_RATING_STATE_ROLLUP_VSC[],MATCH($B15,MMWR_RATING_STATE_ROLLUP_VSC[MMWR_RATING_STATE_ROLLUP_VSC],0),MATCH(C$9,MMWR_RATING_STATE_ROLLUP_VSC[#Headers],0)),"ERROR"))</f>
        <v>74520</v>
      </c>
      <c r="D15" s="157">
        <f>IF($B15=" ","",IFERROR(INDEX(MMWR_RATING_STATE_ROLLUP_VSC[],MATCH($B15,MMWR_RATING_STATE_ROLLUP_VSC[MMWR_RATING_STATE_ROLLUP_VSC],0),MATCH(D$9,MMWR_RATING_STATE_ROLLUP_VSC[#Headers],0)),"ERROR"))</f>
        <v>121.92328234030001</v>
      </c>
      <c r="E15" s="158">
        <f>IF($B15=" ","",IFERROR(INDEX(MMWR_RATING_STATE_ROLLUP_VSC[],MATCH($B15,MMWR_RATING_STATE_ROLLUP_VSC[MMWR_RATING_STATE_ROLLUP_VSC],0),MATCH(E$9,MMWR_RATING_STATE_ROLLUP_VSC[#Headers],0))/$C15,"ERROR"))</f>
        <v>0.33395061728395059</v>
      </c>
      <c r="F15" s="156">
        <f>IF($B15=" ","",IFERROR(INDEX(MMWR_RATING_STATE_ROLLUP_VSC[],MATCH($B15,MMWR_RATING_STATE_ROLLUP_VSC[MMWR_RATING_STATE_ROLLUP_VSC],0),MATCH(F$9,MMWR_RATING_STATE_ROLLUP_VSC[#Headers],0)),"ERROR"))</f>
        <v>11366</v>
      </c>
      <c r="G15" s="156">
        <f>IF($B15=" ","",IFERROR(INDEX(MMWR_RATING_STATE_ROLLUP_VSC[],MATCH($B15,MMWR_RATING_STATE_ROLLUP_VSC[MMWR_RATING_STATE_ROLLUP_VSC],0),MATCH(G$9,MMWR_RATING_STATE_ROLLUP_VSC[#Headers],0)),"ERROR"))</f>
        <v>201547</v>
      </c>
      <c r="H15" s="157">
        <f>IF($B15=" ","",IFERROR(INDEX(MMWR_RATING_STATE_ROLLUP_VSC[],MATCH($B15,MMWR_RATING_STATE_ROLLUP_VSC[MMWR_RATING_STATE_ROLLUP_VSC],0),MATCH(H$9,MMWR_RATING_STATE_ROLLUP_VSC[#Headers],0)),"ERROR"))</f>
        <v>171.70112616579999</v>
      </c>
      <c r="I15" s="157">
        <f>IF($B15=" ","",IFERROR(INDEX(MMWR_RATING_STATE_ROLLUP_VSC[],MATCH($B15,MMWR_RATING_STATE_ROLLUP_VSC[MMWR_RATING_STATE_ROLLUP_VSC],0),MATCH(I$9,MMWR_RATING_STATE_ROLLUP_VSC[#Headers],0)),"ERROR"))</f>
        <v>200.13262911379999</v>
      </c>
      <c r="J15" s="42"/>
      <c r="K15" s="42"/>
      <c r="L15" s="42"/>
      <c r="M15" s="42"/>
      <c r="N15" s="28"/>
    </row>
    <row r="16" spans="1:15" x14ac:dyDescent="0.2">
      <c r="A16" s="25"/>
      <c r="B16" s="8" t="str">
        <f>VLOOKUP($B$15,DISTRICT_STATES[],2,0)</f>
        <v>Connecticut</v>
      </c>
      <c r="C16" s="156">
        <f>IF($B16=" ","",IFERROR(INDEX(MMWR_RATING_STATE_ROLLUP_VSC[],MATCH($B16,MMWR_RATING_STATE_ROLLUP_VSC[MMWR_RATING_STATE_ROLLUP_VSC],0),MATCH(C$9,MMWR_RATING_STATE_ROLLUP_VSC[#Headers],0)),"ERROR"))</f>
        <v>1972</v>
      </c>
      <c r="D16" s="157">
        <f>IF($B16=" ","",IFERROR(INDEX(MMWR_RATING_STATE_ROLLUP_VSC[],MATCH($B16,MMWR_RATING_STATE_ROLLUP_VSC[MMWR_RATING_STATE_ROLLUP_VSC],0),MATCH(D$9,MMWR_RATING_STATE_ROLLUP_VSC[#Headers],0)),"ERROR"))</f>
        <v>101.5613590264</v>
      </c>
      <c r="E16" s="158">
        <f>IF($B16=" ","",IFERROR(INDEX(MMWR_RATING_STATE_ROLLUP_VSC[],MATCH($B16,MMWR_RATING_STATE_ROLLUP_VSC[MMWR_RATING_STATE_ROLLUP_VSC],0),MATCH(E$9,MMWR_RATING_STATE_ROLLUP_VSC[#Headers],0))/$C16,"ERROR"))</f>
        <v>0.28144016227180529</v>
      </c>
      <c r="F16" s="156">
        <f>IF($B16=" ","",IFERROR(INDEX(MMWR_RATING_STATE_ROLLUP_VSC[],MATCH($B16,MMWR_RATING_STATE_ROLLUP_VSC[MMWR_RATING_STATE_ROLLUP_VSC],0),MATCH(F$9,MMWR_RATING_STATE_ROLLUP_VSC[#Headers],0)),"ERROR"))</f>
        <v>262</v>
      </c>
      <c r="G16" s="156">
        <f>IF($B16=" ","",IFERROR(INDEX(MMWR_RATING_STATE_ROLLUP_VSC[],MATCH($B16,MMWR_RATING_STATE_ROLLUP_VSC[MMWR_RATING_STATE_ROLLUP_VSC],0),MATCH(G$9,MMWR_RATING_STATE_ROLLUP_VSC[#Headers],0)),"ERROR"))</f>
        <v>5430</v>
      </c>
      <c r="H16" s="157">
        <f>IF($B16=" ","",IFERROR(INDEX(MMWR_RATING_STATE_ROLLUP_VSC[],MATCH($B16,MMWR_RATING_STATE_ROLLUP_VSC[MMWR_RATING_STATE_ROLLUP_VSC],0),MATCH(H$9,MMWR_RATING_STATE_ROLLUP_VSC[#Headers],0)),"ERROR"))</f>
        <v>140.3511450382</v>
      </c>
      <c r="I16" s="157">
        <f>IF($B16=" ","",IFERROR(INDEX(MMWR_RATING_STATE_ROLLUP_VSC[],MATCH($B16,MMWR_RATING_STATE_ROLLUP_VSC[MMWR_RATING_STATE_ROLLUP_VSC],0),MATCH(I$9,MMWR_RATING_STATE_ROLLUP_VSC[#Headers],0)),"ERROR"))</f>
        <v>153.17348066299999</v>
      </c>
      <c r="J16" s="42"/>
      <c r="K16" s="42"/>
      <c r="L16" s="42"/>
      <c r="M16" s="42"/>
      <c r="N16" s="28"/>
    </row>
    <row r="17" spans="1:14" x14ac:dyDescent="0.2">
      <c r="A17" s="25"/>
      <c r="B17" s="8" t="str">
        <f>VLOOKUP($B$15,DISTRICT_STATES[],3,0)</f>
        <v>Delaware</v>
      </c>
      <c r="C17" s="156">
        <f>IF($B17=" ","",IFERROR(INDEX(MMWR_RATING_STATE_ROLLUP_VSC[],MATCH($B17,MMWR_RATING_STATE_ROLLUP_VSC[MMWR_RATING_STATE_ROLLUP_VSC],0),MATCH(C$9,MMWR_RATING_STATE_ROLLUP_VSC[#Headers],0)),"ERROR"))</f>
        <v>994</v>
      </c>
      <c r="D17" s="157">
        <f>IF($B17=" ","",IFERROR(INDEX(MMWR_RATING_STATE_ROLLUP_VSC[],MATCH($B17,MMWR_RATING_STATE_ROLLUP_VSC[MMWR_RATING_STATE_ROLLUP_VSC],0),MATCH(D$9,MMWR_RATING_STATE_ROLLUP_VSC[#Headers],0)),"ERROR"))</f>
        <v>136.9265593561</v>
      </c>
      <c r="E17" s="158">
        <f>IF($B17=" ","",IFERROR(INDEX(MMWR_RATING_STATE_ROLLUP_VSC[],MATCH($B17,MMWR_RATING_STATE_ROLLUP_VSC[MMWR_RATING_STATE_ROLLUP_VSC],0),MATCH(E$9,MMWR_RATING_STATE_ROLLUP_VSC[#Headers],0))/$C17,"ERROR"))</f>
        <v>0.38229376257545272</v>
      </c>
      <c r="F17" s="156">
        <f>IF($B17=" ","",IFERROR(INDEX(MMWR_RATING_STATE_ROLLUP_VSC[],MATCH($B17,MMWR_RATING_STATE_ROLLUP_VSC[MMWR_RATING_STATE_ROLLUP_VSC],0),MATCH(F$9,MMWR_RATING_STATE_ROLLUP_VSC[#Headers],0)),"ERROR"))</f>
        <v>120</v>
      </c>
      <c r="G17" s="156">
        <f>IF($B17=" ","",IFERROR(INDEX(MMWR_RATING_STATE_ROLLUP_VSC[],MATCH($B17,MMWR_RATING_STATE_ROLLUP_VSC[MMWR_RATING_STATE_ROLLUP_VSC],0),MATCH(G$9,MMWR_RATING_STATE_ROLLUP_VSC[#Headers],0)),"ERROR"))</f>
        <v>2623</v>
      </c>
      <c r="H17" s="157">
        <f>IF($B17=" ","",IFERROR(INDEX(MMWR_RATING_STATE_ROLLUP_VSC[],MATCH($B17,MMWR_RATING_STATE_ROLLUP_VSC[MMWR_RATING_STATE_ROLLUP_VSC],0),MATCH(H$9,MMWR_RATING_STATE_ROLLUP_VSC[#Headers],0)),"ERROR"))</f>
        <v>215.7083333333</v>
      </c>
      <c r="I17" s="157">
        <f>IF($B17=" ","",IFERROR(INDEX(MMWR_RATING_STATE_ROLLUP_VSC[],MATCH($B17,MMWR_RATING_STATE_ROLLUP_VSC[MMWR_RATING_STATE_ROLLUP_VSC],0),MATCH(I$9,MMWR_RATING_STATE_ROLLUP_VSC[#Headers],0)),"ERROR"))</f>
        <v>220.50743423559999</v>
      </c>
      <c r="J17" s="42"/>
      <c r="K17" s="42"/>
      <c r="L17" s="42"/>
      <c r="M17" s="42"/>
      <c r="N17" s="28"/>
    </row>
    <row r="18" spans="1:14" x14ac:dyDescent="0.2">
      <c r="A18" s="25"/>
      <c r="B18" s="8" t="str">
        <f>VLOOKUP($B$15,DISTRICT_STATES[],4,0)</f>
        <v>District of Columbia</v>
      </c>
      <c r="C18" s="156">
        <f>IF($B18=" ","",IFERROR(INDEX(MMWR_RATING_STATE_ROLLUP_VSC[],MATCH($B18,MMWR_RATING_STATE_ROLLUP_VSC[MMWR_RATING_STATE_ROLLUP_VSC],0),MATCH(C$9,MMWR_RATING_STATE_ROLLUP_VSC[#Headers],0)),"ERROR"))</f>
        <v>535</v>
      </c>
      <c r="D18" s="157">
        <f>IF($B18=" ","",IFERROR(INDEX(MMWR_RATING_STATE_ROLLUP_VSC[],MATCH($B18,MMWR_RATING_STATE_ROLLUP_VSC[MMWR_RATING_STATE_ROLLUP_VSC],0),MATCH(D$9,MMWR_RATING_STATE_ROLLUP_VSC[#Headers],0)),"ERROR"))</f>
        <v>134.93644859809999</v>
      </c>
      <c r="E18" s="158">
        <f>IF($B18=" ","",IFERROR(INDEX(MMWR_RATING_STATE_ROLLUP_VSC[],MATCH($B18,MMWR_RATING_STATE_ROLLUP_VSC[MMWR_RATING_STATE_ROLLUP_VSC],0),MATCH(E$9,MMWR_RATING_STATE_ROLLUP_VSC[#Headers],0))/$C18,"ERROR"))</f>
        <v>0.3925233644859813</v>
      </c>
      <c r="F18" s="156">
        <f>IF($B18=" ","",IFERROR(INDEX(MMWR_RATING_STATE_ROLLUP_VSC[],MATCH($B18,MMWR_RATING_STATE_ROLLUP_VSC[MMWR_RATING_STATE_ROLLUP_VSC],0),MATCH(F$9,MMWR_RATING_STATE_ROLLUP_VSC[#Headers],0)),"ERROR"))</f>
        <v>70</v>
      </c>
      <c r="G18" s="156">
        <f>IF($B18=" ","",IFERROR(INDEX(MMWR_RATING_STATE_ROLLUP_VSC[],MATCH($B18,MMWR_RATING_STATE_ROLLUP_VSC[MMWR_RATING_STATE_ROLLUP_VSC],0),MATCH(G$9,MMWR_RATING_STATE_ROLLUP_VSC[#Headers],0)),"ERROR"))</f>
        <v>1279</v>
      </c>
      <c r="H18" s="157">
        <f>IF($B18=" ","",IFERROR(INDEX(MMWR_RATING_STATE_ROLLUP_VSC[],MATCH($B18,MMWR_RATING_STATE_ROLLUP_VSC[MMWR_RATING_STATE_ROLLUP_VSC],0),MATCH(H$9,MMWR_RATING_STATE_ROLLUP_VSC[#Headers],0)),"ERROR"))</f>
        <v>208.78571428570001</v>
      </c>
      <c r="I18" s="157">
        <f>IF($B18=" ","",IFERROR(INDEX(MMWR_RATING_STATE_ROLLUP_VSC[],MATCH($B18,MMWR_RATING_STATE_ROLLUP_VSC[MMWR_RATING_STATE_ROLLUP_VSC],0),MATCH(I$9,MMWR_RATING_STATE_ROLLUP_VSC[#Headers],0)),"ERROR"))</f>
        <v>217.19702892890001</v>
      </c>
      <c r="J18" s="42"/>
      <c r="K18" s="42"/>
      <c r="L18" s="42"/>
      <c r="M18" s="42"/>
      <c r="N18" s="28"/>
    </row>
    <row r="19" spans="1:14" x14ac:dyDescent="0.2">
      <c r="A19" s="25"/>
      <c r="B19" s="8" t="str">
        <f>VLOOKUP($B$15,DISTRICT_STATES[],5,0)</f>
        <v>Maine</v>
      </c>
      <c r="C19" s="156">
        <f>IF($B19=" ","",IFERROR(INDEX(MMWR_RATING_STATE_ROLLUP_VSC[],MATCH($B19,MMWR_RATING_STATE_ROLLUP_VSC[MMWR_RATING_STATE_ROLLUP_VSC],0),MATCH(C$9,MMWR_RATING_STATE_ROLLUP_VSC[#Headers],0)),"ERROR"))</f>
        <v>1460</v>
      </c>
      <c r="D19" s="157">
        <f>IF($B19=" ","",IFERROR(INDEX(MMWR_RATING_STATE_ROLLUP_VSC[],MATCH($B19,MMWR_RATING_STATE_ROLLUP_VSC[MMWR_RATING_STATE_ROLLUP_VSC],0),MATCH(D$9,MMWR_RATING_STATE_ROLLUP_VSC[#Headers],0)),"ERROR"))</f>
        <v>82.128082191800004</v>
      </c>
      <c r="E19" s="158">
        <f>IF($B19=" ","",IFERROR(INDEX(MMWR_RATING_STATE_ROLLUP_VSC[],MATCH($B19,MMWR_RATING_STATE_ROLLUP_VSC[MMWR_RATING_STATE_ROLLUP_VSC],0),MATCH(E$9,MMWR_RATING_STATE_ROLLUP_VSC[#Headers],0))/$C19,"ERROR"))</f>
        <v>0.15616438356164383</v>
      </c>
      <c r="F19" s="156">
        <f>IF($B19=" ","",IFERROR(INDEX(MMWR_RATING_STATE_ROLLUP_VSC[],MATCH($B19,MMWR_RATING_STATE_ROLLUP_VSC[MMWR_RATING_STATE_ROLLUP_VSC],0),MATCH(F$9,MMWR_RATING_STATE_ROLLUP_VSC[#Headers],0)),"ERROR"))</f>
        <v>201</v>
      </c>
      <c r="G19" s="156">
        <f>IF($B19=" ","",IFERROR(INDEX(MMWR_RATING_STATE_ROLLUP_VSC[],MATCH($B19,MMWR_RATING_STATE_ROLLUP_VSC[MMWR_RATING_STATE_ROLLUP_VSC],0),MATCH(G$9,MMWR_RATING_STATE_ROLLUP_VSC[#Headers],0)),"ERROR"))</f>
        <v>3592</v>
      </c>
      <c r="H19" s="157">
        <f>IF($B19=" ","",IFERROR(INDEX(MMWR_RATING_STATE_ROLLUP_VSC[],MATCH($B19,MMWR_RATING_STATE_ROLLUP_VSC[MMWR_RATING_STATE_ROLLUP_VSC],0),MATCH(H$9,MMWR_RATING_STATE_ROLLUP_VSC[#Headers],0)),"ERROR"))</f>
        <v>143.28855721389999</v>
      </c>
      <c r="I19" s="157">
        <f>IF($B19=" ","",IFERROR(INDEX(MMWR_RATING_STATE_ROLLUP_VSC[],MATCH($B19,MMWR_RATING_STATE_ROLLUP_VSC[MMWR_RATING_STATE_ROLLUP_VSC],0),MATCH(I$9,MMWR_RATING_STATE_ROLLUP_VSC[#Headers],0)),"ERROR"))</f>
        <v>127.0361915367</v>
      </c>
      <c r="J19" s="42"/>
      <c r="K19" s="42"/>
      <c r="L19" s="42"/>
      <c r="M19" s="42"/>
      <c r="N19" s="28"/>
    </row>
    <row r="20" spans="1:14" x14ac:dyDescent="0.2">
      <c r="A20" s="25"/>
      <c r="B20" s="8" t="str">
        <f>VLOOKUP($B$15,DISTRICT_STATES[],6,0)</f>
        <v>Maryland</v>
      </c>
      <c r="C20" s="156">
        <f>IF($B20=" ","",IFERROR(INDEX(MMWR_RATING_STATE_ROLLUP_VSC[],MATCH($B20,MMWR_RATING_STATE_ROLLUP_VSC[MMWR_RATING_STATE_ROLLUP_VSC],0),MATCH(C$9,MMWR_RATING_STATE_ROLLUP_VSC[#Headers],0)),"ERROR"))</f>
        <v>5793</v>
      </c>
      <c r="D20" s="157">
        <f>IF($B20=" ","",IFERROR(INDEX(MMWR_RATING_STATE_ROLLUP_VSC[],MATCH($B20,MMWR_RATING_STATE_ROLLUP_VSC[MMWR_RATING_STATE_ROLLUP_VSC],0),MATCH(D$9,MMWR_RATING_STATE_ROLLUP_VSC[#Headers],0)),"ERROR"))</f>
        <v>138.72466770240001</v>
      </c>
      <c r="E20" s="158">
        <f>IF($B20=" ","",IFERROR(INDEX(MMWR_RATING_STATE_ROLLUP_VSC[],MATCH($B20,MMWR_RATING_STATE_ROLLUP_VSC[MMWR_RATING_STATE_ROLLUP_VSC],0),MATCH(E$9,MMWR_RATING_STATE_ROLLUP_VSC[#Headers],0))/$C20,"ERROR"))</f>
        <v>0.36803038149490763</v>
      </c>
      <c r="F20" s="156">
        <f>IF($B20=" ","",IFERROR(INDEX(MMWR_RATING_STATE_ROLLUP_VSC[],MATCH($B20,MMWR_RATING_STATE_ROLLUP_VSC[MMWR_RATING_STATE_ROLLUP_VSC],0),MATCH(F$9,MMWR_RATING_STATE_ROLLUP_VSC[#Headers],0)),"ERROR"))</f>
        <v>1123</v>
      </c>
      <c r="G20" s="156">
        <f>IF($B20=" ","",IFERROR(INDEX(MMWR_RATING_STATE_ROLLUP_VSC[],MATCH($B20,MMWR_RATING_STATE_ROLLUP_VSC[MMWR_RATING_STATE_ROLLUP_VSC],0),MATCH(G$9,MMWR_RATING_STATE_ROLLUP_VSC[#Headers],0)),"ERROR"))</f>
        <v>17105</v>
      </c>
      <c r="H20" s="157">
        <f>IF($B20=" ","",IFERROR(INDEX(MMWR_RATING_STATE_ROLLUP_VSC[],MATCH($B20,MMWR_RATING_STATE_ROLLUP_VSC[MMWR_RATING_STATE_ROLLUP_VSC],0),MATCH(H$9,MMWR_RATING_STATE_ROLLUP_VSC[#Headers],0)),"ERROR"))</f>
        <v>190.80320569899999</v>
      </c>
      <c r="I20" s="157">
        <f>IF($B20=" ","",IFERROR(INDEX(MMWR_RATING_STATE_ROLLUP_VSC[],MATCH($B20,MMWR_RATING_STATE_ROLLUP_VSC[MMWR_RATING_STATE_ROLLUP_VSC],0),MATCH(I$9,MMWR_RATING_STATE_ROLLUP_VSC[#Headers],0)),"ERROR"))</f>
        <v>239.51160479390001</v>
      </c>
      <c r="J20" s="42"/>
      <c r="K20" s="42"/>
      <c r="L20" s="42"/>
      <c r="M20" s="42"/>
      <c r="N20" s="28"/>
    </row>
    <row r="21" spans="1:14" x14ac:dyDescent="0.2">
      <c r="A21" s="25"/>
      <c r="B21" s="8" t="str">
        <f>VLOOKUP($B$15,DISTRICT_STATES[],7,0)</f>
        <v>Massachusetts</v>
      </c>
      <c r="C21" s="156">
        <f>IF($B21=" ","",IFERROR(INDEX(MMWR_RATING_STATE_ROLLUP_VSC[],MATCH($B21,MMWR_RATING_STATE_ROLLUP_VSC[MMWR_RATING_STATE_ROLLUP_VSC],0),MATCH(C$9,MMWR_RATING_STATE_ROLLUP_VSC[#Headers],0)),"ERROR"))</f>
        <v>4606</v>
      </c>
      <c r="D21" s="157">
        <f>IF($B21=" ","",IFERROR(INDEX(MMWR_RATING_STATE_ROLLUP_VSC[],MATCH($B21,MMWR_RATING_STATE_ROLLUP_VSC[MMWR_RATING_STATE_ROLLUP_VSC],0),MATCH(D$9,MMWR_RATING_STATE_ROLLUP_VSC[#Headers],0)),"ERROR"))</f>
        <v>114.52909248810001</v>
      </c>
      <c r="E21" s="158">
        <f>IF($B21=" ","",IFERROR(INDEX(MMWR_RATING_STATE_ROLLUP_VSC[],MATCH($B21,MMWR_RATING_STATE_ROLLUP_VSC[MMWR_RATING_STATE_ROLLUP_VSC],0),MATCH(E$9,MMWR_RATING_STATE_ROLLUP_VSC[#Headers],0))/$C21,"ERROR"))</f>
        <v>0.29222752930959617</v>
      </c>
      <c r="F21" s="156">
        <f>IF($B21=" ","",IFERROR(INDEX(MMWR_RATING_STATE_ROLLUP_VSC[],MATCH($B21,MMWR_RATING_STATE_ROLLUP_VSC[MMWR_RATING_STATE_ROLLUP_VSC],0),MATCH(F$9,MMWR_RATING_STATE_ROLLUP_VSC[#Headers],0)),"ERROR"))</f>
        <v>648</v>
      </c>
      <c r="G21" s="156">
        <f>IF($B21=" ","",IFERROR(INDEX(MMWR_RATING_STATE_ROLLUP_VSC[],MATCH($B21,MMWR_RATING_STATE_ROLLUP_VSC[MMWR_RATING_STATE_ROLLUP_VSC],0),MATCH(G$9,MMWR_RATING_STATE_ROLLUP_VSC[#Headers],0)),"ERROR"))</f>
        <v>12156</v>
      </c>
      <c r="H21" s="157">
        <f>IF($B21=" ","",IFERROR(INDEX(MMWR_RATING_STATE_ROLLUP_VSC[],MATCH($B21,MMWR_RATING_STATE_ROLLUP_VSC[MMWR_RATING_STATE_ROLLUP_VSC],0),MATCH(H$9,MMWR_RATING_STATE_ROLLUP_VSC[#Headers],0)),"ERROR"))</f>
        <v>180.4074074074</v>
      </c>
      <c r="I21" s="157">
        <f>IF($B21=" ","",IFERROR(INDEX(MMWR_RATING_STATE_ROLLUP_VSC[],MATCH($B21,MMWR_RATING_STATE_ROLLUP_VSC[MMWR_RATING_STATE_ROLLUP_VSC],0),MATCH(I$9,MMWR_RATING_STATE_ROLLUP_VSC[#Headers],0)),"ERROR"))</f>
        <v>199.74679170780001</v>
      </c>
      <c r="J21" s="42"/>
      <c r="K21" s="42"/>
      <c r="L21" s="42"/>
      <c r="M21" s="42"/>
      <c r="N21" s="28"/>
    </row>
    <row r="22" spans="1:14" x14ac:dyDescent="0.2">
      <c r="A22" s="25"/>
      <c r="B22" s="8" t="str">
        <f>VLOOKUP($B$15,DISTRICT_STATES[],8,0)</f>
        <v>New Hampshire</v>
      </c>
      <c r="C22" s="156">
        <f>IF($B22=" ","",IFERROR(INDEX(MMWR_RATING_STATE_ROLLUP_VSC[],MATCH($B22,MMWR_RATING_STATE_ROLLUP_VSC[MMWR_RATING_STATE_ROLLUP_VSC],0),MATCH(C$9,MMWR_RATING_STATE_ROLLUP_VSC[#Headers],0)),"ERROR"))</f>
        <v>1355</v>
      </c>
      <c r="D22" s="157">
        <f>IF($B22=" ","",IFERROR(INDEX(MMWR_RATING_STATE_ROLLUP_VSC[],MATCH($B22,MMWR_RATING_STATE_ROLLUP_VSC[MMWR_RATING_STATE_ROLLUP_VSC],0),MATCH(D$9,MMWR_RATING_STATE_ROLLUP_VSC[#Headers],0)),"ERROR"))</f>
        <v>102.08044280439999</v>
      </c>
      <c r="E22" s="158">
        <f>IF($B22=" ","",IFERROR(INDEX(MMWR_RATING_STATE_ROLLUP_VSC[],MATCH($B22,MMWR_RATING_STATE_ROLLUP_VSC[MMWR_RATING_STATE_ROLLUP_VSC],0),MATCH(E$9,MMWR_RATING_STATE_ROLLUP_VSC[#Headers],0))/$C22,"ERROR"))</f>
        <v>0.25461254612546125</v>
      </c>
      <c r="F22" s="156">
        <f>IF($B22=" ","",IFERROR(INDEX(MMWR_RATING_STATE_ROLLUP_VSC[],MATCH($B22,MMWR_RATING_STATE_ROLLUP_VSC[MMWR_RATING_STATE_ROLLUP_VSC],0),MATCH(F$9,MMWR_RATING_STATE_ROLLUP_VSC[#Headers],0)),"ERROR"))</f>
        <v>184</v>
      </c>
      <c r="G22" s="156">
        <f>IF($B22=" ","",IFERROR(INDEX(MMWR_RATING_STATE_ROLLUP_VSC[],MATCH($B22,MMWR_RATING_STATE_ROLLUP_VSC[MMWR_RATING_STATE_ROLLUP_VSC],0),MATCH(G$9,MMWR_RATING_STATE_ROLLUP_VSC[#Headers],0)),"ERROR"))</f>
        <v>3301</v>
      </c>
      <c r="H22" s="157">
        <f>IF($B22=" ","",IFERROR(INDEX(MMWR_RATING_STATE_ROLLUP_VSC[],MATCH($B22,MMWR_RATING_STATE_ROLLUP_VSC[MMWR_RATING_STATE_ROLLUP_VSC],0),MATCH(H$9,MMWR_RATING_STATE_ROLLUP_VSC[#Headers],0)),"ERROR"))</f>
        <v>147.78260869569999</v>
      </c>
      <c r="I22" s="157">
        <f>IF($B22=" ","",IFERROR(INDEX(MMWR_RATING_STATE_ROLLUP_VSC[],MATCH($B22,MMWR_RATING_STATE_ROLLUP_VSC[MMWR_RATING_STATE_ROLLUP_VSC],0),MATCH(I$9,MMWR_RATING_STATE_ROLLUP_VSC[#Headers],0)),"ERROR"))</f>
        <v>176.90184792490001</v>
      </c>
      <c r="J22" s="42"/>
      <c r="K22" s="42"/>
      <c r="L22" s="42"/>
      <c r="M22" s="42"/>
      <c r="N22" s="28"/>
    </row>
    <row r="23" spans="1:14" x14ac:dyDescent="0.2">
      <c r="A23" s="25"/>
      <c r="B23" s="8" t="str">
        <f>VLOOKUP($B$15,DISTRICT_STATES[],9,0)</f>
        <v>New Jersey</v>
      </c>
      <c r="C23" s="156">
        <f>IF($B23=" ","",IFERROR(INDEX(MMWR_RATING_STATE_ROLLUP_VSC[],MATCH($B23,MMWR_RATING_STATE_ROLLUP_VSC[MMWR_RATING_STATE_ROLLUP_VSC],0),MATCH(C$9,MMWR_RATING_STATE_ROLLUP_VSC[#Headers],0)),"ERROR"))</f>
        <v>4433</v>
      </c>
      <c r="D23" s="157">
        <f>IF($B23=" ","",IFERROR(INDEX(MMWR_RATING_STATE_ROLLUP_VSC[],MATCH($B23,MMWR_RATING_STATE_ROLLUP_VSC[MMWR_RATING_STATE_ROLLUP_VSC],0),MATCH(D$9,MMWR_RATING_STATE_ROLLUP_VSC[#Headers],0)),"ERROR"))</f>
        <v>121.91021881339999</v>
      </c>
      <c r="E23" s="158">
        <f>IF($B23=" ","",IFERROR(INDEX(MMWR_RATING_STATE_ROLLUP_VSC[],MATCH($B23,MMWR_RATING_STATE_ROLLUP_VSC[MMWR_RATING_STATE_ROLLUP_VSC],0),MATCH(E$9,MMWR_RATING_STATE_ROLLUP_VSC[#Headers],0))/$C23,"ERROR"))</f>
        <v>0.35213173922851343</v>
      </c>
      <c r="F23" s="156">
        <f>IF($B23=" ","",IFERROR(INDEX(MMWR_RATING_STATE_ROLLUP_VSC[],MATCH($B23,MMWR_RATING_STATE_ROLLUP_VSC[MMWR_RATING_STATE_ROLLUP_VSC],0),MATCH(F$9,MMWR_RATING_STATE_ROLLUP_VSC[#Headers],0)),"ERROR"))</f>
        <v>622</v>
      </c>
      <c r="G23" s="156">
        <f>IF($B23=" ","",IFERROR(INDEX(MMWR_RATING_STATE_ROLLUP_VSC[],MATCH($B23,MMWR_RATING_STATE_ROLLUP_VSC[MMWR_RATING_STATE_ROLLUP_VSC],0),MATCH(G$9,MMWR_RATING_STATE_ROLLUP_VSC[#Headers],0)),"ERROR"))</f>
        <v>10964</v>
      </c>
      <c r="H23" s="157">
        <f>IF($B23=" ","",IFERROR(INDEX(MMWR_RATING_STATE_ROLLUP_VSC[],MATCH($B23,MMWR_RATING_STATE_ROLLUP_VSC[MMWR_RATING_STATE_ROLLUP_VSC],0),MATCH(H$9,MMWR_RATING_STATE_ROLLUP_VSC[#Headers],0)),"ERROR"))</f>
        <v>170.2636655949</v>
      </c>
      <c r="I23" s="157">
        <f>IF($B23=" ","",IFERROR(INDEX(MMWR_RATING_STATE_ROLLUP_VSC[],MATCH($B23,MMWR_RATING_STATE_ROLLUP_VSC[MMWR_RATING_STATE_ROLLUP_VSC],0),MATCH(I$9,MMWR_RATING_STATE_ROLLUP_VSC[#Headers],0)),"ERROR"))</f>
        <v>194.36227654140001</v>
      </c>
      <c r="J23" s="42"/>
      <c r="K23" s="42"/>
      <c r="L23" s="42"/>
      <c r="M23" s="42"/>
      <c r="N23" s="28"/>
    </row>
    <row r="24" spans="1:14" x14ac:dyDescent="0.2">
      <c r="A24" s="25"/>
      <c r="B24" s="8" t="str">
        <f>VLOOKUP($B$15,DISTRICT_STATES[],10,0)</f>
        <v>New York</v>
      </c>
      <c r="C24" s="156">
        <f>IF($B24=" ","",IFERROR(INDEX(MMWR_RATING_STATE_ROLLUP_VSC[],MATCH($B24,MMWR_RATING_STATE_ROLLUP_VSC[MMWR_RATING_STATE_ROLLUP_VSC],0),MATCH(C$9,MMWR_RATING_STATE_ROLLUP_VSC[#Headers],0)),"ERROR"))</f>
        <v>9877</v>
      </c>
      <c r="D24" s="157">
        <f>IF($B24=" ","",IFERROR(INDEX(MMWR_RATING_STATE_ROLLUP_VSC[],MATCH($B24,MMWR_RATING_STATE_ROLLUP_VSC[MMWR_RATING_STATE_ROLLUP_VSC],0),MATCH(D$9,MMWR_RATING_STATE_ROLLUP_VSC[#Headers],0)),"ERROR"))</f>
        <v>121.7850561912</v>
      </c>
      <c r="E24" s="158">
        <f>IF($B24=" ","",IFERROR(INDEX(MMWR_RATING_STATE_ROLLUP_VSC[],MATCH($B24,MMWR_RATING_STATE_ROLLUP_VSC[MMWR_RATING_STATE_ROLLUP_VSC],0),MATCH(E$9,MMWR_RATING_STATE_ROLLUP_VSC[#Headers],0))/$C24,"ERROR"))</f>
        <v>0.33613445378151263</v>
      </c>
      <c r="F24" s="156">
        <f>IF($B24=" ","",IFERROR(INDEX(MMWR_RATING_STATE_ROLLUP_VSC[],MATCH($B24,MMWR_RATING_STATE_ROLLUP_VSC[MMWR_RATING_STATE_ROLLUP_VSC],0),MATCH(F$9,MMWR_RATING_STATE_ROLLUP_VSC[#Headers],0)),"ERROR"))</f>
        <v>1437</v>
      </c>
      <c r="G24" s="156">
        <f>IF($B24=" ","",IFERROR(INDEX(MMWR_RATING_STATE_ROLLUP_VSC[],MATCH($B24,MMWR_RATING_STATE_ROLLUP_VSC[MMWR_RATING_STATE_ROLLUP_VSC],0),MATCH(G$9,MMWR_RATING_STATE_ROLLUP_VSC[#Headers],0)),"ERROR"))</f>
        <v>25877</v>
      </c>
      <c r="H24" s="157">
        <f>IF($B24=" ","",IFERROR(INDEX(MMWR_RATING_STATE_ROLLUP_VSC[],MATCH($B24,MMWR_RATING_STATE_ROLLUP_VSC[MMWR_RATING_STATE_ROLLUP_VSC],0),MATCH(H$9,MMWR_RATING_STATE_ROLLUP_VSC[#Headers],0)),"ERROR"))</f>
        <v>183.70146137789999</v>
      </c>
      <c r="I24" s="157">
        <f>IF($B24=" ","",IFERROR(INDEX(MMWR_RATING_STATE_ROLLUP_VSC[],MATCH($B24,MMWR_RATING_STATE_ROLLUP_VSC[MMWR_RATING_STATE_ROLLUP_VSC],0),MATCH(I$9,MMWR_RATING_STATE_ROLLUP_VSC[#Headers],0)),"ERROR"))</f>
        <v>202.0425087916</v>
      </c>
      <c r="J24" s="42"/>
      <c r="K24" s="42"/>
      <c r="L24" s="42"/>
      <c r="M24" s="42"/>
      <c r="N24" s="28"/>
    </row>
    <row r="25" spans="1:14" x14ac:dyDescent="0.2">
      <c r="A25" s="25"/>
      <c r="B25" s="8" t="str">
        <f>VLOOKUP($B$15,DISTRICT_STATES[],11,0)</f>
        <v>North Carolina</v>
      </c>
      <c r="C25" s="156">
        <f>IF($B25=" ","",IFERROR(INDEX(MMWR_RATING_STATE_ROLLUP_VSC[],MATCH($B25,MMWR_RATING_STATE_ROLLUP_VSC[MMWR_RATING_STATE_ROLLUP_VSC],0),MATCH(C$9,MMWR_RATING_STATE_ROLLUP_VSC[#Headers],0)),"ERROR"))</f>
        <v>17885</v>
      </c>
      <c r="D25" s="157">
        <f>IF($B25=" ","",IFERROR(INDEX(MMWR_RATING_STATE_ROLLUP_VSC[],MATCH($B25,MMWR_RATING_STATE_ROLLUP_VSC[MMWR_RATING_STATE_ROLLUP_VSC],0),MATCH(D$9,MMWR_RATING_STATE_ROLLUP_VSC[#Headers],0)),"ERROR"))</f>
        <v>128.67089740009999</v>
      </c>
      <c r="E25" s="158">
        <f>IF($B25=" ","",IFERROR(INDEX(MMWR_RATING_STATE_ROLLUP_VSC[],MATCH($B25,MMWR_RATING_STATE_ROLLUP_VSC[MMWR_RATING_STATE_ROLLUP_VSC],0),MATCH(E$9,MMWR_RATING_STATE_ROLLUP_VSC[#Headers],0))/$C25,"ERROR"))</f>
        <v>0.36259435280961699</v>
      </c>
      <c r="F25" s="156">
        <f>IF($B25=" ","",IFERROR(INDEX(MMWR_RATING_STATE_ROLLUP_VSC[],MATCH($B25,MMWR_RATING_STATE_ROLLUP_VSC[MMWR_RATING_STATE_ROLLUP_VSC],0),MATCH(F$9,MMWR_RATING_STATE_ROLLUP_VSC[#Headers],0)),"ERROR"))</f>
        <v>2647</v>
      </c>
      <c r="G25" s="156">
        <f>IF($B25=" ","",IFERROR(INDEX(MMWR_RATING_STATE_ROLLUP_VSC[],MATCH($B25,MMWR_RATING_STATE_ROLLUP_VSC[MMWR_RATING_STATE_ROLLUP_VSC],0),MATCH(G$9,MMWR_RATING_STATE_ROLLUP_VSC[#Headers],0)),"ERROR"))</f>
        <v>47428</v>
      </c>
      <c r="H25" s="157">
        <f>IF($B25=" ","",IFERROR(INDEX(MMWR_RATING_STATE_ROLLUP_VSC[],MATCH($B25,MMWR_RATING_STATE_ROLLUP_VSC[MMWR_RATING_STATE_ROLLUP_VSC],0),MATCH(H$9,MMWR_RATING_STATE_ROLLUP_VSC[#Headers],0)),"ERROR"))</f>
        <v>173.8458632414</v>
      </c>
      <c r="I25" s="157">
        <f>IF($B25=" ","",IFERROR(INDEX(MMWR_RATING_STATE_ROLLUP_VSC[],MATCH($B25,MMWR_RATING_STATE_ROLLUP_VSC[MMWR_RATING_STATE_ROLLUP_VSC],0),MATCH(I$9,MMWR_RATING_STATE_ROLLUP_VSC[#Headers],0)),"ERROR"))</f>
        <v>199.73193050520001</v>
      </c>
      <c r="J25" s="42"/>
      <c r="K25" s="42"/>
      <c r="L25" s="42"/>
      <c r="M25" s="42"/>
      <c r="N25" s="28"/>
    </row>
    <row r="26" spans="1:14" x14ac:dyDescent="0.2">
      <c r="A26" s="25"/>
      <c r="B26" s="8" t="str">
        <f>VLOOKUP($B$15,DISTRICT_STATES[],12,0)</f>
        <v>Pennsylvania</v>
      </c>
      <c r="C26" s="156">
        <f>IF($B26=" ","",IFERROR(INDEX(MMWR_RATING_STATE_ROLLUP_VSC[],MATCH($B26,MMWR_RATING_STATE_ROLLUP_VSC[MMWR_RATING_STATE_ROLLUP_VSC],0),MATCH(C$9,MMWR_RATING_STATE_ROLLUP_VSC[#Headers],0)),"ERROR"))</f>
        <v>9526</v>
      </c>
      <c r="D26" s="157">
        <f>IF($B26=" ","",IFERROR(INDEX(MMWR_RATING_STATE_ROLLUP_VSC[],MATCH($B26,MMWR_RATING_STATE_ROLLUP_VSC[MMWR_RATING_STATE_ROLLUP_VSC],0),MATCH(D$9,MMWR_RATING_STATE_ROLLUP_VSC[#Headers],0)),"ERROR"))</f>
        <v>129.25288683599999</v>
      </c>
      <c r="E26" s="158">
        <f>IF($B26=" ","",IFERROR(INDEX(MMWR_RATING_STATE_ROLLUP_VSC[],MATCH($B26,MMWR_RATING_STATE_ROLLUP_VSC[MMWR_RATING_STATE_ROLLUP_VSC],0),MATCH(E$9,MMWR_RATING_STATE_ROLLUP_VSC[#Headers],0))/$C26,"ERROR"))</f>
        <v>0.35366365735880745</v>
      </c>
      <c r="F26" s="156">
        <f>IF($B26=" ","",IFERROR(INDEX(MMWR_RATING_STATE_ROLLUP_VSC[],MATCH($B26,MMWR_RATING_STATE_ROLLUP_VSC[MMWR_RATING_STATE_ROLLUP_VSC],0),MATCH(F$9,MMWR_RATING_STATE_ROLLUP_VSC[#Headers],0)),"ERROR"))</f>
        <v>1321</v>
      </c>
      <c r="G26" s="156">
        <f>IF($B26=" ","",IFERROR(INDEX(MMWR_RATING_STATE_ROLLUP_VSC[],MATCH($B26,MMWR_RATING_STATE_ROLLUP_VSC[MMWR_RATING_STATE_ROLLUP_VSC],0),MATCH(G$9,MMWR_RATING_STATE_ROLLUP_VSC[#Headers],0)),"ERROR"))</f>
        <v>27243</v>
      </c>
      <c r="H26" s="157">
        <f>IF($B26=" ","",IFERROR(INDEX(MMWR_RATING_STATE_ROLLUP_VSC[],MATCH($B26,MMWR_RATING_STATE_ROLLUP_VSC[MMWR_RATING_STATE_ROLLUP_VSC],0),MATCH(H$9,MMWR_RATING_STATE_ROLLUP_VSC[#Headers],0)),"ERROR"))</f>
        <v>173.96669190009999</v>
      </c>
      <c r="I26" s="157">
        <f>IF($B26=" ","",IFERROR(INDEX(MMWR_RATING_STATE_ROLLUP_VSC[],MATCH($B26,MMWR_RATING_STATE_ROLLUP_VSC[MMWR_RATING_STATE_ROLLUP_VSC],0),MATCH(I$9,MMWR_RATING_STATE_ROLLUP_VSC[#Headers],0)),"ERROR"))</f>
        <v>215.28238446570001</v>
      </c>
      <c r="J26" s="42"/>
      <c r="K26" s="42"/>
      <c r="L26" s="42"/>
      <c r="M26" s="42"/>
      <c r="N26" s="28"/>
    </row>
    <row r="27" spans="1:14" x14ac:dyDescent="0.2">
      <c r="A27" s="25"/>
      <c r="B27" s="8" t="str">
        <f>VLOOKUP($B$15,DISTRICT_STATES[],13,0)</f>
        <v>Rhode Island</v>
      </c>
      <c r="C27" s="156">
        <f>IF($B27=" ","",IFERROR(INDEX(MMWR_RATING_STATE_ROLLUP_VSC[],MATCH($B27,MMWR_RATING_STATE_ROLLUP_VSC[MMWR_RATING_STATE_ROLLUP_VSC],0),MATCH(C$9,MMWR_RATING_STATE_ROLLUP_VSC[#Headers],0)),"ERROR"))</f>
        <v>908</v>
      </c>
      <c r="D27" s="157">
        <f>IF($B27=" ","",IFERROR(INDEX(MMWR_RATING_STATE_ROLLUP_VSC[],MATCH($B27,MMWR_RATING_STATE_ROLLUP_VSC[MMWR_RATING_STATE_ROLLUP_VSC],0),MATCH(D$9,MMWR_RATING_STATE_ROLLUP_VSC[#Headers],0)),"ERROR"))</f>
        <v>96.2588105727</v>
      </c>
      <c r="E27" s="158">
        <f>IF($B27=" ","",IFERROR(INDEX(MMWR_RATING_STATE_ROLLUP_VSC[],MATCH($B27,MMWR_RATING_STATE_ROLLUP_VSC[MMWR_RATING_STATE_ROLLUP_VSC],0),MATCH(E$9,MMWR_RATING_STATE_ROLLUP_VSC[#Headers],0))/$C27,"ERROR"))</f>
        <v>0.24229074889867841</v>
      </c>
      <c r="F27" s="156">
        <f>IF($B27=" ","",IFERROR(INDEX(MMWR_RATING_STATE_ROLLUP_VSC[],MATCH($B27,MMWR_RATING_STATE_ROLLUP_VSC[MMWR_RATING_STATE_ROLLUP_VSC],0),MATCH(F$9,MMWR_RATING_STATE_ROLLUP_VSC[#Headers],0)),"ERROR"))</f>
        <v>140</v>
      </c>
      <c r="G27" s="156">
        <f>IF($B27=" ","",IFERROR(INDEX(MMWR_RATING_STATE_ROLLUP_VSC[],MATCH($B27,MMWR_RATING_STATE_ROLLUP_VSC[MMWR_RATING_STATE_ROLLUP_VSC],0),MATCH(G$9,MMWR_RATING_STATE_ROLLUP_VSC[#Headers],0)),"ERROR"))</f>
        <v>2508</v>
      </c>
      <c r="H27" s="157">
        <f>IF($B27=" ","",IFERROR(INDEX(MMWR_RATING_STATE_ROLLUP_VSC[],MATCH($B27,MMWR_RATING_STATE_ROLLUP_VSC[MMWR_RATING_STATE_ROLLUP_VSC],0),MATCH(H$9,MMWR_RATING_STATE_ROLLUP_VSC[#Headers],0)),"ERROR"))</f>
        <v>113.08571428570001</v>
      </c>
      <c r="I27" s="157">
        <f>IF($B27=" ","",IFERROR(INDEX(MMWR_RATING_STATE_ROLLUP_VSC[],MATCH($B27,MMWR_RATING_STATE_ROLLUP_VSC[MMWR_RATING_STATE_ROLLUP_VSC],0),MATCH(I$9,MMWR_RATING_STATE_ROLLUP_VSC[#Headers],0)),"ERROR"))</f>
        <v>115.7970494418</v>
      </c>
      <c r="J27" s="42"/>
      <c r="K27" s="42"/>
      <c r="L27" s="42"/>
      <c r="M27" s="42"/>
      <c r="N27" s="28"/>
    </row>
    <row r="28" spans="1:14" x14ac:dyDescent="0.2">
      <c r="A28" s="25"/>
      <c r="B28" s="8" t="str">
        <f>VLOOKUP($B$15,DISTRICT_STATES[],14,0)</f>
        <v>Vermont</v>
      </c>
      <c r="C28" s="156">
        <f>IF($B28=" ","",IFERROR(INDEX(MMWR_RATING_STATE_ROLLUP_VSC[],MATCH($B28,MMWR_RATING_STATE_ROLLUP_VSC[MMWR_RATING_STATE_ROLLUP_VSC],0),MATCH(C$9,MMWR_RATING_STATE_ROLLUP_VSC[#Headers],0)),"ERROR"))</f>
        <v>445</v>
      </c>
      <c r="D28" s="157">
        <f>IF($B28=" ","",IFERROR(INDEX(MMWR_RATING_STATE_ROLLUP_VSC[],MATCH($B28,MMWR_RATING_STATE_ROLLUP_VSC[MMWR_RATING_STATE_ROLLUP_VSC],0),MATCH(D$9,MMWR_RATING_STATE_ROLLUP_VSC[#Headers],0)),"ERROR"))</f>
        <v>102.0539325843</v>
      </c>
      <c r="E28" s="158">
        <f>IF($B28=" ","",IFERROR(INDEX(MMWR_RATING_STATE_ROLLUP_VSC[],MATCH($B28,MMWR_RATING_STATE_ROLLUP_VSC[MMWR_RATING_STATE_ROLLUP_VSC],0),MATCH(E$9,MMWR_RATING_STATE_ROLLUP_VSC[#Headers],0))/$C28,"ERROR"))</f>
        <v>0.2696629213483146</v>
      </c>
      <c r="F28" s="156">
        <f>IF($B28=" ","",IFERROR(INDEX(MMWR_RATING_STATE_ROLLUP_VSC[],MATCH($B28,MMWR_RATING_STATE_ROLLUP_VSC[MMWR_RATING_STATE_ROLLUP_VSC],0),MATCH(F$9,MMWR_RATING_STATE_ROLLUP_VSC[#Headers],0)),"ERROR"))</f>
        <v>51</v>
      </c>
      <c r="G28" s="156">
        <f>IF($B28=" ","",IFERROR(INDEX(MMWR_RATING_STATE_ROLLUP_VSC[],MATCH($B28,MMWR_RATING_STATE_ROLLUP_VSC[MMWR_RATING_STATE_ROLLUP_VSC],0),MATCH(G$9,MMWR_RATING_STATE_ROLLUP_VSC[#Headers],0)),"ERROR"))</f>
        <v>1235</v>
      </c>
      <c r="H28" s="157">
        <f>IF($B28=" ","",IFERROR(INDEX(MMWR_RATING_STATE_ROLLUP_VSC[],MATCH($B28,MMWR_RATING_STATE_ROLLUP_VSC[MMWR_RATING_STATE_ROLLUP_VSC],0),MATCH(H$9,MMWR_RATING_STATE_ROLLUP_VSC[#Headers],0)),"ERROR"))</f>
        <v>161.07843137250001</v>
      </c>
      <c r="I28" s="157">
        <f>IF($B28=" ","",IFERROR(INDEX(MMWR_RATING_STATE_ROLLUP_VSC[],MATCH($B28,MMWR_RATING_STATE_ROLLUP_VSC[MMWR_RATING_STATE_ROLLUP_VSC],0),MATCH(I$9,MMWR_RATING_STATE_ROLLUP_VSC[#Headers],0)),"ERROR"))</f>
        <v>168.2105263158</v>
      </c>
      <c r="J28" s="42"/>
      <c r="K28" s="42"/>
      <c r="L28" s="42"/>
      <c r="M28" s="42"/>
      <c r="N28" s="28"/>
    </row>
    <row r="29" spans="1:14" x14ac:dyDescent="0.2">
      <c r="A29" s="25"/>
      <c r="B29" s="8" t="str">
        <f>VLOOKUP($B$15,DISTRICT_STATES[],15,0)</f>
        <v>Virginia</v>
      </c>
      <c r="C29" s="156">
        <f>IF($B29=" ","",IFERROR(INDEX(MMWR_RATING_STATE_ROLLUP_VSC[],MATCH($B29,MMWR_RATING_STATE_ROLLUP_VSC[MMWR_RATING_STATE_ROLLUP_VSC],0),MATCH(C$9,MMWR_RATING_STATE_ROLLUP_VSC[#Headers],0)),"ERROR"))</f>
        <v>12118</v>
      </c>
      <c r="D29" s="157">
        <f>IF($B29=" ","",IFERROR(INDEX(MMWR_RATING_STATE_ROLLUP_VSC[],MATCH($B29,MMWR_RATING_STATE_ROLLUP_VSC[MMWR_RATING_STATE_ROLLUP_VSC],0),MATCH(D$9,MMWR_RATING_STATE_ROLLUP_VSC[#Headers],0)),"ERROR"))</f>
        <v>117.164135996</v>
      </c>
      <c r="E29" s="158">
        <f>IF($B29=" ","",IFERROR(INDEX(MMWR_RATING_STATE_ROLLUP_VSC[],MATCH($B29,MMWR_RATING_STATE_ROLLUP_VSC[MMWR_RATING_STATE_ROLLUP_VSC],0),MATCH(E$9,MMWR_RATING_STATE_ROLLUP_VSC[#Headers],0))/$C29,"ERROR"))</f>
        <v>0.32686912031688398</v>
      </c>
      <c r="F29" s="156">
        <f>IF($B29=" ","",IFERROR(INDEX(MMWR_RATING_STATE_ROLLUP_VSC[],MATCH($B29,MMWR_RATING_STATE_ROLLUP_VSC[MMWR_RATING_STATE_ROLLUP_VSC],0),MATCH(F$9,MMWR_RATING_STATE_ROLLUP_VSC[#Headers],0)),"ERROR"))</f>
        <v>1914</v>
      </c>
      <c r="G29" s="156">
        <f>IF($B29=" ","",IFERROR(INDEX(MMWR_RATING_STATE_ROLLUP_VSC[],MATCH($B29,MMWR_RATING_STATE_ROLLUP_VSC[MMWR_RATING_STATE_ROLLUP_VSC],0),MATCH(G$9,MMWR_RATING_STATE_ROLLUP_VSC[#Headers],0)),"ERROR"))</f>
        <v>33176</v>
      </c>
      <c r="H29" s="157">
        <f>IF($B29=" ","",IFERROR(INDEX(MMWR_RATING_STATE_ROLLUP_VSC[],MATCH($B29,MMWR_RATING_STATE_ROLLUP_VSC[MMWR_RATING_STATE_ROLLUP_VSC],0),MATCH(H$9,MMWR_RATING_STATE_ROLLUP_VSC[#Headers],0)),"ERROR"))</f>
        <v>166.57732497390001</v>
      </c>
      <c r="I29" s="157">
        <f>IF($B29=" ","",IFERROR(INDEX(MMWR_RATING_STATE_ROLLUP_VSC[],MATCH($B29,MMWR_RATING_STATE_ROLLUP_VSC[MMWR_RATING_STATE_ROLLUP_VSC],0),MATCH(I$9,MMWR_RATING_STATE_ROLLUP_VSC[#Headers],0)),"ERROR"))</f>
        <v>203.23131179169999</v>
      </c>
      <c r="J29" s="42"/>
      <c r="K29" s="42"/>
      <c r="L29" s="42"/>
      <c r="M29" s="42"/>
      <c r="N29" s="28"/>
    </row>
    <row r="30" spans="1:14" x14ac:dyDescent="0.2">
      <c r="A30" s="25"/>
      <c r="B30" s="8" t="str">
        <f>VLOOKUP($B$15,DISTRICT_STATES[],16,0)</f>
        <v>West Virginia</v>
      </c>
      <c r="C30" s="156">
        <f>IF($B30=" ","",IFERROR(INDEX(MMWR_RATING_STATE_ROLLUP_VSC[],MATCH($B30,MMWR_RATING_STATE_ROLLUP_VSC[MMWR_RATING_STATE_ROLLUP_VSC],0),MATCH(C$9,MMWR_RATING_STATE_ROLLUP_VSC[#Headers],0)),"ERROR"))</f>
        <v>2613</v>
      </c>
      <c r="D30" s="157">
        <f>IF($B30=" ","",IFERROR(INDEX(MMWR_RATING_STATE_ROLLUP_VSC[],MATCH($B30,MMWR_RATING_STATE_ROLLUP_VSC[MMWR_RATING_STATE_ROLLUP_VSC],0),MATCH(D$9,MMWR_RATING_STATE_ROLLUP_VSC[#Headers],0)),"ERROR"))</f>
        <v>99.240719479500001</v>
      </c>
      <c r="E30" s="158">
        <f>IF($B30=" ","",IFERROR(INDEX(MMWR_RATING_STATE_ROLLUP_VSC[],MATCH($B30,MMWR_RATING_STATE_ROLLUP_VSC[MMWR_RATING_STATE_ROLLUP_VSC],0),MATCH(E$9,MMWR_RATING_STATE_ROLLUP_VSC[#Headers],0))/$C30,"ERROR"))</f>
        <v>0.25028702640642941</v>
      </c>
      <c r="F30" s="156">
        <f>IF($B30=" ","",IFERROR(INDEX(MMWR_RATING_STATE_ROLLUP_VSC[],MATCH($B30,MMWR_RATING_STATE_ROLLUP_VSC[MMWR_RATING_STATE_ROLLUP_VSC],0),MATCH(F$9,MMWR_RATING_STATE_ROLLUP_VSC[#Headers],0)),"ERROR"))</f>
        <v>626</v>
      </c>
      <c r="G30" s="156">
        <f>IF($B30=" ","",IFERROR(INDEX(MMWR_RATING_STATE_ROLLUP_VSC[],MATCH($B30,MMWR_RATING_STATE_ROLLUP_VSC[MMWR_RATING_STATE_ROLLUP_VSC],0),MATCH(G$9,MMWR_RATING_STATE_ROLLUP_VSC[#Headers],0)),"ERROR"))</f>
        <v>7630</v>
      </c>
      <c r="H30" s="157">
        <f>IF($B30=" ","",IFERROR(INDEX(MMWR_RATING_STATE_ROLLUP_VSC[],MATCH($B30,MMWR_RATING_STATE_ROLLUP_VSC[MMWR_RATING_STATE_ROLLUP_VSC],0),MATCH(H$9,MMWR_RATING_STATE_ROLLUP_VSC[#Headers],0)),"ERROR"))</f>
        <v>134.78434504789999</v>
      </c>
      <c r="I30" s="157">
        <f>IF($B30=" ","",IFERROR(INDEX(MMWR_RATING_STATE_ROLLUP_VSC[],MATCH($B30,MMWR_RATING_STATE_ROLLUP_VSC[MMWR_RATING_STATE_ROLLUP_VSC],0),MATCH(I$9,MMWR_RATING_STATE_ROLLUP_VSC[#Headers],0)),"ERROR"))</f>
        <v>150.1115334207</v>
      </c>
      <c r="J30" s="42"/>
      <c r="K30" s="42"/>
      <c r="L30" s="42"/>
      <c r="M30" s="42"/>
      <c r="N30" s="28"/>
    </row>
    <row r="31" spans="1:14" x14ac:dyDescent="0.2">
      <c r="A31" s="25"/>
      <c r="B31" s="373" t="s">
        <v>982</v>
      </c>
      <c r="C31" s="374"/>
      <c r="D31" s="374"/>
      <c r="E31" s="374"/>
      <c r="F31" s="374"/>
      <c r="G31" s="374"/>
      <c r="H31" s="374"/>
      <c r="I31" s="374"/>
      <c r="J31" s="374"/>
      <c r="K31" s="374"/>
      <c r="L31" s="374"/>
      <c r="M31" s="386"/>
      <c r="N31" s="28"/>
    </row>
    <row r="32" spans="1:14" x14ac:dyDescent="0.2">
      <c r="A32" s="25"/>
      <c r="B32" s="41" t="s">
        <v>1061</v>
      </c>
      <c r="C32" s="156">
        <f>IF($B32=" ","",IFERROR(INDEX(MMWR_RATING_STATE_ROLLUP_PMC[],MATCH($B32,MMWR_RATING_STATE_ROLLUP_PMC[MMWR_RATING_STATE_ROLLUP_PMC],0),MATCH(C$9,MMWR_RATING_STATE_ROLLUP_PMC[#Headers],0)),"ERROR"))</f>
        <v>18335</v>
      </c>
      <c r="D32" s="157">
        <f>IF($B32=" ","",IFERROR(INDEX(MMWR_RATING_STATE_ROLLUP_PMC[],MATCH($B32,MMWR_RATING_STATE_ROLLUP_PMC[MMWR_RATING_STATE_ROLLUP_PMC],0),MATCH(D$9,MMWR_RATING_STATE_ROLLUP_PMC[#Headers],0)),"ERROR"))</f>
        <v>62.930188164699999</v>
      </c>
      <c r="E32" s="158">
        <f>IF($B32=" ","",IFERROR(INDEX(MMWR_RATING_STATE_ROLLUP_PMC[],MATCH($B32,MMWR_RATING_STATE_ROLLUP_PMC[MMWR_RATING_STATE_ROLLUP_PMC],0),MATCH(E$9,MMWR_RATING_STATE_ROLLUP_PMC[#Headers],0))/$C32,"ERROR"))</f>
        <v>0.10297245704935915</v>
      </c>
      <c r="F32" s="156">
        <f>IF($B32=" ","",IFERROR(INDEX(MMWR_RATING_STATE_ROLLUP_PMC[],MATCH($B32,MMWR_RATING_STATE_ROLLUP_PMC[MMWR_RATING_STATE_ROLLUP_PMC],0),MATCH(F$9,MMWR_RATING_STATE_ROLLUP_PMC[#Headers],0)),"ERROR"))</f>
        <v>6337</v>
      </c>
      <c r="G32" s="156">
        <f>IF($B32=" ","",IFERROR(INDEX(MMWR_RATING_STATE_ROLLUP_PMC[],MATCH($B32,MMWR_RATING_STATE_ROLLUP_PMC[MMWR_RATING_STATE_ROLLUP_PMC],0),MATCH(G$9,MMWR_RATING_STATE_ROLLUP_PMC[#Headers],0)),"ERROR"))</f>
        <v>122040</v>
      </c>
      <c r="H32" s="157">
        <f>IF($B32=" ","",IFERROR(INDEX(MMWR_RATING_STATE_ROLLUP_PMC[],MATCH($B32,MMWR_RATING_STATE_ROLLUP_PMC[MMWR_RATING_STATE_ROLLUP_PMC],0),MATCH(H$9,MMWR_RATING_STATE_ROLLUP_PMC[#Headers],0)),"ERROR"))</f>
        <v>66.252011993099998</v>
      </c>
      <c r="I32" s="157">
        <f>IF($B32=" ","",IFERROR(INDEX(MMWR_RATING_STATE_ROLLUP_PMC[],MATCH($B32,MMWR_RATING_STATE_ROLLUP_PMC[MMWR_RATING_STATE_ROLLUP_PMC],0),MATCH(I$9,MMWR_RATING_STATE_ROLLUP_PMC[#Headers],0)),"ERROR"))</f>
        <v>64.531202884300001</v>
      </c>
      <c r="J32" s="42"/>
      <c r="K32" s="42"/>
      <c r="L32" s="42"/>
      <c r="M32" s="42"/>
      <c r="N32" s="28"/>
    </row>
    <row r="33" spans="1:14" x14ac:dyDescent="0.2">
      <c r="A33" s="25"/>
      <c r="B33" s="252" t="str">
        <f>INDEX(DISTRICT_STATES[],MATCH($B$5,DISTRICT_RO[District],0),1)</f>
        <v>North Atlantic</v>
      </c>
      <c r="C33" s="156">
        <f>IF($B33=" ","",IFERROR(INDEX(MMWR_RATING_STATE_ROLLUP_PMC[],MATCH($B33,MMWR_RATING_STATE_ROLLUP_PMC[MMWR_RATING_STATE_ROLLUP_PMC],0),MATCH(C$9,MMWR_RATING_STATE_ROLLUP_PMC[#Headers],0)),"ERROR"))</f>
        <v>3255</v>
      </c>
      <c r="D33" s="157">
        <f>IF($B33=" ","",IFERROR(INDEX(MMWR_RATING_STATE_ROLLUP_PMC[],MATCH($B33,MMWR_RATING_STATE_ROLLUP_PMC[MMWR_RATING_STATE_ROLLUP_PMC],0),MATCH(D$9,MMWR_RATING_STATE_ROLLUP_PMC[#Headers],0)),"ERROR"))</f>
        <v>72.6043010753</v>
      </c>
      <c r="E33" s="158">
        <f>IF($B33=" ","",IFERROR(INDEX(MMWR_RATING_STATE_ROLLUP_PMC[],MATCH($B33,MMWR_RATING_STATE_ROLLUP_PMC[MMWR_RATING_STATE_ROLLUP_PMC],0),MATCH(E$9,MMWR_RATING_STATE_ROLLUP_PMC[#Headers],0))/$C33,"ERROR"))</f>
        <v>0.1425499231950845</v>
      </c>
      <c r="F33" s="156">
        <f>IF($B33=" ","",IFERROR(INDEX(MMWR_RATING_STATE_ROLLUP_PMC[],MATCH($B33,MMWR_RATING_STATE_ROLLUP_PMC[MMWR_RATING_STATE_ROLLUP_PMC],0),MATCH(F$9,MMWR_RATING_STATE_ROLLUP_PMC[#Headers],0)),"ERROR"))</f>
        <v>1334</v>
      </c>
      <c r="G33" s="156">
        <f>IF($B33=" ","",IFERROR(INDEX(MMWR_RATING_STATE_ROLLUP_PMC[],MATCH($B33,MMWR_RATING_STATE_ROLLUP_PMC[MMWR_RATING_STATE_ROLLUP_PMC],0),MATCH(G$9,MMWR_RATING_STATE_ROLLUP_PMC[#Headers],0)),"ERROR"))</f>
        <v>23688</v>
      </c>
      <c r="H33" s="157">
        <f>IF($B33=" ","",IFERROR(INDEX(MMWR_RATING_STATE_ROLLUP_PMC[],MATCH($B33,MMWR_RATING_STATE_ROLLUP_PMC[MMWR_RATING_STATE_ROLLUP_PMC],0),MATCH(H$9,MMWR_RATING_STATE_ROLLUP_PMC[#Headers],0)),"ERROR"))</f>
        <v>76.790854572699999</v>
      </c>
      <c r="I33" s="157">
        <f>IF($B33=" ","",IFERROR(INDEX(MMWR_RATING_STATE_ROLLUP_PMC[],MATCH($B33,MMWR_RATING_STATE_ROLLUP_PMC[MMWR_RATING_STATE_ROLLUP_PMC],0),MATCH(I$9,MMWR_RATING_STATE_ROLLUP_PMC[#Headers],0)),"ERROR"))</f>
        <v>74.794495103000003</v>
      </c>
      <c r="J33" s="42"/>
      <c r="K33" s="42"/>
      <c r="L33" s="42"/>
      <c r="M33" s="42"/>
      <c r="N33" s="28"/>
    </row>
    <row r="34" spans="1:14" x14ac:dyDescent="0.2">
      <c r="A34" s="25"/>
      <c r="B34" s="8" t="str">
        <f>VLOOKUP($B$15,DISTRICT_STATES[],2,0)</f>
        <v>Connecticut</v>
      </c>
      <c r="C34" s="156">
        <f>IF($B34=" ","",IFERROR(INDEX(MMWR_RATING_STATE_ROLLUP_PMC[],MATCH($B34,MMWR_RATING_STATE_ROLLUP_PMC[MMWR_RATING_STATE_ROLLUP_PMC],0),MATCH(C$9,MMWR_RATING_STATE_ROLLUP_PMC[#Headers],0)),"ERROR"))</f>
        <v>91</v>
      </c>
      <c r="D34" s="157">
        <f>IF($B34=" ","",IFERROR(INDEX(MMWR_RATING_STATE_ROLLUP_PMC[],MATCH($B34,MMWR_RATING_STATE_ROLLUP_PMC[MMWR_RATING_STATE_ROLLUP_PMC],0),MATCH(D$9,MMWR_RATING_STATE_ROLLUP_PMC[#Headers],0)),"ERROR"))</f>
        <v>80.318681318700001</v>
      </c>
      <c r="E34" s="158">
        <f>IF($B34=" ","",IFERROR(INDEX(MMWR_RATING_STATE_ROLLUP_PMC[],MATCH($B34,MMWR_RATING_STATE_ROLLUP_PMC[MMWR_RATING_STATE_ROLLUP_PMC],0),MATCH(E$9,MMWR_RATING_STATE_ROLLUP_PMC[#Headers],0))/$C34,"ERROR"))</f>
        <v>0.18681318681318682</v>
      </c>
      <c r="F34" s="156">
        <f>IF($B34=" ","",IFERROR(INDEX(MMWR_RATING_STATE_ROLLUP_PMC[],MATCH($B34,MMWR_RATING_STATE_ROLLUP_PMC[MMWR_RATING_STATE_ROLLUP_PMC],0),MATCH(F$9,MMWR_RATING_STATE_ROLLUP_PMC[#Headers],0)),"ERROR"))</f>
        <v>44</v>
      </c>
      <c r="G34" s="156">
        <f>IF($B34=" ","",IFERROR(INDEX(MMWR_RATING_STATE_ROLLUP_PMC[],MATCH($B34,MMWR_RATING_STATE_ROLLUP_PMC[MMWR_RATING_STATE_ROLLUP_PMC],0),MATCH(G$9,MMWR_RATING_STATE_ROLLUP_PMC[#Headers],0)),"ERROR"))</f>
        <v>721</v>
      </c>
      <c r="H34" s="157">
        <f>IF($B34=" ","",IFERROR(INDEX(MMWR_RATING_STATE_ROLLUP_PMC[],MATCH($B34,MMWR_RATING_STATE_ROLLUP_PMC[MMWR_RATING_STATE_ROLLUP_PMC],0),MATCH(H$9,MMWR_RATING_STATE_ROLLUP_PMC[#Headers],0)),"ERROR"))</f>
        <v>86.409090909100001</v>
      </c>
      <c r="I34" s="157">
        <f>IF($B34=" ","",IFERROR(INDEX(MMWR_RATING_STATE_ROLLUP_PMC[],MATCH($B34,MMWR_RATING_STATE_ROLLUP_PMC[MMWR_RATING_STATE_ROLLUP_PMC],0),MATCH(I$9,MMWR_RATING_STATE_ROLLUP_PMC[#Headers],0)),"ERROR"))</f>
        <v>75.220527045799997</v>
      </c>
      <c r="J34" s="42"/>
      <c r="K34" s="42"/>
      <c r="L34" s="42"/>
      <c r="M34" s="42"/>
      <c r="N34" s="28"/>
    </row>
    <row r="35" spans="1:14" x14ac:dyDescent="0.2">
      <c r="A35" s="25"/>
      <c r="B35" s="8" t="str">
        <f>VLOOKUP($B$15,DISTRICT_STATES[],3,0)</f>
        <v>Delaware</v>
      </c>
      <c r="C35" s="156">
        <f>IF($B35=" ","",IFERROR(INDEX(MMWR_RATING_STATE_ROLLUP_PMC[],MATCH($B35,MMWR_RATING_STATE_ROLLUP_PMC[MMWR_RATING_STATE_ROLLUP_PMC],0),MATCH(C$9,MMWR_RATING_STATE_ROLLUP_PMC[#Headers],0)),"ERROR"))</f>
        <v>28</v>
      </c>
      <c r="D35" s="157">
        <f>IF($B35=" ","",IFERROR(INDEX(MMWR_RATING_STATE_ROLLUP_PMC[],MATCH($B35,MMWR_RATING_STATE_ROLLUP_PMC[MMWR_RATING_STATE_ROLLUP_PMC],0),MATCH(D$9,MMWR_RATING_STATE_ROLLUP_PMC[#Headers],0)),"ERROR"))</f>
        <v>99.285714285699996</v>
      </c>
      <c r="E35" s="158">
        <f>IF($B35=" ","",IFERROR(INDEX(MMWR_RATING_STATE_ROLLUP_PMC[],MATCH($B35,MMWR_RATING_STATE_ROLLUP_PMC[MMWR_RATING_STATE_ROLLUP_PMC],0),MATCH(E$9,MMWR_RATING_STATE_ROLLUP_PMC[#Headers],0))/$C35,"ERROR"))</f>
        <v>0.17857142857142858</v>
      </c>
      <c r="F35" s="156">
        <f>IF($B35=" ","",IFERROR(INDEX(MMWR_RATING_STATE_ROLLUP_PMC[],MATCH($B35,MMWR_RATING_STATE_ROLLUP_PMC[MMWR_RATING_STATE_ROLLUP_PMC],0),MATCH(F$9,MMWR_RATING_STATE_ROLLUP_PMC[#Headers],0)),"ERROR"))</f>
        <v>15</v>
      </c>
      <c r="G35" s="156">
        <f>IF($B35=" ","",IFERROR(INDEX(MMWR_RATING_STATE_ROLLUP_PMC[],MATCH($B35,MMWR_RATING_STATE_ROLLUP_PMC[MMWR_RATING_STATE_ROLLUP_PMC],0),MATCH(G$9,MMWR_RATING_STATE_ROLLUP_PMC[#Headers],0)),"ERROR"))</f>
        <v>258</v>
      </c>
      <c r="H35" s="157">
        <f>IF($B35=" ","",IFERROR(INDEX(MMWR_RATING_STATE_ROLLUP_PMC[],MATCH($B35,MMWR_RATING_STATE_ROLLUP_PMC[MMWR_RATING_STATE_ROLLUP_PMC],0),MATCH(H$9,MMWR_RATING_STATE_ROLLUP_PMC[#Headers],0)),"ERROR"))</f>
        <v>57</v>
      </c>
      <c r="I35" s="157">
        <f>IF($B35=" ","",IFERROR(INDEX(MMWR_RATING_STATE_ROLLUP_PMC[],MATCH($B35,MMWR_RATING_STATE_ROLLUP_PMC[MMWR_RATING_STATE_ROLLUP_PMC],0),MATCH(I$9,MMWR_RATING_STATE_ROLLUP_PMC[#Headers],0)),"ERROR"))</f>
        <v>75.193798449599996</v>
      </c>
      <c r="J35" s="42"/>
      <c r="K35" s="42"/>
      <c r="L35" s="42"/>
      <c r="M35" s="42"/>
      <c r="N35" s="28"/>
    </row>
    <row r="36" spans="1:14" x14ac:dyDescent="0.2">
      <c r="A36" s="25"/>
      <c r="B36" s="8" t="str">
        <f>VLOOKUP($B$15,DISTRICT_STATES[],4,0)</f>
        <v>District of Columbia</v>
      </c>
      <c r="C36" s="156">
        <f>IF($B36=" ","",IFERROR(INDEX(MMWR_RATING_STATE_ROLLUP_PMC[],MATCH($B36,MMWR_RATING_STATE_ROLLUP_PMC[MMWR_RATING_STATE_ROLLUP_PMC],0),MATCH(C$9,MMWR_RATING_STATE_ROLLUP_PMC[#Headers],0)),"ERROR"))</f>
        <v>28</v>
      </c>
      <c r="D36" s="157">
        <f>IF($B36=" ","",IFERROR(INDEX(MMWR_RATING_STATE_ROLLUP_PMC[],MATCH($B36,MMWR_RATING_STATE_ROLLUP_PMC[MMWR_RATING_STATE_ROLLUP_PMC],0),MATCH(D$9,MMWR_RATING_STATE_ROLLUP_PMC[#Headers],0)),"ERROR"))</f>
        <v>74.464285714300004</v>
      </c>
      <c r="E36" s="158">
        <f>IF($B36=" ","",IFERROR(INDEX(MMWR_RATING_STATE_ROLLUP_PMC[],MATCH($B36,MMWR_RATING_STATE_ROLLUP_PMC[MMWR_RATING_STATE_ROLLUP_PMC],0),MATCH(E$9,MMWR_RATING_STATE_ROLLUP_PMC[#Headers],0))/$C36,"ERROR"))</f>
        <v>7.1428571428571425E-2</v>
      </c>
      <c r="F36" s="156">
        <f>IF($B36=" ","",IFERROR(INDEX(MMWR_RATING_STATE_ROLLUP_PMC[],MATCH($B36,MMWR_RATING_STATE_ROLLUP_PMC[MMWR_RATING_STATE_ROLLUP_PMC],0),MATCH(F$9,MMWR_RATING_STATE_ROLLUP_PMC[#Headers],0)),"ERROR"))</f>
        <v>12</v>
      </c>
      <c r="G36" s="156">
        <f>IF($B36=" ","",IFERROR(INDEX(MMWR_RATING_STATE_ROLLUP_PMC[],MATCH($B36,MMWR_RATING_STATE_ROLLUP_PMC[MMWR_RATING_STATE_ROLLUP_PMC],0),MATCH(G$9,MMWR_RATING_STATE_ROLLUP_PMC[#Headers],0)),"ERROR"))</f>
        <v>149</v>
      </c>
      <c r="H36" s="157">
        <f>IF($B36=" ","",IFERROR(INDEX(MMWR_RATING_STATE_ROLLUP_PMC[],MATCH($B36,MMWR_RATING_STATE_ROLLUP_PMC[MMWR_RATING_STATE_ROLLUP_PMC],0),MATCH(H$9,MMWR_RATING_STATE_ROLLUP_PMC[#Headers],0)),"ERROR"))</f>
        <v>102.8333333333</v>
      </c>
      <c r="I36" s="157">
        <f>IF($B36=" ","",IFERROR(INDEX(MMWR_RATING_STATE_ROLLUP_PMC[],MATCH($B36,MMWR_RATING_STATE_ROLLUP_PMC[MMWR_RATING_STATE_ROLLUP_PMC],0),MATCH(I$9,MMWR_RATING_STATE_ROLLUP_PMC[#Headers],0)),"ERROR"))</f>
        <v>87.328859060400006</v>
      </c>
      <c r="J36" s="42"/>
      <c r="K36" s="42"/>
      <c r="L36" s="42"/>
      <c r="M36" s="42"/>
      <c r="N36" s="28"/>
    </row>
    <row r="37" spans="1:14" x14ac:dyDescent="0.2">
      <c r="A37" s="25"/>
      <c r="B37" s="8" t="str">
        <f>VLOOKUP($B$15,DISTRICT_STATES[],5,0)</f>
        <v>Maine</v>
      </c>
      <c r="C37" s="156">
        <f>IF($B37=" ","",IFERROR(INDEX(MMWR_RATING_STATE_ROLLUP_PMC[],MATCH($B37,MMWR_RATING_STATE_ROLLUP_PMC[MMWR_RATING_STATE_ROLLUP_PMC],0),MATCH(C$9,MMWR_RATING_STATE_ROLLUP_PMC[#Headers],0)),"ERROR"))</f>
        <v>41</v>
      </c>
      <c r="D37" s="157">
        <f>IF($B37=" ","",IFERROR(INDEX(MMWR_RATING_STATE_ROLLUP_PMC[],MATCH($B37,MMWR_RATING_STATE_ROLLUP_PMC[MMWR_RATING_STATE_ROLLUP_PMC],0),MATCH(D$9,MMWR_RATING_STATE_ROLLUP_PMC[#Headers],0)),"ERROR"))</f>
        <v>58.8292682927</v>
      </c>
      <c r="E37" s="158">
        <f>IF($B37=" ","",IFERROR(INDEX(MMWR_RATING_STATE_ROLLUP_PMC[],MATCH($B37,MMWR_RATING_STATE_ROLLUP_PMC[MMWR_RATING_STATE_ROLLUP_PMC],0),MATCH(E$9,MMWR_RATING_STATE_ROLLUP_PMC[#Headers],0))/$C37,"ERROR"))</f>
        <v>9.7560975609756101E-2</v>
      </c>
      <c r="F37" s="156">
        <f>IF($B37=" ","",IFERROR(INDEX(MMWR_RATING_STATE_ROLLUP_PMC[],MATCH($B37,MMWR_RATING_STATE_ROLLUP_PMC[MMWR_RATING_STATE_ROLLUP_PMC],0),MATCH(F$9,MMWR_RATING_STATE_ROLLUP_PMC[#Headers],0)),"ERROR"))</f>
        <v>25</v>
      </c>
      <c r="G37" s="156">
        <f>IF($B37=" ","",IFERROR(INDEX(MMWR_RATING_STATE_ROLLUP_PMC[],MATCH($B37,MMWR_RATING_STATE_ROLLUP_PMC[MMWR_RATING_STATE_ROLLUP_PMC],0),MATCH(G$9,MMWR_RATING_STATE_ROLLUP_PMC[#Headers],0)),"ERROR"))</f>
        <v>456</v>
      </c>
      <c r="H37" s="157">
        <f>IF($B37=" ","",IFERROR(INDEX(MMWR_RATING_STATE_ROLLUP_PMC[],MATCH($B37,MMWR_RATING_STATE_ROLLUP_PMC[MMWR_RATING_STATE_ROLLUP_PMC],0),MATCH(H$9,MMWR_RATING_STATE_ROLLUP_PMC[#Headers],0)),"ERROR"))</f>
        <v>72.28</v>
      </c>
      <c r="I37" s="157">
        <f>IF($B37=" ","",IFERROR(INDEX(MMWR_RATING_STATE_ROLLUP_PMC[],MATCH($B37,MMWR_RATING_STATE_ROLLUP_PMC[MMWR_RATING_STATE_ROLLUP_PMC],0),MATCH(I$9,MMWR_RATING_STATE_ROLLUP_PMC[#Headers],0)),"ERROR"))</f>
        <v>64.486842105299999</v>
      </c>
      <c r="J37" s="42"/>
      <c r="K37" s="42"/>
      <c r="L37" s="42"/>
      <c r="M37" s="42"/>
      <c r="N37" s="28"/>
    </row>
    <row r="38" spans="1:14" x14ac:dyDescent="0.2">
      <c r="A38" s="25"/>
      <c r="B38" s="8" t="str">
        <f>VLOOKUP($B$15,DISTRICT_STATES[],6,0)</f>
        <v>Maryland</v>
      </c>
      <c r="C38" s="156">
        <f>IF($B38=" ","",IFERROR(INDEX(MMWR_RATING_STATE_ROLLUP_PMC[],MATCH($B38,MMWR_RATING_STATE_ROLLUP_PMC[MMWR_RATING_STATE_ROLLUP_PMC],0),MATCH(C$9,MMWR_RATING_STATE_ROLLUP_PMC[#Headers],0)),"ERROR"))</f>
        <v>218</v>
      </c>
      <c r="D38" s="157">
        <f>IF($B38=" ","",IFERROR(INDEX(MMWR_RATING_STATE_ROLLUP_PMC[],MATCH($B38,MMWR_RATING_STATE_ROLLUP_PMC[MMWR_RATING_STATE_ROLLUP_PMC],0),MATCH(D$9,MMWR_RATING_STATE_ROLLUP_PMC[#Headers],0)),"ERROR"))</f>
        <v>81.064220183499998</v>
      </c>
      <c r="E38" s="158">
        <f>IF($B38=" ","",IFERROR(INDEX(MMWR_RATING_STATE_ROLLUP_PMC[],MATCH($B38,MMWR_RATING_STATE_ROLLUP_PMC[MMWR_RATING_STATE_ROLLUP_PMC],0),MATCH(E$9,MMWR_RATING_STATE_ROLLUP_PMC[#Headers],0))/$C38,"ERROR"))</f>
        <v>0.15596330275229359</v>
      </c>
      <c r="F38" s="156">
        <f>IF($B38=" ","",IFERROR(INDEX(MMWR_RATING_STATE_ROLLUP_PMC[],MATCH($B38,MMWR_RATING_STATE_ROLLUP_PMC[MMWR_RATING_STATE_ROLLUP_PMC],0),MATCH(F$9,MMWR_RATING_STATE_ROLLUP_PMC[#Headers],0)),"ERROR"))</f>
        <v>107</v>
      </c>
      <c r="G38" s="156">
        <f>IF($B38=" ","",IFERROR(INDEX(MMWR_RATING_STATE_ROLLUP_PMC[],MATCH($B38,MMWR_RATING_STATE_ROLLUP_PMC[MMWR_RATING_STATE_ROLLUP_PMC],0),MATCH(G$9,MMWR_RATING_STATE_ROLLUP_PMC[#Headers],0)),"ERROR"))</f>
        <v>1542</v>
      </c>
      <c r="H38" s="157">
        <f>IF($B38=" ","",IFERROR(INDEX(MMWR_RATING_STATE_ROLLUP_PMC[],MATCH($B38,MMWR_RATING_STATE_ROLLUP_PMC[MMWR_RATING_STATE_ROLLUP_PMC],0),MATCH(H$9,MMWR_RATING_STATE_ROLLUP_PMC[#Headers],0)),"ERROR"))</f>
        <v>93.317757009299996</v>
      </c>
      <c r="I38" s="157">
        <f>IF($B38=" ","",IFERROR(INDEX(MMWR_RATING_STATE_ROLLUP_PMC[],MATCH($B38,MMWR_RATING_STATE_ROLLUP_PMC[MMWR_RATING_STATE_ROLLUP_PMC],0),MATCH(I$9,MMWR_RATING_STATE_ROLLUP_PMC[#Headers],0)),"ERROR"))</f>
        <v>86.5713359274</v>
      </c>
      <c r="J38" s="42"/>
      <c r="K38" s="42"/>
      <c r="L38" s="42"/>
      <c r="M38" s="42"/>
      <c r="N38" s="28"/>
    </row>
    <row r="39" spans="1:14" x14ac:dyDescent="0.2">
      <c r="A39" s="25"/>
      <c r="B39" s="8" t="str">
        <f>VLOOKUP($B$15,DISTRICT_STATES[],7,0)</f>
        <v>Massachusetts</v>
      </c>
      <c r="C39" s="156">
        <f>IF($B39=" ","",IFERROR(INDEX(MMWR_RATING_STATE_ROLLUP_PMC[],MATCH($B39,MMWR_RATING_STATE_ROLLUP_PMC[MMWR_RATING_STATE_ROLLUP_PMC],0),MATCH(C$9,MMWR_RATING_STATE_ROLLUP_PMC[#Headers],0)),"ERROR"))</f>
        <v>173</v>
      </c>
      <c r="D39" s="157">
        <f>IF($B39=" ","",IFERROR(INDEX(MMWR_RATING_STATE_ROLLUP_PMC[],MATCH($B39,MMWR_RATING_STATE_ROLLUP_PMC[MMWR_RATING_STATE_ROLLUP_PMC],0),MATCH(D$9,MMWR_RATING_STATE_ROLLUP_PMC[#Headers],0)),"ERROR"))</f>
        <v>73.924855491299994</v>
      </c>
      <c r="E39" s="158">
        <f>IF($B39=" ","",IFERROR(INDEX(MMWR_RATING_STATE_ROLLUP_PMC[],MATCH($B39,MMWR_RATING_STATE_ROLLUP_PMC[MMWR_RATING_STATE_ROLLUP_PMC],0),MATCH(E$9,MMWR_RATING_STATE_ROLLUP_PMC[#Headers],0))/$C39,"ERROR"))</f>
        <v>0.12716763005780346</v>
      </c>
      <c r="F39" s="156">
        <f>IF($B39=" ","",IFERROR(INDEX(MMWR_RATING_STATE_ROLLUP_PMC[],MATCH($B39,MMWR_RATING_STATE_ROLLUP_PMC[MMWR_RATING_STATE_ROLLUP_PMC],0),MATCH(F$9,MMWR_RATING_STATE_ROLLUP_PMC[#Headers],0)),"ERROR"))</f>
        <v>64</v>
      </c>
      <c r="G39" s="156">
        <f>IF($B39=" ","",IFERROR(INDEX(MMWR_RATING_STATE_ROLLUP_PMC[],MATCH($B39,MMWR_RATING_STATE_ROLLUP_PMC[MMWR_RATING_STATE_ROLLUP_PMC],0),MATCH(G$9,MMWR_RATING_STATE_ROLLUP_PMC[#Headers],0)),"ERROR"))</f>
        <v>1348</v>
      </c>
      <c r="H39" s="157">
        <f>IF($B39=" ","",IFERROR(INDEX(MMWR_RATING_STATE_ROLLUP_PMC[],MATCH($B39,MMWR_RATING_STATE_ROLLUP_PMC[MMWR_RATING_STATE_ROLLUP_PMC],0),MATCH(H$9,MMWR_RATING_STATE_ROLLUP_PMC[#Headers],0)),"ERROR"))</f>
        <v>78.65625</v>
      </c>
      <c r="I39" s="157">
        <f>IF($B39=" ","",IFERROR(INDEX(MMWR_RATING_STATE_ROLLUP_PMC[],MATCH($B39,MMWR_RATING_STATE_ROLLUP_PMC[MMWR_RATING_STATE_ROLLUP_PMC],0),MATCH(I$9,MMWR_RATING_STATE_ROLLUP_PMC[#Headers],0)),"ERROR"))</f>
        <v>70.236646884300001</v>
      </c>
      <c r="J39" s="42"/>
      <c r="K39" s="42"/>
      <c r="L39" s="42"/>
      <c r="M39" s="42"/>
      <c r="N39" s="28"/>
    </row>
    <row r="40" spans="1:14" x14ac:dyDescent="0.2">
      <c r="A40" s="25"/>
      <c r="B40" s="8" t="str">
        <f>VLOOKUP($B$15,DISTRICT_STATES[],8,0)</f>
        <v>New Hampshire</v>
      </c>
      <c r="C40" s="156">
        <f>IF($B40=" ","",IFERROR(INDEX(MMWR_RATING_STATE_ROLLUP_PMC[],MATCH($B40,MMWR_RATING_STATE_ROLLUP_PMC[MMWR_RATING_STATE_ROLLUP_PMC],0),MATCH(C$9,MMWR_RATING_STATE_ROLLUP_PMC[#Headers],0)),"ERROR"))</f>
        <v>56</v>
      </c>
      <c r="D40" s="157">
        <f>IF($B40=" ","",IFERROR(INDEX(MMWR_RATING_STATE_ROLLUP_PMC[],MATCH($B40,MMWR_RATING_STATE_ROLLUP_PMC[MMWR_RATING_STATE_ROLLUP_PMC],0),MATCH(D$9,MMWR_RATING_STATE_ROLLUP_PMC[#Headers],0)),"ERROR"))</f>
        <v>62.142857142899999</v>
      </c>
      <c r="E40" s="158">
        <f>IF($B40=" ","",IFERROR(INDEX(MMWR_RATING_STATE_ROLLUP_PMC[],MATCH($B40,MMWR_RATING_STATE_ROLLUP_PMC[MMWR_RATING_STATE_ROLLUP_PMC],0),MATCH(E$9,MMWR_RATING_STATE_ROLLUP_PMC[#Headers],0))/$C40,"ERROR"))</f>
        <v>5.3571428571428568E-2</v>
      </c>
      <c r="F40" s="156">
        <f>IF($B40=" ","",IFERROR(INDEX(MMWR_RATING_STATE_ROLLUP_PMC[],MATCH($B40,MMWR_RATING_STATE_ROLLUP_PMC[MMWR_RATING_STATE_ROLLUP_PMC],0),MATCH(F$9,MMWR_RATING_STATE_ROLLUP_PMC[#Headers],0)),"ERROR"))</f>
        <v>26</v>
      </c>
      <c r="G40" s="156">
        <f>IF($B40=" ","",IFERROR(INDEX(MMWR_RATING_STATE_ROLLUP_PMC[],MATCH($B40,MMWR_RATING_STATE_ROLLUP_PMC[MMWR_RATING_STATE_ROLLUP_PMC],0),MATCH(G$9,MMWR_RATING_STATE_ROLLUP_PMC[#Headers],0)),"ERROR"))</f>
        <v>385</v>
      </c>
      <c r="H40" s="157">
        <f>IF($B40=" ","",IFERROR(INDEX(MMWR_RATING_STATE_ROLLUP_PMC[],MATCH($B40,MMWR_RATING_STATE_ROLLUP_PMC[MMWR_RATING_STATE_ROLLUP_PMC],0),MATCH(H$9,MMWR_RATING_STATE_ROLLUP_PMC[#Headers],0)),"ERROR"))</f>
        <v>65.576923076900002</v>
      </c>
      <c r="I40" s="157">
        <f>IF($B40=" ","",IFERROR(INDEX(MMWR_RATING_STATE_ROLLUP_PMC[],MATCH($B40,MMWR_RATING_STATE_ROLLUP_PMC[MMWR_RATING_STATE_ROLLUP_PMC],0),MATCH(I$9,MMWR_RATING_STATE_ROLLUP_PMC[#Headers],0)),"ERROR"))</f>
        <v>73.945454545499999</v>
      </c>
      <c r="J40" s="42"/>
      <c r="K40" s="42"/>
      <c r="L40" s="42"/>
      <c r="M40" s="42"/>
      <c r="N40" s="28"/>
    </row>
    <row r="41" spans="1:14" x14ac:dyDescent="0.2">
      <c r="A41" s="25"/>
      <c r="B41" s="8" t="str">
        <f>VLOOKUP($B$15,DISTRICT_STATES[],9,0)</f>
        <v>New Jersey</v>
      </c>
      <c r="C41" s="156">
        <f>IF($B41=" ","",IFERROR(INDEX(MMWR_RATING_STATE_ROLLUP_PMC[],MATCH($B41,MMWR_RATING_STATE_ROLLUP_PMC[MMWR_RATING_STATE_ROLLUP_PMC],0),MATCH(C$9,MMWR_RATING_STATE_ROLLUP_PMC[#Headers],0)),"ERROR"))</f>
        <v>219</v>
      </c>
      <c r="D41" s="157">
        <f>IF($B41=" ","",IFERROR(INDEX(MMWR_RATING_STATE_ROLLUP_PMC[],MATCH($B41,MMWR_RATING_STATE_ROLLUP_PMC[MMWR_RATING_STATE_ROLLUP_PMC],0),MATCH(D$9,MMWR_RATING_STATE_ROLLUP_PMC[#Headers],0)),"ERROR"))</f>
        <v>72.205479452099993</v>
      </c>
      <c r="E41" s="158">
        <f>IF($B41=" ","",IFERROR(INDEX(MMWR_RATING_STATE_ROLLUP_PMC[],MATCH($B41,MMWR_RATING_STATE_ROLLUP_PMC[MMWR_RATING_STATE_ROLLUP_PMC],0),MATCH(E$9,MMWR_RATING_STATE_ROLLUP_PMC[#Headers],0))/$C41,"ERROR"))</f>
        <v>0.17808219178082191</v>
      </c>
      <c r="F41" s="156">
        <f>IF($B41=" ","",IFERROR(INDEX(MMWR_RATING_STATE_ROLLUP_PMC[],MATCH($B41,MMWR_RATING_STATE_ROLLUP_PMC[MMWR_RATING_STATE_ROLLUP_PMC],0),MATCH(F$9,MMWR_RATING_STATE_ROLLUP_PMC[#Headers],0)),"ERROR"))</f>
        <v>98</v>
      </c>
      <c r="G41" s="156">
        <f>IF($B41=" ","",IFERROR(INDEX(MMWR_RATING_STATE_ROLLUP_PMC[],MATCH($B41,MMWR_RATING_STATE_ROLLUP_PMC[MMWR_RATING_STATE_ROLLUP_PMC],0),MATCH(G$9,MMWR_RATING_STATE_ROLLUP_PMC[#Headers],0)),"ERROR"))</f>
        <v>1709</v>
      </c>
      <c r="H41" s="157">
        <f>IF($B41=" ","",IFERROR(INDEX(MMWR_RATING_STATE_ROLLUP_PMC[],MATCH($B41,MMWR_RATING_STATE_ROLLUP_PMC[MMWR_RATING_STATE_ROLLUP_PMC],0),MATCH(H$9,MMWR_RATING_STATE_ROLLUP_PMC[#Headers],0)),"ERROR"))</f>
        <v>74.091836734699996</v>
      </c>
      <c r="I41" s="157">
        <f>IF($B41=" ","",IFERROR(INDEX(MMWR_RATING_STATE_ROLLUP_PMC[],MATCH($B41,MMWR_RATING_STATE_ROLLUP_PMC[MMWR_RATING_STATE_ROLLUP_PMC],0),MATCH(I$9,MMWR_RATING_STATE_ROLLUP_PMC[#Headers],0)),"ERROR"))</f>
        <v>78.533060269200007</v>
      </c>
      <c r="J41" s="42"/>
      <c r="K41" s="42"/>
      <c r="L41" s="42"/>
      <c r="M41" s="42"/>
      <c r="N41" s="28"/>
    </row>
    <row r="42" spans="1:14" x14ac:dyDescent="0.2">
      <c r="A42" s="25"/>
      <c r="B42" s="8" t="str">
        <f>VLOOKUP($B$15,DISTRICT_STATES[],10,0)</f>
        <v>New York</v>
      </c>
      <c r="C42" s="156">
        <f>IF($B42=" ","",IFERROR(INDEX(MMWR_RATING_STATE_ROLLUP_PMC[],MATCH($B42,MMWR_RATING_STATE_ROLLUP_PMC[MMWR_RATING_STATE_ROLLUP_PMC],0),MATCH(C$9,MMWR_RATING_STATE_ROLLUP_PMC[#Headers],0)),"ERROR"))</f>
        <v>578</v>
      </c>
      <c r="D42" s="157">
        <f>IF($B42=" ","",IFERROR(INDEX(MMWR_RATING_STATE_ROLLUP_PMC[],MATCH($B42,MMWR_RATING_STATE_ROLLUP_PMC[MMWR_RATING_STATE_ROLLUP_PMC],0),MATCH(D$9,MMWR_RATING_STATE_ROLLUP_PMC[#Headers],0)),"ERROR"))</f>
        <v>69.671280276800005</v>
      </c>
      <c r="E42" s="158">
        <f>IF($B42=" ","",IFERROR(INDEX(MMWR_RATING_STATE_ROLLUP_PMC[],MATCH($B42,MMWR_RATING_STATE_ROLLUP_PMC[MMWR_RATING_STATE_ROLLUP_PMC],0),MATCH(E$9,MMWR_RATING_STATE_ROLLUP_PMC[#Headers],0))/$C42,"ERROR"))</f>
        <v>0.12802768166089964</v>
      </c>
      <c r="F42" s="156">
        <f>IF($B42=" ","",IFERROR(INDEX(MMWR_RATING_STATE_ROLLUP_PMC[],MATCH($B42,MMWR_RATING_STATE_ROLLUP_PMC[MMWR_RATING_STATE_ROLLUP_PMC],0),MATCH(F$9,MMWR_RATING_STATE_ROLLUP_PMC[#Headers],0)),"ERROR"))</f>
        <v>236</v>
      </c>
      <c r="G42" s="156">
        <f>IF($B42=" ","",IFERROR(INDEX(MMWR_RATING_STATE_ROLLUP_PMC[],MATCH($B42,MMWR_RATING_STATE_ROLLUP_PMC[MMWR_RATING_STATE_ROLLUP_PMC],0),MATCH(G$9,MMWR_RATING_STATE_ROLLUP_PMC[#Headers],0)),"ERROR"))</f>
        <v>4040</v>
      </c>
      <c r="H42" s="157">
        <f>IF($B42=" ","",IFERROR(INDEX(MMWR_RATING_STATE_ROLLUP_PMC[],MATCH($B42,MMWR_RATING_STATE_ROLLUP_PMC[MMWR_RATING_STATE_ROLLUP_PMC],0),MATCH(H$9,MMWR_RATING_STATE_ROLLUP_PMC[#Headers],0)),"ERROR"))</f>
        <v>76.322033898300006</v>
      </c>
      <c r="I42" s="157">
        <f>IF($B42=" ","",IFERROR(INDEX(MMWR_RATING_STATE_ROLLUP_PMC[],MATCH($B42,MMWR_RATING_STATE_ROLLUP_PMC[MMWR_RATING_STATE_ROLLUP_PMC],0),MATCH(I$9,MMWR_RATING_STATE_ROLLUP_PMC[#Headers],0)),"ERROR"))</f>
        <v>70.152475247500007</v>
      </c>
      <c r="J42" s="42"/>
      <c r="K42" s="42"/>
      <c r="L42" s="42"/>
      <c r="M42" s="42"/>
      <c r="N42" s="28"/>
    </row>
    <row r="43" spans="1:14" x14ac:dyDescent="0.2">
      <c r="A43" s="25"/>
      <c r="B43" s="8" t="str">
        <f>VLOOKUP($B$15,DISTRICT_STATES[],11,0)</f>
        <v>North Carolina</v>
      </c>
      <c r="C43" s="156">
        <f>IF($B43=" ","",IFERROR(INDEX(MMWR_RATING_STATE_ROLLUP_PMC[],MATCH($B43,MMWR_RATING_STATE_ROLLUP_PMC[MMWR_RATING_STATE_ROLLUP_PMC],0),MATCH(C$9,MMWR_RATING_STATE_ROLLUP_PMC[#Headers],0)),"ERROR"))</f>
        <v>622</v>
      </c>
      <c r="D43" s="157">
        <f>IF($B43=" ","",IFERROR(INDEX(MMWR_RATING_STATE_ROLLUP_PMC[],MATCH($B43,MMWR_RATING_STATE_ROLLUP_PMC[MMWR_RATING_STATE_ROLLUP_PMC],0),MATCH(D$9,MMWR_RATING_STATE_ROLLUP_PMC[#Headers],0)),"ERROR"))</f>
        <v>74.704180064300004</v>
      </c>
      <c r="E43" s="158">
        <f>IF($B43=" ","",IFERROR(INDEX(MMWR_RATING_STATE_ROLLUP_PMC[],MATCH($B43,MMWR_RATING_STATE_ROLLUP_PMC[MMWR_RATING_STATE_ROLLUP_PMC],0),MATCH(E$9,MMWR_RATING_STATE_ROLLUP_PMC[#Headers],0))/$C43,"ERROR"))</f>
        <v>0.15434083601286175</v>
      </c>
      <c r="F43" s="156">
        <f>IF($B43=" ","",IFERROR(INDEX(MMWR_RATING_STATE_ROLLUP_PMC[],MATCH($B43,MMWR_RATING_STATE_ROLLUP_PMC[MMWR_RATING_STATE_ROLLUP_PMC],0),MATCH(F$9,MMWR_RATING_STATE_ROLLUP_PMC[#Headers],0)),"ERROR"))</f>
        <v>220</v>
      </c>
      <c r="G43" s="156">
        <f>IF($B43=" ","",IFERROR(INDEX(MMWR_RATING_STATE_ROLLUP_PMC[],MATCH($B43,MMWR_RATING_STATE_ROLLUP_PMC[MMWR_RATING_STATE_ROLLUP_PMC],0),MATCH(G$9,MMWR_RATING_STATE_ROLLUP_PMC[#Headers],0)),"ERROR"))</f>
        <v>4322</v>
      </c>
      <c r="H43" s="157">
        <f>IF($B43=" ","",IFERROR(INDEX(MMWR_RATING_STATE_ROLLUP_PMC[],MATCH($B43,MMWR_RATING_STATE_ROLLUP_PMC[MMWR_RATING_STATE_ROLLUP_PMC],0),MATCH(H$9,MMWR_RATING_STATE_ROLLUP_PMC[#Headers],0)),"ERROR"))</f>
        <v>73.504545454500004</v>
      </c>
      <c r="I43" s="157">
        <f>IF($B43=" ","",IFERROR(INDEX(MMWR_RATING_STATE_ROLLUP_PMC[],MATCH($B43,MMWR_RATING_STATE_ROLLUP_PMC[MMWR_RATING_STATE_ROLLUP_PMC],0),MATCH(I$9,MMWR_RATING_STATE_ROLLUP_PMC[#Headers],0)),"ERROR"))</f>
        <v>77.138824618200005</v>
      </c>
      <c r="J43" s="42"/>
      <c r="K43" s="42"/>
      <c r="L43" s="42"/>
      <c r="M43" s="42"/>
      <c r="N43" s="28"/>
    </row>
    <row r="44" spans="1:14" x14ac:dyDescent="0.2">
      <c r="A44" s="25"/>
      <c r="B44" s="8" t="str">
        <f>VLOOKUP($B$15,DISTRICT_STATES[],12,0)</f>
        <v>Pennsylvania</v>
      </c>
      <c r="C44" s="156">
        <f>IF($B44=" ","",IFERROR(INDEX(MMWR_RATING_STATE_ROLLUP_PMC[],MATCH($B44,MMWR_RATING_STATE_ROLLUP_PMC[MMWR_RATING_STATE_ROLLUP_PMC],0),MATCH(C$9,MMWR_RATING_STATE_ROLLUP_PMC[#Headers],0)),"ERROR"))</f>
        <v>627</v>
      </c>
      <c r="D44" s="157">
        <f>IF($B44=" ","",IFERROR(INDEX(MMWR_RATING_STATE_ROLLUP_PMC[],MATCH($B44,MMWR_RATING_STATE_ROLLUP_PMC[MMWR_RATING_STATE_ROLLUP_PMC],0),MATCH(D$9,MMWR_RATING_STATE_ROLLUP_PMC[#Headers],0)),"ERROR"))</f>
        <v>66.089314194599993</v>
      </c>
      <c r="E44" s="158">
        <f>IF($B44=" ","",IFERROR(INDEX(MMWR_RATING_STATE_ROLLUP_PMC[],MATCH($B44,MMWR_RATING_STATE_ROLLUP_PMC[MMWR_RATING_STATE_ROLLUP_PMC],0),MATCH(E$9,MMWR_RATING_STATE_ROLLUP_PMC[#Headers],0))/$C44,"ERROR"))</f>
        <v>0.11961722488038277</v>
      </c>
      <c r="F44" s="156">
        <f>IF($B44=" ","",IFERROR(INDEX(MMWR_RATING_STATE_ROLLUP_PMC[],MATCH($B44,MMWR_RATING_STATE_ROLLUP_PMC[MMWR_RATING_STATE_ROLLUP_PMC],0),MATCH(F$9,MMWR_RATING_STATE_ROLLUP_PMC[#Headers],0)),"ERROR"))</f>
        <v>247</v>
      </c>
      <c r="G44" s="156">
        <f>IF($B44=" ","",IFERROR(INDEX(MMWR_RATING_STATE_ROLLUP_PMC[],MATCH($B44,MMWR_RATING_STATE_ROLLUP_PMC[MMWR_RATING_STATE_ROLLUP_PMC],0),MATCH(G$9,MMWR_RATING_STATE_ROLLUP_PMC[#Headers],0)),"ERROR"))</f>
        <v>4898</v>
      </c>
      <c r="H44" s="157">
        <f>IF($B44=" ","",IFERROR(INDEX(MMWR_RATING_STATE_ROLLUP_PMC[],MATCH($B44,MMWR_RATING_STATE_ROLLUP_PMC[MMWR_RATING_STATE_ROLLUP_PMC],0),MATCH(H$9,MMWR_RATING_STATE_ROLLUP_PMC[#Headers],0)),"ERROR"))</f>
        <v>72.591093117400007</v>
      </c>
      <c r="I44" s="157">
        <f>IF($B44=" ","",IFERROR(INDEX(MMWR_RATING_STATE_ROLLUP_PMC[],MATCH($B44,MMWR_RATING_STATE_ROLLUP_PMC[MMWR_RATING_STATE_ROLLUP_PMC],0),MATCH(I$9,MMWR_RATING_STATE_ROLLUP_PMC[#Headers],0)),"ERROR"))</f>
        <v>68.706819109799994</v>
      </c>
      <c r="J44" s="42"/>
      <c r="K44" s="42"/>
      <c r="L44" s="42"/>
      <c r="M44" s="42"/>
      <c r="N44" s="28"/>
    </row>
    <row r="45" spans="1:14" x14ac:dyDescent="0.2">
      <c r="A45" s="25"/>
      <c r="B45" s="8" t="str">
        <f>VLOOKUP($B$15,DISTRICT_STATES[],13,0)</f>
        <v>Rhode Island</v>
      </c>
      <c r="C45" s="156">
        <f>IF($B45=" ","",IFERROR(INDEX(MMWR_RATING_STATE_ROLLUP_PMC[],MATCH($B45,MMWR_RATING_STATE_ROLLUP_PMC[MMWR_RATING_STATE_ROLLUP_PMC],0),MATCH(C$9,MMWR_RATING_STATE_ROLLUP_PMC[#Headers],0)),"ERROR"))</f>
        <v>44</v>
      </c>
      <c r="D45" s="157">
        <f>IF($B45=" ","",IFERROR(INDEX(MMWR_RATING_STATE_ROLLUP_PMC[],MATCH($B45,MMWR_RATING_STATE_ROLLUP_PMC[MMWR_RATING_STATE_ROLLUP_PMC],0),MATCH(D$9,MMWR_RATING_STATE_ROLLUP_PMC[#Headers],0)),"ERROR"))</f>
        <v>55.386363636399999</v>
      </c>
      <c r="E45" s="158">
        <f>IF($B45=" ","",IFERROR(INDEX(MMWR_RATING_STATE_ROLLUP_PMC[],MATCH($B45,MMWR_RATING_STATE_ROLLUP_PMC[MMWR_RATING_STATE_ROLLUP_PMC],0),MATCH(E$9,MMWR_RATING_STATE_ROLLUP_PMC[#Headers],0))/$C45,"ERROR"))</f>
        <v>2.2727272727272728E-2</v>
      </c>
      <c r="F45" s="156">
        <f>IF($B45=" ","",IFERROR(INDEX(MMWR_RATING_STATE_ROLLUP_PMC[],MATCH($B45,MMWR_RATING_STATE_ROLLUP_PMC[MMWR_RATING_STATE_ROLLUP_PMC],0),MATCH(F$9,MMWR_RATING_STATE_ROLLUP_PMC[#Headers],0)),"ERROR"))</f>
        <v>33</v>
      </c>
      <c r="G45" s="156">
        <f>IF($B45=" ","",IFERROR(INDEX(MMWR_RATING_STATE_ROLLUP_PMC[],MATCH($B45,MMWR_RATING_STATE_ROLLUP_PMC[MMWR_RATING_STATE_ROLLUP_PMC],0),MATCH(G$9,MMWR_RATING_STATE_ROLLUP_PMC[#Headers],0)),"ERROR"))</f>
        <v>284</v>
      </c>
      <c r="H45" s="157">
        <f>IF($B45=" ","",IFERROR(INDEX(MMWR_RATING_STATE_ROLLUP_PMC[],MATCH($B45,MMWR_RATING_STATE_ROLLUP_PMC[MMWR_RATING_STATE_ROLLUP_PMC],0),MATCH(H$9,MMWR_RATING_STATE_ROLLUP_PMC[#Headers],0)),"ERROR"))</f>
        <v>65</v>
      </c>
      <c r="I45" s="157">
        <f>IF($B45=" ","",IFERROR(INDEX(MMWR_RATING_STATE_ROLLUP_PMC[],MATCH($B45,MMWR_RATING_STATE_ROLLUP_PMC[MMWR_RATING_STATE_ROLLUP_PMC],0),MATCH(I$9,MMWR_RATING_STATE_ROLLUP_PMC[#Headers],0)),"ERROR"))</f>
        <v>69.845070422500001</v>
      </c>
      <c r="J45" s="42"/>
      <c r="K45" s="42"/>
      <c r="L45" s="42"/>
      <c r="M45" s="42"/>
      <c r="N45" s="28"/>
    </row>
    <row r="46" spans="1:14" x14ac:dyDescent="0.2">
      <c r="A46" s="25"/>
      <c r="B46" s="8" t="str">
        <f>VLOOKUP($B$15,DISTRICT_STATES[],14,0)</f>
        <v>Vermont</v>
      </c>
      <c r="C46" s="156">
        <f>IF($B46=" ","",IFERROR(INDEX(MMWR_RATING_STATE_ROLLUP_PMC[],MATCH($B46,MMWR_RATING_STATE_ROLLUP_PMC[MMWR_RATING_STATE_ROLLUP_PMC],0),MATCH(C$9,MMWR_RATING_STATE_ROLLUP_PMC[#Headers],0)),"ERROR"))</f>
        <v>14</v>
      </c>
      <c r="D46" s="157">
        <f>IF($B46=" ","",IFERROR(INDEX(MMWR_RATING_STATE_ROLLUP_PMC[],MATCH($B46,MMWR_RATING_STATE_ROLLUP_PMC[MMWR_RATING_STATE_ROLLUP_PMC],0),MATCH(D$9,MMWR_RATING_STATE_ROLLUP_PMC[#Headers],0)),"ERROR"))</f>
        <v>92.357142857100001</v>
      </c>
      <c r="E46" s="158">
        <f>IF($B46=" ","",IFERROR(INDEX(MMWR_RATING_STATE_ROLLUP_PMC[],MATCH($B46,MMWR_RATING_STATE_ROLLUP_PMC[MMWR_RATING_STATE_ROLLUP_PMC],0),MATCH(E$9,MMWR_RATING_STATE_ROLLUP_PMC[#Headers],0))/$C46,"ERROR"))</f>
        <v>0.14285714285714285</v>
      </c>
      <c r="F46" s="156">
        <f>IF($B46=" ","",IFERROR(INDEX(MMWR_RATING_STATE_ROLLUP_PMC[],MATCH($B46,MMWR_RATING_STATE_ROLLUP_PMC[MMWR_RATING_STATE_ROLLUP_PMC],0),MATCH(F$9,MMWR_RATING_STATE_ROLLUP_PMC[#Headers],0)),"ERROR"))</f>
        <v>7</v>
      </c>
      <c r="G46" s="156">
        <f>IF($B46=" ","",IFERROR(INDEX(MMWR_RATING_STATE_ROLLUP_PMC[],MATCH($B46,MMWR_RATING_STATE_ROLLUP_PMC[MMWR_RATING_STATE_ROLLUP_PMC],0),MATCH(G$9,MMWR_RATING_STATE_ROLLUP_PMC[#Headers],0)),"ERROR"))</f>
        <v>109</v>
      </c>
      <c r="H46" s="157">
        <f>IF($B46=" ","",IFERROR(INDEX(MMWR_RATING_STATE_ROLLUP_PMC[],MATCH($B46,MMWR_RATING_STATE_ROLLUP_PMC[MMWR_RATING_STATE_ROLLUP_PMC],0),MATCH(H$9,MMWR_RATING_STATE_ROLLUP_PMC[#Headers],0)),"ERROR"))</f>
        <v>93</v>
      </c>
      <c r="I46" s="157">
        <f>IF($B46=" ","",IFERROR(INDEX(MMWR_RATING_STATE_ROLLUP_PMC[],MATCH($B46,MMWR_RATING_STATE_ROLLUP_PMC[MMWR_RATING_STATE_ROLLUP_PMC],0),MATCH(I$9,MMWR_RATING_STATE_ROLLUP_PMC[#Headers],0)),"ERROR"))</f>
        <v>84.009174311899997</v>
      </c>
      <c r="J46" s="42"/>
      <c r="K46" s="42"/>
      <c r="L46" s="42"/>
      <c r="M46" s="42"/>
      <c r="N46" s="28"/>
    </row>
    <row r="47" spans="1:14" x14ac:dyDescent="0.2">
      <c r="A47" s="25"/>
      <c r="B47" s="8" t="str">
        <f>VLOOKUP($B$15,DISTRICT_STATES[],15,0)</f>
        <v>Virginia</v>
      </c>
      <c r="C47" s="156">
        <f>IF($B47=" ","",IFERROR(INDEX(MMWR_RATING_STATE_ROLLUP_PMC[],MATCH($B47,MMWR_RATING_STATE_ROLLUP_PMC[MMWR_RATING_STATE_ROLLUP_PMC],0),MATCH(C$9,MMWR_RATING_STATE_ROLLUP_PMC[#Headers],0)),"ERROR"))</f>
        <v>404</v>
      </c>
      <c r="D47" s="157">
        <f>IF($B47=" ","",IFERROR(INDEX(MMWR_RATING_STATE_ROLLUP_PMC[],MATCH($B47,MMWR_RATING_STATE_ROLLUP_PMC[MMWR_RATING_STATE_ROLLUP_PMC],0),MATCH(D$9,MMWR_RATING_STATE_ROLLUP_PMC[#Headers],0)),"ERROR"))</f>
        <v>76.0569306931</v>
      </c>
      <c r="E47" s="158">
        <f>IF($B47=" ","",IFERROR(INDEX(MMWR_RATING_STATE_ROLLUP_PMC[],MATCH($B47,MMWR_RATING_STATE_ROLLUP_PMC[MMWR_RATING_STATE_ROLLUP_PMC],0),MATCH(E$9,MMWR_RATING_STATE_ROLLUP_PMC[#Headers],0))/$C47,"ERROR"))</f>
        <v>0.16831683168316833</v>
      </c>
      <c r="F47" s="156">
        <f>IF($B47=" ","",IFERROR(INDEX(MMWR_RATING_STATE_ROLLUP_PMC[],MATCH($B47,MMWR_RATING_STATE_ROLLUP_PMC[MMWR_RATING_STATE_ROLLUP_PMC],0),MATCH(F$9,MMWR_RATING_STATE_ROLLUP_PMC[#Headers],0)),"ERROR"))</f>
        <v>151</v>
      </c>
      <c r="G47" s="156">
        <f>IF($B47=" ","",IFERROR(INDEX(MMWR_RATING_STATE_ROLLUP_PMC[],MATCH($B47,MMWR_RATING_STATE_ROLLUP_PMC[MMWR_RATING_STATE_ROLLUP_PMC],0),MATCH(G$9,MMWR_RATING_STATE_ROLLUP_PMC[#Headers],0)),"ERROR"))</f>
        <v>2698</v>
      </c>
      <c r="H47" s="157">
        <f>IF($B47=" ","",IFERROR(INDEX(MMWR_RATING_STATE_ROLLUP_PMC[],MATCH($B47,MMWR_RATING_STATE_ROLLUP_PMC[MMWR_RATING_STATE_ROLLUP_PMC],0),MATCH(H$9,MMWR_RATING_STATE_ROLLUP_PMC[#Headers],0)),"ERROR"))</f>
        <v>85.841059602599998</v>
      </c>
      <c r="I47" s="157">
        <f>IF($B47=" ","",IFERROR(INDEX(MMWR_RATING_STATE_ROLLUP_PMC[],MATCH($B47,MMWR_RATING_STATE_ROLLUP_PMC[MMWR_RATING_STATE_ROLLUP_PMC],0),MATCH(I$9,MMWR_RATING_STATE_ROLLUP_PMC[#Headers],0)),"ERROR"))</f>
        <v>82.332468495200004</v>
      </c>
      <c r="J47" s="42"/>
      <c r="K47" s="42"/>
      <c r="L47" s="42"/>
      <c r="M47" s="42"/>
      <c r="N47" s="28"/>
    </row>
    <row r="48" spans="1:14" x14ac:dyDescent="0.2">
      <c r="A48" s="25"/>
      <c r="B48" s="8" t="str">
        <f>VLOOKUP($B$15,DISTRICT_STATES[],16,0)</f>
        <v>West Virginia</v>
      </c>
      <c r="C48" s="156">
        <f>IF($B48=" ","",IFERROR(INDEX(MMWR_RATING_STATE_ROLLUP_PMC[],MATCH($B48,MMWR_RATING_STATE_ROLLUP_PMC[MMWR_RATING_STATE_ROLLUP_PMC],0),MATCH(C$9,MMWR_RATING_STATE_ROLLUP_PMC[#Headers],0)),"ERROR"))</f>
        <v>112</v>
      </c>
      <c r="D48" s="157">
        <f>IF($B48=" ","",IFERROR(INDEX(MMWR_RATING_STATE_ROLLUP_PMC[],MATCH($B48,MMWR_RATING_STATE_ROLLUP_PMC[MMWR_RATING_STATE_ROLLUP_PMC],0),MATCH(D$9,MMWR_RATING_STATE_ROLLUP_PMC[#Headers],0)),"ERROR"))</f>
        <v>83.535714285699996</v>
      </c>
      <c r="E48" s="158">
        <f>IF($B48=" ","",IFERROR(INDEX(MMWR_RATING_STATE_ROLLUP_PMC[],MATCH($B48,MMWR_RATING_STATE_ROLLUP_PMC[MMWR_RATING_STATE_ROLLUP_PMC],0),MATCH(E$9,MMWR_RATING_STATE_ROLLUP_PMC[#Headers],0))/$C48,"ERROR"))</f>
        <v>0.19642857142857142</v>
      </c>
      <c r="F48" s="156">
        <f>IF($B48=" ","",IFERROR(INDEX(MMWR_RATING_STATE_ROLLUP_PMC[],MATCH($B48,MMWR_RATING_STATE_ROLLUP_PMC[MMWR_RATING_STATE_ROLLUP_PMC],0),MATCH(F$9,MMWR_RATING_STATE_ROLLUP_PMC[#Headers],0)),"ERROR"))</f>
        <v>49</v>
      </c>
      <c r="G48" s="156">
        <f>IF($B48=" ","",IFERROR(INDEX(MMWR_RATING_STATE_ROLLUP_PMC[],MATCH($B48,MMWR_RATING_STATE_ROLLUP_PMC[MMWR_RATING_STATE_ROLLUP_PMC],0),MATCH(G$9,MMWR_RATING_STATE_ROLLUP_PMC[#Headers],0)),"ERROR"))</f>
        <v>769</v>
      </c>
      <c r="H48" s="157">
        <f>IF($B48=" ","",IFERROR(INDEX(MMWR_RATING_STATE_ROLLUP_PMC[],MATCH($B48,MMWR_RATING_STATE_ROLLUP_PMC[MMWR_RATING_STATE_ROLLUP_PMC],0),MATCH(H$9,MMWR_RATING_STATE_ROLLUP_PMC[#Headers],0)),"ERROR"))</f>
        <v>58.877551020399999</v>
      </c>
      <c r="I48" s="157">
        <f>IF($B48=" ","",IFERROR(INDEX(MMWR_RATING_STATE_ROLLUP_PMC[],MATCH($B48,MMWR_RATING_STATE_ROLLUP_PMC[MMWR_RATING_STATE_ROLLUP_PMC],0),MATCH(I$9,MMWR_RATING_STATE_ROLLUP_PMC[#Headers],0)),"ERROR"))</f>
        <v>78.496749024699994</v>
      </c>
      <c r="J48" s="42"/>
      <c r="K48" s="42"/>
      <c r="L48" s="42"/>
      <c r="M48" s="42"/>
      <c r="N48" s="28"/>
    </row>
    <row r="49" spans="1:14" x14ac:dyDescent="0.2">
      <c r="A49" s="25"/>
      <c r="B49" s="373" t="s">
        <v>1063</v>
      </c>
      <c r="C49" s="374"/>
      <c r="D49" s="374"/>
      <c r="E49" s="374"/>
      <c r="F49" s="374"/>
      <c r="G49" s="374"/>
      <c r="H49" s="374"/>
      <c r="I49" s="374"/>
      <c r="J49" s="374"/>
      <c r="K49" s="374"/>
      <c r="L49" s="374"/>
      <c r="M49" s="386"/>
      <c r="N49" s="28"/>
    </row>
    <row r="50" spans="1:14" x14ac:dyDescent="0.2">
      <c r="A50" s="25"/>
      <c r="B50" s="41" t="s">
        <v>1062</v>
      </c>
      <c r="C50" s="156">
        <f>IF($B50=" ","",IFERROR(INDEX(MMWR_RATING_STATE_ROLLUP_QST[],MATCH($B50,MMWR_RATING_STATE_ROLLUP_QST[MMWR_RATING_STATE_ROLLUP_QST],0),MATCH(C$9,MMWR_RATING_STATE_ROLLUP_QST[#Headers],0)),"ERROR"))</f>
        <v>8367</v>
      </c>
      <c r="D50" s="157">
        <f>IF($B50=" ","",IFERROR(INDEX(MMWR_RATING_STATE_ROLLUP_QST[],MATCH($B50,MMWR_RATING_STATE_ROLLUP_QST[MMWR_RATING_STATE_ROLLUP_QST],0),MATCH(D$9,MMWR_RATING_STATE_ROLLUP_QST[#Headers],0)),"ERROR"))</f>
        <v>73.192183578300003</v>
      </c>
      <c r="E50" s="158">
        <f>IF($B50=" ","",IFERROR(INDEX(MMWR_RATING_STATE_ROLLUP_QST[],MATCH($B50,MMWR_RATING_STATE_ROLLUP_QST[MMWR_RATING_STATE_ROLLUP_QST],0),MATCH(E$9,MMWR_RATING_STATE_ROLLUP_QST[#Headers],0))/$C50,"ERROR"))</f>
        <v>0.15824070754153222</v>
      </c>
      <c r="F50" s="156">
        <f>IF($B50=" ","",IFERROR(INDEX(MMWR_RATING_STATE_ROLLUP_QST[],MATCH($B50,MMWR_RATING_STATE_ROLLUP_QST[MMWR_RATING_STATE_ROLLUP_QST],0),MATCH(F$9,MMWR_RATING_STATE_ROLLUP_QST[#Headers],0)),"ERROR"))</f>
        <v>1019</v>
      </c>
      <c r="G50" s="156">
        <f>IF($B50=" ","",IFERROR(INDEX(MMWR_RATING_STATE_ROLLUP_QST[],MATCH($B50,MMWR_RATING_STATE_ROLLUP_QST[MMWR_RATING_STATE_ROLLUP_QST],0),MATCH(G$9,MMWR_RATING_STATE_ROLLUP_QST[#Headers],0)),"ERROR"))</f>
        <v>20417</v>
      </c>
      <c r="H50" s="157">
        <f>IF($B50=" ","",IFERROR(INDEX(MMWR_RATING_STATE_ROLLUP_QST[],MATCH($B50,MMWR_RATING_STATE_ROLLUP_QST[MMWR_RATING_STATE_ROLLUP_QST],0),MATCH(H$9,MMWR_RATING_STATE_ROLLUP_QST[#Headers],0)),"ERROR"))</f>
        <v>130.2551521099</v>
      </c>
      <c r="I50" s="157">
        <f>IF($B50=" ","",IFERROR(INDEX(MMWR_RATING_STATE_ROLLUP_QST[],MATCH($B50,MMWR_RATING_STATE_ROLLUP_QST[MMWR_RATING_STATE_ROLLUP_QST],0),MATCH(I$9,MMWR_RATING_STATE_ROLLUP_QST[#Headers],0)),"ERROR"))</f>
        <v>134.99833472110001</v>
      </c>
      <c r="J50" s="42"/>
      <c r="K50" s="42"/>
      <c r="L50" s="42"/>
      <c r="M50" s="42"/>
      <c r="N50" s="28"/>
    </row>
    <row r="51" spans="1:14" x14ac:dyDescent="0.2">
      <c r="A51" s="25"/>
      <c r="B51" s="252" t="str">
        <f>INDEX(DISTRICT_STATES[],MATCH($B$5,DISTRICT_RO[District],0),1)</f>
        <v>North Atlantic</v>
      </c>
      <c r="C51" s="156">
        <f>IF($B51=" ","",IFERROR(INDEX(MMWR_RATING_STATE_ROLLUP_QST[],MATCH($B51,MMWR_RATING_STATE_ROLLUP_QST[MMWR_RATING_STATE_ROLLUP_QST],0),MATCH(C$9,MMWR_RATING_STATE_ROLLUP_QST[#Headers],0)),"ERROR"))</f>
        <v>1967</v>
      </c>
      <c r="D51" s="157">
        <f>IF($B51=" ","",IFERROR(INDEX(MMWR_RATING_STATE_ROLLUP_QST[],MATCH($B51,MMWR_RATING_STATE_ROLLUP_QST[MMWR_RATING_STATE_ROLLUP_QST],0),MATCH(D$9,MMWR_RATING_STATE_ROLLUP_QST[#Headers],0)),"ERROR"))</f>
        <v>74.579562785999997</v>
      </c>
      <c r="E51" s="158">
        <f>IF($B51=" ","",IFERROR(INDEX(MMWR_RATING_STATE_ROLLUP_QST[],MATCH($B51,MMWR_RATING_STATE_ROLLUP_QST[MMWR_RATING_STATE_ROLLUP_QST],0),MATCH(E$9,MMWR_RATING_STATE_ROLLUP_QST[#Headers],0))/$C51,"ERROR"))</f>
        <v>0.15302491103202848</v>
      </c>
      <c r="F51" s="156">
        <f>IF($B51=" ","",IFERROR(INDEX(MMWR_RATING_STATE_ROLLUP_QST[],MATCH($B51,MMWR_RATING_STATE_ROLLUP_QST[MMWR_RATING_STATE_ROLLUP_QST],0),MATCH(F$9,MMWR_RATING_STATE_ROLLUP_QST[#Headers],0)),"ERROR"))</f>
        <v>212</v>
      </c>
      <c r="G51" s="156">
        <f>IF($B51=" ","",IFERROR(INDEX(MMWR_RATING_STATE_ROLLUP_QST[],MATCH($B51,MMWR_RATING_STATE_ROLLUP_QST[MMWR_RATING_STATE_ROLLUP_QST],0),MATCH(G$9,MMWR_RATING_STATE_ROLLUP_QST[#Headers],0)),"ERROR"))</f>
        <v>4375</v>
      </c>
      <c r="H51" s="157">
        <f>IF($B51=" ","",IFERROR(INDEX(MMWR_RATING_STATE_ROLLUP_QST[],MATCH($B51,MMWR_RATING_STATE_ROLLUP_QST[MMWR_RATING_STATE_ROLLUP_QST],0),MATCH(H$9,MMWR_RATING_STATE_ROLLUP_QST[#Headers],0)),"ERROR"))</f>
        <v>143.93396226420001</v>
      </c>
      <c r="I51" s="157">
        <f>IF($B51=" ","",IFERROR(INDEX(MMWR_RATING_STATE_ROLLUP_QST[],MATCH($B51,MMWR_RATING_STATE_ROLLUP_QST[MMWR_RATING_STATE_ROLLUP_QST],0),MATCH(I$9,MMWR_RATING_STATE_ROLLUP_QST[#Headers],0)),"ERROR"))</f>
        <v>141.6112</v>
      </c>
      <c r="J51" s="42"/>
      <c r="K51" s="42"/>
      <c r="L51" s="42"/>
      <c r="M51" s="42"/>
      <c r="N51" s="28"/>
    </row>
    <row r="52" spans="1:14" x14ac:dyDescent="0.2">
      <c r="A52" s="25"/>
      <c r="B52" s="8" t="str">
        <f>VLOOKUP($B$15,DISTRICT_STATES[],2,0)</f>
        <v>Connecticut</v>
      </c>
      <c r="C52" s="156">
        <f>IF($B52=" ","",IFERROR(INDEX(MMWR_RATING_STATE_ROLLUP_QST[],MATCH($B52,MMWR_RATING_STATE_ROLLUP_QST[MMWR_RATING_STATE_ROLLUP_QST],0),MATCH(C$9,MMWR_RATING_STATE_ROLLUP_QST[#Headers],0)),"ERROR"))</f>
        <v>49</v>
      </c>
      <c r="D52" s="157">
        <f>IF($B52=" ","",IFERROR(INDEX(MMWR_RATING_STATE_ROLLUP_QST[],MATCH($B52,MMWR_RATING_STATE_ROLLUP_QST[MMWR_RATING_STATE_ROLLUP_QST],0),MATCH(D$9,MMWR_RATING_STATE_ROLLUP_QST[#Headers],0)),"ERROR"))</f>
        <v>66.510204081599994</v>
      </c>
      <c r="E52" s="158">
        <f>IF($B52=" ","",IFERROR(INDEX(MMWR_RATING_STATE_ROLLUP_QST[],MATCH($B52,MMWR_RATING_STATE_ROLLUP_QST[MMWR_RATING_STATE_ROLLUP_QST],0),MATCH(E$9,MMWR_RATING_STATE_ROLLUP_QST[#Headers],0))/$C52,"ERROR"))</f>
        <v>8.1632653061224483E-2</v>
      </c>
      <c r="F52" s="156">
        <f>IF($B52=" ","",IFERROR(INDEX(MMWR_RATING_STATE_ROLLUP_QST[],MATCH($B52,MMWR_RATING_STATE_ROLLUP_QST[MMWR_RATING_STATE_ROLLUP_QST],0),MATCH(F$9,MMWR_RATING_STATE_ROLLUP_QST[#Headers],0)),"ERROR"))</f>
        <v>5</v>
      </c>
      <c r="G52" s="156">
        <f>IF($B52=" ","",IFERROR(INDEX(MMWR_RATING_STATE_ROLLUP_QST[],MATCH($B52,MMWR_RATING_STATE_ROLLUP_QST[MMWR_RATING_STATE_ROLLUP_QST],0),MATCH(G$9,MMWR_RATING_STATE_ROLLUP_QST[#Headers],0)),"ERROR"))</f>
        <v>116</v>
      </c>
      <c r="H52" s="157">
        <f>IF($B52=" ","",IFERROR(INDEX(MMWR_RATING_STATE_ROLLUP_QST[],MATCH($B52,MMWR_RATING_STATE_ROLLUP_QST[MMWR_RATING_STATE_ROLLUP_QST],0),MATCH(H$9,MMWR_RATING_STATE_ROLLUP_QST[#Headers],0)),"ERROR"))</f>
        <v>106.6</v>
      </c>
      <c r="I52" s="157">
        <f>IF($B52=" ","",IFERROR(INDEX(MMWR_RATING_STATE_ROLLUP_QST[],MATCH($B52,MMWR_RATING_STATE_ROLLUP_QST[MMWR_RATING_STATE_ROLLUP_QST],0),MATCH(I$9,MMWR_RATING_STATE_ROLLUP_QST[#Headers],0)),"ERROR"))</f>
        <v>141.4568965517</v>
      </c>
      <c r="J52" s="42"/>
      <c r="K52" s="42"/>
      <c r="L52" s="42"/>
      <c r="M52" s="42"/>
      <c r="N52" s="28"/>
    </row>
    <row r="53" spans="1:14" x14ac:dyDescent="0.2">
      <c r="A53" s="25"/>
      <c r="B53" s="8" t="str">
        <f>VLOOKUP($B$15,DISTRICT_STATES[],3,0)</f>
        <v>Delaware</v>
      </c>
      <c r="C53" s="156">
        <f>IF($B53=" ","",IFERROR(INDEX(MMWR_RATING_STATE_ROLLUP_QST[],MATCH($B53,MMWR_RATING_STATE_ROLLUP_QST[MMWR_RATING_STATE_ROLLUP_QST],0),MATCH(C$9,MMWR_RATING_STATE_ROLLUP_QST[#Headers],0)),"ERROR"))</f>
        <v>16</v>
      </c>
      <c r="D53" s="157">
        <f>IF($B53=" ","",IFERROR(INDEX(MMWR_RATING_STATE_ROLLUP_QST[],MATCH($B53,MMWR_RATING_STATE_ROLLUP_QST[MMWR_RATING_STATE_ROLLUP_QST],0),MATCH(D$9,MMWR_RATING_STATE_ROLLUP_QST[#Headers],0)),"ERROR"))</f>
        <v>66</v>
      </c>
      <c r="E53" s="158">
        <f>IF($B53=" ","",IFERROR(INDEX(MMWR_RATING_STATE_ROLLUP_QST[],MATCH($B53,MMWR_RATING_STATE_ROLLUP_QST[MMWR_RATING_STATE_ROLLUP_QST],0),MATCH(E$9,MMWR_RATING_STATE_ROLLUP_QST[#Headers],0))/$C53,"ERROR"))</f>
        <v>0.125</v>
      </c>
      <c r="F53" s="156">
        <f>IF($B53=" ","",IFERROR(INDEX(MMWR_RATING_STATE_ROLLUP_QST[],MATCH($B53,MMWR_RATING_STATE_ROLLUP_QST[MMWR_RATING_STATE_ROLLUP_QST],0),MATCH(F$9,MMWR_RATING_STATE_ROLLUP_QST[#Headers],0)),"ERROR"))</f>
        <v>2</v>
      </c>
      <c r="G53" s="156">
        <f>IF($B53=" ","",IFERROR(INDEX(MMWR_RATING_STATE_ROLLUP_QST[],MATCH($B53,MMWR_RATING_STATE_ROLLUP_QST[MMWR_RATING_STATE_ROLLUP_QST],0),MATCH(G$9,MMWR_RATING_STATE_ROLLUP_QST[#Headers],0)),"ERROR"))</f>
        <v>38</v>
      </c>
      <c r="H53" s="157">
        <f>IF($B53=" ","",IFERROR(INDEX(MMWR_RATING_STATE_ROLLUP_QST[],MATCH($B53,MMWR_RATING_STATE_ROLLUP_QST[MMWR_RATING_STATE_ROLLUP_QST],0),MATCH(H$9,MMWR_RATING_STATE_ROLLUP_QST[#Headers],0)),"ERROR"))</f>
        <v>124</v>
      </c>
      <c r="I53" s="157">
        <f>IF($B53=" ","",IFERROR(INDEX(MMWR_RATING_STATE_ROLLUP_QST[],MATCH($B53,MMWR_RATING_STATE_ROLLUP_QST[MMWR_RATING_STATE_ROLLUP_QST],0),MATCH(I$9,MMWR_RATING_STATE_ROLLUP_QST[#Headers],0)),"ERROR"))</f>
        <v>118.92105263160001</v>
      </c>
      <c r="J53" s="42"/>
      <c r="K53" s="42"/>
      <c r="L53" s="42"/>
      <c r="M53" s="42"/>
      <c r="N53" s="28"/>
    </row>
    <row r="54" spans="1:14" x14ac:dyDescent="0.2">
      <c r="A54" s="25"/>
      <c r="B54" s="8" t="str">
        <f>VLOOKUP($B$15,DISTRICT_STATES[],4,0)</f>
        <v>District of Columbia</v>
      </c>
      <c r="C54" s="156">
        <f>IF($B54=" ","",IFERROR(INDEX(MMWR_RATING_STATE_ROLLUP_QST[],MATCH($B54,MMWR_RATING_STATE_ROLLUP_QST[MMWR_RATING_STATE_ROLLUP_QST],0),MATCH(C$9,MMWR_RATING_STATE_ROLLUP_QST[#Headers],0)),"ERROR"))</f>
        <v>14</v>
      </c>
      <c r="D54" s="157">
        <f>IF($B54=" ","",IFERROR(INDEX(MMWR_RATING_STATE_ROLLUP_QST[],MATCH($B54,MMWR_RATING_STATE_ROLLUP_QST[MMWR_RATING_STATE_ROLLUP_QST],0),MATCH(D$9,MMWR_RATING_STATE_ROLLUP_QST[#Headers],0)),"ERROR"))</f>
        <v>49.857142857100001</v>
      </c>
      <c r="E54" s="158">
        <f>IF($B54=" ","",IFERROR(INDEX(MMWR_RATING_STATE_ROLLUP_QST[],MATCH($B54,MMWR_RATING_STATE_ROLLUP_QST[MMWR_RATING_STATE_ROLLUP_QST],0),MATCH(E$9,MMWR_RATING_STATE_ROLLUP_QST[#Headers],0))/$C54,"ERROR"))</f>
        <v>0</v>
      </c>
      <c r="F54" s="156">
        <f>IF($B54=" ","",IFERROR(INDEX(MMWR_RATING_STATE_ROLLUP_QST[],MATCH($B54,MMWR_RATING_STATE_ROLLUP_QST[MMWR_RATING_STATE_ROLLUP_QST],0),MATCH(F$9,MMWR_RATING_STATE_ROLLUP_QST[#Headers],0)),"ERROR"))</f>
        <v>1</v>
      </c>
      <c r="G54" s="156">
        <f>IF($B54=" ","",IFERROR(INDEX(MMWR_RATING_STATE_ROLLUP_QST[],MATCH($B54,MMWR_RATING_STATE_ROLLUP_QST[MMWR_RATING_STATE_ROLLUP_QST],0),MATCH(G$9,MMWR_RATING_STATE_ROLLUP_QST[#Headers],0)),"ERROR"))</f>
        <v>41</v>
      </c>
      <c r="H54" s="157">
        <f>IF($B54=" ","",IFERROR(INDEX(MMWR_RATING_STATE_ROLLUP_QST[],MATCH($B54,MMWR_RATING_STATE_ROLLUP_QST[MMWR_RATING_STATE_ROLLUP_QST],0),MATCH(H$9,MMWR_RATING_STATE_ROLLUP_QST[#Headers],0)),"ERROR"))</f>
        <v>153</v>
      </c>
      <c r="I54" s="157">
        <f>IF($B54=" ","",IFERROR(INDEX(MMWR_RATING_STATE_ROLLUP_QST[],MATCH($B54,MMWR_RATING_STATE_ROLLUP_QST[MMWR_RATING_STATE_ROLLUP_QST],0),MATCH(I$9,MMWR_RATING_STATE_ROLLUP_QST[#Headers],0)),"ERROR"))</f>
        <v>143.0731707317</v>
      </c>
      <c r="J54" s="42"/>
      <c r="K54" s="42"/>
      <c r="L54" s="42"/>
      <c r="M54" s="42"/>
      <c r="N54" s="28"/>
    </row>
    <row r="55" spans="1:14" x14ac:dyDescent="0.2">
      <c r="A55" s="25"/>
      <c r="B55" s="8" t="str">
        <f>VLOOKUP($B$15,DISTRICT_STATES[],5,0)</f>
        <v>Maine</v>
      </c>
      <c r="C55" s="156">
        <f>IF($B55=" ","",IFERROR(INDEX(MMWR_RATING_STATE_ROLLUP_QST[],MATCH($B55,MMWR_RATING_STATE_ROLLUP_QST[MMWR_RATING_STATE_ROLLUP_QST],0),MATCH(C$9,MMWR_RATING_STATE_ROLLUP_QST[#Headers],0)),"ERROR"))</f>
        <v>17</v>
      </c>
      <c r="D55" s="157">
        <f>IF($B55=" ","",IFERROR(INDEX(MMWR_RATING_STATE_ROLLUP_QST[],MATCH($B55,MMWR_RATING_STATE_ROLLUP_QST[MMWR_RATING_STATE_ROLLUP_QST],0),MATCH(D$9,MMWR_RATING_STATE_ROLLUP_QST[#Headers],0)),"ERROR"))</f>
        <v>64.647058823500004</v>
      </c>
      <c r="E55" s="158">
        <f>IF($B55=" ","",IFERROR(INDEX(MMWR_RATING_STATE_ROLLUP_QST[],MATCH($B55,MMWR_RATING_STATE_ROLLUP_QST[MMWR_RATING_STATE_ROLLUP_QST],0),MATCH(E$9,MMWR_RATING_STATE_ROLLUP_QST[#Headers],0))/$C55,"ERROR"))</f>
        <v>0.11764705882352941</v>
      </c>
      <c r="F55" s="156">
        <f>IF($B55=" ","",IFERROR(INDEX(MMWR_RATING_STATE_ROLLUP_QST[],MATCH($B55,MMWR_RATING_STATE_ROLLUP_QST[MMWR_RATING_STATE_ROLLUP_QST],0),MATCH(F$9,MMWR_RATING_STATE_ROLLUP_QST[#Headers],0)),"ERROR"))</f>
        <v>2</v>
      </c>
      <c r="G55" s="156">
        <f>IF($B55=" ","",IFERROR(INDEX(MMWR_RATING_STATE_ROLLUP_QST[],MATCH($B55,MMWR_RATING_STATE_ROLLUP_QST[MMWR_RATING_STATE_ROLLUP_QST],0),MATCH(G$9,MMWR_RATING_STATE_ROLLUP_QST[#Headers],0)),"ERROR"))</f>
        <v>58</v>
      </c>
      <c r="H55" s="157">
        <f>IF($B55=" ","",IFERROR(INDEX(MMWR_RATING_STATE_ROLLUP_QST[],MATCH($B55,MMWR_RATING_STATE_ROLLUP_QST[MMWR_RATING_STATE_ROLLUP_QST],0),MATCH(H$9,MMWR_RATING_STATE_ROLLUP_QST[#Headers],0)),"ERROR"))</f>
        <v>137</v>
      </c>
      <c r="I55" s="157">
        <f>IF($B55=" ","",IFERROR(INDEX(MMWR_RATING_STATE_ROLLUP_QST[],MATCH($B55,MMWR_RATING_STATE_ROLLUP_QST[MMWR_RATING_STATE_ROLLUP_QST],0),MATCH(I$9,MMWR_RATING_STATE_ROLLUP_QST[#Headers],0)),"ERROR"))</f>
        <v>129.87931034479999</v>
      </c>
      <c r="J55" s="42"/>
      <c r="K55" s="42"/>
      <c r="L55" s="42"/>
      <c r="M55" s="42"/>
      <c r="N55" s="28"/>
    </row>
    <row r="56" spans="1:14" x14ac:dyDescent="0.2">
      <c r="A56" s="25"/>
      <c r="B56" s="8" t="str">
        <f>VLOOKUP($B$15,DISTRICT_STATES[],6,0)</f>
        <v>Maryland</v>
      </c>
      <c r="C56" s="156">
        <f>IF($B56=" ","",IFERROR(INDEX(MMWR_RATING_STATE_ROLLUP_QST[],MATCH($B56,MMWR_RATING_STATE_ROLLUP_QST[MMWR_RATING_STATE_ROLLUP_QST],0),MATCH(C$9,MMWR_RATING_STATE_ROLLUP_QST[#Headers],0)),"ERROR"))</f>
        <v>210</v>
      </c>
      <c r="D56" s="157">
        <f>IF($B56=" ","",IFERROR(INDEX(MMWR_RATING_STATE_ROLLUP_QST[],MATCH($B56,MMWR_RATING_STATE_ROLLUP_QST[MMWR_RATING_STATE_ROLLUP_QST],0),MATCH(D$9,MMWR_RATING_STATE_ROLLUP_QST[#Headers],0)),"ERROR"))</f>
        <v>73.161904761900004</v>
      </c>
      <c r="E56" s="158">
        <f>IF($B56=" ","",IFERROR(INDEX(MMWR_RATING_STATE_ROLLUP_QST[],MATCH($B56,MMWR_RATING_STATE_ROLLUP_QST[MMWR_RATING_STATE_ROLLUP_QST],0),MATCH(E$9,MMWR_RATING_STATE_ROLLUP_QST[#Headers],0))/$C56,"ERROR"))</f>
        <v>0.14285714285714285</v>
      </c>
      <c r="F56" s="156">
        <f>IF($B56=" ","",IFERROR(INDEX(MMWR_RATING_STATE_ROLLUP_QST[],MATCH($B56,MMWR_RATING_STATE_ROLLUP_QST[MMWR_RATING_STATE_ROLLUP_QST],0),MATCH(F$9,MMWR_RATING_STATE_ROLLUP_QST[#Headers],0)),"ERROR"))</f>
        <v>16</v>
      </c>
      <c r="G56" s="156">
        <f>IF($B56=" ","",IFERROR(INDEX(MMWR_RATING_STATE_ROLLUP_QST[],MATCH($B56,MMWR_RATING_STATE_ROLLUP_QST[MMWR_RATING_STATE_ROLLUP_QST],0),MATCH(G$9,MMWR_RATING_STATE_ROLLUP_QST[#Headers],0)),"ERROR"))</f>
        <v>451</v>
      </c>
      <c r="H56" s="157">
        <f>IF($B56=" ","",IFERROR(INDEX(MMWR_RATING_STATE_ROLLUP_QST[],MATCH($B56,MMWR_RATING_STATE_ROLLUP_QST[MMWR_RATING_STATE_ROLLUP_QST],0),MATCH(H$9,MMWR_RATING_STATE_ROLLUP_QST[#Headers],0)),"ERROR"))</f>
        <v>142.4375</v>
      </c>
      <c r="I56" s="157">
        <f>IF($B56=" ","",IFERROR(INDEX(MMWR_RATING_STATE_ROLLUP_QST[],MATCH($B56,MMWR_RATING_STATE_ROLLUP_QST[MMWR_RATING_STATE_ROLLUP_QST],0),MATCH(I$9,MMWR_RATING_STATE_ROLLUP_QST[#Headers],0)),"ERROR"))</f>
        <v>144.1152993348</v>
      </c>
      <c r="J56" s="42"/>
      <c r="K56" s="42"/>
      <c r="L56" s="42"/>
      <c r="M56" s="42"/>
      <c r="N56" s="28"/>
    </row>
    <row r="57" spans="1:14" x14ac:dyDescent="0.2">
      <c r="A57" s="25"/>
      <c r="B57" s="8" t="str">
        <f>VLOOKUP($B$15,DISTRICT_STATES[],7,0)</f>
        <v>Massachusetts</v>
      </c>
      <c r="C57" s="156">
        <f>IF($B57=" ","",IFERROR(INDEX(MMWR_RATING_STATE_ROLLUP_QST[],MATCH($B57,MMWR_RATING_STATE_ROLLUP_QST[MMWR_RATING_STATE_ROLLUP_QST],0),MATCH(C$9,MMWR_RATING_STATE_ROLLUP_QST[#Headers],0)),"ERROR"))</f>
        <v>83</v>
      </c>
      <c r="D57" s="157">
        <f>IF($B57=" ","",IFERROR(INDEX(MMWR_RATING_STATE_ROLLUP_QST[],MATCH($B57,MMWR_RATING_STATE_ROLLUP_QST[MMWR_RATING_STATE_ROLLUP_QST],0),MATCH(D$9,MMWR_RATING_STATE_ROLLUP_QST[#Headers],0)),"ERROR"))</f>
        <v>60.855421686699998</v>
      </c>
      <c r="E57" s="158">
        <f>IF($B57=" ","",IFERROR(INDEX(MMWR_RATING_STATE_ROLLUP_QST[],MATCH($B57,MMWR_RATING_STATE_ROLLUP_QST[MMWR_RATING_STATE_ROLLUP_QST],0),MATCH(E$9,MMWR_RATING_STATE_ROLLUP_QST[#Headers],0))/$C57,"ERROR"))</f>
        <v>9.6385542168674704E-2</v>
      </c>
      <c r="F57" s="156">
        <f>IF($B57=" ","",IFERROR(INDEX(MMWR_RATING_STATE_ROLLUP_QST[],MATCH($B57,MMWR_RATING_STATE_ROLLUP_QST[MMWR_RATING_STATE_ROLLUP_QST],0),MATCH(F$9,MMWR_RATING_STATE_ROLLUP_QST[#Headers],0)),"ERROR"))</f>
        <v>9</v>
      </c>
      <c r="G57" s="156">
        <f>IF($B57=" ","",IFERROR(INDEX(MMWR_RATING_STATE_ROLLUP_QST[],MATCH($B57,MMWR_RATING_STATE_ROLLUP_QST[MMWR_RATING_STATE_ROLLUP_QST],0),MATCH(G$9,MMWR_RATING_STATE_ROLLUP_QST[#Headers],0)),"ERROR"))</f>
        <v>182</v>
      </c>
      <c r="H57" s="157">
        <f>IF($B57=" ","",IFERROR(INDEX(MMWR_RATING_STATE_ROLLUP_QST[],MATCH($B57,MMWR_RATING_STATE_ROLLUP_QST[MMWR_RATING_STATE_ROLLUP_QST],0),MATCH(H$9,MMWR_RATING_STATE_ROLLUP_QST[#Headers],0)),"ERROR"))</f>
        <v>152.1111111111</v>
      </c>
      <c r="I57" s="157">
        <f>IF($B57=" ","",IFERROR(INDEX(MMWR_RATING_STATE_ROLLUP_QST[],MATCH($B57,MMWR_RATING_STATE_ROLLUP_QST[MMWR_RATING_STATE_ROLLUP_QST],0),MATCH(I$9,MMWR_RATING_STATE_ROLLUP_QST[#Headers],0)),"ERROR"))</f>
        <v>132.30769230769999</v>
      </c>
      <c r="J57" s="42"/>
      <c r="K57" s="42"/>
      <c r="L57" s="42"/>
      <c r="M57" s="42"/>
      <c r="N57" s="28"/>
    </row>
    <row r="58" spans="1:14" x14ac:dyDescent="0.2">
      <c r="A58" s="25"/>
      <c r="B58" s="8" t="str">
        <f>VLOOKUP($B$15,DISTRICT_STATES[],8,0)</f>
        <v>New Hampshire</v>
      </c>
      <c r="C58" s="156">
        <f>IF($B58=" ","",IFERROR(INDEX(MMWR_RATING_STATE_ROLLUP_QST[],MATCH($B58,MMWR_RATING_STATE_ROLLUP_QST[MMWR_RATING_STATE_ROLLUP_QST],0),MATCH(C$9,MMWR_RATING_STATE_ROLLUP_QST[#Headers],0)),"ERROR"))</f>
        <v>18</v>
      </c>
      <c r="D58" s="157">
        <f>IF($B58=" ","",IFERROR(INDEX(MMWR_RATING_STATE_ROLLUP_QST[],MATCH($B58,MMWR_RATING_STATE_ROLLUP_QST[MMWR_RATING_STATE_ROLLUP_QST],0),MATCH(D$9,MMWR_RATING_STATE_ROLLUP_QST[#Headers],0)),"ERROR"))</f>
        <v>70.777777777799997</v>
      </c>
      <c r="E58" s="158">
        <f>IF($B58=" ","",IFERROR(INDEX(MMWR_RATING_STATE_ROLLUP_QST[],MATCH($B58,MMWR_RATING_STATE_ROLLUP_QST[MMWR_RATING_STATE_ROLLUP_QST],0),MATCH(E$9,MMWR_RATING_STATE_ROLLUP_QST[#Headers],0))/$C58,"ERROR"))</f>
        <v>5.5555555555555552E-2</v>
      </c>
      <c r="F58" s="156">
        <f>IF($B58=" ","",IFERROR(INDEX(MMWR_RATING_STATE_ROLLUP_QST[],MATCH($B58,MMWR_RATING_STATE_ROLLUP_QST[MMWR_RATING_STATE_ROLLUP_QST],0),MATCH(F$9,MMWR_RATING_STATE_ROLLUP_QST[#Headers],0)),"ERROR"))</f>
        <v>3</v>
      </c>
      <c r="G58" s="156">
        <f>IF($B58=" ","",IFERROR(INDEX(MMWR_RATING_STATE_ROLLUP_QST[],MATCH($B58,MMWR_RATING_STATE_ROLLUP_QST[MMWR_RATING_STATE_ROLLUP_QST],0),MATCH(G$9,MMWR_RATING_STATE_ROLLUP_QST[#Headers],0)),"ERROR"))</f>
        <v>53</v>
      </c>
      <c r="H58" s="157">
        <f>IF($B58=" ","",IFERROR(INDEX(MMWR_RATING_STATE_ROLLUP_QST[],MATCH($B58,MMWR_RATING_STATE_ROLLUP_QST[MMWR_RATING_STATE_ROLLUP_QST],0),MATCH(H$9,MMWR_RATING_STATE_ROLLUP_QST[#Headers],0)),"ERROR"))</f>
        <v>224.6666666667</v>
      </c>
      <c r="I58" s="157">
        <f>IF($B58=" ","",IFERROR(INDEX(MMWR_RATING_STATE_ROLLUP_QST[],MATCH($B58,MMWR_RATING_STATE_ROLLUP_QST[MMWR_RATING_STATE_ROLLUP_QST],0),MATCH(I$9,MMWR_RATING_STATE_ROLLUP_QST[#Headers],0)),"ERROR"))</f>
        <v>124.49056603770001</v>
      </c>
      <c r="J58" s="42"/>
      <c r="K58" s="42"/>
      <c r="L58" s="42"/>
      <c r="M58" s="42"/>
      <c r="N58" s="28"/>
    </row>
    <row r="59" spans="1:14" x14ac:dyDescent="0.2">
      <c r="A59" s="25"/>
      <c r="B59" s="8" t="str">
        <f>VLOOKUP($B$15,DISTRICT_STATES[],9,0)</f>
        <v>New Jersey</v>
      </c>
      <c r="C59" s="156">
        <f>IF($B59=" ","",IFERROR(INDEX(MMWR_RATING_STATE_ROLLUP_QST[],MATCH($B59,MMWR_RATING_STATE_ROLLUP_QST[MMWR_RATING_STATE_ROLLUP_QST],0),MATCH(C$9,MMWR_RATING_STATE_ROLLUP_QST[#Headers],0)),"ERROR"))</f>
        <v>83</v>
      </c>
      <c r="D59" s="157">
        <f>IF($B59=" ","",IFERROR(INDEX(MMWR_RATING_STATE_ROLLUP_QST[],MATCH($B59,MMWR_RATING_STATE_ROLLUP_QST[MMWR_RATING_STATE_ROLLUP_QST],0),MATCH(D$9,MMWR_RATING_STATE_ROLLUP_QST[#Headers],0)),"ERROR"))</f>
        <v>72.253012048200006</v>
      </c>
      <c r="E59" s="158">
        <f>IF($B59=" ","",IFERROR(INDEX(MMWR_RATING_STATE_ROLLUP_QST[],MATCH($B59,MMWR_RATING_STATE_ROLLUP_QST[MMWR_RATING_STATE_ROLLUP_QST],0),MATCH(E$9,MMWR_RATING_STATE_ROLLUP_QST[#Headers],0))/$C59,"ERROR"))</f>
        <v>0.10843373493975904</v>
      </c>
      <c r="F59" s="156">
        <f>IF($B59=" ","",IFERROR(INDEX(MMWR_RATING_STATE_ROLLUP_QST[],MATCH($B59,MMWR_RATING_STATE_ROLLUP_QST[MMWR_RATING_STATE_ROLLUP_QST],0),MATCH(F$9,MMWR_RATING_STATE_ROLLUP_QST[#Headers],0)),"ERROR"))</f>
        <v>9</v>
      </c>
      <c r="G59" s="156">
        <f>IF($B59=" ","",IFERROR(INDEX(MMWR_RATING_STATE_ROLLUP_QST[],MATCH($B59,MMWR_RATING_STATE_ROLLUP_QST[MMWR_RATING_STATE_ROLLUP_QST],0),MATCH(G$9,MMWR_RATING_STATE_ROLLUP_QST[#Headers],0)),"ERROR"))</f>
        <v>179</v>
      </c>
      <c r="H59" s="157">
        <f>IF($B59=" ","",IFERROR(INDEX(MMWR_RATING_STATE_ROLLUP_QST[],MATCH($B59,MMWR_RATING_STATE_ROLLUP_QST[MMWR_RATING_STATE_ROLLUP_QST],0),MATCH(H$9,MMWR_RATING_STATE_ROLLUP_QST[#Headers],0)),"ERROR"))</f>
        <v>146.1111111111</v>
      </c>
      <c r="I59" s="157">
        <f>IF($B59=" ","",IFERROR(INDEX(MMWR_RATING_STATE_ROLLUP_QST[],MATCH($B59,MMWR_RATING_STATE_ROLLUP_QST[MMWR_RATING_STATE_ROLLUP_QST],0),MATCH(I$9,MMWR_RATING_STATE_ROLLUP_QST[#Headers],0)),"ERROR"))</f>
        <v>140.12849162009999</v>
      </c>
      <c r="J59" s="42"/>
      <c r="K59" s="42"/>
      <c r="L59" s="42"/>
      <c r="M59" s="42"/>
      <c r="N59" s="28"/>
    </row>
    <row r="60" spans="1:14" x14ac:dyDescent="0.2">
      <c r="A60" s="25"/>
      <c r="B60" s="8" t="str">
        <f>VLOOKUP($B$15,DISTRICT_STATES[],10,0)</f>
        <v>New York</v>
      </c>
      <c r="C60" s="156">
        <f>IF($B60=" ","",IFERROR(INDEX(MMWR_RATING_STATE_ROLLUP_QST[],MATCH($B60,MMWR_RATING_STATE_ROLLUP_QST[MMWR_RATING_STATE_ROLLUP_QST],0),MATCH(C$9,MMWR_RATING_STATE_ROLLUP_QST[#Headers],0)),"ERROR"))</f>
        <v>210</v>
      </c>
      <c r="D60" s="157">
        <f>IF($B60=" ","",IFERROR(INDEX(MMWR_RATING_STATE_ROLLUP_QST[],MATCH($B60,MMWR_RATING_STATE_ROLLUP_QST[MMWR_RATING_STATE_ROLLUP_QST],0),MATCH(D$9,MMWR_RATING_STATE_ROLLUP_QST[#Headers],0)),"ERROR"))</f>
        <v>72.761904761899999</v>
      </c>
      <c r="E60" s="158">
        <f>IF($B60=" ","",IFERROR(INDEX(MMWR_RATING_STATE_ROLLUP_QST[],MATCH($B60,MMWR_RATING_STATE_ROLLUP_QST[MMWR_RATING_STATE_ROLLUP_QST],0),MATCH(E$9,MMWR_RATING_STATE_ROLLUP_QST[#Headers],0))/$C60,"ERROR"))</f>
        <v>0.16190476190476191</v>
      </c>
      <c r="F60" s="156">
        <f>IF($B60=" ","",IFERROR(INDEX(MMWR_RATING_STATE_ROLLUP_QST[],MATCH($B60,MMWR_RATING_STATE_ROLLUP_QST[MMWR_RATING_STATE_ROLLUP_QST],0),MATCH(F$9,MMWR_RATING_STATE_ROLLUP_QST[#Headers],0)),"ERROR"))</f>
        <v>26</v>
      </c>
      <c r="G60" s="156">
        <f>IF($B60=" ","",IFERROR(INDEX(MMWR_RATING_STATE_ROLLUP_QST[],MATCH($B60,MMWR_RATING_STATE_ROLLUP_QST[MMWR_RATING_STATE_ROLLUP_QST],0),MATCH(G$9,MMWR_RATING_STATE_ROLLUP_QST[#Headers],0)),"ERROR"))</f>
        <v>445</v>
      </c>
      <c r="H60" s="157">
        <f>IF($B60=" ","",IFERROR(INDEX(MMWR_RATING_STATE_ROLLUP_QST[],MATCH($B60,MMWR_RATING_STATE_ROLLUP_QST[MMWR_RATING_STATE_ROLLUP_QST],0),MATCH(H$9,MMWR_RATING_STATE_ROLLUP_QST[#Headers],0)),"ERROR"))</f>
        <v>121.30769230769999</v>
      </c>
      <c r="I60" s="157">
        <f>IF($B60=" ","",IFERROR(INDEX(MMWR_RATING_STATE_ROLLUP_QST[],MATCH($B60,MMWR_RATING_STATE_ROLLUP_QST[MMWR_RATING_STATE_ROLLUP_QST],0),MATCH(I$9,MMWR_RATING_STATE_ROLLUP_QST[#Headers],0)),"ERROR"))</f>
        <v>136.80000000000001</v>
      </c>
      <c r="J60" s="42"/>
      <c r="K60" s="42"/>
      <c r="L60" s="42"/>
      <c r="M60" s="42"/>
      <c r="N60" s="28"/>
    </row>
    <row r="61" spans="1:14" x14ac:dyDescent="0.2">
      <c r="A61" s="25"/>
      <c r="B61" s="8" t="str">
        <f>VLOOKUP($B$15,DISTRICT_STATES[],11,0)</f>
        <v>North Carolina</v>
      </c>
      <c r="C61" s="156">
        <f>IF($B61=" ","",IFERROR(INDEX(MMWR_RATING_STATE_ROLLUP_QST[],MATCH($B61,MMWR_RATING_STATE_ROLLUP_QST[MMWR_RATING_STATE_ROLLUP_QST],0),MATCH(C$9,MMWR_RATING_STATE_ROLLUP_QST[#Headers],0)),"ERROR"))</f>
        <v>515</v>
      </c>
      <c r="D61" s="157">
        <f>IF($B61=" ","",IFERROR(INDEX(MMWR_RATING_STATE_ROLLUP_QST[],MATCH($B61,MMWR_RATING_STATE_ROLLUP_QST[MMWR_RATING_STATE_ROLLUP_QST],0),MATCH(D$9,MMWR_RATING_STATE_ROLLUP_QST[#Headers],0)),"ERROR"))</f>
        <v>73.920388349500001</v>
      </c>
      <c r="E61" s="158">
        <f>IF($B61=" ","",IFERROR(INDEX(MMWR_RATING_STATE_ROLLUP_QST[],MATCH($B61,MMWR_RATING_STATE_ROLLUP_QST[MMWR_RATING_STATE_ROLLUP_QST],0),MATCH(E$9,MMWR_RATING_STATE_ROLLUP_QST[#Headers],0))/$C61,"ERROR"))</f>
        <v>0.15145631067961166</v>
      </c>
      <c r="F61" s="156">
        <f>IF($B61=" ","",IFERROR(INDEX(MMWR_RATING_STATE_ROLLUP_QST[],MATCH($B61,MMWR_RATING_STATE_ROLLUP_QST[MMWR_RATING_STATE_ROLLUP_QST],0),MATCH(F$9,MMWR_RATING_STATE_ROLLUP_QST[#Headers],0)),"ERROR"))</f>
        <v>52</v>
      </c>
      <c r="G61" s="156">
        <f>IF($B61=" ","",IFERROR(INDEX(MMWR_RATING_STATE_ROLLUP_QST[],MATCH($B61,MMWR_RATING_STATE_ROLLUP_QST[MMWR_RATING_STATE_ROLLUP_QST],0),MATCH(G$9,MMWR_RATING_STATE_ROLLUP_QST[#Headers],0)),"ERROR"))</f>
        <v>1061</v>
      </c>
      <c r="H61" s="157">
        <f>IF($B61=" ","",IFERROR(INDEX(MMWR_RATING_STATE_ROLLUP_QST[],MATCH($B61,MMWR_RATING_STATE_ROLLUP_QST[MMWR_RATING_STATE_ROLLUP_QST],0),MATCH(H$9,MMWR_RATING_STATE_ROLLUP_QST[#Headers],0)),"ERROR"))</f>
        <v>141.92307692310001</v>
      </c>
      <c r="I61" s="157">
        <f>IF($B61=" ","",IFERROR(INDEX(MMWR_RATING_STATE_ROLLUP_QST[],MATCH($B61,MMWR_RATING_STATE_ROLLUP_QST[MMWR_RATING_STATE_ROLLUP_QST],0),MATCH(I$9,MMWR_RATING_STATE_ROLLUP_QST[#Headers],0)),"ERROR"))</f>
        <v>142.49010367579999</v>
      </c>
      <c r="J61" s="42"/>
      <c r="K61" s="42"/>
      <c r="L61" s="42"/>
      <c r="M61" s="42"/>
      <c r="N61" s="28"/>
    </row>
    <row r="62" spans="1:14" x14ac:dyDescent="0.2">
      <c r="A62" s="25"/>
      <c r="B62" s="8" t="str">
        <f>VLOOKUP($B$15,DISTRICT_STATES[],12,0)</f>
        <v>Pennsylvania</v>
      </c>
      <c r="C62" s="156">
        <f>IF($B62=" ","",IFERROR(INDEX(MMWR_RATING_STATE_ROLLUP_QST[],MATCH($B62,MMWR_RATING_STATE_ROLLUP_QST[MMWR_RATING_STATE_ROLLUP_QST],0),MATCH(C$9,MMWR_RATING_STATE_ROLLUP_QST[#Headers],0)),"ERROR"))</f>
        <v>177</v>
      </c>
      <c r="D62" s="157">
        <f>IF($B62=" ","",IFERROR(INDEX(MMWR_RATING_STATE_ROLLUP_QST[],MATCH($B62,MMWR_RATING_STATE_ROLLUP_QST[MMWR_RATING_STATE_ROLLUP_QST],0),MATCH(D$9,MMWR_RATING_STATE_ROLLUP_QST[#Headers],0)),"ERROR"))</f>
        <v>71.6836158192</v>
      </c>
      <c r="E62" s="158">
        <f>IF($B62=" ","",IFERROR(INDEX(MMWR_RATING_STATE_ROLLUP_QST[],MATCH($B62,MMWR_RATING_STATE_ROLLUP_QST[MMWR_RATING_STATE_ROLLUP_QST],0),MATCH(E$9,MMWR_RATING_STATE_ROLLUP_QST[#Headers],0))/$C62,"ERROR"))</f>
        <v>0.15819209039548024</v>
      </c>
      <c r="F62" s="156">
        <f>IF($B62=" ","",IFERROR(INDEX(MMWR_RATING_STATE_ROLLUP_QST[],MATCH($B62,MMWR_RATING_STATE_ROLLUP_QST[MMWR_RATING_STATE_ROLLUP_QST],0),MATCH(F$9,MMWR_RATING_STATE_ROLLUP_QST[#Headers],0)),"ERROR"))</f>
        <v>14</v>
      </c>
      <c r="G62" s="156">
        <f>IF($B62=" ","",IFERROR(INDEX(MMWR_RATING_STATE_ROLLUP_QST[],MATCH($B62,MMWR_RATING_STATE_ROLLUP_QST[MMWR_RATING_STATE_ROLLUP_QST],0),MATCH(G$9,MMWR_RATING_STATE_ROLLUP_QST[#Headers],0)),"ERROR"))</f>
        <v>408</v>
      </c>
      <c r="H62" s="157">
        <f>IF($B62=" ","",IFERROR(INDEX(MMWR_RATING_STATE_ROLLUP_QST[],MATCH($B62,MMWR_RATING_STATE_ROLLUP_QST[MMWR_RATING_STATE_ROLLUP_QST],0),MATCH(H$9,MMWR_RATING_STATE_ROLLUP_QST[#Headers],0)),"ERROR"))</f>
        <v>151.57142857139999</v>
      </c>
      <c r="I62" s="157">
        <f>IF($B62=" ","",IFERROR(INDEX(MMWR_RATING_STATE_ROLLUP_QST[],MATCH($B62,MMWR_RATING_STATE_ROLLUP_QST[MMWR_RATING_STATE_ROLLUP_QST],0),MATCH(I$9,MMWR_RATING_STATE_ROLLUP_QST[#Headers],0)),"ERROR"))</f>
        <v>132.568627451</v>
      </c>
      <c r="J62" s="42"/>
      <c r="K62" s="42"/>
      <c r="L62" s="42"/>
      <c r="M62" s="42"/>
      <c r="N62" s="28"/>
    </row>
    <row r="63" spans="1:14" x14ac:dyDescent="0.2">
      <c r="A63" s="25"/>
      <c r="B63" s="8" t="str">
        <f>VLOOKUP($B$15,DISTRICT_STATES[],13,0)</f>
        <v>Rhode Island</v>
      </c>
      <c r="C63" s="156">
        <f>IF($B63=" ","",IFERROR(INDEX(MMWR_RATING_STATE_ROLLUP_QST[],MATCH($B63,MMWR_RATING_STATE_ROLLUP_QST[MMWR_RATING_STATE_ROLLUP_QST],0),MATCH(C$9,MMWR_RATING_STATE_ROLLUP_QST[#Headers],0)),"ERROR"))</f>
        <v>7</v>
      </c>
      <c r="D63" s="157">
        <f>IF($B63=" ","",IFERROR(INDEX(MMWR_RATING_STATE_ROLLUP_QST[],MATCH($B63,MMWR_RATING_STATE_ROLLUP_QST[MMWR_RATING_STATE_ROLLUP_QST],0),MATCH(D$9,MMWR_RATING_STATE_ROLLUP_QST[#Headers],0)),"ERROR"))</f>
        <v>39.714285714299997</v>
      </c>
      <c r="E63" s="158">
        <f>IF($B63=" ","",IFERROR(INDEX(MMWR_RATING_STATE_ROLLUP_QST[],MATCH($B63,MMWR_RATING_STATE_ROLLUP_QST[MMWR_RATING_STATE_ROLLUP_QST],0),MATCH(E$9,MMWR_RATING_STATE_ROLLUP_QST[#Headers],0))/$C63,"ERROR"))</f>
        <v>0</v>
      </c>
      <c r="F63" s="156">
        <f>IF($B63=" ","",IFERROR(INDEX(MMWR_RATING_STATE_ROLLUP_QST[],MATCH($B63,MMWR_RATING_STATE_ROLLUP_QST[MMWR_RATING_STATE_ROLLUP_QST],0),MATCH(F$9,MMWR_RATING_STATE_ROLLUP_QST[#Headers],0)),"ERROR"))</f>
        <v>0</v>
      </c>
      <c r="G63" s="156">
        <f>IF($B63=" ","",IFERROR(INDEX(MMWR_RATING_STATE_ROLLUP_QST[],MATCH($B63,MMWR_RATING_STATE_ROLLUP_QST[MMWR_RATING_STATE_ROLLUP_QST],0),MATCH(G$9,MMWR_RATING_STATE_ROLLUP_QST[#Headers],0)),"ERROR"))</f>
        <v>28</v>
      </c>
      <c r="H63" s="157">
        <f>IF($B63=" ","",IFERROR(INDEX(MMWR_RATING_STATE_ROLLUP_QST[],MATCH($B63,MMWR_RATING_STATE_ROLLUP_QST[MMWR_RATING_STATE_ROLLUP_QST],0),MATCH(H$9,MMWR_RATING_STATE_ROLLUP_QST[#Headers],0)),"ERROR"))</f>
        <v>0</v>
      </c>
      <c r="I63" s="157">
        <f>IF($B63=" ","",IFERROR(INDEX(MMWR_RATING_STATE_ROLLUP_QST[],MATCH($B63,MMWR_RATING_STATE_ROLLUP_QST[MMWR_RATING_STATE_ROLLUP_QST],0),MATCH(I$9,MMWR_RATING_STATE_ROLLUP_QST[#Headers],0)),"ERROR"))</f>
        <v>100.3928571429</v>
      </c>
      <c r="J63" s="42"/>
      <c r="K63" s="42"/>
      <c r="L63" s="42"/>
      <c r="M63" s="42"/>
      <c r="N63" s="28"/>
    </row>
    <row r="64" spans="1:14" x14ac:dyDescent="0.2">
      <c r="A64" s="25"/>
      <c r="B64" s="8" t="str">
        <f>VLOOKUP($B$15,DISTRICT_STATES[],14,0)</f>
        <v>Vermont</v>
      </c>
      <c r="C64" s="156">
        <f>IF($B64=" ","",IFERROR(INDEX(MMWR_RATING_STATE_ROLLUP_QST[],MATCH($B64,MMWR_RATING_STATE_ROLLUP_QST[MMWR_RATING_STATE_ROLLUP_QST],0),MATCH(C$9,MMWR_RATING_STATE_ROLLUP_QST[#Headers],0)),"ERROR"))</f>
        <v>2</v>
      </c>
      <c r="D64" s="157">
        <f>IF($B64=" ","",IFERROR(INDEX(MMWR_RATING_STATE_ROLLUP_QST[],MATCH($B64,MMWR_RATING_STATE_ROLLUP_QST[MMWR_RATING_STATE_ROLLUP_QST],0),MATCH(D$9,MMWR_RATING_STATE_ROLLUP_QST[#Headers],0)),"ERROR"))</f>
        <v>32</v>
      </c>
      <c r="E64" s="158">
        <f>IF($B64=" ","",IFERROR(INDEX(MMWR_RATING_STATE_ROLLUP_QST[],MATCH($B64,MMWR_RATING_STATE_ROLLUP_QST[MMWR_RATING_STATE_ROLLUP_QST],0),MATCH(E$9,MMWR_RATING_STATE_ROLLUP_QST[#Headers],0))/$C64,"ERROR"))</f>
        <v>0</v>
      </c>
      <c r="F64" s="156">
        <f>IF($B64=" ","",IFERROR(INDEX(MMWR_RATING_STATE_ROLLUP_QST[],MATCH($B64,MMWR_RATING_STATE_ROLLUP_QST[MMWR_RATING_STATE_ROLLUP_QST],0),MATCH(F$9,MMWR_RATING_STATE_ROLLUP_QST[#Headers],0)),"ERROR"))</f>
        <v>1</v>
      </c>
      <c r="G64" s="156">
        <f>IF($B64=" ","",IFERROR(INDEX(MMWR_RATING_STATE_ROLLUP_QST[],MATCH($B64,MMWR_RATING_STATE_ROLLUP_QST[MMWR_RATING_STATE_ROLLUP_QST],0),MATCH(G$9,MMWR_RATING_STATE_ROLLUP_QST[#Headers],0)),"ERROR"))</f>
        <v>21</v>
      </c>
      <c r="H64" s="157">
        <f>IF($B64=" ","",IFERROR(INDEX(MMWR_RATING_STATE_ROLLUP_QST[],MATCH($B64,MMWR_RATING_STATE_ROLLUP_QST[MMWR_RATING_STATE_ROLLUP_QST],0),MATCH(H$9,MMWR_RATING_STATE_ROLLUP_QST[#Headers],0)),"ERROR"))</f>
        <v>131</v>
      </c>
      <c r="I64" s="157">
        <f>IF($B64=" ","",IFERROR(INDEX(MMWR_RATING_STATE_ROLLUP_QST[],MATCH($B64,MMWR_RATING_STATE_ROLLUP_QST[MMWR_RATING_STATE_ROLLUP_QST],0),MATCH(I$9,MMWR_RATING_STATE_ROLLUP_QST[#Headers],0)),"ERROR"))</f>
        <v>138.28571428570001</v>
      </c>
      <c r="J64" s="42"/>
      <c r="K64" s="42"/>
      <c r="L64" s="42"/>
      <c r="M64" s="42"/>
      <c r="N64" s="28"/>
    </row>
    <row r="65" spans="1:14" x14ac:dyDescent="0.2">
      <c r="A65" s="25"/>
      <c r="B65" s="8" t="str">
        <f>VLOOKUP($B$15,DISTRICT_STATES[],15,0)</f>
        <v>Virginia</v>
      </c>
      <c r="C65" s="156">
        <f>IF($B65=" ","",IFERROR(INDEX(MMWR_RATING_STATE_ROLLUP_QST[],MATCH($B65,MMWR_RATING_STATE_ROLLUP_QST[MMWR_RATING_STATE_ROLLUP_QST],0),MATCH(C$9,MMWR_RATING_STATE_ROLLUP_QST[#Headers],0)),"ERROR"))</f>
        <v>553</v>
      </c>
      <c r="D65" s="157">
        <f>IF($B65=" ","",IFERROR(INDEX(MMWR_RATING_STATE_ROLLUP_QST[],MATCH($B65,MMWR_RATING_STATE_ROLLUP_QST[MMWR_RATING_STATE_ROLLUP_QST],0),MATCH(D$9,MMWR_RATING_STATE_ROLLUP_QST[#Headers],0)),"ERROR"))</f>
        <v>82.661844484599996</v>
      </c>
      <c r="E65" s="158">
        <f>IF($B65=" ","",IFERROR(INDEX(MMWR_RATING_STATE_ROLLUP_QST[],MATCH($B65,MMWR_RATING_STATE_ROLLUP_QST[MMWR_RATING_STATE_ROLLUP_QST],0),MATCH(E$9,MMWR_RATING_STATE_ROLLUP_QST[#Headers],0))/$C65,"ERROR"))</f>
        <v>0.18806509945750452</v>
      </c>
      <c r="F65" s="156">
        <f>IF($B65=" ","",IFERROR(INDEX(MMWR_RATING_STATE_ROLLUP_QST[],MATCH($B65,MMWR_RATING_STATE_ROLLUP_QST[MMWR_RATING_STATE_ROLLUP_QST],0),MATCH(F$9,MMWR_RATING_STATE_ROLLUP_QST[#Headers],0)),"ERROR"))</f>
        <v>67</v>
      </c>
      <c r="G65" s="156">
        <f>IF($B65=" ","",IFERROR(INDEX(MMWR_RATING_STATE_ROLLUP_QST[],MATCH($B65,MMWR_RATING_STATE_ROLLUP_QST[MMWR_RATING_STATE_ROLLUP_QST],0),MATCH(G$9,MMWR_RATING_STATE_ROLLUP_QST[#Headers],0)),"ERROR"))</f>
        <v>1234</v>
      </c>
      <c r="H65" s="157">
        <f>IF($B65=" ","",IFERROR(INDEX(MMWR_RATING_STATE_ROLLUP_QST[],MATCH($B65,MMWR_RATING_STATE_ROLLUP_QST[MMWR_RATING_STATE_ROLLUP_QST],0),MATCH(H$9,MMWR_RATING_STATE_ROLLUP_QST[#Headers],0)),"ERROR"))</f>
        <v>154.2985074627</v>
      </c>
      <c r="I65" s="157">
        <f>IF($B65=" ","",IFERROR(INDEX(MMWR_RATING_STATE_ROLLUP_QST[],MATCH($B65,MMWR_RATING_STATE_ROLLUP_QST[MMWR_RATING_STATE_ROLLUP_QST],0),MATCH(I$9,MMWR_RATING_STATE_ROLLUP_QST[#Headers],0)),"ERROR"))</f>
        <v>149.93435980550001</v>
      </c>
      <c r="J65" s="42"/>
      <c r="K65" s="42"/>
      <c r="L65" s="42"/>
      <c r="M65" s="42"/>
      <c r="N65" s="28"/>
    </row>
    <row r="66" spans="1:14" x14ac:dyDescent="0.2">
      <c r="A66" s="25"/>
      <c r="B66" s="8" t="str">
        <f>VLOOKUP($B$15,DISTRICT_STATES[],16,0)</f>
        <v>West Virginia</v>
      </c>
      <c r="C66" s="156">
        <f>IF($B66=" ","",IFERROR(INDEX(MMWR_RATING_STATE_ROLLUP_QST[],MATCH($B66,MMWR_RATING_STATE_ROLLUP_QST[MMWR_RATING_STATE_ROLLUP_QST],0),MATCH(C$9,MMWR_RATING_STATE_ROLLUP_QST[#Headers],0)),"ERROR"))</f>
        <v>13</v>
      </c>
      <c r="D66" s="157">
        <f>IF($B66=" ","",IFERROR(INDEX(MMWR_RATING_STATE_ROLLUP_QST[],MATCH($B66,MMWR_RATING_STATE_ROLLUP_QST[MMWR_RATING_STATE_ROLLUP_QST],0),MATCH(D$9,MMWR_RATING_STATE_ROLLUP_QST[#Headers],0)),"ERROR"))</f>
        <v>62.2307692308</v>
      </c>
      <c r="E66" s="158">
        <f>IF($B66=" ","",IFERROR(INDEX(MMWR_RATING_STATE_ROLLUP_QST[],MATCH($B66,MMWR_RATING_STATE_ROLLUP_QST[MMWR_RATING_STATE_ROLLUP_QST],0),MATCH(E$9,MMWR_RATING_STATE_ROLLUP_QST[#Headers],0))/$C66,"ERROR"))</f>
        <v>7.6923076923076927E-2</v>
      </c>
      <c r="F66" s="156">
        <f>IF($B66=" ","",IFERROR(INDEX(MMWR_RATING_STATE_ROLLUP_QST[],MATCH($B66,MMWR_RATING_STATE_ROLLUP_QST[MMWR_RATING_STATE_ROLLUP_QST],0),MATCH(F$9,MMWR_RATING_STATE_ROLLUP_QST[#Headers],0)),"ERROR"))</f>
        <v>5</v>
      </c>
      <c r="G66" s="156">
        <f>IF($B66=" ","",IFERROR(INDEX(MMWR_RATING_STATE_ROLLUP_QST[],MATCH($B66,MMWR_RATING_STATE_ROLLUP_QST[MMWR_RATING_STATE_ROLLUP_QST],0),MATCH(G$9,MMWR_RATING_STATE_ROLLUP_QST[#Headers],0)),"ERROR"))</f>
        <v>60</v>
      </c>
      <c r="H66" s="157">
        <f>IF($B66=" ","",IFERROR(INDEX(MMWR_RATING_STATE_ROLLUP_QST[],MATCH($B66,MMWR_RATING_STATE_ROLLUP_QST[MMWR_RATING_STATE_ROLLUP_QST],0),MATCH(H$9,MMWR_RATING_STATE_ROLLUP_QST[#Headers],0)),"ERROR"))</f>
        <v>108.8</v>
      </c>
      <c r="I66" s="157">
        <f>IF($B66=" ","",IFERROR(INDEX(MMWR_RATING_STATE_ROLLUP_QST[],MATCH($B66,MMWR_RATING_STATE_ROLLUP_QST[MMWR_RATING_STATE_ROLLUP_QST],0),MATCH(I$9,MMWR_RATING_STATE_ROLLUP_QST[#Headers],0)),"ERROR"))</f>
        <v>126.4166666667</v>
      </c>
      <c r="J66" s="42"/>
      <c r="K66" s="42"/>
      <c r="L66" s="42"/>
      <c r="M66" s="42"/>
      <c r="N66" s="28"/>
    </row>
    <row r="67" spans="1:14" x14ac:dyDescent="0.2">
      <c r="A67" s="25"/>
      <c r="B67" s="373" t="s">
        <v>1064</v>
      </c>
      <c r="C67" s="374"/>
      <c r="D67" s="374"/>
      <c r="E67" s="374"/>
      <c r="F67" s="374"/>
      <c r="G67" s="374"/>
      <c r="H67" s="374"/>
      <c r="I67" s="374"/>
      <c r="J67" s="374"/>
      <c r="K67" s="374"/>
      <c r="L67" s="374"/>
      <c r="M67" s="386"/>
      <c r="N67" s="28"/>
    </row>
    <row r="68" spans="1:14" ht="25.5" x14ac:dyDescent="0.2">
      <c r="A68" s="25"/>
      <c r="B68" s="254" t="s">
        <v>1060</v>
      </c>
      <c r="C68" s="156">
        <f>IF($B68=" ","",IFERROR(INDEX(MMWR_RATING_STATE_ROLLUP_BDD[],MATCH($B68,MMWR_RATING_STATE_ROLLUP_BDD[MMWR_RATING_STATE_ROLLUP_BDD],0),MATCH(C$9,MMWR_RATING_STATE_ROLLUP_BDD[#Headers],0)),"ERROR"))</f>
        <v>8632</v>
      </c>
      <c r="D68" s="157">
        <f>IF($B68=" ","",IFERROR(INDEX(MMWR_RATING_STATE_ROLLUP_BDD[],MATCH($B68,MMWR_RATING_STATE_ROLLUP_BDD[MMWR_RATING_STATE_ROLLUP_BDD],0),MATCH(D$9,MMWR_RATING_STATE_ROLLUP_BDD[#Headers],0)),"ERROR"))</f>
        <v>72.964434661699997</v>
      </c>
      <c r="E68" s="158">
        <f>IF($B68=" ","",IFERROR(INDEX(MMWR_RATING_STATE_ROLLUP_BDD[],MATCH($B68,MMWR_RATING_STATE_ROLLUP_BDD[MMWR_RATING_STATE_ROLLUP_BDD],0),MATCH(E$9,MMWR_RATING_STATE_ROLLUP_BDD[#Headers],0))/$C68,"ERROR"))</f>
        <v>0.14666357738646896</v>
      </c>
      <c r="F68" s="156">
        <f>IF($B68=" ","",IFERROR(INDEX(MMWR_RATING_STATE_ROLLUP_BDD[],MATCH($B68,MMWR_RATING_STATE_ROLLUP_BDD[MMWR_RATING_STATE_ROLLUP_BDD],0),MATCH(F$9,MMWR_RATING_STATE_ROLLUP_BDD[#Headers],0)),"ERROR"))</f>
        <v>1151</v>
      </c>
      <c r="G68" s="156">
        <f>IF($B68=" ","",IFERROR(INDEX(MMWR_RATING_STATE_ROLLUP_BDD[],MATCH($B68,MMWR_RATING_STATE_ROLLUP_BDD[MMWR_RATING_STATE_ROLLUP_BDD],0),MATCH(G$9,MMWR_RATING_STATE_ROLLUP_BDD[#Headers],0)),"ERROR"))</f>
        <v>20664</v>
      </c>
      <c r="H68" s="157">
        <f>IF($B68=" ","",IFERROR(INDEX(MMWR_RATING_STATE_ROLLUP_BDD[],MATCH($B68,MMWR_RATING_STATE_ROLLUP_BDD[MMWR_RATING_STATE_ROLLUP_BDD],0),MATCH(H$9,MMWR_RATING_STATE_ROLLUP_BDD[#Headers],0)),"ERROR"))</f>
        <v>140.3119026933</v>
      </c>
      <c r="I68" s="157">
        <f>IF($B68=" ","",IFERROR(INDEX(MMWR_RATING_STATE_ROLLUP_BDD[],MATCH($B68,MMWR_RATING_STATE_ROLLUP_BDD[MMWR_RATING_STATE_ROLLUP_BDD],0),MATCH(I$9,MMWR_RATING_STATE_ROLLUP_BDD[#Headers],0)),"ERROR"))</f>
        <v>153.47439992260001</v>
      </c>
      <c r="J68" s="42"/>
      <c r="K68" s="42"/>
      <c r="L68" s="42"/>
      <c r="M68" s="42"/>
      <c r="N68" s="28"/>
    </row>
    <row r="69" spans="1:14" x14ac:dyDescent="0.2">
      <c r="A69" s="25"/>
      <c r="B69" s="252" t="str">
        <f>INDEX(DISTRICT_STATES[],MATCH($B$5,DISTRICT_RO[District],0),1)</f>
        <v>North Atlantic</v>
      </c>
      <c r="C69" s="156">
        <f>IF($B69=" ","",IFERROR(INDEX(MMWR_RATING_STATE_ROLLUP_BDD[],MATCH($B69,MMWR_RATING_STATE_ROLLUP_BDD[MMWR_RATING_STATE_ROLLUP_BDD],0),MATCH(C$9,MMWR_RATING_STATE_ROLLUP_BDD[#Headers],0)),"ERROR"))</f>
        <v>2496</v>
      </c>
      <c r="D69" s="157">
        <f>IF($B69=" ","",IFERROR(INDEX(MMWR_RATING_STATE_ROLLUP_BDD[],MATCH($B69,MMWR_RATING_STATE_ROLLUP_BDD[MMWR_RATING_STATE_ROLLUP_BDD],0),MATCH(D$9,MMWR_RATING_STATE_ROLLUP_BDD[#Headers],0)),"ERROR"))</f>
        <v>70.080528846199996</v>
      </c>
      <c r="E69" s="158">
        <f>IF($B69=" ","",IFERROR(INDEX(MMWR_RATING_STATE_ROLLUP_BDD[],MATCH($B69,MMWR_RATING_STATE_ROLLUP_BDD[MMWR_RATING_STATE_ROLLUP_BDD],0),MATCH(E$9,MMWR_RATING_STATE_ROLLUP_BDD[#Headers],0))/$C69,"ERROR"))</f>
        <v>0.13741987179487181</v>
      </c>
      <c r="F69" s="156">
        <f>IF($B69=" ","",IFERROR(INDEX(MMWR_RATING_STATE_ROLLUP_BDD[],MATCH($B69,MMWR_RATING_STATE_ROLLUP_BDD[MMWR_RATING_STATE_ROLLUP_BDD],0),MATCH(F$9,MMWR_RATING_STATE_ROLLUP_BDD[#Headers],0)),"ERROR"))</f>
        <v>265</v>
      </c>
      <c r="G69" s="156">
        <f>IF($B69=" ","",IFERROR(INDEX(MMWR_RATING_STATE_ROLLUP_BDD[],MATCH($B69,MMWR_RATING_STATE_ROLLUP_BDD[MMWR_RATING_STATE_ROLLUP_BDD],0),MATCH(G$9,MMWR_RATING_STATE_ROLLUP_BDD[#Headers],0)),"ERROR"))</f>
        <v>4576</v>
      </c>
      <c r="H69" s="157">
        <f>IF($B69=" ","",IFERROR(INDEX(MMWR_RATING_STATE_ROLLUP_BDD[],MATCH($B69,MMWR_RATING_STATE_ROLLUP_BDD[MMWR_RATING_STATE_ROLLUP_BDD],0),MATCH(H$9,MMWR_RATING_STATE_ROLLUP_BDD[#Headers],0)),"ERROR"))</f>
        <v>147.01132075469999</v>
      </c>
      <c r="I69" s="157">
        <f>IF($B69=" ","",IFERROR(INDEX(MMWR_RATING_STATE_ROLLUP_BDD[],MATCH($B69,MMWR_RATING_STATE_ROLLUP_BDD[MMWR_RATING_STATE_ROLLUP_BDD],0),MATCH(I$9,MMWR_RATING_STATE_ROLLUP_BDD[#Headers],0)),"ERROR"))</f>
        <v>139.89794580419999</v>
      </c>
      <c r="J69" s="42"/>
      <c r="K69" s="42"/>
      <c r="L69" s="42"/>
      <c r="M69" s="42"/>
      <c r="N69" s="28"/>
    </row>
    <row r="70" spans="1:14" x14ac:dyDescent="0.2">
      <c r="A70" s="25"/>
      <c r="B70" s="8" t="str">
        <f>VLOOKUP($B$15,DISTRICT_STATES[],2,0)</f>
        <v>Connecticut</v>
      </c>
      <c r="C70" s="156">
        <f>IF($B70=" ","",IFERROR(INDEX(MMWR_RATING_STATE_ROLLUP_BDD[],MATCH($B70,MMWR_RATING_STATE_ROLLUP_BDD[MMWR_RATING_STATE_ROLLUP_BDD],0),MATCH(C$9,MMWR_RATING_STATE_ROLLUP_BDD[#Headers],0)),"ERROR"))</f>
        <v>41</v>
      </c>
      <c r="D70" s="157">
        <f>IF($B70=" ","",IFERROR(INDEX(MMWR_RATING_STATE_ROLLUP_BDD[],MATCH($B70,MMWR_RATING_STATE_ROLLUP_BDD[MMWR_RATING_STATE_ROLLUP_BDD],0),MATCH(D$9,MMWR_RATING_STATE_ROLLUP_BDD[#Headers],0)),"ERROR"))</f>
        <v>53.731707317100003</v>
      </c>
      <c r="E70" s="158">
        <f>IF($B70=" ","",IFERROR(INDEX(MMWR_RATING_STATE_ROLLUP_BDD[],MATCH($B70,MMWR_RATING_STATE_ROLLUP_BDD[MMWR_RATING_STATE_ROLLUP_BDD],0),MATCH(E$9,MMWR_RATING_STATE_ROLLUP_BDD[#Headers],0))/$C70,"ERROR"))</f>
        <v>2.4390243902439025E-2</v>
      </c>
      <c r="F70" s="156">
        <f>IF($B70=" ","",IFERROR(INDEX(MMWR_RATING_STATE_ROLLUP_BDD[],MATCH($B70,MMWR_RATING_STATE_ROLLUP_BDD[MMWR_RATING_STATE_ROLLUP_BDD],0),MATCH(F$9,MMWR_RATING_STATE_ROLLUP_BDD[#Headers],0)),"ERROR"))</f>
        <v>2</v>
      </c>
      <c r="G70" s="156">
        <f>IF($B70=" ","",IFERROR(INDEX(MMWR_RATING_STATE_ROLLUP_BDD[],MATCH($B70,MMWR_RATING_STATE_ROLLUP_BDD[MMWR_RATING_STATE_ROLLUP_BDD],0),MATCH(G$9,MMWR_RATING_STATE_ROLLUP_BDD[#Headers],0)),"ERROR"))</f>
        <v>58</v>
      </c>
      <c r="H70" s="157">
        <f>IF($B70=" ","",IFERROR(INDEX(MMWR_RATING_STATE_ROLLUP_BDD[],MATCH($B70,MMWR_RATING_STATE_ROLLUP_BDD[MMWR_RATING_STATE_ROLLUP_BDD],0),MATCH(H$9,MMWR_RATING_STATE_ROLLUP_BDD[#Headers],0)),"ERROR"))</f>
        <v>124.5</v>
      </c>
      <c r="I70" s="157">
        <f>IF($B70=" ","",IFERROR(INDEX(MMWR_RATING_STATE_ROLLUP_BDD[],MATCH($B70,MMWR_RATING_STATE_ROLLUP_BDD[MMWR_RATING_STATE_ROLLUP_BDD],0),MATCH(I$9,MMWR_RATING_STATE_ROLLUP_BDD[#Headers],0)),"ERROR"))</f>
        <v>116.67241379310001</v>
      </c>
      <c r="J70" s="42"/>
      <c r="K70" s="42"/>
      <c r="L70" s="42"/>
      <c r="M70" s="42"/>
      <c r="N70" s="28"/>
    </row>
    <row r="71" spans="1:14" x14ac:dyDescent="0.2">
      <c r="A71" s="25"/>
      <c r="B71" s="8" t="str">
        <f>VLOOKUP($B$15,DISTRICT_STATES[],3,0)</f>
        <v>Delaware</v>
      </c>
      <c r="C71" s="156">
        <f>IF($B71=" ","",IFERROR(INDEX(MMWR_RATING_STATE_ROLLUP_BDD[],MATCH($B71,MMWR_RATING_STATE_ROLLUP_BDD[MMWR_RATING_STATE_ROLLUP_BDD],0),MATCH(C$9,MMWR_RATING_STATE_ROLLUP_BDD[#Headers],0)),"ERROR"))</f>
        <v>18</v>
      </c>
      <c r="D71" s="157">
        <f>IF($B71=" ","",IFERROR(INDEX(MMWR_RATING_STATE_ROLLUP_BDD[],MATCH($B71,MMWR_RATING_STATE_ROLLUP_BDD[MMWR_RATING_STATE_ROLLUP_BDD],0),MATCH(D$9,MMWR_RATING_STATE_ROLLUP_BDD[#Headers],0)),"ERROR"))</f>
        <v>82.5</v>
      </c>
      <c r="E71" s="158">
        <f>IF($B71=" ","",IFERROR(INDEX(MMWR_RATING_STATE_ROLLUP_BDD[],MATCH($B71,MMWR_RATING_STATE_ROLLUP_BDD[MMWR_RATING_STATE_ROLLUP_BDD],0),MATCH(E$9,MMWR_RATING_STATE_ROLLUP_BDD[#Headers],0))/$C71,"ERROR"))</f>
        <v>0.1111111111111111</v>
      </c>
      <c r="F71" s="156">
        <f>IF($B71=" ","",IFERROR(INDEX(MMWR_RATING_STATE_ROLLUP_BDD[],MATCH($B71,MMWR_RATING_STATE_ROLLUP_BDD[MMWR_RATING_STATE_ROLLUP_BDD],0),MATCH(F$9,MMWR_RATING_STATE_ROLLUP_BDD[#Headers],0)),"ERROR"))</f>
        <v>2</v>
      </c>
      <c r="G71" s="156">
        <f>IF($B71=" ","",IFERROR(INDEX(MMWR_RATING_STATE_ROLLUP_BDD[],MATCH($B71,MMWR_RATING_STATE_ROLLUP_BDD[MMWR_RATING_STATE_ROLLUP_BDD],0),MATCH(G$9,MMWR_RATING_STATE_ROLLUP_BDD[#Headers],0)),"ERROR"))</f>
        <v>31</v>
      </c>
      <c r="H71" s="157">
        <f>IF($B71=" ","",IFERROR(INDEX(MMWR_RATING_STATE_ROLLUP_BDD[],MATCH($B71,MMWR_RATING_STATE_ROLLUP_BDD[MMWR_RATING_STATE_ROLLUP_BDD],0),MATCH(H$9,MMWR_RATING_STATE_ROLLUP_BDD[#Headers],0)),"ERROR"))</f>
        <v>134.5</v>
      </c>
      <c r="I71" s="157">
        <f>IF($B71=" ","",IFERROR(INDEX(MMWR_RATING_STATE_ROLLUP_BDD[],MATCH($B71,MMWR_RATING_STATE_ROLLUP_BDD[MMWR_RATING_STATE_ROLLUP_BDD],0),MATCH(I$9,MMWR_RATING_STATE_ROLLUP_BDD[#Headers],0)),"ERROR"))</f>
        <v>117.77419354840001</v>
      </c>
      <c r="J71" s="42"/>
      <c r="K71" s="42"/>
      <c r="L71" s="42"/>
      <c r="M71" s="42"/>
      <c r="N71" s="28"/>
    </row>
    <row r="72" spans="1:14" x14ac:dyDescent="0.2">
      <c r="A72" s="25"/>
      <c r="B72" s="8" t="str">
        <f>VLOOKUP($B$15,DISTRICT_STATES[],4,0)</f>
        <v>District of Columbia</v>
      </c>
      <c r="C72" s="156">
        <f>IF($B72=" ","",IFERROR(INDEX(MMWR_RATING_STATE_ROLLUP_BDD[],MATCH($B72,MMWR_RATING_STATE_ROLLUP_BDD[MMWR_RATING_STATE_ROLLUP_BDD],0),MATCH(C$9,MMWR_RATING_STATE_ROLLUP_BDD[#Headers],0)),"ERROR"))</f>
        <v>19</v>
      </c>
      <c r="D72" s="157">
        <f>IF($B72=" ","",IFERROR(INDEX(MMWR_RATING_STATE_ROLLUP_BDD[],MATCH($B72,MMWR_RATING_STATE_ROLLUP_BDD[MMWR_RATING_STATE_ROLLUP_BDD],0),MATCH(D$9,MMWR_RATING_STATE_ROLLUP_BDD[#Headers],0)),"ERROR"))</f>
        <v>62.052631578899998</v>
      </c>
      <c r="E72" s="158">
        <f>IF($B72=" ","",IFERROR(INDEX(MMWR_RATING_STATE_ROLLUP_BDD[],MATCH($B72,MMWR_RATING_STATE_ROLLUP_BDD[MMWR_RATING_STATE_ROLLUP_BDD],0),MATCH(E$9,MMWR_RATING_STATE_ROLLUP_BDD[#Headers],0))/$C72,"ERROR"))</f>
        <v>0.10526315789473684</v>
      </c>
      <c r="F72" s="156">
        <f>IF($B72=" ","",IFERROR(INDEX(MMWR_RATING_STATE_ROLLUP_BDD[],MATCH($B72,MMWR_RATING_STATE_ROLLUP_BDD[MMWR_RATING_STATE_ROLLUP_BDD],0),MATCH(F$9,MMWR_RATING_STATE_ROLLUP_BDD[#Headers],0)),"ERROR"))</f>
        <v>1</v>
      </c>
      <c r="G72" s="156">
        <f>IF($B72=" ","",IFERROR(INDEX(MMWR_RATING_STATE_ROLLUP_BDD[],MATCH($B72,MMWR_RATING_STATE_ROLLUP_BDD[MMWR_RATING_STATE_ROLLUP_BDD],0),MATCH(G$9,MMWR_RATING_STATE_ROLLUP_BDD[#Headers],0)),"ERROR"))</f>
        <v>26</v>
      </c>
      <c r="H72" s="157">
        <f>IF($B72=" ","",IFERROR(INDEX(MMWR_RATING_STATE_ROLLUP_BDD[],MATCH($B72,MMWR_RATING_STATE_ROLLUP_BDD[MMWR_RATING_STATE_ROLLUP_BDD],0),MATCH(H$9,MMWR_RATING_STATE_ROLLUP_BDD[#Headers],0)),"ERROR"))</f>
        <v>130</v>
      </c>
      <c r="I72" s="157">
        <f>IF($B72=" ","",IFERROR(INDEX(MMWR_RATING_STATE_ROLLUP_BDD[],MATCH($B72,MMWR_RATING_STATE_ROLLUP_BDD[MMWR_RATING_STATE_ROLLUP_BDD],0),MATCH(I$9,MMWR_RATING_STATE_ROLLUP_BDD[#Headers],0)),"ERROR"))</f>
        <v>125.26923076920001</v>
      </c>
      <c r="J72" s="42"/>
      <c r="K72" s="42"/>
      <c r="L72" s="42"/>
      <c r="M72" s="42"/>
      <c r="N72" s="28"/>
    </row>
    <row r="73" spans="1:14" x14ac:dyDescent="0.2">
      <c r="A73" s="25"/>
      <c r="B73" s="8" t="str">
        <f>VLOOKUP($B$15,DISTRICT_STATES[],5,0)</f>
        <v>Maine</v>
      </c>
      <c r="C73" s="156">
        <f>IF($B73=" ","",IFERROR(INDEX(MMWR_RATING_STATE_ROLLUP_BDD[],MATCH($B73,MMWR_RATING_STATE_ROLLUP_BDD[MMWR_RATING_STATE_ROLLUP_BDD],0),MATCH(C$9,MMWR_RATING_STATE_ROLLUP_BDD[#Headers],0)),"ERROR"))</f>
        <v>10</v>
      </c>
      <c r="D73" s="157">
        <f>IF($B73=" ","",IFERROR(INDEX(MMWR_RATING_STATE_ROLLUP_BDD[],MATCH($B73,MMWR_RATING_STATE_ROLLUP_BDD[MMWR_RATING_STATE_ROLLUP_BDD],0),MATCH(D$9,MMWR_RATING_STATE_ROLLUP_BDD[#Headers],0)),"ERROR"))</f>
        <v>60.8</v>
      </c>
      <c r="E73" s="158">
        <f>IF($B73=" ","",IFERROR(INDEX(MMWR_RATING_STATE_ROLLUP_BDD[],MATCH($B73,MMWR_RATING_STATE_ROLLUP_BDD[MMWR_RATING_STATE_ROLLUP_BDD],0),MATCH(E$9,MMWR_RATING_STATE_ROLLUP_BDD[#Headers],0))/$C73,"ERROR"))</f>
        <v>0.1</v>
      </c>
      <c r="F73" s="156">
        <f>IF($B73=" ","",IFERROR(INDEX(MMWR_RATING_STATE_ROLLUP_BDD[],MATCH($B73,MMWR_RATING_STATE_ROLLUP_BDD[MMWR_RATING_STATE_ROLLUP_BDD],0),MATCH(F$9,MMWR_RATING_STATE_ROLLUP_BDD[#Headers],0)),"ERROR"))</f>
        <v>0</v>
      </c>
      <c r="G73" s="156">
        <f>IF($B73=" ","",IFERROR(INDEX(MMWR_RATING_STATE_ROLLUP_BDD[],MATCH($B73,MMWR_RATING_STATE_ROLLUP_BDD[MMWR_RATING_STATE_ROLLUP_BDD],0),MATCH(G$9,MMWR_RATING_STATE_ROLLUP_BDD[#Headers],0)),"ERROR"))</f>
        <v>29</v>
      </c>
      <c r="H73" s="157">
        <f>IF($B73=" ","",IFERROR(INDEX(MMWR_RATING_STATE_ROLLUP_BDD[],MATCH($B73,MMWR_RATING_STATE_ROLLUP_BDD[MMWR_RATING_STATE_ROLLUP_BDD],0),MATCH(H$9,MMWR_RATING_STATE_ROLLUP_BDD[#Headers],0)),"ERROR"))</f>
        <v>0</v>
      </c>
      <c r="I73" s="157">
        <f>IF($B73=" ","",IFERROR(INDEX(MMWR_RATING_STATE_ROLLUP_BDD[],MATCH($B73,MMWR_RATING_STATE_ROLLUP_BDD[MMWR_RATING_STATE_ROLLUP_BDD],0),MATCH(I$9,MMWR_RATING_STATE_ROLLUP_BDD[#Headers],0)),"ERROR"))</f>
        <v>122.82758620689999</v>
      </c>
      <c r="J73" s="42"/>
      <c r="K73" s="42"/>
      <c r="L73" s="42"/>
      <c r="M73" s="42"/>
      <c r="N73" s="28"/>
    </row>
    <row r="74" spans="1:14" x14ac:dyDescent="0.2">
      <c r="A74" s="25"/>
      <c r="B74" s="8" t="str">
        <f>VLOOKUP($B$15,DISTRICT_STATES[],6,0)</f>
        <v>Maryland</v>
      </c>
      <c r="C74" s="156">
        <f>IF($B74=" ","",IFERROR(INDEX(MMWR_RATING_STATE_ROLLUP_BDD[],MATCH($B74,MMWR_RATING_STATE_ROLLUP_BDD[MMWR_RATING_STATE_ROLLUP_BDD],0),MATCH(C$9,MMWR_RATING_STATE_ROLLUP_BDD[#Headers],0)),"ERROR"))</f>
        <v>261</v>
      </c>
      <c r="D74" s="157">
        <f>IF($B74=" ","",IFERROR(INDEX(MMWR_RATING_STATE_ROLLUP_BDD[],MATCH($B74,MMWR_RATING_STATE_ROLLUP_BDD[MMWR_RATING_STATE_ROLLUP_BDD],0),MATCH(D$9,MMWR_RATING_STATE_ROLLUP_BDD[#Headers],0)),"ERROR"))</f>
        <v>75.383141762500003</v>
      </c>
      <c r="E74" s="158">
        <f>IF($B74=" ","",IFERROR(INDEX(MMWR_RATING_STATE_ROLLUP_BDD[],MATCH($B74,MMWR_RATING_STATE_ROLLUP_BDD[MMWR_RATING_STATE_ROLLUP_BDD],0),MATCH(E$9,MMWR_RATING_STATE_ROLLUP_BDD[#Headers],0))/$C74,"ERROR"))</f>
        <v>0.17624521072796934</v>
      </c>
      <c r="F74" s="156">
        <f>IF($B74=" ","",IFERROR(INDEX(MMWR_RATING_STATE_ROLLUP_BDD[],MATCH($B74,MMWR_RATING_STATE_ROLLUP_BDD[MMWR_RATING_STATE_ROLLUP_BDD],0),MATCH(F$9,MMWR_RATING_STATE_ROLLUP_BDD[#Headers],0)),"ERROR"))</f>
        <v>30</v>
      </c>
      <c r="G74" s="156">
        <f>IF($B74=" ","",IFERROR(INDEX(MMWR_RATING_STATE_ROLLUP_BDD[],MATCH($B74,MMWR_RATING_STATE_ROLLUP_BDD[MMWR_RATING_STATE_ROLLUP_BDD],0),MATCH(G$9,MMWR_RATING_STATE_ROLLUP_BDD[#Headers],0)),"ERROR"))</f>
        <v>526</v>
      </c>
      <c r="H74" s="157">
        <f>IF($B74=" ","",IFERROR(INDEX(MMWR_RATING_STATE_ROLLUP_BDD[],MATCH($B74,MMWR_RATING_STATE_ROLLUP_BDD[MMWR_RATING_STATE_ROLLUP_BDD],0),MATCH(H$9,MMWR_RATING_STATE_ROLLUP_BDD[#Headers],0)),"ERROR"))</f>
        <v>156.30000000000001</v>
      </c>
      <c r="I74" s="157">
        <f>IF($B74=" ","",IFERROR(INDEX(MMWR_RATING_STATE_ROLLUP_BDD[],MATCH($B74,MMWR_RATING_STATE_ROLLUP_BDD[MMWR_RATING_STATE_ROLLUP_BDD],0),MATCH(I$9,MMWR_RATING_STATE_ROLLUP_BDD[#Headers],0)),"ERROR"))</f>
        <v>149.7965779468</v>
      </c>
      <c r="J74" s="42"/>
      <c r="K74" s="42"/>
      <c r="L74" s="42"/>
      <c r="M74" s="42"/>
      <c r="N74" s="28"/>
    </row>
    <row r="75" spans="1:14" x14ac:dyDescent="0.2">
      <c r="A75" s="25"/>
      <c r="B75" s="8" t="str">
        <f>VLOOKUP($B$15,DISTRICT_STATES[],7,0)</f>
        <v>Massachusetts</v>
      </c>
      <c r="C75" s="156">
        <f>IF($B75=" ","",IFERROR(INDEX(MMWR_RATING_STATE_ROLLUP_BDD[],MATCH($B75,MMWR_RATING_STATE_ROLLUP_BDD[MMWR_RATING_STATE_ROLLUP_BDD],0),MATCH(C$9,MMWR_RATING_STATE_ROLLUP_BDD[#Headers],0)),"ERROR"))</f>
        <v>34</v>
      </c>
      <c r="D75" s="157">
        <f>IF($B75=" ","",IFERROR(INDEX(MMWR_RATING_STATE_ROLLUP_BDD[],MATCH($B75,MMWR_RATING_STATE_ROLLUP_BDD[MMWR_RATING_STATE_ROLLUP_BDD],0),MATCH(D$9,MMWR_RATING_STATE_ROLLUP_BDD[#Headers],0)),"ERROR"))</f>
        <v>72.029411764700001</v>
      </c>
      <c r="E75" s="158">
        <f>IF($B75=" ","",IFERROR(INDEX(MMWR_RATING_STATE_ROLLUP_BDD[],MATCH($B75,MMWR_RATING_STATE_ROLLUP_BDD[MMWR_RATING_STATE_ROLLUP_BDD],0),MATCH(E$9,MMWR_RATING_STATE_ROLLUP_BDD[#Headers],0))/$C75,"ERROR"))</f>
        <v>0.17647058823529413</v>
      </c>
      <c r="F75" s="156">
        <f>IF($B75=" ","",IFERROR(INDEX(MMWR_RATING_STATE_ROLLUP_BDD[],MATCH($B75,MMWR_RATING_STATE_ROLLUP_BDD[MMWR_RATING_STATE_ROLLUP_BDD],0),MATCH(F$9,MMWR_RATING_STATE_ROLLUP_BDD[#Headers],0)),"ERROR"))</f>
        <v>4</v>
      </c>
      <c r="G75" s="156">
        <f>IF($B75=" ","",IFERROR(INDEX(MMWR_RATING_STATE_ROLLUP_BDD[],MATCH($B75,MMWR_RATING_STATE_ROLLUP_BDD[MMWR_RATING_STATE_ROLLUP_BDD],0),MATCH(G$9,MMWR_RATING_STATE_ROLLUP_BDD[#Headers],0)),"ERROR"))</f>
        <v>109</v>
      </c>
      <c r="H75" s="157">
        <f>IF($B75=" ","",IFERROR(INDEX(MMWR_RATING_STATE_ROLLUP_BDD[],MATCH($B75,MMWR_RATING_STATE_ROLLUP_BDD[MMWR_RATING_STATE_ROLLUP_BDD],0),MATCH(H$9,MMWR_RATING_STATE_ROLLUP_BDD[#Headers],0)),"ERROR"))</f>
        <v>70.25</v>
      </c>
      <c r="I75" s="157">
        <f>IF($B75=" ","",IFERROR(INDEX(MMWR_RATING_STATE_ROLLUP_BDD[],MATCH($B75,MMWR_RATING_STATE_ROLLUP_BDD[MMWR_RATING_STATE_ROLLUP_BDD],0),MATCH(I$9,MMWR_RATING_STATE_ROLLUP_BDD[#Headers],0)),"ERROR"))</f>
        <v>159.46788990830001</v>
      </c>
      <c r="J75" s="42"/>
      <c r="K75" s="42"/>
      <c r="L75" s="42"/>
      <c r="M75" s="42"/>
      <c r="N75" s="28"/>
    </row>
    <row r="76" spans="1:14" x14ac:dyDescent="0.2">
      <c r="A76" s="25"/>
      <c r="B76" s="8" t="str">
        <f>VLOOKUP($B$15,DISTRICT_STATES[],8,0)</f>
        <v>New Hampshire</v>
      </c>
      <c r="C76" s="156">
        <f>IF($B76=" ","",IFERROR(INDEX(MMWR_RATING_STATE_ROLLUP_BDD[],MATCH($B76,MMWR_RATING_STATE_ROLLUP_BDD[MMWR_RATING_STATE_ROLLUP_BDD],0),MATCH(C$9,MMWR_RATING_STATE_ROLLUP_BDD[#Headers],0)),"ERROR"))</f>
        <v>15</v>
      </c>
      <c r="D76" s="157">
        <f>IF($B76=" ","",IFERROR(INDEX(MMWR_RATING_STATE_ROLLUP_BDD[],MATCH($B76,MMWR_RATING_STATE_ROLLUP_BDD[MMWR_RATING_STATE_ROLLUP_BDD],0),MATCH(D$9,MMWR_RATING_STATE_ROLLUP_BDD[#Headers],0)),"ERROR"))</f>
        <v>77.866666666699999</v>
      </c>
      <c r="E76" s="158">
        <f>IF($B76=" ","",IFERROR(INDEX(MMWR_RATING_STATE_ROLLUP_BDD[],MATCH($B76,MMWR_RATING_STATE_ROLLUP_BDD[MMWR_RATING_STATE_ROLLUP_BDD],0),MATCH(E$9,MMWR_RATING_STATE_ROLLUP_BDD[#Headers],0))/$C76,"ERROR"))</f>
        <v>0.13333333333333333</v>
      </c>
      <c r="F76" s="156">
        <f>IF($B76=" ","",IFERROR(INDEX(MMWR_RATING_STATE_ROLLUP_BDD[],MATCH($B76,MMWR_RATING_STATE_ROLLUP_BDD[MMWR_RATING_STATE_ROLLUP_BDD],0),MATCH(F$9,MMWR_RATING_STATE_ROLLUP_BDD[#Headers],0)),"ERROR"))</f>
        <v>0</v>
      </c>
      <c r="G76" s="156">
        <f>IF($B76=" ","",IFERROR(INDEX(MMWR_RATING_STATE_ROLLUP_BDD[],MATCH($B76,MMWR_RATING_STATE_ROLLUP_BDD[MMWR_RATING_STATE_ROLLUP_BDD],0),MATCH(G$9,MMWR_RATING_STATE_ROLLUP_BDD[#Headers],0)),"ERROR"))</f>
        <v>23</v>
      </c>
      <c r="H76" s="157">
        <f>IF($B76=" ","",IFERROR(INDEX(MMWR_RATING_STATE_ROLLUP_BDD[],MATCH($B76,MMWR_RATING_STATE_ROLLUP_BDD[MMWR_RATING_STATE_ROLLUP_BDD],0),MATCH(H$9,MMWR_RATING_STATE_ROLLUP_BDD[#Headers],0)),"ERROR"))</f>
        <v>0</v>
      </c>
      <c r="I76" s="157">
        <f>IF($B76=" ","",IFERROR(INDEX(MMWR_RATING_STATE_ROLLUP_BDD[],MATCH($B76,MMWR_RATING_STATE_ROLLUP_BDD[MMWR_RATING_STATE_ROLLUP_BDD],0),MATCH(I$9,MMWR_RATING_STATE_ROLLUP_BDD[#Headers],0)),"ERROR"))</f>
        <v>159.0434782609</v>
      </c>
      <c r="J76" s="42"/>
      <c r="K76" s="42"/>
      <c r="L76" s="42"/>
      <c r="M76" s="42"/>
      <c r="N76" s="28"/>
    </row>
    <row r="77" spans="1:14" x14ac:dyDescent="0.2">
      <c r="A77" s="25"/>
      <c r="B77" s="8" t="str">
        <f>VLOOKUP($B$15,DISTRICT_STATES[],9,0)</f>
        <v>New Jersey</v>
      </c>
      <c r="C77" s="156">
        <f>IF($B77=" ","",IFERROR(INDEX(MMWR_RATING_STATE_ROLLUP_BDD[],MATCH($B77,MMWR_RATING_STATE_ROLLUP_BDD[MMWR_RATING_STATE_ROLLUP_BDD],0),MATCH(C$9,MMWR_RATING_STATE_ROLLUP_BDD[#Headers],0)),"ERROR"))</f>
        <v>59</v>
      </c>
      <c r="D77" s="157">
        <f>IF($B77=" ","",IFERROR(INDEX(MMWR_RATING_STATE_ROLLUP_BDD[],MATCH($B77,MMWR_RATING_STATE_ROLLUP_BDD[MMWR_RATING_STATE_ROLLUP_BDD],0),MATCH(D$9,MMWR_RATING_STATE_ROLLUP_BDD[#Headers],0)),"ERROR"))</f>
        <v>65.203389830500001</v>
      </c>
      <c r="E77" s="158">
        <f>IF($B77=" ","",IFERROR(INDEX(MMWR_RATING_STATE_ROLLUP_BDD[],MATCH($B77,MMWR_RATING_STATE_ROLLUP_BDD[MMWR_RATING_STATE_ROLLUP_BDD],0),MATCH(E$9,MMWR_RATING_STATE_ROLLUP_BDD[#Headers],0))/$C77,"ERROR"))</f>
        <v>6.7796610169491525E-2</v>
      </c>
      <c r="F77" s="156">
        <f>IF($B77=" ","",IFERROR(INDEX(MMWR_RATING_STATE_ROLLUP_BDD[],MATCH($B77,MMWR_RATING_STATE_ROLLUP_BDD[MMWR_RATING_STATE_ROLLUP_BDD],0),MATCH(F$9,MMWR_RATING_STATE_ROLLUP_BDD[#Headers],0)),"ERROR"))</f>
        <v>5</v>
      </c>
      <c r="G77" s="156">
        <f>IF($B77=" ","",IFERROR(INDEX(MMWR_RATING_STATE_ROLLUP_BDD[],MATCH($B77,MMWR_RATING_STATE_ROLLUP_BDD[MMWR_RATING_STATE_ROLLUP_BDD],0),MATCH(G$9,MMWR_RATING_STATE_ROLLUP_BDD[#Headers],0)),"ERROR"))</f>
        <v>153</v>
      </c>
      <c r="H77" s="157">
        <f>IF($B77=" ","",IFERROR(INDEX(MMWR_RATING_STATE_ROLLUP_BDD[],MATCH($B77,MMWR_RATING_STATE_ROLLUP_BDD[MMWR_RATING_STATE_ROLLUP_BDD],0),MATCH(H$9,MMWR_RATING_STATE_ROLLUP_BDD[#Headers],0)),"ERROR"))</f>
        <v>103.6</v>
      </c>
      <c r="I77" s="157">
        <f>IF($B77=" ","",IFERROR(INDEX(MMWR_RATING_STATE_ROLLUP_BDD[],MATCH($B77,MMWR_RATING_STATE_ROLLUP_BDD[MMWR_RATING_STATE_ROLLUP_BDD],0),MATCH(I$9,MMWR_RATING_STATE_ROLLUP_BDD[#Headers],0)),"ERROR"))</f>
        <v>144.3267973856</v>
      </c>
      <c r="J77" s="42"/>
      <c r="K77" s="42"/>
      <c r="L77" s="42"/>
      <c r="M77" s="42"/>
      <c r="N77" s="28"/>
    </row>
    <row r="78" spans="1:14" x14ac:dyDescent="0.2">
      <c r="A78" s="25"/>
      <c r="B78" s="8" t="str">
        <f>VLOOKUP($B$15,DISTRICT_STATES[],10,0)</f>
        <v>New York</v>
      </c>
      <c r="C78" s="156">
        <f>IF($B78=" ","",IFERROR(INDEX(MMWR_RATING_STATE_ROLLUP_BDD[],MATCH($B78,MMWR_RATING_STATE_ROLLUP_BDD[MMWR_RATING_STATE_ROLLUP_BDD],0),MATCH(C$9,MMWR_RATING_STATE_ROLLUP_BDD[#Headers],0)),"ERROR"))</f>
        <v>130</v>
      </c>
      <c r="D78" s="157">
        <f>IF($B78=" ","",IFERROR(INDEX(MMWR_RATING_STATE_ROLLUP_BDD[],MATCH($B78,MMWR_RATING_STATE_ROLLUP_BDD[MMWR_RATING_STATE_ROLLUP_BDD],0),MATCH(D$9,MMWR_RATING_STATE_ROLLUP_BDD[#Headers],0)),"ERROR"))</f>
        <v>75.599999999999994</v>
      </c>
      <c r="E78" s="158">
        <f>IF($B78=" ","",IFERROR(INDEX(MMWR_RATING_STATE_ROLLUP_BDD[],MATCH($B78,MMWR_RATING_STATE_ROLLUP_BDD[MMWR_RATING_STATE_ROLLUP_BDD],0),MATCH(E$9,MMWR_RATING_STATE_ROLLUP_BDD[#Headers],0))/$C78,"ERROR"))</f>
        <v>0.13076923076923078</v>
      </c>
      <c r="F78" s="156">
        <f>IF($B78=" ","",IFERROR(INDEX(MMWR_RATING_STATE_ROLLUP_BDD[],MATCH($B78,MMWR_RATING_STATE_ROLLUP_BDD[MMWR_RATING_STATE_ROLLUP_BDD],0),MATCH(F$9,MMWR_RATING_STATE_ROLLUP_BDD[#Headers],0)),"ERROR"))</f>
        <v>16</v>
      </c>
      <c r="G78" s="156">
        <f>IF($B78=" ","",IFERROR(INDEX(MMWR_RATING_STATE_ROLLUP_BDD[],MATCH($B78,MMWR_RATING_STATE_ROLLUP_BDD[MMWR_RATING_STATE_ROLLUP_BDD],0),MATCH(G$9,MMWR_RATING_STATE_ROLLUP_BDD[#Headers],0)),"ERROR"))</f>
        <v>368</v>
      </c>
      <c r="H78" s="157">
        <f>IF($B78=" ","",IFERROR(INDEX(MMWR_RATING_STATE_ROLLUP_BDD[],MATCH($B78,MMWR_RATING_STATE_ROLLUP_BDD[MMWR_RATING_STATE_ROLLUP_BDD],0),MATCH(H$9,MMWR_RATING_STATE_ROLLUP_BDD[#Headers],0)),"ERROR"))</f>
        <v>134.8125</v>
      </c>
      <c r="I78" s="157">
        <f>IF($B78=" ","",IFERROR(INDEX(MMWR_RATING_STATE_ROLLUP_BDD[],MATCH($B78,MMWR_RATING_STATE_ROLLUP_BDD[MMWR_RATING_STATE_ROLLUP_BDD],0),MATCH(I$9,MMWR_RATING_STATE_ROLLUP_BDD[#Headers],0)),"ERROR"))</f>
        <v>151.0434782609</v>
      </c>
      <c r="J78" s="42"/>
      <c r="K78" s="42"/>
      <c r="L78" s="42"/>
      <c r="M78" s="42"/>
      <c r="N78" s="28"/>
    </row>
    <row r="79" spans="1:14" x14ac:dyDescent="0.2">
      <c r="A79" s="25"/>
      <c r="B79" s="8" t="str">
        <f>VLOOKUP($B$15,DISTRICT_STATES[],11,0)</f>
        <v>North Carolina</v>
      </c>
      <c r="C79" s="156">
        <f>IF($B79=" ","",IFERROR(INDEX(MMWR_RATING_STATE_ROLLUP_BDD[],MATCH($B79,MMWR_RATING_STATE_ROLLUP_BDD[MMWR_RATING_STATE_ROLLUP_BDD],0),MATCH(C$9,MMWR_RATING_STATE_ROLLUP_BDD[#Headers],0)),"ERROR"))</f>
        <v>1013</v>
      </c>
      <c r="D79" s="157">
        <f>IF($B79=" ","",IFERROR(INDEX(MMWR_RATING_STATE_ROLLUP_BDD[],MATCH($B79,MMWR_RATING_STATE_ROLLUP_BDD[MMWR_RATING_STATE_ROLLUP_BDD],0),MATCH(D$9,MMWR_RATING_STATE_ROLLUP_BDD[#Headers],0)),"ERROR"))</f>
        <v>65.809476801599999</v>
      </c>
      <c r="E79" s="158">
        <f>IF($B79=" ","",IFERROR(INDEX(MMWR_RATING_STATE_ROLLUP_BDD[],MATCH($B79,MMWR_RATING_STATE_ROLLUP_BDD[MMWR_RATING_STATE_ROLLUP_BDD],0),MATCH(E$9,MMWR_RATING_STATE_ROLLUP_BDD[#Headers],0))/$C79,"ERROR"))</f>
        <v>0.1125370187561698</v>
      </c>
      <c r="F79" s="156">
        <f>IF($B79=" ","",IFERROR(INDEX(MMWR_RATING_STATE_ROLLUP_BDD[],MATCH($B79,MMWR_RATING_STATE_ROLLUP_BDD[MMWR_RATING_STATE_ROLLUP_BDD],0),MATCH(F$9,MMWR_RATING_STATE_ROLLUP_BDD[#Headers],0)),"ERROR"))</f>
        <v>93</v>
      </c>
      <c r="G79" s="156">
        <f>IF($B79=" ","",IFERROR(INDEX(MMWR_RATING_STATE_ROLLUP_BDD[],MATCH($B79,MMWR_RATING_STATE_ROLLUP_BDD[MMWR_RATING_STATE_ROLLUP_BDD],0),MATCH(G$9,MMWR_RATING_STATE_ROLLUP_BDD[#Headers],0)),"ERROR"))</f>
        <v>1423</v>
      </c>
      <c r="H79" s="157">
        <f>IF($B79=" ","",IFERROR(INDEX(MMWR_RATING_STATE_ROLLUP_BDD[],MATCH($B79,MMWR_RATING_STATE_ROLLUP_BDD[MMWR_RATING_STATE_ROLLUP_BDD],0),MATCH(H$9,MMWR_RATING_STATE_ROLLUP_BDD[#Headers],0)),"ERROR"))</f>
        <v>140</v>
      </c>
      <c r="I79" s="157">
        <f>IF($B79=" ","",IFERROR(INDEX(MMWR_RATING_STATE_ROLLUP_BDD[],MATCH($B79,MMWR_RATING_STATE_ROLLUP_BDD[MMWR_RATING_STATE_ROLLUP_BDD],0),MATCH(I$9,MMWR_RATING_STATE_ROLLUP_BDD[#Headers],0)),"ERROR"))</f>
        <v>128.51089248069999</v>
      </c>
      <c r="J79" s="42"/>
      <c r="K79" s="42"/>
      <c r="L79" s="42"/>
      <c r="M79" s="42"/>
      <c r="N79" s="28"/>
    </row>
    <row r="80" spans="1:14" x14ac:dyDescent="0.2">
      <c r="A80" s="25"/>
      <c r="B80" s="8" t="str">
        <f>VLOOKUP($B$15,DISTRICT_STATES[],12,0)</f>
        <v>Pennsylvania</v>
      </c>
      <c r="C80" s="156">
        <f>IF($B80=" ","",IFERROR(INDEX(MMWR_RATING_STATE_ROLLUP_BDD[],MATCH($B80,MMWR_RATING_STATE_ROLLUP_BDD[MMWR_RATING_STATE_ROLLUP_BDD],0),MATCH(C$9,MMWR_RATING_STATE_ROLLUP_BDD[#Headers],0)),"ERROR"))</f>
        <v>90</v>
      </c>
      <c r="D80" s="157">
        <f>IF($B80=" ","",IFERROR(INDEX(MMWR_RATING_STATE_ROLLUP_BDD[],MATCH($B80,MMWR_RATING_STATE_ROLLUP_BDD[MMWR_RATING_STATE_ROLLUP_BDD],0),MATCH(D$9,MMWR_RATING_STATE_ROLLUP_BDD[#Headers],0)),"ERROR"))</f>
        <v>72.9555555556</v>
      </c>
      <c r="E80" s="158">
        <f>IF($B80=" ","",IFERROR(INDEX(MMWR_RATING_STATE_ROLLUP_BDD[],MATCH($B80,MMWR_RATING_STATE_ROLLUP_BDD[MMWR_RATING_STATE_ROLLUP_BDD],0),MATCH(E$9,MMWR_RATING_STATE_ROLLUP_BDD[#Headers],0))/$C80,"ERROR"))</f>
        <v>0.16666666666666666</v>
      </c>
      <c r="F80" s="156">
        <f>IF($B80=" ","",IFERROR(INDEX(MMWR_RATING_STATE_ROLLUP_BDD[],MATCH($B80,MMWR_RATING_STATE_ROLLUP_BDD[MMWR_RATING_STATE_ROLLUP_BDD],0),MATCH(F$9,MMWR_RATING_STATE_ROLLUP_BDD[#Headers],0)),"ERROR"))</f>
        <v>15</v>
      </c>
      <c r="G80" s="156">
        <f>IF($B80=" ","",IFERROR(INDEX(MMWR_RATING_STATE_ROLLUP_BDD[],MATCH($B80,MMWR_RATING_STATE_ROLLUP_BDD[MMWR_RATING_STATE_ROLLUP_BDD],0),MATCH(G$9,MMWR_RATING_STATE_ROLLUP_BDD[#Headers],0)),"ERROR"))</f>
        <v>277</v>
      </c>
      <c r="H80" s="157">
        <f>IF($B80=" ","",IFERROR(INDEX(MMWR_RATING_STATE_ROLLUP_BDD[],MATCH($B80,MMWR_RATING_STATE_ROLLUP_BDD[MMWR_RATING_STATE_ROLLUP_BDD],0),MATCH(H$9,MMWR_RATING_STATE_ROLLUP_BDD[#Headers],0)),"ERROR"))</f>
        <v>162.6</v>
      </c>
      <c r="I80" s="157">
        <f>IF($B80=" ","",IFERROR(INDEX(MMWR_RATING_STATE_ROLLUP_BDD[],MATCH($B80,MMWR_RATING_STATE_ROLLUP_BDD[MMWR_RATING_STATE_ROLLUP_BDD],0),MATCH(I$9,MMWR_RATING_STATE_ROLLUP_BDD[#Headers],0)),"ERROR"))</f>
        <v>153.03249097470001</v>
      </c>
      <c r="J80" s="42"/>
      <c r="K80" s="42"/>
      <c r="L80" s="42"/>
      <c r="M80" s="42"/>
      <c r="N80" s="28"/>
    </row>
    <row r="81" spans="1:14" x14ac:dyDescent="0.2">
      <c r="A81" s="25"/>
      <c r="B81" s="8" t="str">
        <f>VLOOKUP($B$15,DISTRICT_STATES[],13,0)</f>
        <v>Rhode Island</v>
      </c>
      <c r="C81" s="156">
        <f>IF($B81=" ","",IFERROR(INDEX(MMWR_RATING_STATE_ROLLUP_BDD[],MATCH($B81,MMWR_RATING_STATE_ROLLUP_BDD[MMWR_RATING_STATE_ROLLUP_BDD],0),MATCH(C$9,MMWR_RATING_STATE_ROLLUP_BDD[#Headers],0)),"ERROR"))</f>
        <v>3</v>
      </c>
      <c r="D81" s="157">
        <f>IF($B81=" ","",IFERROR(INDEX(MMWR_RATING_STATE_ROLLUP_BDD[],MATCH($B81,MMWR_RATING_STATE_ROLLUP_BDD[MMWR_RATING_STATE_ROLLUP_BDD],0),MATCH(D$9,MMWR_RATING_STATE_ROLLUP_BDD[#Headers],0)),"ERROR"))</f>
        <v>43.333333333299997</v>
      </c>
      <c r="E81" s="158">
        <f>IF($B81=" ","",IFERROR(INDEX(MMWR_RATING_STATE_ROLLUP_BDD[],MATCH($B81,MMWR_RATING_STATE_ROLLUP_BDD[MMWR_RATING_STATE_ROLLUP_BDD],0),MATCH(E$9,MMWR_RATING_STATE_ROLLUP_BDD[#Headers],0))/$C81,"ERROR"))</f>
        <v>0</v>
      </c>
      <c r="F81" s="156">
        <f>IF($B81=" ","",IFERROR(INDEX(MMWR_RATING_STATE_ROLLUP_BDD[],MATCH($B81,MMWR_RATING_STATE_ROLLUP_BDD[MMWR_RATING_STATE_ROLLUP_BDD],0),MATCH(F$9,MMWR_RATING_STATE_ROLLUP_BDD[#Headers],0)),"ERROR"))</f>
        <v>0</v>
      </c>
      <c r="G81" s="156">
        <f>IF($B81=" ","",IFERROR(INDEX(MMWR_RATING_STATE_ROLLUP_BDD[],MATCH($B81,MMWR_RATING_STATE_ROLLUP_BDD[MMWR_RATING_STATE_ROLLUP_BDD],0),MATCH(G$9,MMWR_RATING_STATE_ROLLUP_BDD[#Headers],0)),"ERROR"))</f>
        <v>13</v>
      </c>
      <c r="H81" s="157">
        <f>IF($B81=" ","",IFERROR(INDEX(MMWR_RATING_STATE_ROLLUP_BDD[],MATCH($B81,MMWR_RATING_STATE_ROLLUP_BDD[MMWR_RATING_STATE_ROLLUP_BDD],0),MATCH(H$9,MMWR_RATING_STATE_ROLLUP_BDD[#Headers],0)),"ERROR"))</f>
        <v>0</v>
      </c>
      <c r="I81" s="157">
        <f>IF($B81=" ","",IFERROR(INDEX(MMWR_RATING_STATE_ROLLUP_BDD[],MATCH($B81,MMWR_RATING_STATE_ROLLUP_BDD[MMWR_RATING_STATE_ROLLUP_BDD],0),MATCH(I$9,MMWR_RATING_STATE_ROLLUP_BDD[#Headers],0)),"ERROR"))</f>
        <v>145.92307692310001</v>
      </c>
      <c r="J81" s="42"/>
      <c r="K81" s="42"/>
      <c r="L81" s="42"/>
      <c r="M81" s="42"/>
      <c r="N81" s="28"/>
    </row>
    <row r="82" spans="1:14" x14ac:dyDescent="0.2">
      <c r="A82" s="25"/>
      <c r="B82" s="8" t="str">
        <f>VLOOKUP($B$15,DISTRICT_STATES[],14,0)</f>
        <v>Vermont</v>
      </c>
      <c r="C82" s="156">
        <f>IF($B82=" ","",IFERROR(INDEX(MMWR_RATING_STATE_ROLLUP_BDD[],MATCH($B82,MMWR_RATING_STATE_ROLLUP_BDD[MMWR_RATING_STATE_ROLLUP_BDD],0),MATCH(C$9,MMWR_RATING_STATE_ROLLUP_BDD[#Headers],0)),"ERROR"))</f>
        <v>4</v>
      </c>
      <c r="D82" s="157">
        <f>IF($B82=" ","",IFERROR(INDEX(MMWR_RATING_STATE_ROLLUP_BDD[],MATCH($B82,MMWR_RATING_STATE_ROLLUP_BDD[MMWR_RATING_STATE_ROLLUP_BDD],0),MATCH(D$9,MMWR_RATING_STATE_ROLLUP_BDD[#Headers],0)),"ERROR"))</f>
        <v>80.75</v>
      </c>
      <c r="E82" s="158">
        <f>IF($B82=" ","",IFERROR(INDEX(MMWR_RATING_STATE_ROLLUP_BDD[],MATCH($B82,MMWR_RATING_STATE_ROLLUP_BDD[MMWR_RATING_STATE_ROLLUP_BDD],0),MATCH(E$9,MMWR_RATING_STATE_ROLLUP_BDD[#Headers],0))/$C82,"ERROR"))</f>
        <v>0</v>
      </c>
      <c r="F82" s="156">
        <f>IF($B82=" ","",IFERROR(INDEX(MMWR_RATING_STATE_ROLLUP_BDD[],MATCH($B82,MMWR_RATING_STATE_ROLLUP_BDD[MMWR_RATING_STATE_ROLLUP_BDD],0),MATCH(F$9,MMWR_RATING_STATE_ROLLUP_BDD[#Headers],0)),"ERROR"))</f>
        <v>0</v>
      </c>
      <c r="G82" s="156">
        <f>IF($B82=" ","",IFERROR(INDEX(MMWR_RATING_STATE_ROLLUP_BDD[],MATCH($B82,MMWR_RATING_STATE_ROLLUP_BDD[MMWR_RATING_STATE_ROLLUP_BDD],0),MATCH(G$9,MMWR_RATING_STATE_ROLLUP_BDD[#Headers],0)),"ERROR"))</f>
        <v>14</v>
      </c>
      <c r="H82" s="157">
        <f>IF($B82=" ","",IFERROR(INDEX(MMWR_RATING_STATE_ROLLUP_BDD[],MATCH($B82,MMWR_RATING_STATE_ROLLUP_BDD[MMWR_RATING_STATE_ROLLUP_BDD],0),MATCH(H$9,MMWR_RATING_STATE_ROLLUP_BDD[#Headers],0)),"ERROR"))</f>
        <v>0</v>
      </c>
      <c r="I82" s="157">
        <f>IF($B82=" ","",IFERROR(INDEX(MMWR_RATING_STATE_ROLLUP_BDD[],MATCH($B82,MMWR_RATING_STATE_ROLLUP_BDD[MMWR_RATING_STATE_ROLLUP_BDD],0),MATCH(I$9,MMWR_RATING_STATE_ROLLUP_BDD[#Headers],0)),"ERROR"))</f>
        <v>160.57142857139999</v>
      </c>
      <c r="J82" s="42"/>
      <c r="K82" s="42"/>
      <c r="L82" s="42"/>
      <c r="M82" s="42"/>
      <c r="N82" s="28"/>
    </row>
    <row r="83" spans="1:14" x14ac:dyDescent="0.2">
      <c r="A83" s="25"/>
      <c r="B83" s="8" t="str">
        <f>VLOOKUP($B$15,DISTRICT_STATES[],15,0)</f>
        <v>Virginia</v>
      </c>
      <c r="C83" s="156">
        <f>IF($B83=" ","",IFERROR(INDEX(MMWR_RATING_STATE_ROLLUP_BDD[],MATCH($B83,MMWR_RATING_STATE_ROLLUP_BDD[MMWR_RATING_STATE_ROLLUP_BDD],0),MATCH(C$9,MMWR_RATING_STATE_ROLLUP_BDD[#Headers],0)),"ERROR"))</f>
        <v>780</v>
      </c>
      <c r="D83" s="157">
        <f>IF($B83=" ","",IFERROR(INDEX(MMWR_RATING_STATE_ROLLUP_BDD[],MATCH($B83,MMWR_RATING_STATE_ROLLUP_BDD[MMWR_RATING_STATE_ROLLUP_BDD],0),MATCH(D$9,MMWR_RATING_STATE_ROLLUP_BDD[#Headers],0)),"ERROR"))</f>
        <v>73.901282051300001</v>
      </c>
      <c r="E83" s="158">
        <f>IF($B83=" ","",IFERROR(INDEX(MMWR_RATING_STATE_ROLLUP_BDD[],MATCH($B83,MMWR_RATING_STATE_ROLLUP_BDD[MMWR_RATING_STATE_ROLLUP_BDD],0),MATCH(E$9,MMWR_RATING_STATE_ROLLUP_BDD[#Headers],0))/$C83,"ERROR"))</f>
        <v>0.16794871794871793</v>
      </c>
      <c r="F83" s="156">
        <f>IF($B83=" ","",IFERROR(INDEX(MMWR_RATING_STATE_ROLLUP_BDD[],MATCH($B83,MMWR_RATING_STATE_ROLLUP_BDD[MMWR_RATING_STATE_ROLLUP_BDD],0),MATCH(F$9,MMWR_RATING_STATE_ROLLUP_BDD[#Headers],0)),"ERROR"))</f>
        <v>95</v>
      </c>
      <c r="G83" s="156">
        <f>IF($B83=" ","",IFERROR(INDEX(MMWR_RATING_STATE_ROLLUP_BDD[],MATCH($B83,MMWR_RATING_STATE_ROLLUP_BDD[MMWR_RATING_STATE_ROLLUP_BDD],0),MATCH(G$9,MMWR_RATING_STATE_ROLLUP_BDD[#Headers],0)),"ERROR"))</f>
        <v>1472</v>
      </c>
      <c r="H83" s="157">
        <f>IF($B83=" ","",IFERROR(INDEX(MMWR_RATING_STATE_ROLLUP_BDD[],MATCH($B83,MMWR_RATING_STATE_ROLLUP_BDD[MMWR_RATING_STATE_ROLLUP_BDD],0),MATCH(H$9,MMWR_RATING_STATE_ROLLUP_BDD[#Headers],0)),"ERROR"))</f>
        <v>156.9368421053</v>
      </c>
      <c r="I83" s="157">
        <f>IF($B83=" ","",IFERROR(INDEX(MMWR_RATING_STATE_ROLLUP_BDD[],MATCH($B83,MMWR_RATING_STATE_ROLLUP_BDD[MMWR_RATING_STATE_ROLLUP_BDD],0),MATCH(I$9,MMWR_RATING_STATE_ROLLUP_BDD[#Headers],0)),"ERROR"))</f>
        <v>140.9028532609</v>
      </c>
      <c r="J83" s="42"/>
      <c r="K83" s="42"/>
      <c r="L83" s="42"/>
      <c r="M83" s="42"/>
      <c r="N83" s="28"/>
    </row>
    <row r="84" spans="1:14" x14ac:dyDescent="0.2">
      <c r="A84" s="25"/>
      <c r="B84" s="253" t="str">
        <f>VLOOKUP($B$15,DISTRICT_STATES[],16,0)</f>
        <v>West Virginia</v>
      </c>
      <c r="C84" s="156">
        <f>IF($B84=" ","",IFERROR(INDEX(MMWR_RATING_STATE_ROLLUP_BDD[],MATCH($B84,MMWR_RATING_STATE_ROLLUP_BDD[MMWR_RATING_STATE_ROLLUP_BDD],0),MATCH(C$9,MMWR_RATING_STATE_ROLLUP_BDD[#Headers],0)),"ERROR"))</f>
        <v>19</v>
      </c>
      <c r="D84" s="157">
        <f>IF($B84=" ","",IFERROR(INDEX(MMWR_RATING_STATE_ROLLUP_BDD[],MATCH($B84,MMWR_RATING_STATE_ROLLUP_BDD[MMWR_RATING_STATE_ROLLUP_BDD],0),MATCH(D$9,MMWR_RATING_STATE_ROLLUP_BDD[#Headers],0)),"ERROR"))</f>
        <v>60.631578947400001</v>
      </c>
      <c r="E84" s="158">
        <f>IF($B84=" ","",IFERROR(INDEX(MMWR_RATING_STATE_ROLLUP_BDD[],MATCH($B84,MMWR_RATING_STATE_ROLLUP_BDD[MMWR_RATING_STATE_ROLLUP_BDD],0),MATCH(E$9,MMWR_RATING_STATE_ROLLUP_BDD[#Headers],0))/$C84,"ERROR"))</f>
        <v>0.10526315789473684</v>
      </c>
      <c r="F84" s="156">
        <f>IF($B84=" ","",IFERROR(INDEX(MMWR_RATING_STATE_ROLLUP_BDD[],MATCH($B84,MMWR_RATING_STATE_ROLLUP_BDD[MMWR_RATING_STATE_ROLLUP_BDD],0),MATCH(F$9,MMWR_RATING_STATE_ROLLUP_BDD[#Headers],0)),"ERROR"))</f>
        <v>2</v>
      </c>
      <c r="G84" s="156">
        <f>IF($B84=" ","",IFERROR(INDEX(MMWR_RATING_STATE_ROLLUP_BDD[],MATCH($B84,MMWR_RATING_STATE_ROLLUP_BDD[MMWR_RATING_STATE_ROLLUP_BDD],0),MATCH(G$9,MMWR_RATING_STATE_ROLLUP_BDD[#Headers],0)),"ERROR"))</f>
        <v>54</v>
      </c>
      <c r="H84" s="157">
        <f>IF($B84=" ","",IFERROR(INDEX(MMWR_RATING_STATE_ROLLUP_BDD[],MATCH($B84,MMWR_RATING_STATE_ROLLUP_BDD[MMWR_RATING_STATE_ROLLUP_BDD],0),MATCH(H$9,MMWR_RATING_STATE_ROLLUP_BDD[#Headers],0)),"ERROR"))</f>
        <v>148.5</v>
      </c>
      <c r="I84" s="157">
        <f>IF($B84=" ","",IFERROR(INDEX(MMWR_RATING_STATE_ROLLUP_BDD[],MATCH($B84,MMWR_RATING_STATE_ROLLUP_BDD[MMWR_RATING_STATE_ROLLUP_BDD],0),MATCH(I$9,MMWR_RATING_STATE_ROLLUP_BDD[#Headers],0)),"ERROR"))</f>
        <v>159.6666666667</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A3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0" priority="18">
      <formula>IF(OR(ISERROR(A1),A1="ERROR"),TRUE,FALSE)</formula>
    </cfRule>
  </conditionalFormatting>
  <conditionalFormatting sqref="A30 J30:N30">
    <cfRule type="expression" dxfId="429" priority="17">
      <formula>IF(OR(ISERROR(A30),A30="ERROR"),TRUE,FALSE)</formula>
    </cfRule>
  </conditionalFormatting>
  <conditionalFormatting sqref="B4">
    <cfRule type="expression" dxfId="428" priority="16">
      <formula>IF(OR(ISERROR(B4),B4="ERROR"),TRUE,FALSE)</formula>
    </cfRule>
  </conditionalFormatting>
  <conditionalFormatting sqref="B33:B48">
    <cfRule type="expression" dxfId="427" priority="14">
      <formula>IF(OR(ISERROR(B33),B33="ERROR"),TRUE,FALSE)</formula>
    </cfRule>
  </conditionalFormatting>
  <conditionalFormatting sqref="B51:B66">
    <cfRule type="expression" dxfId="426" priority="13">
      <formula>IF(OR(ISERROR(B51),B51="ERROR"),TRUE,FALSE)</formula>
    </cfRule>
  </conditionalFormatting>
  <conditionalFormatting sqref="B69:B84">
    <cfRule type="expression" dxfId="425" priority="12">
      <formula>IF(OR(ISERROR(B69),B69="ERROR"),TRUE,FALSE)</formula>
    </cfRule>
  </conditionalFormatting>
  <conditionalFormatting sqref="B14:I14">
    <cfRule type="expression" dxfId="424" priority="8">
      <formula>IF(OR(ISERROR(B13),B14="ERROR"),TRUE,FALSE)</formula>
    </cfRule>
  </conditionalFormatting>
  <conditionalFormatting sqref="C33:I48">
    <cfRule type="expression" dxfId="423" priority="7">
      <formula>IF(OR(ISERROR(C33),C33="ERROR"),TRUE,FALSE)</formula>
    </cfRule>
  </conditionalFormatting>
  <conditionalFormatting sqref="C32:I32">
    <cfRule type="expression" dxfId="422" priority="6">
      <formula>IF(OR(ISERROR(C31),C32="ERROR"),TRUE,FALSE)</formula>
    </cfRule>
  </conditionalFormatting>
  <conditionalFormatting sqref="C51:I66">
    <cfRule type="expression" dxfId="421" priority="5">
      <formula>IF(OR(ISERROR(C51),C51="ERROR"),TRUE,FALSE)</formula>
    </cfRule>
  </conditionalFormatting>
  <conditionalFormatting sqref="C50:I50">
    <cfRule type="expression" dxfId="420" priority="4">
      <formula>IF(OR(ISERROR(C49),C50="ERROR"),TRUE,FALSE)</formula>
    </cfRule>
  </conditionalFormatting>
  <conditionalFormatting sqref="C69:I84">
    <cfRule type="expression" dxfId="419" priority="3">
      <formula>IF(OR(ISERROR(C69),C69="ERROR"),TRUE,FALSE)</formula>
    </cfRule>
  </conditionalFormatting>
  <conditionalFormatting sqref="C68:I68">
    <cfRule type="expression" dxfId="418" priority="2">
      <formula>IF(OR(ISERROR(C67),C68="ERROR"),TRUE,FALSE)</formula>
    </cfRule>
  </conditionalFormatting>
  <conditionalFormatting sqref="C5:O5">
    <cfRule type="expression" dxfId="417"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5"/>
      <c r="D1" s="55"/>
      <c r="E1" s="55"/>
      <c r="F1" s="55"/>
      <c r="G1" s="55"/>
      <c r="H1" s="55"/>
      <c r="I1" s="55"/>
      <c r="J1" s="55"/>
      <c r="K1" s="55"/>
      <c r="L1" s="55"/>
      <c r="M1" s="55"/>
      <c r="N1" s="55"/>
      <c r="O1" s="55"/>
      <c r="P1" s="55"/>
      <c r="Q1" s="55"/>
      <c r="R1" s="55"/>
      <c r="S1" s="55"/>
      <c r="T1" s="55"/>
      <c r="U1" s="55"/>
      <c r="V1" s="25"/>
    </row>
    <row r="2" spans="1:22" s="1" customFormat="1" ht="27" thickBot="1" x14ac:dyDescent="0.45">
      <c r="A2" s="25"/>
      <c r="B2" s="414" t="s">
        <v>305</v>
      </c>
      <c r="C2" s="415"/>
      <c r="D2" s="415"/>
      <c r="E2" s="415"/>
      <c r="F2" s="415"/>
      <c r="G2" s="415"/>
      <c r="H2" s="415"/>
      <c r="I2" s="415"/>
      <c r="J2" s="415"/>
      <c r="K2" s="415"/>
      <c r="L2" s="415"/>
      <c r="M2" s="415"/>
      <c r="N2" s="415"/>
      <c r="O2" s="415"/>
      <c r="P2" s="415"/>
      <c r="Q2" s="415"/>
      <c r="R2" s="415"/>
      <c r="S2" s="415"/>
      <c r="T2" s="415"/>
      <c r="U2" s="416"/>
      <c r="V2" s="25"/>
    </row>
    <row r="3" spans="1:22" s="1" customFormat="1" ht="63" customHeight="1" thickBot="1" x14ac:dyDescent="0.25">
      <c r="A3" s="25"/>
      <c r="B3" s="423" t="s">
        <v>320</v>
      </c>
      <c r="C3" s="424"/>
      <c r="D3" s="424"/>
      <c r="E3" s="424"/>
      <c r="F3" s="424"/>
      <c r="G3" s="424"/>
      <c r="H3" s="424"/>
      <c r="I3" s="424"/>
      <c r="J3" s="424"/>
      <c r="K3" s="424"/>
      <c r="L3" s="424"/>
      <c r="M3" s="424"/>
      <c r="N3" s="424"/>
      <c r="O3" s="424"/>
      <c r="P3" s="424"/>
      <c r="Q3" s="424"/>
      <c r="R3" s="424"/>
      <c r="S3" s="424"/>
      <c r="T3" s="424"/>
      <c r="U3" s="425"/>
      <c r="V3" s="25"/>
    </row>
    <row r="4" spans="1:22" s="1" customFormat="1" ht="32.25" customHeight="1" thickBot="1" x14ac:dyDescent="0.25">
      <c r="A4" s="25"/>
      <c r="B4" s="420" t="str">
        <f>Transformation!B4</f>
        <v>As of: July 18, 2015</v>
      </c>
      <c r="C4" s="421"/>
      <c r="D4" s="421"/>
      <c r="E4" s="421"/>
      <c r="F4" s="421"/>
      <c r="G4" s="421"/>
      <c r="H4" s="421"/>
      <c r="I4" s="421"/>
      <c r="J4" s="421"/>
      <c r="K4" s="421"/>
      <c r="L4" s="421"/>
      <c r="M4" s="421"/>
      <c r="N4" s="421"/>
      <c r="O4" s="421"/>
      <c r="P4" s="421"/>
      <c r="Q4" s="421"/>
      <c r="R4" s="421"/>
      <c r="S4" s="421"/>
      <c r="T4" s="421"/>
      <c r="U4" s="422"/>
      <c r="V4" s="25"/>
    </row>
    <row r="5" spans="1:22" s="1" customFormat="1" ht="27" customHeight="1" thickBot="1" x14ac:dyDescent="0.45">
      <c r="A5" s="25"/>
      <c r="B5" s="427" t="s">
        <v>247</v>
      </c>
      <c r="C5" s="428"/>
      <c r="D5" s="428"/>
      <c r="E5" s="428"/>
      <c r="F5" s="428"/>
      <c r="G5" s="428"/>
      <c r="H5" s="429"/>
      <c r="I5" s="56"/>
      <c r="J5" s="427" t="s">
        <v>244</v>
      </c>
      <c r="K5" s="428"/>
      <c r="L5" s="428"/>
      <c r="M5" s="428"/>
      <c r="N5" s="429"/>
      <c r="O5" s="57"/>
      <c r="P5" s="430" t="s">
        <v>11</v>
      </c>
      <c r="Q5" s="431"/>
      <c r="R5" s="431"/>
      <c r="S5" s="431"/>
      <c r="T5" s="431"/>
      <c r="U5" s="432"/>
      <c r="V5" s="25"/>
    </row>
    <row r="6" spans="1:22" s="1" customFormat="1" ht="65.25" customHeight="1" thickBot="1" x14ac:dyDescent="0.25">
      <c r="A6" s="25"/>
      <c r="B6" s="417" t="s">
        <v>288</v>
      </c>
      <c r="C6" s="418"/>
      <c r="D6" s="418"/>
      <c r="E6" s="419"/>
      <c r="F6" s="58" t="s">
        <v>12</v>
      </c>
      <c r="G6" s="59" t="s">
        <v>3</v>
      </c>
      <c r="H6" s="60" t="s">
        <v>4</v>
      </c>
      <c r="I6" s="25"/>
      <c r="J6" s="406" t="s">
        <v>288</v>
      </c>
      <c r="K6" s="407"/>
      <c r="L6" s="61" t="s">
        <v>12</v>
      </c>
      <c r="M6" s="62" t="s">
        <v>3</v>
      </c>
      <c r="N6" s="63" t="s">
        <v>4</v>
      </c>
      <c r="O6" s="64"/>
      <c r="P6" s="433" t="s">
        <v>288</v>
      </c>
      <c r="Q6" s="434"/>
      <c r="R6" s="65" t="s">
        <v>498</v>
      </c>
      <c r="S6" s="435" t="s">
        <v>288</v>
      </c>
      <c r="T6" s="436"/>
      <c r="U6" s="66" t="s">
        <v>140</v>
      </c>
      <c r="V6" s="25"/>
    </row>
    <row r="7" spans="1:22" s="1" customFormat="1" ht="32.25" customHeight="1" thickBot="1" x14ac:dyDescent="0.25">
      <c r="A7" s="25"/>
      <c r="B7" s="400" t="s">
        <v>307</v>
      </c>
      <c r="C7" s="401"/>
      <c r="D7" s="401"/>
      <c r="E7" s="401"/>
      <c r="F7" s="170">
        <f>SUM(F8:F10)</f>
        <v>134440</v>
      </c>
      <c r="G7" s="171">
        <f>SUM(G8:G10)</f>
        <v>50620</v>
      </c>
      <c r="H7" s="172">
        <f t="shared" ref="H7:H44" si="0">IF(G7="--", 0, G7/F7)</f>
        <v>0.37652484379648915</v>
      </c>
      <c r="I7" s="25"/>
      <c r="J7" s="400" t="s">
        <v>273</v>
      </c>
      <c r="K7" s="401"/>
      <c r="L7" s="171">
        <f>SUM(L8:L10)</f>
        <v>23394</v>
      </c>
      <c r="M7" s="171">
        <f>SUM(M8:M10)</f>
        <v>2776</v>
      </c>
      <c r="N7" s="182">
        <f>IF(M7="--", 0, M7/L7)</f>
        <v>0.11866290501838078</v>
      </c>
      <c r="O7" s="67"/>
      <c r="P7" s="400" t="s">
        <v>989</v>
      </c>
      <c r="Q7" s="401"/>
      <c r="R7" s="183">
        <f>R8+R9+R10+R11+R12</f>
        <v>308826</v>
      </c>
      <c r="S7" s="400"/>
      <c r="T7" s="401"/>
      <c r="U7" s="68"/>
      <c r="V7" s="25"/>
    </row>
    <row r="8" spans="1:22" s="1" customFormat="1" ht="51" customHeight="1" x14ac:dyDescent="0.2">
      <c r="A8" s="25"/>
      <c r="B8" s="285" t="s">
        <v>257</v>
      </c>
      <c r="C8" s="286"/>
      <c r="D8" s="286"/>
      <c r="E8" s="426"/>
      <c r="F8" s="173">
        <f>IFERROR(VLOOKUP(MID(B8,4,3),MMWR_TRAD_AGG_NATIONAL[],2,0),"--")</f>
        <v>348</v>
      </c>
      <c r="G8" s="174">
        <f>IFERROR(VLOOKUP(MID(B8,4,3),MMWR_TRAD_AGG_NATIONAL[],3,0),"--")</f>
        <v>216</v>
      </c>
      <c r="H8" s="175">
        <f t="shared" si="0"/>
        <v>0.62068965517241381</v>
      </c>
      <c r="I8" s="25"/>
      <c r="J8" s="402" t="s">
        <v>275</v>
      </c>
      <c r="K8" s="403"/>
      <c r="L8" s="173">
        <f>IFERROR(VLOOKUP(MID(J8,4,3),MMWR_TRAD_AGG_NATIONAL[],2,0),"--")</f>
        <v>5004</v>
      </c>
      <c r="M8" s="174">
        <f>IFERROR(VLOOKUP(MID(J8,4,3),MMWR_TRAD_AGG_NATIONAL[],3,0),"--")</f>
        <v>285</v>
      </c>
      <c r="N8" s="175">
        <f>IF(M8="--", 0, M8/L8)</f>
        <v>5.6954436450839328E-2</v>
      </c>
      <c r="O8" s="69" t="s">
        <v>319</v>
      </c>
      <c r="P8" s="437" t="s">
        <v>248</v>
      </c>
      <c r="Q8" s="438"/>
      <c r="R8" s="184">
        <f>VLOOKUP(P8,MMWR_APP_NATIONAL[],2,0)</f>
        <v>214398</v>
      </c>
      <c r="S8" s="405" t="s">
        <v>237</v>
      </c>
      <c r="T8" s="404"/>
      <c r="U8" s="185">
        <f>VLOOKUP(P8,MMWR_APP_NATIONAL[],3,0)</f>
        <v>398.3805445946</v>
      </c>
      <c r="V8" s="25"/>
    </row>
    <row r="9" spans="1:22" s="1" customFormat="1" ht="45" customHeight="1" x14ac:dyDescent="0.2">
      <c r="A9" s="25"/>
      <c r="B9" s="285" t="s">
        <v>255</v>
      </c>
      <c r="C9" s="286"/>
      <c r="D9" s="286"/>
      <c r="E9" s="426"/>
      <c r="F9" s="173">
        <f>IFERROR(VLOOKUP(MID(B9,4,3),MMWR_TRAD_AGG_NATIONAL[],2,0),"--")</f>
        <v>41586</v>
      </c>
      <c r="G9" s="174">
        <f>IFERROR(VLOOKUP(MID(B9,4,3),MMWR_TRAD_AGG_NATIONAL[],3,0),"--")</f>
        <v>16481</v>
      </c>
      <c r="H9" s="175">
        <f t="shared" si="0"/>
        <v>0.39631125859664312</v>
      </c>
      <c r="I9" s="69" t="s">
        <v>319</v>
      </c>
      <c r="J9" s="285" t="s">
        <v>274</v>
      </c>
      <c r="K9" s="286"/>
      <c r="L9" s="173">
        <f>IFERROR(VLOOKUP(MID(J9,4,3),MMWR_TRAD_AGG_NATIONAL[],2,0),"--")</f>
        <v>5473</v>
      </c>
      <c r="M9" s="174">
        <f>IFERROR(VLOOKUP(MID(J9,4,3),MMWR_TRAD_AGG_NATIONAL[],3,0),"--")</f>
        <v>274</v>
      </c>
      <c r="N9" s="175">
        <f>IF(M9="--", 0, M9/L9)</f>
        <v>5.006395030147999E-2</v>
      </c>
      <c r="O9" s="69" t="s">
        <v>319</v>
      </c>
      <c r="P9" s="448" t="s">
        <v>249</v>
      </c>
      <c r="Q9" s="449"/>
      <c r="R9" s="186">
        <f>VLOOKUP(P9,MMWR_APP_NATIONAL[],2,0)</f>
        <v>57649</v>
      </c>
      <c r="S9" s="450" t="s">
        <v>238</v>
      </c>
      <c r="T9" s="395"/>
      <c r="U9" s="187">
        <f>VLOOKUP(P9,MMWR_APP_NATIONAL[],3,0)</f>
        <v>617.46932297180001</v>
      </c>
      <c r="V9" s="25"/>
    </row>
    <row r="10" spans="1:22" s="1" customFormat="1" ht="63" customHeight="1" thickBot="1" x14ac:dyDescent="0.25">
      <c r="A10" s="25"/>
      <c r="B10" s="285" t="s">
        <v>256</v>
      </c>
      <c r="C10" s="286"/>
      <c r="D10" s="286"/>
      <c r="E10" s="426"/>
      <c r="F10" s="173">
        <f>IFERROR(VLOOKUP(MID(B10,4,3),MMWR_TRAD_AGG_NATIONAL[],2,0),"--")</f>
        <v>92506</v>
      </c>
      <c r="G10" s="174">
        <f>IFERROR(VLOOKUP(MID(B10,4,3),MMWR_TRAD_AGG_NATIONAL[],3,0),"--")</f>
        <v>33923</v>
      </c>
      <c r="H10" s="175">
        <f t="shared" si="0"/>
        <v>0.36671134845307329</v>
      </c>
      <c r="I10" s="69" t="s">
        <v>319</v>
      </c>
      <c r="J10" s="287" t="s">
        <v>276</v>
      </c>
      <c r="K10" s="288"/>
      <c r="L10" s="173">
        <f>IFERROR(VLOOKUP(MID(J10,4,3),MMWR_TRAD_AGG_NATIONAL[],2,0),"--")</f>
        <v>12917</v>
      </c>
      <c r="M10" s="174">
        <f>IFERROR(VLOOKUP(MID(J10,4,3),MMWR_TRAD_AGG_NATIONAL[],3,0),"--")</f>
        <v>2217</v>
      </c>
      <c r="N10" s="175">
        <f>IF(M10="--", 0, M10/L10)</f>
        <v>0.17163428040566694</v>
      </c>
      <c r="O10" s="70"/>
      <c r="P10" s="448" t="s">
        <v>250</v>
      </c>
      <c r="Q10" s="449"/>
      <c r="R10" s="186">
        <f>VLOOKUP(P10,MMWR_APP_NATIONAL[],2,0)</f>
        <v>23377</v>
      </c>
      <c r="S10" s="450" t="s">
        <v>239</v>
      </c>
      <c r="T10" s="395"/>
      <c r="U10" s="187">
        <f>VLOOKUP(P10,MMWR_APP_NATIONAL[],3,0)</f>
        <v>525.92792060570002</v>
      </c>
      <c r="V10" s="25"/>
    </row>
    <row r="11" spans="1:22" s="1" customFormat="1" ht="45" customHeight="1" thickBot="1" x14ac:dyDescent="0.25">
      <c r="A11" s="25"/>
      <c r="B11" s="400" t="s">
        <v>308</v>
      </c>
      <c r="C11" s="401"/>
      <c r="D11" s="401"/>
      <c r="E11" s="401"/>
      <c r="F11" s="170">
        <f>SUM(F12:F13)</f>
        <v>6838</v>
      </c>
      <c r="G11" s="171">
        <f>SUM(G12:G13)</f>
        <v>1481</v>
      </c>
      <c r="H11" s="172">
        <f t="shared" si="0"/>
        <v>0.21658379643170517</v>
      </c>
      <c r="I11" s="25"/>
      <c r="J11" s="400" t="s">
        <v>245</v>
      </c>
      <c r="K11" s="401"/>
      <c r="L11" s="170">
        <f>SUM(L12:L17)</f>
        <v>31262</v>
      </c>
      <c r="M11" s="170">
        <f>SUM(M12:M17)</f>
        <v>6195</v>
      </c>
      <c r="N11" s="163">
        <f>IF(M11="--", 0, M11/L11)</f>
        <v>0.19816390506045678</v>
      </c>
      <c r="O11" s="70"/>
      <c r="P11" s="448" t="s">
        <v>990</v>
      </c>
      <c r="Q11" s="449"/>
      <c r="R11" s="186">
        <f>VLOOKUP(P11,MMWR_APP_NATIONAL[],2,0)</f>
        <v>13017</v>
      </c>
      <c r="S11" s="450" t="s">
        <v>240</v>
      </c>
      <c r="T11" s="395"/>
      <c r="U11" s="187">
        <f>VLOOKUP(P11,MMWR_APP_NATIONAL[],3,0)</f>
        <v>180.65890758239999</v>
      </c>
      <c r="V11" s="25"/>
    </row>
    <row r="12" spans="1:22" s="1" customFormat="1" ht="46.5" customHeight="1" thickBot="1" x14ac:dyDescent="0.25">
      <c r="A12" s="25"/>
      <c r="B12" s="396" t="s">
        <v>278</v>
      </c>
      <c r="C12" s="397"/>
      <c r="D12" s="397"/>
      <c r="E12" s="398"/>
      <c r="F12" s="173">
        <f>IFERROR(VLOOKUP(MID(B12,4,3),MMWR_TRAD_AGG_NATIONAL[],2,0),"--")</f>
        <v>6317</v>
      </c>
      <c r="G12" s="174">
        <f>IFERROR(VLOOKUP(MID(B12,4,3),MMWR_TRAD_AGG_NATIONAL[],3,0),"--")</f>
        <v>1062</v>
      </c>
      <c r="H12" s="175">
        <f t="shared" si="0"/>
        <v>0.16811777742599335</v>
      </c>
      <c r="I12" s="69" t="s">
        <v>319</v>
      </c>
      <c r="J12" s="287" t="s">
        <v>268</v>
      </c>
      <c r="K12" s="395"/>
      <c r="L12" s="173">
        <f>IFERROR(VLOOKUP(MID(J12,4,3)&amp;"p",MMWR_TRAD_AGG_NATIONAL[],2,0),"--")</f>
        <v>892</v>
      </c>
      <c r="M12" s="174">
        <f>IFERROR(VLOOKUP(MID(J12,4,3)&amp;"p",MMWR_TRAD_AGG_NATIONAL[],3,0),"--")</f>
        <v>40</v>
      </c>
      <c r="N12" s="175">
        <f t="shared" ref="N12:N17" si="1">IF(L12="--", 0,M12/L12)</f>
        <v>4.4843049327354258E-2</v>
      </c>
      <c r="O12" s="70"/>
      <c r="P12" s="448" t="s">
        <v>970</v>
      </c>
      <c r="Q12" s="449"/>
      <c r="R12" s="186">
        <f>VLOOKUP(P12,MMWR_APP_NATIONAL[],2,0)</f>
        <v>385</v>
      </c>
      <c r="S12" s="451" t="s">
        <v>988</v>
      </c>
      <c r="T12" s="399"/>
      <c r="U12" s="187">
        <f>VLOOKUP(P12,MMWR_APP_NATIONAL[],3,0)</f>
        <v>467.16363636360001</v>
      </c>
      <c r="V12" s="25"/>
    </row>
    <row r="13" spans="1:22" s="1" customFormat="1" ht="49.5" customHeight="1" thickBot="1" x14ac:dyDescent="0.25">
      <c r="A13" s="25"/>
      <c r="B13" s="396" t="s">
        <v>258</v>
      </c>
      <c r="C13" s="397"/>
      <c r="D13" s="397"/>
      <c r="E13" s="398"/>
      <c r="F13" s="173">
        <f>IFERROR(VLOOKUP(MID(B13,4,3),MMWR_TRAD_AGG_NATIONAL[],2,0),"--")</f>
        <v>521</v>
      </c>
      <c r="G13" s="174">
        <f>IFERROR(VLOOKUP(MID(B13,4,3),MMWR_TRAD_AGG_NATIONAL[],3,0),"--")</f>
        <v>419</v>
      </c>
      <c r="H13" s="175">
        <f t="shared" si="0"/>
        <v>0.80422264875239924</v>
      </c>
      <c r="I13" s="25"/>
      <c r="J13" s="287" t="s">
        <v>277</v>
      </c>
      <c r="K13" s="395"/>
      <c r="L13" s="173">
        <f>IFERROR(VLOOKUP(MID(J13,4,3),MMWR_TRAD_AGG_NATIONAL[],2,0),"--")</f>
        <v>3950</v>
      </c>
      <c r="M13" s="174">
        <f>IFERROR(VLOOKUP(MID(J13,4,3),MMWR_TRAD_AGG_NATIONAL[],3,0),"--")</f>
        <v>746</v>
      </c>
      <c r="N13" s="175">
        <f t="shared" si="1"/>
        <v>0.1888607594936709</v>
      </c>
      <c r="O13" s="70"/>
      <c r="P13" s="400" t="s">
        <v>1000</v>
      </c>
      <c r="Q13" s="401"/>
      <c r="R13" s="444"/>
      <c r="S13" s="445">
        <f>VLOOKUP(P13,MMWR_APP_NATIONAL[],2,0)</f>
        <v>20735</v>
      </c>
      <c r="T13" s="446"/>
      <c r="U13" s="447"/>
      <c r="V13" s="25"/>
    </row>
    <row r="14" spans="1:22" s="1" customFormat="1" ht="45" customHeight="1" thickBot="1" x14ac:dyDescent="0.25">
      <c r="A14" s="25"/>
      <c r="B14" s="400" t="s">
        <v>1</v>
      </c>
      <c r="C14" s="401"/>
      <c r="D14" s="401"/>
      <c r="E14" s="401"/>
      <c r="F14" s="170">
        <f>SUM(F15:F21)</f>
        <v>211901</v>
      </c>
      <c r="G14" s="171">
        <f>SUM(G15:G21)</f>
        <v>65014</v>
      </c>
      <c r="H14" s="172">
        <f t="shared" si="0"/>
        <v>0.30681308724357131</v>
      </c>
      <c r="I14" s="25"/>
      <c r="J14" s="287" t="s">
        <v>279</v>
      </c>
      <c r="K14" s="395"/>
      <c r="L14" s="173">
        <f>IFERROR(VLOOKUP(MID(J14,4,3),MMWR_TRAD_AGG_NATIONAL[],2,0),"--")</f>
        <v>12050</v>
      </c>
      <c r="M14" s="174">
        <f>IFERROR(VLOOKUP(MID(J14,4,3),MMWR_TRAD_AGG_NATIONAL[],3,0),"--")</f>
        <v>2357</v>
      </c>
      <c r="N14" s="175">
        <f t="shared" si="1"/>
        <v>0.19560165975103735</v>
      </c>
      <c r="O14" s="70"/>
      <c r="P14" s="21"/>
      <c r="Q14" s="21"/>
      <c r="R14" s="21"/>
      <c r="S14" s="28"/>
      <c r="T14" s="28"/>
      <c r="U14" s="71"/>
      <c r="V14" s="25"/>
    </row>
    <row r="15" spans="1:22" s="1" customFormat="1" ht="44.25" customHeight="1" thickBot="1" x14ac:dyDescent="0.25">
      <c r="A15" s="25"/>
      <c r="B15" s="285" t="s">
        <v>259</v>
      </c>
      <c r="C15" s="286"/>
      <c r="D15" s="286"/>
      <c r="E15" s="426"/>
      <c r="F15" s="173">
        <f>IFERROR(VLOOKUP(MID(B15,4,3),MMWR_TRAD_AGG_NATIONAL[],2,0),"--")</f>
        <v>211424</v>
      </c>
      <c r="G15" s="174">
        <f>IFERROR(VLOOKUP(MID(B15,4,3),MMWR_TRAD_AGG_NATIONAL[],3,0),"--")</f>
        <v>64857</v>
      </c>
      <c r="H15" s="175">
        <f t="shared" si="0"/>
        <v>0.30676271378840625</v>
      </c>
      <c r="I15" s="69" t="s">
        <v>319</v>
      </c>
      <c r="J15" s="287" t="s">
        <v>280</v>
      </c>
      <c r="K15" s="395"/>
      <c r="L15" s="173">
        <f>IFERROR(VLOOKUP(MID(J15,4,3),MMWR_TRAD_AGG_NATIONAL[],2,0),"--")</f>
        <v>1</v>
      </c>
      <c r="M15" s="174">
        <f>IFERROR(VLOOKUP(MID(J15,4,3),MMWR_TRAD_AGG_NATIONAL[],3,0),"--")</f>
        <v>1</v>
      </c>
      <c r="N15" s="175">
        <f t="shared" si="1"/>
        <v>1</v>
      </c>
      <c r="O15" s="70"/>
      <c r="P15" s="25"/>
      <c r="Q15" s="25"/>
      <c r="R15" s="25"/>
      <c r="S15" s="25"/>
      <c r="T15" s="28"/>
      <c r="U15" s="72"/>
      <c r="V15" s="25"/>
    </row>
    <row r="16" spans="1:22" s="1" customFormat="1" ht="57.75" customHeight="1" thickBot="1" x14ac:dyDescent="0.25">
      <c r="A16" s="25"/>
      <c r="B16" s="287" t="s">
        <v>260</v>
      </c>
      <c r="C16" s="288"/>
      <c r="D16" s="288"/>
      <c r="E16" s="395"/>
      <c r="F16" s="173">
        <f>IFERROR(VLOOKUP(MID(B16,4,3),MMWR_TRAD_AGG_NATIONAL[],2,0),"--")</f>
        <v>264</v>
      </c>
      <c r="G16" s="174">
        <f>IFERROR(VLOOKUP(MID(B16,4,3),MMWR_TRAD_AGG_NATIONAL[],3,0),"--")</f>
        <v>40</v>
      </c>
      <c r="H16" s="175">
        <f t="shared" si="0"/>
        <v>0.15151515151515152</v>
      </c>
      <c r="I16" s="69" t="s">
        <v>319</v>
      </c>
      <c r="J16" s="287" t="s">
        <v>281</v>
      </c>
      <c r="K16" s="395"/>
      <c r="L16" s="173">
        <f>IFERROR(VLOOKUP(MID(J16,4,3),MMWR_TRAD_AGG_NATIONAL[],2,0),"--")</f>
        <v>3758</v>
      </c>
      <c r="M16" s="174">
        <f>IFERROR(VLOOKUP(MID(J16,4,3),MMWR_TRAD_AGG_NATIONAL[],3,0),"--")</f>
        <v>746</v>
      </c>
      <c r="N16" s="175">
        <f t="shared" si="1"/>
        <v>0.19850984566258648</v>
      </c>
      <c r="O16" s="70"/>
      <c r="P16" s="430" t="s">
        <v>971</v>
      </c>
      <c r="Q16" s="431"/>
      <c r="R16" s="431"/>
      <c r="S16" s="432"/>
      <c r="T16" s="28"/>
      <c r="U16" s="72"/>
      <c r="V16" s="25"/>
    </row>
    <row r="17" spans="1:22" s="1" customFormat="1" ht="31.5" customHeight="1" thickBot="1" x14ac:dyDescent="0.25">
      <c r="A17" s="25"/>
      <c r="B17" s="287" t="s">
        <v>261</v>
      </c>
      <c r="C17" s="288"/>
      <c r="D17" s="288"/>
      <c r="E17" s="395"/>
      <c r="F17" s="173">
        <f>IFERROR(VLOOKUP(MID(B17,4,3),MMWR_TRAD_AGG_NATIONAL[],2,0),"--")</f>
        <v>166</v>
      </c>
      <c r="G17" s="174">
        <f>IFERROR(VLOOKUP(MID(B17,4,3),MMWR_TRAD_AGG_NATIONAL[],3,0),"--")</f>
        <v>109</v>
      </c>
      <c r="H17" s="175">
        <f t="shared" si="0"/>
        <v>0.65662650602409633</v>
      </c>
      <c r="I17" s="25"/>
      <c r="J17" s="287" t="s">
        <v>282</v>
      </c>
      <c r="K17" s="395"/>
      <c r="L17" s="173">
        <f>IFERROR(VLOOKUP(MID(J17,4,3),MMWR_TRAD_AGG_NATIONAL[],2,0),"--")</f>
        <v>10611</v>
      </c>
      <c r="M17" s="174">
        <f>IFERROR(VLOOKUP(MID(J17,4,3),MMWR_TRAD_AGG_NATIONAL[],3,0),"--")</f>
        <v>2305</v>
      </c>
      <c r="N17" s="175">
        <f t="shared" si="1"/>
        <v>0.21722740552257092</v>
      </c>
      <c r="O17" s="73"/>
      <c r="P17" s="439" t="s">
        <v>253</v>
      </c>
      <c r="Q17" s="440"/>
      <c r="R17" s="440"/>
      <c r="S17" s="188">
        <f>IFERROR(VLOOKUP("160",MMWR_TRAD_AGG_NATIONAL[],2,0),"--")</f>
        <v>18705</v>
      </c>
      <c r="T17" s="28"/>
      <c r="U17" s="72"/>
      <c r="V17" s="25"/>
    </row>
    <row r="18" spans="1:22" s="1" customFormat="1" ht="32.25" customHeight="1" thickBot="1" x14ac:dyDescent="0.25">
      <c r="A18" s="25"/>
      <c r="B18" s="287" t="s">
        <v>262</v>
      </c>
      <c r="C18" s="288"/>
      <c r="D18" s="288"/>
      <c r="E18" s="395"/>
      <c r="F18" s="173">
        <f>IFERROR(VLOOKUP(MID(B18,4,3),MMWR_TRAD_AGG_NATIONAL[],2,0),"--")</f>
        <v>19</v>
      </c>
      <c r="G18" s="174">
        <f>IFERROR(VLOOKUP(MID(B18,4,3),MMWR_TRAD_AGG_NATIONAL[],3,0),"--")</f>
        <v>7</v>
      </c>
      <c r="H18" s="175">
        <f t="shared" si="0"/>
        <v>0.36842105263157893</v>
      </c>
      <c r="I18" s="69" t="s">
        <v>319</v>
      </c>
      <c r="J18" s="400" t="s">
        <v>15</v>
      </c>
      <c r="K18" s="401"/>
      <c r="L18" s="170">
        <f>SUM(L19:L21)</f>
        <v>775</v>
      </c>
      <c r="M18" s="170">
        <f>SUM(M19:M21)</f>
        <v>747</v>
      </c>
      <c r="N18" s="163">
        <f t="shared" ref="N18:N26" si="2">IF(M18="--", 0, M18/L18)</f>
        <v>0.96387096774193548</v>
      </c>
      <c r="O18" s="74"/>
      <c r="P18" s="441" t="s">
        <v>254</v>
      </c>
      <c r="Q18" s="442"/>
      <c r="R18" s="442"/>
      <c r="S18" s="189">
        <f>IFERROR(VLOOKUP("165",MMWR_TRAD_AGG_NATIONAL[],2,0),"--")</f>
        <v>9258</v>
      </c>
      <c r="T18" s="28"/>
      <c r="U18" s="72"/>
      <c r="V18" s="25"/>
    </row>
    <row r="19" spans="1:22" s="1" customFormat="1" ht="41.25" customHeight="1" x14ac:dyDescent="0.4">
      <c r="A19" s="25"/>
      <c r="B19" s="287" t="s">
        <v>263</v>
      </c>
      <c r="C19" s="288"/>
      <c r="D19" s="288"/>
      <c r="E19" s="395"/>
      <c r="F19" s="173">
        <f>IFERROR(VLOOKUP(MID(B19,4,3),MMWR_TRAD_AGG_NATIONAL[],2,0),"--")</f>
        <v>1</v>
      </c>
      <c r="G19" s="174">
        <f>IFERROR(VLOOKUP(MID(B19,4,3),MMWR_TRAD_AGG_NATIONAL[],3,0),"--")</f>
        <v>1</v>
      </c>
      <c r="H19" s="175">
        <f t="shared" si="0"/>
        <v>1</v>
      </c>
      <c r="I19" s="69" t="s">
        <v>319</v>
      </c>
      <c r="J19" s="287" t="s">
        <v>283</v>
      </c>
      <c r="K19" s="395"/>
      <c r="L19" s="173">
        <f>IFERROR(VLOOKUP(MID(J19,4,3),MMWR_TRAD_AGG_NATIONAL[],2,0),"--")</f>
        <v>608</v>
      </c>
      <c r="M19" s="174">
        <f>IFERROR(VLOOKUP(MID(J19,4,3),MMWR_TRAD_AGG_NATIONAL[],3,0),"--")</f>
        <v>599</v>
      </c>
      <c r="N19" s="175">
        <f t="shared" si="2"/>
        <v>0.98519736842105265</v>
      </c>
      <c r="O19" s="57"/>
      <c r="P19" s="25"/>
      <c r="Q19" s="25"/>
      <c r="R19" s="25"/>
      <c r="S19" s="25"/>
      <c r="T19" s="28"/>
      <c r="U19" s="72"/>
      <c r="V19" s="25"/>
    </row>
    <row r="20" spans="1:22" s="1" customFormat="1" ht="40.5" customHeight="1" x14ac:dyDescent="0.4">
      <c r="A20" s="25"/>
      <c r="B20" s="287" t="s">
        <v>264</v>
      </c>
      <c r="C20" s="288"/>
      <c r="D20" s="288"/>
      <c r="E20" s="395"/>
      <c r="F20" s="173">
        <f>IFERROR(VLOOKUP(MID(B20,4,3),MMWR_TRAD_AGG_NATIONAL[],2,0),"--")</f>
        <v>23</v>
      </c>
      <c r="G20" s="174">
        <f>IFERROR(VLOOKUP(MID(B20,4,3),MMWR_TRAD_AGG_NATIONAL[],3,0),"--")</f>
        <v>0</v>
      </c>
      <c r="H20" s="175">
        <f t="shared" si="0"/>
        <v>0</v>
      </c>
      <c r="I20" s="69" t="s">
        <v>319</v>
      </c>
      <c r="J20" s="287" t="s">
        <v>306</v>
      </c>
      <c r="K20" s="395"/>
      <c r="L20" s="173">
        <f>IFERROR(VLOOKUP(MID(J20,4,3),MMWR_TRAD_AGG_NATIONAL[],2,0),"--")</f>
        <v>158</v>
      </c>
      <c r="M20" s="174">
        <f>IFERROR(VLOOKUP(MID(J20,4,3),MMWR_TRAD_AGG_NATIONAL[],3,0),"--")</f>
        <v>146</v>
      </c>
      <c r="N20" s="175">
        <f t="shared" si="2"/>
        <v>0.92405063291139244</v>
      </c>
      <c r="O20" s="57"/>
      <c r="P20" s="57"/>
      <c r="Q20" s="57"/>
      <c r="R20" s="57"/>
      <c r="S20" s="57"/>
      <c r="T20" s="57"/>
      <c r="U20" s="75"/>
      <c r="V20" s="25"/>
    </row>
    <row r="21" spans="1:22" s="1" customFormat="1" ht="39" customHeight="1" thickBot="1" x14ac:dyDescent="0.45">
      <c r="A21" s="25"/>
      <c r="B21" s="287" t="s">
        <v>265</v>
      </c>
      <c r="C21" s="288"/>
      <c r="D21" s="288"/>
      <c r="E21" s="395"/>
      <c r="F21" s="173">
        <f>IFERROR(VLOOKUP(MID(B21,4,3),MMWR_TRAD_AGG_NATIONAL[],2,0),"--")</f>
        <v>4</v>
      </c>
      <c r="G21" s="174">
        <f>IFERROR(VLOOKUP(MID(B21,4,3),MMWR_TRAD_AGG_NATIONAL[],3,0),"--")</f>
        <v>0</v>
      </c>
      <c r="H21" s="175">
        <f t="shared" si="0"/>
        <v>0</v>
      </c>
      <c r="I21" s="69" t="s">
        <v>319</v>
      </c>
      <c r="J21" s="287" t="s">
        <v>284</v>
      </c>
      <c r="K21" s="395"/>
      <c r="L21" s="173">
        <f>IFERROR(VLOOKUP(MID(J21,4,3),MMWR_TRAD_AGG_NATIONAL[],2,0),"--")</f>
        <v>9</v>
      </c>
      <c r="M21" s="174">
        <f>IFERROR(VLOOKUP(MID(J21,4,3),MMWR_TRAD_AGG_NATIONAL[],3,0),"--")</f>
        <v>2</v>
      </c>
      <c r="N21" s="175">
        <f t="shared" si="2"/>
        <v>0.22222222222222221</v>
      </c>
      <c r="O21" s="57"/>
      <c r="P21" s="57"/>
      <c r="Q21" s="57"/>
      <c r="R21" s="57"/>
      <c r="S21" s="57"/>
      <c r="T21" s="57"/>
      <c r="U21" s="75"/>
      <c r="V21" s="25"/>
    </row>
    <row r="22" spans="1:22" s="1" customFormat="1" ht="32.25" customHeight="1" thickBot="1" x14ac:dyDescent="0.45">
      <c r="A22" s="25"/>
      <c r="B22" s="400" t="s">
        <v>13</v>
      </c>
      <c r="C22" s="401"/>
      <c r="D22" s="401"/>
      <c r="E22" s="401"/>
      <c r="F22" s="170">
        <f>SUM(F23:F29)</f>
        <v>503021</v>
      </c>
      <c r="G22" s="171">
        <f>SUM(G23:G29)</f>
        <v>315998</v>
      </c>
      <c r="H22" s="172">
        <f t="shared" si="0"/>
        <v>0.62820041310402552</v>
      </c>
      <c r="I22" s="25"/>
      <c r="J22" s="400" t="s">
        <v>232</v>
      </c>
      <c r="K22" s="401"/>
      <c r="L22" s="170">
        <f>SUM(L23:L26)</f>
        <v>5897</v>
      </c>
      <c r="M22" s="170">
        <f>SUM(M23:M26)</f>
        <v>1023</v>
      </c>
      <c r="N22" s="163">
        <f t="shared" si="2"/>
        <v>0.17347803968119382</v>
      </c>
      <c r="O22" s="57"/>
      <c r="P22" s="25"/>
      <c r="Q22" s="25"/>
      <c r="R22" s="25"/>
      <c r="S22" s="25"/>
      <c r="T22" s="57"/>
      <c r="U22" s="75"/>
      <c r="V22" s="25"/>
    </row>
    <row r="23" spans="1:22" s="1" customFormat="1" ht="26.25" customHeight="1" x14ac:dyDescent="0.4">
      <c r="A23" s="25"/>
      <c r="B23" s="396" t="s">
        <v>266</v>
      </c>
      <c r="C23" s="397"/>
      <c r="D23" s="397"/>
      <c r="E23" s="398"/>
      <c r="F23" s="173">
        <f>IFERROR(VLOOKUP(MID(B23,4,3),MMWR_TRAD_AGG_NATIONAL[],2,0),"--")</f>
        <v>219054</v>
      </c>
      <c r="G23" s="174">
        <f>IFERROR(VLOOKUP(MID(B23,4,3),MMWR_TRAD_AGG_NATIONAL[],3,0),"--")</f>
        <v>166530</v>
      </c>
      <c r="H23" s="175">
        <f t="shared" si="0"/>
        <v>0.76022350653263582</v>
      </c>
      <c r="I23" s="25"/>
      <c r="J23" s="402" t="s">
        <v>287</v>
      </c>
      <c r="K23" s="404"/>
      <c r="L23" s="176">
        <f>IFERROR(VLOOKUP(MID(J23,4,3),MMWR_TRAD_AGG_NATIONAL[],2,0),"--")</f>
        <v>4754</v>
      </c>
      <c r="M23" s="177">
        <f>IFERROR(VLOOKUP(MID(J23,4,3),MMWR_TRAD_AGG_NATIONAL[],3,0),"--")</f>
        <v>683</v>
      </c>
      <c r="N23" s="178">
        <f t="shared" si="2"/>
        <v>0.1436684896928902</v>
      </c>
      <c r="O23" s="57"/>
      <c r="P23" s="25"/>
      <c r="Q23" s="25"/>
      <c r="R23" s="25"/>
      <c r="S23" s="25"/>
      <c r="T23" s="57"/>
      <c r="U23" s="75"/>
      <c r="V23" s="25"/>
    </row>
    <row r="24" spans="1:22" s="1" customFormat="1" ht="39.75" customHeight="1" x14ac:dyDescent="0.4">
      <c r="A24" s="25"/>
      <c r="B24" s="396" t="s">
        <v>267</v>
      </c>
      <c r="C24" s="397"/>
      <c r="D24" s="397"/>
      <c r="E24" s="398"/>
      <c r="F24" s="173">
        <f>IFERROR(VLOOKUP(MID(B24,4,3),MMWR_TRAD_AGG_NATIONAL[],2,0),"--")</f>
        <v>187</v>
      </c>
      <c r="G24" s="174">
        <f>IFERROR(VLOOKUP(MID(B24,4,3),MMWR_TRAD_AGG_NATIONAL[],3,0),"--")</f>
        <v>104</v>
      </c>
      <c r="H24" s="175">
        <f t="shared" si="0"/>
        <v>0.55614973262032086</v>
      </c>
      <c r="I24" s="25"/>
      <c r="J24" s="287" t="s">
        <v>286</v>
      </c>
      <c r="K24" s="395"/>
      <c r="L24" s="173">
        <f>IFERROR(VLOOKUP(MID(J24,4,3),MMWR_TRAD_AGG_NATIONAL[],2,0),"--")</f>
        <v>481</v>
      </c>
      <c r="M24" s="174">
        <f>IFERROR(VLOOKUP(MID(J24,4,3),MMWR_TRAD_AGG_NATIONAL[],3,0),"--")</f>
        <v>17</v>
      </c>
      <c r="N24" s="175">
        <f t="shared" si="2"/>
        <v>3.5343035343035345E-2</v>
      </c>
      <c r="O24" s="57"/>
      <c r="P24" s="25"/>
      <c r="Q24" s="25"/>
      <c r="R24" s="25"/>
      <c r="S24" s="25"/>
      <c r="T24" s="57"/>
      <c r="U24" s="75"/>
      <c r="V24" s="25"/>
    </row>
    <row r="25" spans="1:22" s="1" customFormat="1" ht="37.5" customHeight="1" x14ac:dyDescent="0.4">
      <c r="A25" s="25"/>
      <c r="B25" s="396" t="s">
        <v>268</v>
      </c>
      <c r="C25" s="397"/>
      <c r="D25" s="397"/>
      <c r="E25" s="398"/>
      <c r="F25" s="173">
        <f>IFERROR(VLOOKUP(MID(B25,4,3),MMWR_TRAD_AGG_NATIONAL[],2,0),"--")</f>
        <v>247</v>
      </c>
      <c r="G25" s="174">
        <f>IFERROR(VLOOKUP(MID(B25,4,3),MMWR_TRAD_AGG_NATIONAL[],3,0),"--")</f>
        <v>172</v>
      </c>
      <c r="H25" s="175">
        <f t="shared" si="0"/>
        <v>0.69635627530364375</v>
      </c>
      <c r="I25" s="25"/>
      <c r="J25" s="287" t="s">
        <v>285</v>
      </c>
      <c r="K25" s="395"/>
      <c r="L25" s="173">
        <f>IFERROR(VLOOKUP(MID(J25,4,3),MMWR_TRAD_AGG_NATIONAL[],2,0),"--")</f>
        <v>620</v>
      </c>
      <c r="M25" s="174">
        <f>IFERROR(VLOOKUP(MID(J25,4,3),MMWR_TRAD_AGG_NATIONAL[],3,0),"--")</f>
        <v>298</v>
      </c>
      <c r="N25" s="175">
        <f t="shared" si="2"/>
        <v>0.48064516129032259</v>
      </c>
      <c r="O25" s="57"/>
      <c r="P25" s="57"/>
      <c r="Q25" s="57"/>
      <c r="R25" s="57"/>
      <c r="S25" s="57"/>
      <c r="T25" s="57"/>
      <c r="U25" s="75"/>
      <c r="V25" s="25"/>
    </row>
    <row r="26" spans="1:22" s="1" customFormat="1" ht="37.5" customHeight="1" thickBot="1" x14ac:dyDescent="0.45">
      <c r="A26" s="25"/>
      <c r="B26" s="396" t="s">
        <v>269</v>
      </c>
      <c r="C26" s="397"/>
      <c r="D26" s="397"/>
      <c r="E26" s="398"/>
      <c r="F26" s="173">
        <f>IFERROR(VLOOKUP(MID(B26,4,3),MMWR_TRAD_AGG_NATIONAL[],2,0),"--")</f>
        <v>143368</v>
      </c>
      <c r="G26" s="174">
        <f>IFERROR(VLOOKUP(MID(B26,4,3),MMWR_TRAD_AGG_NATIONAL[],3,0),"--")</f>
        <v>92071</v>
      </c>
      <c r="H26" s="175">
        <f t="shared" si="0"/>
        <v>0.64220049104402654</v>
      </c>
      <c r="I26" s="57"/>
      <c r="J26" s="292" t="s">
        <v>322</v>
      </c>
      <c r="K26" s="399"/>
      <c r="L26" s="179">
        <f>IFERROR(VLOOKUP(MID(J26,4,3),MMWR_TRAD_AGG_NATIONAL[],2,0),"--")</f>
        <v>42</v>
      </c>
      <c r="M26" s="180">
        <f>IFERROR(VLOOKUP(MID(J26,4,3),MMWR_TRAD_AGG_NATIONAL[],3,0),"--")</f>
        <v>25</v>
      </c>
      <c r="N26" s="181">
        <f t="shared" si="2"/>
        <v>0.59523809523809523</v>
      </c>
      <c r="O26" s="57"/>
      <c r="P26" s="57"/>
      <c r="Q26" s="57"/>
      <c r="R26" s="57"/>
      <c r="S26" s="57"/>
      <c r="T26" s="57"/>
      <c r="U26" s="75"/>
      <c r="V26" s="25"/>
    </row>
    <row r="27" spans="1:22" s="1" customFormat="1" ht="26.25" customHeight="1" thickBot="1" x14ac:dyDescent="0.45">
      <c r="A27" s="25"/>
      <c r="B27" s="396" t="s">
        <v>270</v>
      </c>
      <c r="C27" s="397"/>
      <c r="D27" s="397"/>
      <c r="E27" s="398"/>
      <c r="F27" s="173">
        <f>IFERROR(VLOOKUP(MID(B27,4,3),MMWR_TRAD_AGG_NATIONAL[],2,0),"--")</f>
        <v>22</v>
      </c>
      <c r="G27" s="174">
        <f>IFERROR(VLOOKUP(MID(B27,4,3),MMWR_TRAD_AGG_NATIONAL[],3,0),"--")</f>
        <v>5</v>
      </c>
      <c r="H27" s="175">
        <f t="shared" si="0"/>
        <v>0.22727272727272727</v>
      </c>
      <c r="I27" s="57"/>
      <c r="J27" s="57"/>
      <c r="K27" s="57"/>
      <c r="L27" s="57"/>
      <c r="M27" s="57"/>
      <c r="N27" s="57"/>
      <c r="O27" s="57"/>
      <c r="P27" s="57"/>
      <c r="Q27" s="57"/>
      <c r="R27" s="57"/>
      <c r="S27" s="57"/>
      <c r="T27" s="57"/>
      <c r="U27" s="75"/>
      <c r="V27" s="25"/>
    </row>
    <row r="28" spans="1:22" s="1" customFormat="1" ht="32.25" customHeight="1" x14ac:dyDescent="0.4">
      <c r="A28" s="25"/>
      <c r="B28" s="396" t="s">
        <v>271</v>
      </c>
      <c r="C28" s="397"/>
      <c r="D28" s="397"/>
      <c r="E28" s="398"/>
      <c r="F28" s="173">
        <f>IFERROR(VLOOKUP(MID(B28,4,3),MMWR_TRAD_AGG_NATIONAL[],2,0),"--")</f>
        <v>16749</v>
      </c>
      <c r="G28" s="174">
        <f>IFERROR(VLOOKUP(MID(B28,4,3),MMWR_TRAD_AGG_NATIONAL[],3,0),"--")</f>
        <v>2780</v>
      </c>
      <c r="H28" s="175">
        <f t="shared" si="0"/>
        <v>0.16598005851095587</v>
      </c>
      <c r="I28" s="69" t="s">
        <v>319</v>
      </c>
      <c r="J28" s="408" t="s">
        <v>321</v>
      </c>
      <c r="K28" s="409"/>
      <c r="L28" s="409"/>
      <c r="M28" s="409"/>
      <c r="N28" s="410"/>
      <c r="O28" s="443" t="s">
        <v>319</v>
      </c>
      <c r="P28" s="76"/>
      <c r="Q28" s="57"/>
      <c r="R28" s="57"/>
      <c r="S28" s="57"/>
      <c r="T28" s="57"/>
      <c r="U28" s="75"/>
      <c r="V28" s="25"/>
    </row>
    <row r="29" spans="1:22" s="1" customFormat="1" ht="27" customHeight="1" thickBot="1" x14ac:dyDescent="0.45">
      <c r="A29" s="25"/>
      <c r="B29" s="396" t="s">
        <v>272</v>
      </c>
      <c r="C29" s="397"/>
      <c r="D29" s="397"/>
      <c r="E29" s="398"/>
      <c r="F29" s="173">
        <f>IFERROR(VLOOKUP(MID(B29,4,3),MMWR_TRAD_AGG_NATIONAL[],2,0),"--")</f>
        <v>123394</v>
      </c>
      <c r="G29" s="174">
        <f>IFERROR(VLOOKUP(MID(B29,4,3),MMWR_TRAD_AGG_NATIONAL[],3,0),"--")</f>
        <v>54336</v>
      </c>
      <c r="H29" s="175">
        <f t="shared" si="0"/>
        <v>0.44034555975168971</v>
      </c>
      <c r="I29" s="57"/>
      <c r="J29" s="411"/>
      <c r="K29" s="412"/>
      <c r="L29" s="412"/>
      <c r="M29" s="412"/>
      <c r="N29" s="413"/>
      <c r="O29" s="443"/>
      <c r="P29" s="77"/>
      <c r="Q29" s="57"/>
      <c r="R29" s="57"/>
      <c r="S29" s="57"/>
      <c r="T29" s="57"/>
      <c r="U29" s="75"/>
      <c r="V29" s="25"/>
    </row>
    <row r="30" spans="1:22" s="1" customFormat="1" ht="32.25" customHeight="1" thickBot="1" x14ac:dyDescent="0.45">
      <c r="A30" s="25"/>
      <c r="B30" s="400" t="s">
        <v>32</v>
      </c>
      <c r="C30" s="401"/>
      <c r="D30" s="401"/>
      <c r="E30" s="401"/>
      <c r="F30" s="171">
        <f>SUM(F31:F37)</f>
        <v>77021</v>
      </c>
      <c r="G30" s="171">
        <f>SUM(G31:G37)</f>
        <v>61132</v>
      </c>
      <c r="H30" s="163">
        <f t="shared" si="0"/>
        <v>0.79370561275496299</v>
      </c>
      <c r="I30" s="57"/>
      <c r="J30" s="28"/>
      <c r="K30" s="28"/>
      <c r="L30" s="28"/>
      <c r="M30" s="28"/>
      <c r="N30" s="28"/>
      <c r="O30" s="28"/>
      <c r="P30" s="57"/>
      <c r="Q30" s="57"/>
      <c r="R30" s="57"/>
      <c r="S30" s="57"/>
      <c r="T30" s="57"/>
      <c r="U30" s="75"/>
      <c r="V30" s="25"/>
    </row>
    <row r="31" spans="1:22" s="1" customFormat="1" ht="33.75" customHeight="1" x14ac:dyDescent="0.4">
      <c r="A31" s="25"/>
      <c r="B31" s="287" t="s">
        <v>289</v>
      </c>
      <c r="C31" s="288"/>
      <c r="D31" s="288"/>
      <c r="E31" s="395"/>
      <c r="F31" s="173">
        <f>IFERROR(VLOOKUP(MID(B31,4,3),MMWR_TRAD_AGG_NATIONAL[],2,0),"--")</f>
        <v>52</v>
      </c>
      <c r="G31" s="174">
        <f>IFERROR(VLOOKUP(MID(B31,4,3),MMWR_TRAD_AGG_NATIONAL[],3,0),"--")</f>
        <v>52</v>
      </c>
      <c r="H31" s="175">
        <f t="shared" si="0"/>
        <v>1</v>
      </c>
      <c r="I31" s="57"/>
      <c r="J31" s="57"/>
      <c r="K31" s="57"/>
      <c r="L31" s="57"/>
      <c r="M31" s="57"/>
      <c r="N31" s="57"/>
      <c r="O31" s="57"/>
      <c r="P31" s="57"/>
      <c r="Q31" s="57"/>
      <c r="R31" s="57"/>
      <c r="S31" s="57"/>
      <c r="T31" s="57"/>
      <c r="U31" s="75"/>
      <c r="V31" s="25"/>
    </row>
    <row r="32" spans="1:22" s="1" customFormat="1" ht="32.25" customHeight="1" x14ac:dyDescent="0.4">
      <c r="A32" s="25"/>
      <c r="B32" s="287" t="s">
        <v>290</v>
      </c>
      <c r="C32" s="288"/>
      <c r="D32" s="288"/>
      <c r="E32" s="395"/>
      <c r="F32" s="173">
        <f>IFERROR(VLOOKUP(MID(B32,4,3),MMWR_TRAD_AGG_NATIONAL[],2,0),"--")</f>
        <v>52</v>
      </c>
      <c r="G32" s="174">
        <f>IFERROR(VLOOKUP(MID(B32,4,3),MMWR_TRAD_AGG_NATIONAL[],3,0),"--")</f>
        <v>51</v>
      </c>
      <c r="H32" s="175">
        <f t="shared" si="0"/>
        <v>0.98076923076923073</v>
      </c>
      <c r="I32" s="57"/>
      <c r="J32" s="57"/>
      <c r="K32" s="57"/>
      <c r="L32" s="57"/>
      <c r="M32" s="57"/>
      <c r="N32" s="57"/>
      <c r="O32" s="57"/>
      <c r="P32" s="57"/>
      <c r="Q32" s="57"/>
      <c r="R32" s="57"/>
      <c r="S32" s="57"/>
      <c r="T32" s="57"/>
      <c r="U32" s="75"/>
      <c r="V32" s="25"/>
    </row>
    <row r="33" spans="1:22" s="1" customFormat="1" ht="32.25" customHeight="1" x14ac:dyDescent="0.4">
      <c r="A33" s="25"/>
      <c r="B33" s="287" t="s">
        <v>291</v>
      </c>
      <c r="C33" s="288"/>
      <c r="D33" s="288"/>
      <c r="E33" s="395"/>
      <c r="F33" s="173">
        <f>IFERROR(VLOOKUP(MID(B33,4,3),MMWR_TRAD_AGG_NATIONAL[],2,0),"--")</f>
        <v>731</v>
      </c>
      <c r="G33" s="174">
        <f>IFERROR(VLOOKUP(MID(B33,4,3),MMWR_TRAD_AGG_NATIONAL[],3,0),"--")</f>
        <v>652</v>
      </c>
      <c r="H33" s="175">
        <f t="shared" si="0"/>
        <v>0.89192886456908349</v>
      </c>
      <c r="I33" s="57"/>
      <c r="J33" s="57"/>
      <c r="K33" s="57"/>
      <c r="L33" s="28"/>
      <c r="M33" s="28"/>
      <c r="N33" s="28"/>
      <c r="O33" s="28"/>
      <c r="P33" s="28"/>
      <c r="Q33" s="28"/>
      <c r="R33" s="57"/>
      <c r="S33" s="57"/>
      <c r="T33" s="57"/>
      <c r="U33" s="75"/>
      <c r="V33" s="25"/>
    </row>
    <row r="34" spans="1:22" s="1" customFormat="1" ht="32.25" customHeight="1" x14ac:dyDescent="0.4">
      <c r="A34" s="25"/>
      <c r="B34" s="287" t="s">
        <v>292</v>
      </c>
      <c r="C34" s="288"/>
      <c r="D34" s="288"/>
      <c r="E34" s="395"/>
      <c r="F34" s="173">
        <f>IFERROR(VLOOKUP(MID(B34,4,3),MMWR_TRAD_AGG_NATIONAL[],2,0),"--")</f>
        <v>1552</v>
      </c>
      <c r="G34" s="174">
        <f>IFERROR(VLOOKUP(MID(B34,4,3),MMWR_TRAD_AGG_NATIONAL[],3,0),"--")</f>
        <v>393</v>
      </c>
      <c r="H34" s="175">
        <f t="shared" si="0"/>
        <v>0.25322164948453607</v>
      </c>
      <c r="I34" s="57"/>
      <c r="J34" s="57"/>
      <c r="K34" s="57"/>
      <c r="L34" s="28"/>
      <c r="M34" s="28"/>
      <c r="N34" s="28"/>
      <c r="O34" s="28"/>
      <c r="P34" s="28"/>
      <c r="Q34" s="28"/>
      <c r="R34" s="57"/>
      <c r="S34" s="57"/>
      <c r="T34" s="57"/>
      <c r="U34" s="75"/>
      <c r="V34" s="25"/>
    </row>
    <row r="35" spans="1:22" s="1" customFormat="1" ht="32.25" customHeight="1" x14ac:dyDescent="0.4">
      <c r="A35" s="25"/>
      <c r="B35" s="287" t="s">
        <v>293</v>
      </c>
      <c r="C35" s="288"/>
      <c r="D35" s="288"/>
      <c r="E35" s="395"/>
      <c r="F35" s="173">
        <f>IFERROR(VLOOKUP(MID(B35,4,3),MMWR_TRAD_AGG_NATIONAL[],2,0),"--")</f>
        <v>191</v>
      </c>
      <c r="G35" s="174">
        <f>IFERROR(VLOOKUP(MID(B35,4,3),MMWR_TRAD_AGG_NATIONAL[],3,0),"--")</f>
        <v>190</v>
      </c>
      <c r="H35" s="175">
        <f t="shared" si="0"/>
        <v>0.99476439790575921</v>
      </c>
      <c r="I35" s="57"/>
      <c r="J35" s="57"/>
      <c r="K35" s="57"/>
      <c r="L35" s="57"/>
      <c r="M35" s="57"/>
      <c r="N35" s="57"/>
      <c r="O35" s="57"/>
      <c r="P35" s="57"/>
      <c r="Q35" s="57"/>
      <c r="R35" s="57"/>
      <c r="S35" s="57"/>
      <c r="T35" s="57"/>
      <c r="U35" s="75"/>
      <c r="V35" s="25"/>
    </row>
    <row r="36" spans="1:22" s="1" customFormat="1" ht="32.25" customHeight="1" x14ac:dyDescent="0.4">
      <c r="A36" s="25"/>
      <c r="B36" s="287" t="s">
        <v>294</v>
      </c>
      <c r="C36" s="288"/>
      <c r="D36" s="288"/>
      <c r="E36" s="395"/>
      <c r="F36" s="173">
        <f>IFERROR(VLOOKUP(MID(B36,4,3),MMWR_TRAD_AGG_NATIONAL[],2,0),"--")</f>
        <v>16870</v>
      </c>
      <c r="G36" s="174">
        <f>IFERROR(VLOOKUP(MID(B36,4,3),MMWR_TRAD_AGG_NATIONAL[],3,0),"--")</f>
        <v>12811</v>
      </c>
      <c r="H36" s="175">
        <f t="shared" si="0"/>
        <v>0.75939537640782451</v>
      </c>
      <c r="I36" s="57"/>
      <c r="J36" s="57"/>
      <c r="K36" s="57"/>
      <c r="L36" s="57"/>
      <c r="M36" s="57"/>
      <c r="N36" s="57"/>
      <c r="O36" s="57"/>
      <c r="P36" s="57"/>
      <c r="Q36" s="57"/>
      <c r="R36" s="57"/>
      <c r="S36" s="57"/>
      <c r="T36" s="57"/>
      <c r="U36" s="75"/>
      <c r="V36" s="25"/>
    </row>
    <row r="37" spans="1:22" s="1" customFormat="1" ht="27" customHeight="1" thickBot="1" x14ac:dyDescent="0.45">
      <c r="A37" s="25"/>
      <c r="B37" s="287" t="s">
        <v>295</v>
      </c>
      <c r="C37" s="288"/>
      <c r="D37" s="288"/>
      <c r="E37" s="395"/>
      <c r="F37" s="173">
        <f>IFERROR(VLOOKUP(MID(B37,4,3)&amp;"G",MMWR_TRAD_AGG_NATIONAL[],2,0),"--")</f>
        <v>57573</v>
      </c>
      <c r="G37" s="174">
        <f>IFERROR(VLOOKUP(MID(B37,4,3)&amp;"G",MMWR_TRAD_AGG_NATIONAL[],3,0),"--")</f>
        <v>46983</v>
      </c>
      <c r="H37" s="175">
        <f t="shared" si="0"/>
        <v>0.81605961127611903</v>
      </c>
      <c r="I37" s="57"/>
      <c r="J37" s="57"/>
      <c r="K37" s="57"/>
      <c r="L37" s="57"/>
      <c r="M37" s="57"/>
      <c r="N37" s="57"/>
      <c r="O37" s="57"/>
      <c r="P37" s="57"/>
      <c r="Q37" s="57"/>
      <c r="R37" s="57"/>
      <c r="S37" s="57"/>
      <c r="T37" s="57"/>
      <c r="U37" s="75"/>
      <c r="V37" s="25"/>
    </row>
    <row r="38" spans="1:22" s="1" customFormat="1" ht="32.25" customHeight="1" thickBot="1" x14ac:dyDescent="0.45">
      <c r="A38" s="25"/>
      <c r="B38" s="400" t="s">
        <v>246</v>
      </c>
      <c r="C38" s="401"/>
      <c r="D38" s="401"/>
      <c r="E38" s="401"/>
      <c r="F38" s="170">
        <f>SUM(F39:F44)</f>
        <v>157685</v>
      </c>
      <c r="G38" s="171">
        <f>SUM(G39:G44)</f>
        <v>106735</v>
      </c>
      <c r="H38" s="172">
        <f t="shared" si="0"/>
        <v>0.67688746551669465</v>
      </c>
      <c r="I38" s="57"/>
      <c r="J38" s="57"/>
      <c r="K38" s="76"/>
      <c r="L38" s="76"/>
      <c r="M38" s="76"/>
      <c r="N38" s="76"/>
      <c r="O38" s="76"/>
      <c r="P38" s="57"/>
      <c r="Q38" s="57"/>
      <c r="R38" s="57"/>
      <c r="S38" s="57"/>
      <c r="T38" s="57"/>
      <c r="U38" s="75"/>
      <c r="V38" s="25"/>
    </row>
    <row r="39" spans="1:22" s="1" customFormat="1" ht="26.25" customHeight="1" x14ac:dyDescent="0.4">
      <c r="A39" s="25"/>
      <c r="B39" s="402" t="s">
        <v>296</v>
      </c>
      <c r="C39" s="403"/>
      <c r="D39" s="403"/>
      <c r="E39" s="404"/>
      <c r="F39" s="176">
        <f>IFERROR(VLOOKUP(MID(B39,4,3),MMWR_TRAD_AGG_NATIONAL[],2,0),"--")</f>
        <v>6275</v>
      </c>
      <c r="G39" s="177">
        <f>IFERROR(VLOOKUP(MID(B39,4,3),MMWR_TRAD_AGG_NATIONAL[],3,0),"--")</f>
        <v>4796</v>
      </c>
      <c r="H39" s="178">
        <f t="shared" si="0"/>
        <v>0.76430278884462155</v>
      </c>
      <c r="I39" s="57"/>
      <c r="J39" s="57"/>
      <c r="K39" s="76"/>
      <c r="L39" s="76"/>
      <c r="M39" s="76"/>
      <c r="N39" s="76"/>
      <c r="O39" s="76"/>
      <c r="P39" s="57"/>
      <c r="Q39" s="57"/>
      <c r="R39" s="57"/>
      <c r="S39" s="57"/>
      <c r="T39" s="57"/>
      <c r="U39" s="75"/>
      <c r="V39" s="25"/>
    </row>
    <row r="40" spans="1:22" s="1" customFormat="1" ht="26.25" customHeight="1" x14ac:dyDescent="0.4">
      <c r="A40" s="25"/>
      <c r="B40" s="287" t="s">
        <v>297</v>
      </c>
      <c r="C40" s="288"/>
      <c r="D40" s="288"/>
      <c r="E40" s="395"/>
      <c r="F40" s="173">
        <f>IFERROR(VLOOKUP(MID(B40,4,3),MMWR_TRAD_AGG_NATIONAL[],2,0),"--")</f>
        <v>103067</v>
      </c>
      <c r="G40" s="174">
        <f>IFERROR(VLOOKUP(MID(B40,4,3),MMWR_TRAD_AGG_NATIONAL[],3,0),"--")</f>
        <v>72476</v>
      </c>
      <c r="H40" s="175">
        <f t="shared" si="0"/>
        <v>0.70319306858645347</v>
      </c>
      <c r="I40" s="57"/>
      <c r="J40" s="57"/>
      <c r="K40" s="57"/>
      <c r="L40" s="57"/>
      <c r="M40" s="57"/>
      <c r="N40" s="57"/>
      <c r="O40" s="57"/>
      <c r="P40" s="57"/>
      <c r="Q40" s="57"/>
      <c r="R40" s="57"/>
      <c r="S40" s="57"/>
      <c r="T40" s="57"/>
      <c r="U40" s="75"/>
      <c r="V40" s="25"/>
    </row>
    <row r="41" spans="1:22" s="1" customFormat="1" ht="26.25" customHeight="1" x14ac:dyDescent="0.4">
      <c r="A41" s="25"/>
      <c r="B41" s="287" t="s">
        <v>298</v>
      </c>
      <c r="C41" s="288"/>
      <c r="D41" s="288"/>
      <c r="E41" s="395"/>
      <c r="F41" s="173">
        <f>IFERROR(VLOOKUP(MID(B41,4,3),MMWR_TRAD_AGG_NATIONAL[],2,0),"--")</f>
        <v>1652</v>
      </c>
      <c r="G41" s="174">
        <f>IFERROR(VLOOKUP(MID(B41,4,3),MMWR_TRAD_AGG_NATIONAL[],3,0),"--")</f>
        <v>396</v>
      </c>
      <c r="H41" s="175">
        <f t="shared" si="0"/>
        <v>0.23970944309927361</v>
      </c>
      <c r="I41" s="57"/>
      <c r="J41" s="57"/>
      <c r="K41" s="57"/>
      <c r="L41" s="57"/>
      <c r="M41" s="57"/>
      <c r="N41" s="57"/>
      <c r="O41" s="57"/>
      <c r="P41" s="57"/>
      <c r="Q41" s="57"/>
      <c r="R41" s="57"/>
      <c r="S41" s="57"/>
      <c r="T41" s="57"/>
      <c r="U41" s="75"/>
      <c r="V41" s="25"/>
    </row>
    <row r="42" spans="1:22" s="1" customFormat="1" ht="36" customHeight="1" x14ac:dyDescent="0.4">
      <c r="A42" s="25"/>
      <c r="B42" s="287" t="s">
        <v>299</v>
      </c>
      <c r="C42" s="288"/>
      <c r="D42" s="288"/>
      <c r="E42" s="395"/>
      <c r="F42" s="173">
        <f>IFERROR(VLOOKUP(MID(B42,4,3),MMWR_TRAD_AGG_NATIONAL[],2,0),"--")</f>
        <v>24060</v>
      </c>
      <c r="G42" s="174">
        <f>IFERROR(VLOOKUP(MID(B42,4,3),MMWR_TRAD_AGG_NATIONAL[],3,0),"--")</f>
        <v>9635</v>
      </c>
      <c r="H42" s="175">
        <f t="shared" si="0"/>
        <v>0.40045719035743971</v>
      </c>
      <c r="I42" s="57"/>
      <c r="J42" s="57"/>
      <c r="K42" s="57"/>
      <c r="L42" s="57"/>
      <c r="M42" s="57"/>
      <c r="N42" s="57"/>
      <c r="O42" s="57"/>
      <c r="P42" s="57"/>
      <c r="Q42" s="57"/>
      <c r="R42" s="57"/>
      <c r="S42" s="57"/>
      <c r="T42" s="57"/>
      <c r="U42" s="75"/>
      <c r="V42" s="25"/>
    </row>
    <row r="43" spans="1:22" s="1" customFormat="1" ht="33" customHeight="1" x14ac:dyDescent="0.4">
      <c r="A43" s="25"/>
      <c r="B43" s="287" t="s">
        <v>300</v>
      </c>
      <c r="C43" s="288"/>
      <c r="D43" s="288"/>
      <c r="E43" s="395"/>
      <c r="F43" s="173">
        <f>IFERROR(VLOOKUP(MID(B43,4,3),MMWR_TRAD_AGG_NATIONAL[],2,0),"--")</f>
        <v>22103</v>
      </c>
      <c r="G43" s="174">
        <f>IFERROR(VLOOKUP(MID(B43,4,3),MMWR_TRAD_AGG_NATIONAL[],3,0),"--")</f>
        <v>18949</v>
      </c>
      <c r="H43" s="175">
        <f t="shared" si="0"/>
        <v>0.85730443831154146</v>
      </c>
      <c r="I43" s="57"/>
      <c r="J43" s="57"/>
      <c r="K43" s="57"/>
      <c r="L43" s="57"/>
      <c r="M43" s="57"/>
      <c r="N43" s="57"/>
      <c r="O43" s="57"/>
      <c r="P43" s="57"/>
      <c r="Q43" s="57"/>
      <c r="R43" s="57"/>
      <c r="S43" s="57"/>
      <c r="T43" s="57"/>
      <c r="U43" s="75"/>
      <c r="V43" s="25"/>
    </row>
    <row r="44" spans="1:22" s="1" customFormat="1" ht="27" customHeight="1" thickBot="1" x14ac:dyDescent="0.45">
      <c r="A44" s="25"/>
      <c r="B44" s="292" t="s">
        <v>301</v>
      </c>
      <c r="C44" s="293"/>
      <c r="D44" s="293"/>
      <c r="E44" s="399"/>
      <c r="F44" s="179">
        <f>IFERROR(VLOOKUP(MID(B44,4,3),MMWR_TRAD_AGG_NATIONAL[],2,0),"--")</f>
        <v>528</v>
      </c>
      <c r="G44" s="180">
        <f>IFERROR(VLOOKUP(MID(B44,4,3),MMWR_TRAD_AGG_NATIONAL[],3,0),"--")</f>
        <v>483</v>
      </c>
      <c r="H44" s="181">
        <f t="shared" si="0"/>
        <v>0.91477272727272729</v>
      </c>
      <c r="I44" s="78"/>
      <c r="J44" s="78"/>
      <c r="K44" s="78"/>
      <c r="L44" s="78"/>
      <c r="M44" s="78"/>
      <c r="N44" s="78"/>
      <c r="O44" s="78"/>
      <c r="P44" s="78"/>
      <c r="Q44" s="78"/>
      <c r="R44" s="78"/>
      <c r="S44" s="78"/>
      <c r="T44" s="78"/>
      <c r="U44" s="79"/>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A3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6" priority="89" stopIfTrue="1">
      <formula>ISERROR(H30)</formula>
    </cfRule>
  </conditionalFormatting>
  <conditionalFormatting sqref="J8">
    <cfRule type="expression" dxfId="415" priority="83" stopIfTrue="1">
      <formula>ISERROR(J8)</formula>
    </cfRule>
  </conditionalFormatting>
  <conditionalFormatting sqref="J10">
    <cfRule type="expression" dxfId="414" priority="79" stopIfTrue="1">
      <formula>ISERROR(J10)</formula>
    </cfRule>
  </conditionalFormatting>
  <conditionalFormatting sqref="N11">
    <cfRule type="expression" dxfId="413" priority="76" stopIfTrue="1">
      <formula>ISERROR(N11)</formula>
    </cfRule>
  </conditionalFormatting>
  <conditionalFormatting sqref="N18">
    <cfRule type="expression" dxfId="412" priority="75" stopIfTrue="1">
      <formula>ISERROR(N18)</formula>
    </cfRule>
  </conditionalFormatting>
  <conditionalFormatting sqref="N22">
    <cfRule type="expression" dxfId="411" priority="73" stopIfTrue="1">
      <formula>ISERROR(N22)</formula>
    </cfRule>
  </conditionalFormatting>
  <conditionalFormatting sqref="F6">
    <cfRule type="expression" dxfId="410" priority="58" stopIfTrue="1">
      <formula>ISERROR(F6)</formula>
    </cfRule>
  </conditionalFormatting>
  <conditionalFormatting sqref="L6">
    <cfRule type="expression" dxfId="409" priority="57" stopIfTrue="1">
      <formula>ISERROR(L6)</formula>
    </cfRule>
  </conditionalFormatting>
  <conditionalFormatting sqref="R6">
    <cfRule type="expression" dxfId="408" priority="51" stopIfTrue="1">
      <formula>ISERROR(R6)</formula>
    </cfRule>
  </conditionalFormatting>
  <conditionalFormatting sqref="U6">
    <cfRule type="expression" dxfId="407" priority="50" stopIfTrue="1">
      <formula>ISERROR(U6)</formula>
    </cfRule>
  </conditionalFormatting>
  <conditionalFormatting sqref="H8">
    <cfRule type="expression" dxfId="406" priority="49" stopIfTrue="1">
      <formula>ISERROR(H8)</formula>
    </cfRule>
  </conditionalFormatting>
  <conditionalFormatting sqref="H9">
    <cfRule type="expression" dxfId="405" priority="48" stopIfTrue="1">
      <formula>ISERROR(H9)</formula>
    </cfRule>
  </conditionalFormatting>
  <conditionalFormatting sqref="H10">
    <cfRule type="expression" dxfId="404" priority="47" stopIfTrue="1">
      <formula>ISERROR(H10)</formula>
    </cfRule>
  </conditionalFormatting>
  <conditionalFormatting sqref="H12">
    <cfRule type="expression" dxfId="403" priority="46" stopIfTrue="1">
      <formula>ISERROR(H12)</formula>
    </cfRule>
  </conditionalFormatting>
  <conditionalFormatting sqref="H13">
    <cfRule type="expression" dxfId="402" priority="45" stopIfTrue="1">
      <formula>ISERROR(H13)</formula>
    </cfRule>
  </conditionalFormatting>
  <conditionalFormatting sqref="H15">
    <cfRule type="expression" dxfId="401" priority="44" stopIfTrue="1">
      <formula>ISERROR(H15)</formula>
    </cfRule>
  </conditionalFormatting>
  <conditionalFormatting sqref="H16">
    <cfRule type="expression" dxfId="400" priority="43" stopIfTrue="1">
      <formula>ISERROR(H16)</formula>
    </cfRule>
  </conditionalFormatting>
  <conditionalFormatting sqref="H17">
    <cfRule type="expression" dxfId="399" priority="42" stopIfTrue="1">
      <formula>ISERROR(H17)</formula>
    </cfRule>
  </conditionalFormatting>
  <conditionalFormatting sqref="H18">
    <cfRule type="expression" dxfId="398" priority="41" stopIfTrue="1">
      <formula>ISERROR(H18)</formula>
    </cfRule>
  </conditionalFormatting>
  <conditionalFormatting sqref="H19">
    <cfRule type="expression" dxfId="397" priority="40" stopIfTrue="1">
      <formula>ISERROR(H19)</formula>
    </cfRule>
  </conditionalFormatting>
  <conditionalFormatting sqref="H20">
    <cfRule type="expression" dxfId="396" priority="38" stopIfTrue="1">
      <formula>ISERROR(H20)</formula>
    </cfRule>
  </conditionalFormatting>
  <conditionalFormatting sqref="H21">
    <cfRule type="expression" dxfId="395" priority="37" stopIfTrue="1">
      <formula>ISERROR(H21)</formula>
    </cfRule>
  </conditionalFormatting>
  <conditionalFormatting sqref="H23">
    <cfRule type="expression" dxfId="394" priority="36" stopIfTrue="1">
      <formula>ISERROR(H23)</formula>
    </cfRule>
  </conditionalFormatting>
  <conditionalFormatting sqref="H24">
    <cfRule type="expression" dxfId="393" priority="35" stopIfTrue="1">
      <formula>ISERROR(H24)</formula>
    </cfRule>
  </conditionalFormatting>
  <conditionalFormatting sqref="H25">
    <cfRule type="expression" dxfId="392" priority="34" stopIfTrue="1">
      <formula>ISERROR(H25)</formula>
    </cfRule>
  </conditionalFormatting>
  <conditionalFormatting sqref="H26">
    <cfRule type="expression" dxfId="391" priority="33" stopIfTrue="1">
      <formula>ISERROR(H26)</formula>
    </cfRule>
  </conditionalFormatting>
  <conditionalFormatting sqref="H27">
    <cfRule type="expression" dxfId="390" priority="32" stopIfTrue="1">
      <formula>ISERROR(H27)</formula>
    </cfRule>
  </conditionalFormatting>
  <conditionalFormatting sqref="H28">
    <cfRule type="expression" dxfId="389" priority="31" stopIfTrue="1">
      <formula>ISERROR(H28)</formula>
    </cfRule>
  </conditionalFormatting>
  <conditionalFormatting sqref="H29">
    <cfRule type="expression" dxfId="388" priority="30" stopIfTrue="1">
      <formula>ISERROR(H29)</formula>
    </cfRule>
  </conditionalFormatting>
  <conditionalFormatting sqref="H31">
    <cfRule type="expression" dxfId="387" priority="29" stopIfTrue="1">
      <formula>ISERROR(H31)</formula>
    </cfRule>
  </conditionalFormatting>
  <conditionalFormatting sqref="H32">
    <cfRule type="expression" dxfId="386" priority="28" stopIfTrue="1">
      <formula>ISERROR(H32)</formula>
    </cfRule>
  </conditionalFormatting>
  <conditionalFormatting sqref="H33">
    <cfRule type="expression" dxfId="385" priority="27" stopIfTrue="1">
      <formula>ISERROR(H33)</formula>
    </cfRule>
  </conditionalFormatting>
  <conditionalFormatting sqref="H34">
    <cfRule type="expression" dxfId="384" priority="26" stopIfTrue="1">
      <formula>ISERROR(H34)</formula>
    </cfRule>
  </conditionalFormatting>
  <conditionalFormatting sqref="H35">
    <cfRule type="expression" dxfId="383" priority="25" stopIfTrue="1">
      <formula>ISERROR(H35)</formula>
    </cfRule>
  </conditionalFormatting>
  <conditionalFormatting sqref="H36">
    <cfRule type="expression" dxfId="382" priority="24" stopIfTrue="1">
      <formula>ISERROR(H36)</formula>
    </cfRule>
  </conditionalFormatting>
  <conditionalFormatting sqref="H37">
    <cfRule type="expression" dxfId="381" priority="23" stopIfTrue="1">
      <formula>ISERROR(H37)</formula>
    </cfRule>
  </conditionalFormatting>
  <conditionalFormatting sqref="H39">
    <cfRule type="expression" dxfId="380" priority="22" stopIfTrue="1">
      <formula>ISERROR(H39)</formula>
    </cfRule>
  </conditionalFormatting>
  <conditionalFormatting sqref="H40">
    <cfRule type="expression" dxfId="379" priority="21" stopIfTrue="1">
      <formula>ISERROR(H40)</formula>
    </cfRule>
  </conditionalFormatting>
  <conditionalFormatting sqref="H41">
    <cfRule type="expression" dxfId="378" priority="20" stopIfTrue="1">
      <formula>ISERROR(H41)</formula>
    </cfRule>
  </conditionalFormatting>
  <conditionalFormatting sqref="H42">
    <cfRule type="expression" dxfId="377" priority="19" stopIfTrue="1">
      <formula>ISERROR(H42)</formula>
    </cfRule>
  </conditionalFormatting>
  <conditionalFormatting sqref="H43">
    <cfRule type="expression" dxfId="376" priority="18" stopIfTrue="1">
      <formula>ISERROR(H43)</formula>
    </cfRule>
  </conditionalFormatting>
  <conditionalFormatting sqref="H44">
    <cfRule type="expression" dxfId="375" priority="17" stopIfTrue="1">
      <formula>ISERROR(H44)</formula>
    </cfRule>
  </conditionalFormatting>
  <conditionalFormatting sqref="N8">
    <cfRule type="expression" dxfId="374" priority="16" stopIfTrue="1">
      <formula>ISERROR(N8)</formula>
    </cfRule>
  </conditionalFormatting>
  <conditionalFormatting sqref="N9">
    <cfRule type="expression" dxfId="373" priority="15" stopIfTrue="1">
      <formula>ISERROR(N9)</formula>
    </cfRule>
  </conditionalFormatting>
  <conditionalFormatting sqref="N10">
    <cfRule type="expression" dxfId="372" priority="14" stopIfTrue="1">
      <formula>ISERROR(N10)</formula>
    </cfRule>
  </conditionalFormatting>
  <conditionalFormatting sqref="N12">
    <cfRule type="expression" dxfId="371" priority="13" stopIfTrue="1">
      <formula>ISERROR(N12)</formula>
    </cfRule>
  </conditionalFormatting>
  <conditionalFormatting sqref="N13">
    <cfRule type="expression" dxfId="370" priority="12" stopIfTrue="1">
      <formula>ISERROR(N13)</formula>
    </cfRule>
  </conditionalFormatting>
  <conditionalFormatting sqref="N14">
    <cfRule type="expression" dxfId="369" priority="11" stopIfTrue="1">
      <formula>ISERROR(N14)</formula>
    </cfRule>
  </conditionalFormatting>
  <conditionalFormatting sqref="N15">
    <cfRule type="expression" dxfId="368" priority="10" stopIfTrue="1">
      <formula>ISERROR(N15)</formula>
    </cfRule>
  </conditionalFormatting>
  <conditionalFormatting sqref="N16">
    <cfRule type="expression" dxfId="367" priority="9" stopIfTrue="1">
      <formula>ISERROR(N16)</formula>
    </cfRule>
  </conditionalFormatting>
  <conditionalFormatting sqref="N17">
    <cfRule type="expression" dxfId="366" priority="8" stopIfTrue="1">
      <formula>ISERROR(N17)</formula>
    </cfRule>
  </conditionalFormatting>
  <conditionalFormatting sqref="N19">
    <cfRule type="expression" dxfId="365" priority="7" stopIfTrue="1">
      <formula>ISERROR(N19)</formula>
    </cfRule>
  </conditionalFormatting>
  <conditionalFormatting sqref="N20">
    <cfRule type="expression" dxfId="364" priority="6" stopIfTrue="1">
      <formula>ISERROR(N20)</formula>
    </cfRule>
  </conditionalFormatting>
  <conditionalFormatting sqref="N21">
    <cfRule type="expression" dxfId="363" priority="5" stopIfTrue="1">
      <formula>ISERROR(N21)</formula>
    </cfRule>
  </conditionalFormatting>
  <conditionalFormatting sqref="N23">
    <cfRule type="expression" dxfId="362" priority="4" stopIfTrue="1">
      <formula>ISERROR(N23)</formula>
    </cfRule>
  </conditionalFormatting>
  <conditionalFormatting sqref="N24">
    <cfRule type="expression" dxfId="361" priority="3" stopIfTrue="1">
      <formula>ISERROR(N24)</formula>
    </cfRule>
  </conditionalFormatting>
  <conditionalFormatting sqref="N25">
    <cfRule type="expression" dxfId="360" priority="2" stopIfTrue="1">
      <formula>ISERROR(N25)</formula>
    </cfRule>
  </conditionalFormatting>
  <conditionalFormatting sqref="N26">
    <cfRule type="expression" dxfId="359"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sqref="A1:P1"/>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80">
        <v>2</v>
      </c>
      <c r="D1" s="80">
        <v>3</v>
      </c>
      <c r="E1" s="81">
        <v>4</v>
      </c>
      <c r="F1" s="81">
        <v>5</v>
      </c>
      <c r="G1" s="81"/>
      <c r="H1" s="81">
        <v>6</v>
      </c>
      <c r="I1" s="81">
        <v>7</v>
      </c>
      <c r="J1" s="81"/>
      <c r="K1" s="81">
        <v>8</v>
      </c>
      <c r="L1" s="81">
        <v>9</v>
      </c>
      <c r="M1" s="81"/>
      <c r="N1" s="81">
        <v>10</v>
      </c>
      <c r="O1" s="81">
        <v>11</v>
      </c>
      <c r="P1" s="81"/>
      <c r="Q1" s="81">
        <v>12</v>
      </c>
      <c r="R1" s="81">
        <v>13</v>
      </c>
      <c r="S1" s="81">
        <v>2</v>
      </c>
      <c r="T1" s="25"/>
    </row>
    <row r="2" spans="1:20" ht="26.25" x14ac:dyDescent="0.4">
      <c r="A2" s="25"/>
      <c r="B2" s="26"/>
      <c r="C2" s="452" t="str">
        <f>UPPER("INVENTORY BY REGIONAL OFFICE "&amp;Transformation!B4)</f>
        <v>INVENTORY BY REGIONAL OFFICE AS OF: JULY 18, 2015</v>
      </c>
      <c r="D2" s="453"/>
      <c r="E2" s="453"/>
      <c r="F2" s="453"/>
      <c r="G2" s="453"/>
      <c r="H2" s="453"/>
      <c r="I2" s="453"/>
      <c r="J2" s="453"/>
      <c r="K2" s="453"/>
      <c r="L2" s="453"/>
      <c r="M2" s="453"/>
      <c r="N2" s="453"/>
      <c r="O2" s="453"/>
      <c r="P2" s="453"/>
      <c r="Q2" s="453"/>
      <c r="R2" s="453"/>
      <c r="S2" s="454"/>
      <c r="T2" s="25"/>
    </row>
    <row r="3" spans="1:20" x14ac:dyDescent="0.2">
      <c r="A3" s="25"/>
      <c r="B3" s="26"/>
      <c r="C3" s="455" t="s">
        <v>233</v>
      </c>
      <c r="D3" s="456"/>
      <c r="E3" s="457" t="s">
        <v>213</v>
      </c>
      <c r="F3" s="458"/>
      <c r="G3" s="459"/>
      <c r="H3" s="457" t="s">
        <v>7</v>
      </c>
      <c r="I3" s="458"/>
      <c r="J3" s="459"/>
      <c r="K3" s="457" t="s">
        <v>33</v>
      </c>
      <c r="L3" s="458"/>
      <c r="M3" s="459"/>
      <c r="N3" s="457" t="s">
        <v>8</v>
      </c>
      <c r="O3" s="458"/>
      <c r="P3" s="459"/>
      <c r="Q3" s="82" t="s">
        <v>9</v>
      </c>
      <c r="R3" s="83" t="s">
        <v>10</v>
      </c>
      <c r="S3" s="83" t="s">
        <v>11</v>
      </c>
      <c r="T3" s="25"/>
    </row>
    <row r="4" spans="1:20" ht="38.25" x14ac:dyDescent="0.2">
      <c r="A4" s="84"/>
      <c r="B4" s="55"/>
      <c r="C4" s="85" t="s">
        <v>12</v>
      </c>
      <c r="D4" s="86" t="s">
        <v>140</v>
      </c>
      <c r="E4" s="87" t="s">
        <v>12</v>
      </c>
      <c r="F4" s="88" t="s">
        <v>3</v>
      </c>
      <c r="G4" s="89" t="s">
        <v>4</v>
      </c>
      <c r="H4" s="87" t="s">
        <v>12</v>
      </c>
      <c r="I4" s="88" t="s">
        <v>3</v>
      </c>
      <c r="J4" s="89" t="s">
        <v>4</v>
      </c>
      <c r="K4" s="87" t="s">
        <v>12</v>
      </c>
      <c r="L4" s="88" t="s">
        <v>3</v>
      </c>
      <c r="M4" s="89" t="s">
        <v>4</v>
      </c>
      <c r="N4" s="87" t="s">
        <v>12</v>
      </c>
      <c r="O4" s="88" t="s">
        <v>3</v>
      </c>
      <c r="P4" s="89" t="s">
        <v>4</v>
      </c>
      <c r="Q4" s="90" t="s">
        <v>12</v>
      </c>
      <c r="R4" s="90" t="s">
        <v>12</v>
      </c>
      <c r="S4" s="91" t="s">
        <v>498</v>
      </c>
      <c r="T4" s="92"/>
    </row>
    <row r="5" spans="1:20" ht="26.25" x14ac:dyDescent="0.4">
      <c r="A5" s="25"/>
      <c r="B5" s="26"/>
      <c r="C5" s="452" t="s">
        <v>496</v>
      </c>
      <c r="D5" s="453"/>
      <c r="E5" s="453"/>
      <c r="F5" s="453"/>
      <c r="G5" s="453"/>
      <c r="H5" s="453"/>
      <c r="I5" s="453"/>
      <c r="J5" s="453"/>
      <c r="K5" s="453"/>
      <c r="L5" s="453"/>
      <c r="M5" s="453"/>
      <c r="N5" s="453"/>
      <c r="O5" s="453"/>
      <c r="P5" s="453"/>
      <c r="Q5" s="453"/>
      <c r="R5" s="453"/>
      <c r="S5" s="454"/>
      <c r="T5" s="25"/>
    </row>
    <row r="6" spans="1:20" x14ac:dyDescent="0.2">
      <c r="A6" s="93"/>
      <c r="B6" s="94" t="s">
        <v>471</v>
      </c>
      <c r="C6" s="212">
        <f>IFERROR(VLOOKUP($B6,MMWR_TRAD_AGG_DISTRICT_COMP[],C$1,0),"ERROR")</f>
        <v>362686</v>
      </c>
      <c r="D6" s="190">
        <f>IFERROR(VLOOKUP($B6,MMWR_TRAD_AGG_DISTRICT_COMP[],D$1,0),"ERROR")</f>
        <v>364.2403787298</v>
      </c>
      <c r="E6" s="198">
        <f>IFERROR(VLOOKUP($B6,MMWR_TRAD_AGG_DISTRICT_COMP[],E$1,0),"ERROR")</f>
        <v>353179</v>
      </c>
      <c r="F6" s="192">
        <f>IFERROR(VLOOKUP($B6,MMWR_TRAD_AGG_DISTRICT_COMP[],F$1,0),"ERROR")</f>
        <v>117115</v>
      </c>
      <c r="G6" s="215">
        <f t="shared" ref="G6:G69" si="0">IFERROR(F6/E6,"0%")</f>
        <v>0.33160238859048813</v>
      </c>
      <c r="H6" s="191">
        <f>IFERROR(VLOOKUP($B6,MMWR_TRAD_AGG_DISTRICT_COMP[],H$1,0),"ERROR")</f>
        <v>503021</v>
      </c>
      <c r="I6" s="192">
        <f>IFERROR(VLOOKUP($B6,MMWR_TRAD_AGG_DISTRICT_COMP[],I$1,0),"ERROR")</f>
        <v>315998</v>
      </c>
      <c r="J6" s="215">
        <f t="shared" ref="J6:J69" si="1">IFERROR(I6/H6,"0%")</f>
        <v>0.62820041310402552</v>
      </c>
      <c r="K6" s="191">
        <f>IFERROR(VLOOKUP($B6,MMWR_TRAD_AGG_DISTRICT_COMP[],K$1,0),"ERROR")</f>
        <v>77021</v>
      </c>
      <c r="L6" s="192">
        <f>IFERROR(VLOOKUP($B6,MMWR_TRAD_AGG_DISTRICT_COMP[],L$1,0),"ERROR")</f>
        <v>61132</v>
      </c>
      <c r="M6" s="215">
        <f t="shared" ref="M6:M69" si="2">IFERROR(L6/K6,"0%")</f>
        <v>0.79370561275496299</v>
      </c>
      <c r="N6" s="191">
        <f>IFERROR(VLOOKUP($B6,MMWR_TRAD_AGG_DISTRICT_COMP[],N$1,0),"ERROR")</f>
        <v>157685</v>
      </c>
      <c r="O6" s="192">
        <f>IFERROR(VLOOKUP($B6,MMWR_TRAD_AGG_DISTRICT_COMP[],O$1,0),"ERROR")</f>
        <v>106735</v>
      </c>
      <c r="P6" s="215">
        <f t="shared" ref="P6:P69" si="3">IFERROR(O6/N6,"0%")</f>
        <v>0.67688746551669465</v>
      </c>
      <c r="Q6" s="204">
        <f>IFERROR(VLOOKUP($B6,MMWR_TRAD_AGG_DISTRICT_COMP[],Q$1,0),"ERROR")</f>
        <v>8075</v>
      </c>
      <c r="R6" s="204">
        <f>IFERROR(VLOOKUP($B6,MMWR_TRAD_AGG_DISTRICT_COMP[],R$1,0),"ERROR")</f>
        <v>4371</v>
      </c>
      <c r="S6" s="207">
        <f>S7+S25+S38+S49+S62+S70</f>
        <v>302862</v>
      </c>
      <c r="T6" s="25"/>
    </row>
    <row r="7" spans="1:20" x14ac:dyDescent="0.2">
      <c r="A7" s="93"/>
      <c r="B7" s="102" t="s">
        <v>379</v>
      </c>
      <c r="C7" s="216">
        <f>IFERROR(VLOOKUP($B7,MMWR_TRAD_AGG_DISTRICT_COMP[],C$1,0),"ERROR")</f>
        <v>110144</v>
      </c>
      <c r="D7" s="201">
        <f>IFERROR(VLOOKUP($B7,MMWR_TRAD_AGG_DISTRICT_COMP[],D$1,0),"ERROR")</f>
        <v>402.02986090939999</v>
      </c>
      <c r="E7" s="217">
        <f>IFERROR(VLOOKUP($B7,MMWR_TRAD_AGG_DISTRICT_COMP[],E$1,0),"ERROR")</f>
        <v>82343</v>
      </c>
      <c r="F7" s="216">
        <f>IFERROR(VLOOKUP($B7,MMWR_TRAD_AGG_DISTRICT_COMP[],F$1,0),"ERROR")</f>
        <v>26770</v>
      </c>
      <c r="G7" s="218">
        <f t="shared" si="0"/>
        <v>0.32510353035473566</v>
      </c>
      <c r="H7" s="216">
        <f>IFERROR(VLOOKUP($B7,MMWR_TRAD_AGG_DISTRICT_COMP[],H$1,0),"ERROR")</f>
        <v>138327</v>
      </c>
      <c r="I7" s="216">
        <f>IFERROR(VLOOKUP($B7,MMWR_TRAD_AGG_DISTRICT_COMP[],I$1,0),"ERROR")</f>
        <v>98892</v>
      </c>
      <c r="J7" s="218">
        <f t="shared" si="1"/>
        <v>0.71491465874341231</v>
      </c>
      <c r="K7" s="216">
        <f>IFERROR(VLOOKUP($B7,MMWR_TRAD_AGG_DISTRICT_COMP[],K$1,0),"ERROR")</f>
        <v>17980</v>
      </c>
      <c r="L7" s="216">
        <f>IFERROR(VLOOKUP($B7,MMWR_TRAD_AGG_DISTRICT_COMP[],L$1,0),"ERROR")</f>
        <v>13047</v>
      </c>
      <c r="M7" s="218">
        <f t="shared" si="2"/>
        <v>0.72563959955506119</v>
      </c>
      <c r="N7" s="216">
        <f>IFERROR(VLOOKUP($B7,MMWR_TRAD_AGG_DISTRICT_COMP[],N$1,0),"ERROR")</f>
        <v>36960</v>
      </c>
      <c r="O7" s="216">
        <f>IFERROR(VLOOKUP($B7,MMWR_TRAD_AGG_DISTRICT_COMP[],O$1,0),"ERROR")</f>
        <v>25517</v>
      </c>
      <c r="P7" s="218">
        <f t="shared" si="3"/>
        <v>0.69039502164502164</v>
      </c>
      <c r="Q7" s="216">
        <f>IFERROR(VLOOKUP($B7,MMWR_TRAD_AGG_DISTRICT_COMP[],Q$1,0),"ERROR")</f>
        <v>7265</v>
      </c>
      <c r="R7" s="219">
        <f>IFERROR(VLOOKUP($B7,MMWR_TRAD_AGG_DISTRICT_COMP[],R$1,0),"ERROR")</f>
        <v>105</v>
      </c>
      <c r="S7" s="219">
        <f>IFERROR(VLOOKUP($B7,MMWR_APP_RO[],S$1,0),"ERROR")</f>
        <v>53204</v>
      </c>
      <c r="T7" s="25"/>
    </row>
    <row r="8" spans="1:20" x14ac:dyDescent="0.2">
      <c r="A8" s="108"/>
      <c r="B8" s="109" t="s">
        <v>36</v>
      </c>
      <c r="C8" s="213">
        <f>IFERROR(VLOOKUP($B8,MMWR_TRAD_AGG_RO_COMP[],C$1,0),"ERROR")</f>
        <v>6997</v>
      </c>
      <c r="D8" s="202">
        <f>IFERROR(VLOOKUP($B8,MMWR_TRAD_AGG_RO_COMP[],D$1,0),"ERROR")</f>
        <v>616.50707446050001</v>
      </c>
      <c r="E8" s="199">
        <f>IFERROR(VLOOKUP($B8,MMWR_TRAD_AGG_RO_COMP[],E$1,0),"ERROR")</f>
        <v>5469</v>
      </c>
      <c r="F8" s="195">
        <f>IFERROR(VLOOKUP($B8,MMWR_TRAD_AGG_RO_COMP[],F$1,0),"ERROR")</f>
        <v>2071</v>
      </c>
      <c r="G8" s="220">
        <f t="shared" si="0"/>
        <v>0.37867983177911868</v>
      </c>
      <c r="H8" s="194">
        <f>IFERROR(VLOOKUP($B8,MMWR_TRAD_AGG_RO_COMP[],H$1,0),"ERROR")</f>
        <v>8318</v>
      </c>
      <c r="I8" s="195">
        <f>IFERROR(VLOOKUP($B8,MMWR_TRAD_AGG_RO_COMP[],I$1,0),"ERROR")</f>
        <v>6810</v>
      </c>
      <c r="J8" s="220">
        <f t="shared" si="1"/>
        <v>0.81870641981245496</v>
      </c>
      <c r="K8" s="208">
        <f>IFERROR(VLOOKUP($B8,MMWR_TRAD_AGG_RO_COMP[],K$1,0),"ERROR")</f>
        <v>1065</v>
      </c>
      <c r="L8" s="209">
        <f>IFERROR(VLOOKUP($B8,MMWR_TRAD_AGG_RO_COMP[],L$1,0),"ERROR")</f>
        <v>938</v>
      </c>
      <c r="M8" s="220">
        <f t="shared" si="2"/>
        <v>0.8807511737089202</v>
      </c>
      <c r="N8" s="208">
        <f>IFERROR(VLOOKUP($B8,MMWR_TRAD_AGG_RO_COMP[],N$1,0),"ERROR")</f>
        <v>6200</v>
      </c>
      <c r="O8" s="209">
        <f>IFERROR(VLOOKUP($B8,MMWR_TRAD_AGG_RO_COMP[],O$1,0),"ERROR")</f>
        <v>5366</v>
      </c>
      <c r="P8" s="220">
        <f t="shared" si="3"/>
        <v>0.86548387096774193</v>
      </c>
      <c r="Q8" s="205">
        <f>IFERROR(VLOOKUP($B8,MMWR_TRAD_AGG_RO_COMP[],Q$1,0),"ERROR")</f>
        <v>31</v>
      </c>
      <c r="R8" s="205">
        <f>IFERROR(VLOOKUP($B8,MMWR_TRAD_AGG_RO_COMP[],R$1,0),"ERROR")</f>
        <v>6</v>
      </c>
      <c r="S8" s="205">
        <f>IFERROR(VLOOKUP($B8,MMWR_APP_RO[],S$1,0),"ERROR")</f>
        <v>5382</v>
      </c>
      <c r="T8" s="25"/>
    </row>
    <row r="9" spans="1:20" x14ac:dyDescent="0.2">
      <c r="A9" s="108"/>
      <c r="B9" s="109" t="s">
        <v>38</v>
      </c>
      <c r="C9" s="213">
        <f>IFERROR(VLOOKUP($B9,MMWR_TRAD_AGG_RO_COMP[],C$1,0),"ERROR")</f>
        <v>4938</v>
      </c>
      <c r="D9" s="202">
        <f>IFERROR(VLOOKUP($B9,MMWR_TRAD_AGG_RO_COMP[],D$1,0),"ERROR")</f>
        <v>481.38375860669998</v>
      </c>
      <c r="E9" s="199">
        <f>IFERROR(VLOOKUP($B9,MMWR_TRAD_AGG_RO_COMP[],E$1,0),"ERROR")</f>
        <v>3600</v>
      </c>
      <c r="F9" s="195">
        <f>IFERROR(VLOOKUP($B9,MMWR_TRAD_AGG_RO_COMP[],F$1,0),"ERROR")</f>
        <v>1113</v>
      </c>
      <c r="G9" s="220">
        <f t="shared" si="0"/>
        <v>0.30916666666666665</v>
      </c>
      <c r="H9" s="194">
        <f>IFERROR(VLOOKUP($B9,MMWR_TRAD_AGG_RO_COMP[],H$1,0),"ERROR")</f>
        <v>6458</v>
      </c>
      <c r="I9" s="195">
        <f>IFERROR(VLOOKUP($B9,MMWR_TRAD_AGG_RO_COMP[],I$1,0),"ERROR")</f>
        <v>4531</v>
      </c>
      <c r="J9" s="220">
        <f t="shared" si="1"/>
        <v>0.70161040569835864</v>
      </c>
      <c r="K9" s="208">
        <f>IFERROR(VLOOKUP($B9,MMWR_TRAD_AGG_RO_COMP[],K$1,0),"ERROR")</f>
        <v>2108</v>
      </c>
      <c r="L9" s="209">
        <f>IFERROR(VLOOKUP($B9,MMWR_TRAD_AGG_RO_COMP[],L$1,0),"ERROR")</f>
        <v>1934</v>
      </c>
      <c r="M9" s="220">
        <f t="shared" si="2"/>
        <v>0.91745730550284632</v>
      </c>
      <c r="N9" s="208">
        <f>IFERROR(VLOOKUP($B9,MMWR_TRAD_AGG_RO_COMP[],N$1,0),"ERROR")</f>
        <v>858</v>
      </c>
      <c r="O9" s="209">
        <f>IFERROR(VLOOKUP($B9,MMWR_TRAD_AGG_RO_COMP[],O$1,0),"ERROR")</f>
        <v>740</v>
      </c>
      <c r="P9" s="220">
        <f t="shared" si="3"/>
        <v>0.86247086247086246</v>
      </c>
      <c r="Q9" s="205">
        <f>IFERROR(VLOOKUP($B9,MMWR_TRAD_AGG_RO_COMP[],Q$1,0),"ERROR")</f>
        <v>2</v>
      </c>
      <c r="R9" s="205">
        <f>IFERROR(VLOOKUP($B9,MMWR_TRAD_AGG_RO_COMP[],R$1,0),"ERROR")</f>
        <v>10</v>
      </c>
      <c r="S9" s="205">
        <f>IFERROR(VLOOKUP($B9,MMWR_APP_RO[],S$1,0),"ERROR")</f>
        <v>3467</v>
      </c>
      <c r="T9" s="25"/>
    </row>
    <row r="10" spans="1:20" x14ac:dyDescent="0.2">
      <c r="A10" s="108"/>
      <c r="B10" s="109" t="s">
        <v>24</v>
      </c>
      <c r="C10" s="213">
        <f>IFERROR(VLOOKUP($B10,MMWR_TRAD_AGG_RO_COMP[],C$1,0),"ERROR")</f>
        <v>1032</v>
      </c>
      <c r="D10" s="202">
        <f>IFERROR(VLOOKUP($B10,MMWR_TRAD_AGG_RO_COMP[],D$1,0),"ERROR")</f>
        <v>100.81589147290001</v>
      </c>
      <c r="E10" s="199">
        <f>IFERROR(VLOOKUP($B10,MMWR_TRAD_AGG_RO_COMP[],E$1,0),"ERROR")</f>
        <v>4681</v>
      </c>
      <c r="F10" s="195">
        <f>IFERROR(VLOOKUP($B10,MMWR_TRAD_AGG_RO_COMP[],F$1,0),"ERROR")</f>
        <v>1473</v>
      </c>
      <c r="G10" s="220">
        <f t="shared" si="0"/>
        <v>0.31467635120700704</v>
      </c>
      <c r="H10" s="194">
        <f>IFERROR(VLOOKUP($B10,MMWR_TRAD_AGG_RO_COMP[],H$1,0),"ERROR")</f>
        <v>1974</v>
      </c>
      <c r="I10" s="195">
        <f>IFERROR(VLOOKUP($B10,MMWR_TRAD_AGG_RO_COMP[],I$1,0),"ERROR")</f>
        <v>438</v>
      </c>
      <c r="J10" s="220">
        <f t="shared" si="1"/>
        <v>0.22188449848024316</v>
      </c>
      <c r="K10" s="208">
        <f>IFERROR(VLOOKUP($B10,MMWR_TRAD_AGG_RO_COMP[],K$1,0),"ERROR")</f>
        <v>124</v>
      </c>
      <c r="L10" s="209">
        <f>IFERROR(VLOOKUP($B10,MMWR_TRAD_AGG_RO_COMP[],L$1,0),"ERROR")</f>
        <v>42</v>
      </c>
      <c r="M10" s="220">
        <f t="shared" si="2"/>
        <v>0.33870967741935482</v>
      </c>
      <c r="N10" s="208">
        <f>IFERROR(VLOOKUP($B10,MMWR_TRAD_AGG_RO_COMP[],N$1,0),"ERROR")</f>
        <v>447</v>
      </c>
      <c r="O10" s="209">
        <f>IFERROR(VLOOKUP($B10,MMWR_TRAD_AGG_RO_COMP[],O$1,0),"ERROR")</f>
        <v>309</v>
      </c>
      <c r="P10" s="220">
        <f t="shared" si="3"/>
        <v>0.6912751677852349</v>
      </c>
      <c r="Q10" s="205">
        <f>IFERROR(VLOOKUP($B10,MMWR_TRAD_AGG_RO_COMP[],Q$1,0),"ERROR")</f>
        <v>0</v>
      </c>
      <c r="R10" s="205">
        <f>IFERROR(VLOOKUP($B10,MMWR_TRAD_AGG_RO_COMP[],R$1,0),"ERROR")</f>
        <v>0</v>
      </c>
      <c r="S10" s="205">
        <f>IFERROR(VLOOKUP($B10,MMWR_APP_RO[],S$1,0),"ERROR")</f>
        <v>1717</v>
      </c>
      <c r="T10" s="25"/>
    </row>
    <row r="11" spans="1:20" x14ac:dyDescent="0.2">
      <c r="A11" s="108"/>
      <c r="B11" s="109" t="s">
        <v>47</v>
      </c>
      <c r="C11" s="213">
        <f>IFERROR(VLOOKUP($B11,MMWR_TRAD_AGG_RO_COMP[],C$1,0),"ERROR")</f>
        <v>1987</v>
      </c>
      <c r="D11" s="202">
        <f>IFERROR(VLOOKUP($B11,MMWR_TRAD_AGG_RO_COMP[],D$1,0),"ERROR")</f>
        <v>217.1645697031</v>
      </c>
      <c r="E11" s="199">
        <f>IFERROR(VLOOKUP($B11,MMWR_TRAD_AGG_RO_COMP[],E$1,0),"ERROR")</f>
        <v>1885</v>
      </c>
      <c r="F11" s="195">
        <f>IFERROR(VLOOKUP($B11,MMWR_TRAD_AGG_RO_COMP[],F$1,0),"ERROR")</f>
        <v>527</v>
      </c>
      <c r="G11" s="220">
        <f t="shared" si="0"/>
        <v>0.27957559681697614</v>
      </c>
      <c r="H11" s="194">
        <f>IFERROR(VLOOKUP($B11,MMWR_TRAD_AGG_RO_COMP[],H$1,0),"ERROR")</f>
        <v>3373</v>
      </c>
      <c r="I11" s="195">
        <f>IFERROR(VLOOKUP($B11,MMWR_TRAD_AGG_RO_COMP[],I$1,0),"ERROR")</f>
        <v>1760</v>
      </c>
      <c r="J11" s="220">
        <f t="shared" si="1"/>
        <v>0.52179069077972129</v>
      </c>
      <c r="K11" s="208">
        <f>IFERROR(VLOOKUP($B11,MMWR_TRAD_AGG_RO_COMP[],K$1,0),"ERROR")</f>
        <v>336</v>
      </c>
      <c r="L11" s="209">
        <f>IFERROR(VLOOKUP($B11,MMWR_TRAD_AGG_RO_COMP[],L$1,0),"ERROR")</f>
        <v>270</v>
      </c>
      <c r="M11" s="220">
        <f t="shared" si="2"/>
        <v>0.8035714285714286</v>
      </c>
      <c r="N11" s="208">
        <f>IFERROR(VLOOKUP($B11,MMWR_TRAD_AGG_RO_COMP[],N$1,0),"ERROR")</f>
        <v>657</v>
      </c>
      <c r="O11" s="209">
        <f>IFERROR(VLOOKUP($B11,MMWR_TRAD_AGG_RO_COMP[],O$1,0),"ERROR")</f>
        <v>488</v>
      </c>
      <c r="P11" s="220">
        <f t="shared" si="3"/>
        <v>0.74277016742770163</v>
      </c>
      <c r="Q11" s="205">
        <f>IFERROR(VLOOKUP($B11,MMWR_TRAD_AGG_RO_COMP[],Q$1,0),"ERROR")</f>
        <v>0</v>
      </c>
      <c r="R11" s="205">
        <f>IFERROR(VLOOKUP($B11,MMWR_TRAD_AGG_RO_COMP[],R$1,0),"ERROR")</f>
        <v>3</v>
      </c>
      <c r="S11" s="205">
        <f>IFERROR(VLOOKUP($B11,MMWR_APP_RO[],S$1,0),"ERROR")</f>
        <v>858</v>
      </c>
      <c r="T11" s="25"/>
    </row>
    <row r="12" spans="1:20" x14ac:dyDescent="0.2">
      <c r="A12" s="108"/>
      <c r="B12" s="109" t="s">
        <v>50</v>
      </c>
      <c r="C12" s="213">
        <f>IFERROR(VLOOKUP($B12,MMWR_TRAD_AGG_RO_COMP[],C$1,0),"ERROR")</f>
        <v>2296</v>
      </c>
      <c r="D12" s="202">
        <f>IFERROR(VLOOKUP($B12,MMWR_TRAD_AGG_RO_COMP[],D$1,0),"ERROR")</f>
        <v>219.31533101049999</v>
      </c>
      <c r="E12" s="199">
        <f>IFERROR(VLOOKUP($B12,MMWR_TRAD_AGG_RO_COMP[],E$1,0),"ERROR")</f>
        <v>2348</v>
      </c>
      <c r="F12" s="195">
        <f>IFERROR(VLOOKUP($B12,MMWR_TRAD_AGG_RO_COMP[],F$1,0),"ERROR")</f>
        <v>590</v>
      </c>
      <c r="G12" s="220">
        <f t="shared" si="0"/>
        <v>0.2512776831345826</v>
      </c>
      <c r="H12" s="194">
        <f>IFERROR(VLOOKUP($B12,MMWR_TRAD_AGG_RO_COMP[],H$1,0),"ERROR")</f>
        <v>3551</v>
      </c>
      <c r="I12" s="195">
        <f>IFERROR(VLOOKUP($B12,MMWR_TRAD_AGG_RO_COMP[],I$1,0),"ERROR")</f>
        <v>1862</v>
      </c>
      <c r="J12" s="220">
        <f t="shared" si="1"/>
        <v>0.52435933539847934</v>
      </c>
      <c r="K12" s="208">
        <f>IFERROR(VLOOKUP($B12,MMWR_TRAD_AGG_RO_COMP[],K$1,0),"ERROR")</f>
        <v>248</v>
      </c>
      <c r="L12" s="209">
        <f>IFERROR(VLOOKUP($B12,MMWR_TRAD_AGG_RO_COMP[],L$1,0),"ERROR")</f>
        <v>226</v>
      </c>
      <c r="M12" s="220">
        <f t="shared" si="2"/>
        <v>0.91129032258064513</v>
      </c>
      <c r="N12" s="208">
        <f>IFERROR(VLOOKUP($B12,MMWR_TRAD_AGG_RO_COMP[],N$1,0),"ERROR")</f>
        <v>1056</v>
      </c>
      <c r="O12" s="209">
        <f>IFERROR(VLOOKUP($B12,MMWR_TRAD_AGG_RO_COMP[],O$1,0),"ERROR")</f>
        <v>789</v>
      </c>
      <c r="P12" s="220">
        <f t="shared" si="3"/>
        <v>0.74715909090909094</v>
      </c>
      <c r="Q12" s="205">
        <f>IFERROR(VLOOKUP($B12,MMWR_TRAD_AGG_RO_COMP[],Q$1,0),"ERROR")</f>
        <v>2</v>
      </c>
      <c r="R12" s="205">
        <f>IFERROR(VLOOKUP($B12,MMWR_TRAD_AGG_RO_COMP[],R$1,0),"ERROR")</f>
        <v>17</v>
      </c>
      <c r="S12" s="205">
        <f>IFERROR(VLOOKUP($B12,MMWR_APP_RO[],S$1,0),"ERROR")</f>
        <v>1934</v>
      </c>
      <c r="T12" s="25"/>
    </row>
    <row r="13" spans="1:20" x14ac:dyDescent="0.2">
      <c r="A13" s="108"/>
      <c r="B13" s="109" t="s">
        <v>57</v>
      </c>
      <c r="C13" s="213">
        <f>IFERROR(VLOOKUP($B13,MMWR_TRAD_AGG_RO_COMP[],C$1,0),"ERROR")</f>
        <v>1998</v>
      </c>
      <c r="D13" s="202">
        <f>IFERROR(VLOOKUP($B13,MMWR_TRAD_AGG_RO_COMP[],D$1,0),"ERROR")</f>
        <v>357.88438438439999</v>
      </c>
      <c r="E13" s="199">
        <f>IFERROR(VLOOKUP($B13,MMWR_TRAD_AGG_RO_COMP[],E$1,0),"ERROR")</f>
        <v>1218</v>
      </c>
      <c r="F13" s="195">
        <f>IFERROR(VLOOKUP($B13,MMWR_TRAD_AGG_RO_COMP[],F$1,0),"ERROR")</f>
        <v>304</v>
      </c>
      <c r="G13" s="220">
        <f t="shared" si="0"/>
        <v>0.24958949096880131</v>
      </c>
      <c r="H13" s="194">
        <f>IFERROR(VLOOKUP($B13,MMWR_TRAD_AGG_RO_COMP[],H$1,0),"ERROR")</f>
        <v>2439</v>
      </c>
      <c r="I13" s="195">
        <f>IFERROR(VLOOKUP($B13,MMWR_TRAD_AGG_RO_COMP[],I$1,0),"ERROR")</f>
        <v>1648</v>
      </c>
      <c r="J13" s="220">
        <f t="shared" si="1"/>
        <v>0.67568675686756863</v>
      </c>
      <c r="K13" s="208">
        <f>IFERROR(VLOOKUP($B13,MMWR_TRAD_AGG_RO_COMP[],K$1,0),"ERROR")</f>
        <v>610</v>
      </c>
      <c r="L13" s="209">
        <f>IFERROR(VLOOKUP($B13,MMWR_TRAD_AGG_RO_COMP[],L$1,0),"ERROR")</f>
        <v>595</v>
      </c>
      <c r="M13" s="220">
        <f t="shared" si="2"/>
        <v>0.97540983606557374</v>
      </c>
      <c r="N13" s="208">
        <f>IFERROR(VLOOKUP($B13,MMWR_TRAD_AGG_RO_COMP[],N$1,0),"ERROR")</f>
        <v>112</v>
      </c>
      <c r="O13" s="209">
        <f>IFERROR(VLOOKUP($B13,MMWR_TRAD_AGG_RO_COMP[],O$1,0),"ERROR")</f>
        <v>82</v>
      </c>
      <c r="P13" s="220">
        <f t="shared" si="3"/>
        <v>0.7321428571428571</v>
      </c>
      <c r="Q13" s="205">
        <f>IFERROR(VLOOKUP($B13,MMWR_TRAD_AGG_RO_COMP[],Q$1,0),"ERROR")</f>
        <v>0</v>
      </c>
      <c r="R13" s="205">
        <f>IFERROR(VLOOKUP($B13,MMWR_TRAD_AGG_RO_COMP[],R$1,0),"ERROR")</f>
        <v>1</v>
      </c>
      <c r="S13" s="205">
        <f>IFERROR(VLOOKUP($B13,MMWR_APP_RO[],S$1,0),"ERROR")</f>
        <v>658</v>
      </c>
      <c r="T13" s="25"/>
    </row>
    <row r="14" spans="1:20" x14ac:dyDescent="0.2">
      <c r="A14" s="108"/>
      <c r="B14" s="109" t="s">
        <v>63</v>
      </c>
      <c r="C14" s="213">
        <f>IFERROR(VLOOKUP($B14,MMWR_TRAD_AGG_RO_COMP[],C$1,0),"ERROR")</f>
        <v>3444</v>
      </c>
      <c r="D14" s="202">
        <f>IFERROR(VLOOKUP($B14,MMWR_TRAD_AGG_RO_COMP[],D$1,0),"ERROR")</f>
        <v>250.8850174216</v>
      </c>
      <c r="E14" s="199">
        <f>IFERROR(VLOOKUP($B14,MMWR_TRAD_AGG_RO_COMP[],E$1,0),"ERROR")</f>
        <v>4796</v>
      </c>
      <c r="F14" s="195">
        <f>IFERROR(VLOOKUP($B14,MMWR_TRAD_AGG_RO_COMP[],F$1,0),"ERROR")</f>
        <v>1783</v>
      </c>
      <c r="G14" s="220">
        <f t="shared" si="0"/>
        <v>0.37176814011676396</v>
      </c>
      <c r="H14" s="194">
        <f>IFERROR(VLOOKUP($B14,MMWR_TRAD_AGG_RO_COMP[],H$1,0),"ERROR")</f>
        <v>5202</v>
      </c>
      <c r="I14" s="195">
        <f>IFERROR(VLOOKUP($B14,MMWR_TRAD_AGG_RO_COMP[],I$1,0),"ERROR")</f>
        <v>2885</v>
      </c>
      <c r="J14" s="220">
        <f t="shared" si="1"/>
        <v>0.5545943867743176</v>
      </c>
      <c r="K14" s="208">
        <f>IFERROR(VLOOKUP($B14,MMWR_TRAD_AGG_RO_COMP[],K$1,0),"ERROR")</f>
        <v>1468</v>
      </c>
      <c r="L14" s="209">
        <f>IFERROR(VLOOKUP($B14,MMWR_TRAD_AGG_RO_COMP[],L$1,0),"ERROR")</f>
        <v>857</v>
      </c>
      <c r="M14" s="220">
        <f t="shared" si="2"/>
        <v>0.58378746594005448</v>
      </c>
      <c r="N14" s="208">
        <f>IFERROR(VLOOKUP($B14,MMWR_TRAD_AGG_RO_COMP[],N$1,0),"ERROR")</f>
        <v>299</v>
      </c>
      <c r="O14" s="209">
        <f>IFERROR(VLOOKUP($B14,MMWR_TRAD_AGG_RO_COMP[],O$1,0),"ERROR")</f>
        <v>214</v>
      </c>
      <c r="P14" s="220">
        <f t="shared" si="3"/>
        <v>0.71571906354515047</v>
      </c>
      <c r="Q14" s="205">
        <f>IFERROR(VLOOKUP($B14,MMWR_TRAD_AGG_RO_COMP[],Q$1,0),"ERROR")</f>
        <v>0</v>
      </c>
      <c r="R14" s="205">
        <f>IFERROR(VLOOKUP($B14,MMWR_TRAD_AGG_RO_COMP[],R$1,0),"ERROR")</f>
        <v>11</v>
      </c>
      <c r="S14" s="205">
        <f>IFERROR(VLOOKUP($B14,MMWR_APP_RO[],S$1,0),"ERROR")</f>
        <v>3301</v>
      </c>
      <c r="T14" s="25"/>
    </row>
    <row r="15" spans="1:20" x14ac:dyDescent="0.2">
      <c r="A15" s="108"/>
      <c r="B15" s="109" t="s">
        <v>64</v>
      </c>
      <c r="C15" s="213">
        <f>IFERROR(VLOOKUP($B15,MMWR_TRAD_AGG_RO_COMP[],C$1,0),"ERROR")</f>
        <v>762</v>
      </c>
      <c r="D15" s="202">
        <f>IFERROR(VLOOKUP($B15,MMWR_TRAD_AGG_RO_COMP[],D$1,0),"ERROR")</f>
        <v>126.8832020997</v>
      </c>
      <c r="E15" s="199">
        <f>IFERROR(VLOOKUP($B15,MMWR_TRAD_AGG_RO_COMP[],E$1,0),"ERROR")</f>
        <v>2697</v>
      </c>
      <c r="F15" s="195">
        <f>IFERROR(VLOOKUP($B15,MMWR_TRAD_AGG_RO_COMP[],F$1,0),"ERROR")</f>
        <v>871</v>
      </c>
      <c r="G15" s="220">
        <f t="shared" si="0"/>
        <v>0.32295142751205042</v>
      </c>
      <c r="H15" s="194">
        <f>IFERROR(VLOOKUP($B15,MMWR_TRAD_AGG_RO_COMP[],H$1,0),"ERROR")</f>
        <v>1510</v>
      </c>
      <c r="I15" s="195">
        <f>IFERROR(VLOOKUP($B15,MMWR_TRAD_AGG_RO_COMP[],I$1,0),"ERROR")</f>
        <v>484</v>
      </c>
      <c r="J15" s="220">
        <f t="shared" si="1"/>
        <v>0.32052980132450332</v>
      </c>
      <c r="K15" s="208">
        <f>IFERROR(VLOOKUP($B15,MMWR_TRAD_AGG_RO_COMP[],K$1,0),"ERROR")</f>
        <v>335</v>
      </c>
      <c r="L15" s="209">
        <f>IFERROR(VLOOKUP($B15,MMWR_TRAD_AGG_RO_COMP[],L$1,0),"ERROR")</f>
        <v>103</v>
      </c>
      <c r="M15" s="220">
        <f t="shared" si="2"/>
        <v>0.30746268656716419</v>
      </c>
      <c r="N15" s="208">
        <f>IFERROR(VLOOKUP($B15,MMWR_TRAD_AGG_RO_COMP[],N$1,0),"ERROR")</f>
        <v>2438</v>
      </c>
      <c r="O15" s="209">
        <f>IFERROR(VLOOKUP($B15,MMWR_TRAD_AGG_RO_COMP[],O$1,0),"ERROR")</f>
        <v>1317</v>
      </c>
      <c r="P15" s="220">
        <f t="shared" si="3"/>
        <v>0.54019688269073007</v>
      </c>
      <c r="Q15" s="205">
        <f>IFERROR(VLOOKUP($B15,MMWR_TRAD_AGG_RO_COMP[],Q$1,0),"ERROR")</f>
        <v>0</v>
      </c>
      <c r="R15" s="205">
        <f>IFERROR(VLOOKUP($B15,MMWR_TRAD_AGG_RO_COMP[],R$1,0),"ERROR")</f>
        <v>2</v>
      </c>
      <c r="S15" s="205">
        <f>IFERROR(VLOOKUP($B15,MMWR_APP_RO[],S$1,0),"ERROR")</f>
        <v>2717</v>
      </c>
      <c r="T15" s="25"/>
    </row>
    <row r="16" spans="1:20" x14ac:dyDescent="0.2">
      <c r="A16" s="108"/>
      <c r="B16" s="109" t="s">
        <v>66</v>
      </c>
      <c r="C16" s="213">
        <f>IFERROR(VLOOKUP($B16,MMWR_TRAD_AGG_RO_COMP[],C$1,0),"ERROR")</f>
        <v>5612</v>
      </c>
      <c r="D16" s="202">
        <f>IFERROR(VLOOKUP($B16,MMWR_TRAD_AGG_RO_COMP[],D$1,0),"ERROR")</f>
        <v>425.32234497510001</v>
      </c>
      <c r="E16" s="199">
        <f>IFERROR(VLOOKUP($B16,MMWR_TRAD_AGG_RO_COMP[],E$1,0),"ERROR")</f>
        <v>10160</v>
      </c>
      <c r="F16" s="195">
        <f>IFERROR(VLOOKUP($B16,MMWR_TRAD_AGG_RO_COMP[],F$1,0),"ERROR")</f>
        <v>3726</v>
      </c>
      <c r="G16" s="220">
        <f t="shared" si="0"/>
        <v>0.36673228346456693</v>
      </c>
      <c r="H16" s="194">
        <f>IFERROR(VLOOKUP($B16,MMWR_TRAD_AGG_RO_COMP[],H$1,0),"ERROR")</f>
        <v>8453</v>
      </c>
      <c r="I16" s="195">
        <f>IFERROR(VLOOKUP($B16,MMWR_TRAD_AGG_RO_COMP[],I$1,0),"ERROR")</f>
        <v>5571</v>
      </c>
      <c r="J16" s="220">
        <f t="shared" si="1"/>
        <v>0.65905595646516035</v>
      </c>
      <c r="K16" s="208">
        <f>IFERROR(VLOOKUP($B16,MMWR_TRAD_AGG_RO_COMP[],K$1,0),"ERROR")</f>
        <v>1737</v>
      </c>
      <c r="L16" s="209">
        <f>IFERROR(VLOOKUP($B16,MMWR_TRAD_AGG_RO_COMP[],L$1,0),"ERROR")</f>
        <v>496</v>
      </c>
      <c r="M16" s="220">
        <f t="shared" si="2"/>
        <v>0.28554979850316636</v>
      </c>
      <c r="N16" s="208">
        <f>IFERROR(VLOOKUP($B16,MMWR_TRAD_AGG_RO_COMP[],N$1,0),"ERROR")</f>
        <v>8043</v>
      </c>
      <c r="O16" s="209">
        <f>IFERROR(VLOOKUP($B16,MMWR_TRAD_AGG_RO_COMP[],O$1,0),"ERROR")</f>
        <v>4432</v>
      </c>
      <c r="P16" s="220">
        <f t="shared" si="3"/>
        <v>0.5510381698371255</v>
      </c>
      <c r="Q16" s="205">
        <f>IFERROR(VLOOKUP($B16,MMWR_TRAD_AGG_RO_COMP[],Q$1,0),"ERROR")</f>
        <v>7223</v>
      </c>
      <c r="R16" s="205">
        <f>IFERROR(VLOOKUP($B16,MMWR_TRAD_AGG_RO_COMP[],R$1,0),"ERROR")</f>
        <v>0</v>
      </c>
      <c r="S16" s="205">
        <f>IFERROR(VLOOKUP($B16,MMWR_APP_RO[],S$1,0),"ERROR")</f>
        <v>4646</v>
      </c>
      <c r="T16" s="25"/>
    </row>
    <row r="17" spans="1:20" x14ac:dyDescent="0.2">
      <c r="A17" s="108"/>
      <c r="B17" s="109" t="s">
        <v>68</v>
      </c>
      <c r="C17" s="213">
        <f>IFERROR(VLOOKUP($B17,MMWR_TRAD_AGG_RO_COMP[],C$1,0),"ERROR")</f>
        <v>4083</v>
      </c>
      <c r="D17" s="202">
        <f>IFERROR(VLOOKUP($B17,MMWR_TRAD_AGG_RO_COMP[],D$1,0),"ERROR")</f>
        <v>451.26500122459998</v>
      </c>
      <c r="E17" s="199">
        <f>IFERROR(VLOOKUP($B17,MMWR_TRAD_AGG_RO_COMP[],E$1,0),"ERROR")</f>
        <v>4729</v>
      </c>
      <c r="F17" s="195">
        <f>IFERROR(VLOOKUP($B17,MMWR_TRAD_AGG_RO_COMP[],F$1,0),"ERROR")</f>
        <v>1756</v>
      </c>
      <c r="G17" s="220">
        <f t="shared" si="0"/>
        <v>0.37132586170437726</v>
      </c>
      <c r="H17" s="194">
        <f>IFERROR(VLOOKUP($B17,MMWR_TRAD_AGG_RO_COMP[],H$1,0),"ERROR")</f>
        <v>5579</v>
      </c>
      <c r="I17" s="195">
        <f>IFERROR(VLOOKUP($B17,MMWR_TRAD_AGG_RO_COMP[],I$1,0),"ERROR")</f>
        <v>4147</v>
      </c>
      <c r="J17" s="220">
        <f t="shared" si="1"/>
        <v>0.74332317619645094</v>
      </c>
      <c r="K17" s="208">
        <f>IFERROR(VLOOKUP($B17,MMWR_TRAD_AGG_RO_COMP[],K$1,0),"ERROR")</f>
        <v>539</v>
      </c>
      <c r="L17" s="209">
        <f>IFERROR(VLOOKUP($B17,MMWR_TRAD_AGG_RO_COMP[],L$1,0),"ERROR")</f>
        <v>456</v>
      </c>
      <c r="M17" s="220">
        <f t="shared" si="2"/>
        <v>0.84601113172541742</v>
      </c>
      <c r="N17" s="208">
        <f>IFERROR(VLOOKUP($B17,MMWR_TRAD_AGG_RO_COMP[],N$1,0),"ERROR")</f>
        <v>1172</v>
      </c>
      <c r="O17" s="209">
        <f>IFERROR(VLOOKUP($B17,MMWR_TRAD_AGG_RO_COMP[],O$1,0),"ERROR")</f>
        <v>931</v>
      </c>
      <c r="P17" s="220">
        <f t="shared" si="3"/>
        <v>0.79436860068259385</v>
      </c>
      <c r="Q17" s="205">
        <f>IFERROR(VLOOKUP($B17,MMWR_TRAD_AGG_RO_COMP[],Q$1,0),"ERROR")</f>
        <v>1</v>
      </c>
      <c r="R17" s="205">
        <f>IFERROR(VLOOKUP($B17,MMWR_TRAD_AGG_RO_COMP[],R$1,0),"ERROR")</f>
        <v>4</v>
      </c>
      <c r="S17" s="205">
        <f>IFERROR(VLOOKUP($B17,MMWR_APP_RO[],S$1,0),"ERROR")</f>
        <v>4705</v>
      </c>
      <c r="T17" s="25"/>
    </row>
    <row r="18" spans="1:20" x14ac:dyDescent="0.2">
      <c r="A18" s="108"/>
      <c r="B18" s="109" t="s">
        <v>70</v>
      </c>
      <c r="C18" s="213">
        <f>IFERROR(VLOOKUP($B18,MMWR_TRAD_AGG_RO_COMP[],C$1,0),"ERROR")</f>
        <v>854</v>
      </c>
      <c r="D18" s="202">
        <f>IFERROR(VLOOKUP($B18,MMWR_TRAD_AGG_RO_COMP[],D$1,0),"ERROR")</f>
        <v>137.4765807963</v>
      </c>
      <c r="E18" s="199">
        <f>IFERROR(VLOOKUP($B18,MMWR_TRAD_AGG_RO_COMP[],E$1,0),"ERROR")</f>
        <v>2040</v>
      </c>
      <c r="F18" s="195">
        <f>IFERROR(VLOOKUP($B18,MMWR_TRAD_AGG_RO_COMP[],F$1,0),"ERROR")</f>
        <v>462</v>
      </c>
      <c r="G18" s="220">
        <f t="shared" si="0"/>
        <v>0.22647058823529412</v>
      </c>
      <c r="H18" s="194">
        <f>IFERROR(VLOOKUP($B18,MMWR_TRAD_AGG_RO_COMP[],H$1,0),"ERROR")</f>
        <v>2823</v>
      </c>
      <c r="I18" s="195">
        <f>IFERROR(VLOOKUP($B18,MMWR_TRAD_AGG_RO_COMP[],I$1,0),"ERROR")</f>
        <v>693</v>
      </c>
      <c r="J18" s="220">
        <f t="shared" si="1"/>
        <v>0.2454835281615303</v>
      </c>
      <c r="K18" s="208">
        <f>IFERROR(VLOOKUP($B18,MMWR_TRAD_AGG_RO_COMP[],K$1,0),"ERROR")</f>
        <v>1008</v>
      </c>
      <c r="L18" s="209">
        <f>IFERROR(VLOOKUP($B18,MMWR_TRAD_AGG_RO_COMP[],L$1,0),"ERROR")</f>
        <v>274</v>
      </c>
      <c r="M18" s="220">
        <f t="shared" si="2"/>
        <v>0.2718253968253968</v>
      </c>
      <c r="N18" s="208">
        <f>IFERROR(VLOOKUP($B18,MMWR_TRAD_AGG_RO_COMP[],N$1,0),"ERROR")</f>
        <v>221</v>
      </c>
      <c r="O18" s="209">
        <f>IFERROR(VLOOKUP($B18,MMWR_TRAD_AGG_RO_COMP[],O$1,0),"ERROR")</f>
        <v>131</v>
      </c>
      <c r="P18" s="220">
        <f t="shared" si="3"/>
        <v>0.59276018099547512</v>
      </c>
      <c r="Q18" s="205">
        <f>IFERROR(VLOOKUP($B18,MMWR_TRAD_AGG_RO_COMP[],Q$1,0),"ERROR")</f>
        <v>0</v>
      </c>
      <c r="R18" s="205">
        <f>IFERROR(VLOOKUP($B18,MMWR_TRAD_AGG_RO_COMP[],R$1,0),"ERROR")</f>
        <v>4</v>
      </c>
      <c r="S18" s="205">
        <f>IFERROR(VLOOKUP($B18,MMWR_APP_RO[],S$1,0),"ERROR")</f>
        <v>459</v>
      </c>
      <c r="T18" s="25"/>
    </row>
    <row r="19" spans="1:20" x14ac:dyDescent="0.2">
      <c r="A19" s="108"/>
      <c r="B19" s="109" t="s">
        <v>72</v>
      </c>
      <c r="C19" s="213">
        <f>IFERROR(VLOOKUP($B19,MMWR_TRAD_AGG_RO_COMP[],C$1,0),"ERROR")</f>
        <v>13661</v>
      </c>
      <c r="D19" s="202">
        <f>IFERROR(VLOOKUP($B19,MMWR_TRAD_AGG_RO_COMP[],D$1,0),"ERROR")</f>
        <v>411.1143400922</v>
      </c>
      <c r="E19" s="199">
        <f>IFERROR(VLOOKUP($B19,MMWR_TRAD_AGG_RO_COMP[],E$1,0),"ERROR")</f>
        <v>11399</v>
      </c>
      <c r="F19" s="195">
        <f>IFERROR(VLOOKUP($B19,MMWR_TRAD_AGG_RO_COMP[],F$1,0),"ERROR")</f>
        <v>3446</v>
      </c>
      <c r="G19" s="220">
        <f t="shared" si="0"/>
        <v>0.30230721993157295</v>
      </c>
      <c r="H19" s="194">
        <f>IFERROR(VLOOKUP($B19,MMWR_TRAD_AGG_RO_COMP[],H$1,0),"ERROR")</f>
        <v>16339</v>
      </c>
      <c r="I19" s="195">
        <f>IFERROR(VLOOKUP($B19,MMWR_TRAD_AGG_RO_COMP[],I$1,0),"ERROR")</f>
        <v>10965</v>
      </c>
      <c r="J19" s="220">
        <f t="shared" si="1"/>
        <v>0.67109370218495623</v>
      </c>
      <c r="K19" s="208">
        <f>IFERROR(VLOOKUP($B19,MMWR_TRAD_AGG_RO_COMP[],K$1,0),"ERROR")</f>
        <v>2722</v>
      </c>
      <c r="L19" s="209">
        <f>IFERROR(VLOOKUP($B19,MMWR_TRAD_AGG_RO_COMP[],L$1,0),"ERROR")</f>
        <v>2299</v>
      </c>
      <c r="M19" s="220">
        <f t="shared" si="2"/>
        <v>0.84459955914768547</v>
      </c>
      <c r="N19" s="208">
        <f>IFERROR(VLOOKUP($B19,MMWR_TRAD_AGG_RO_COMP[],N$1,0),"ERROR")</f>
        <v>5144</v>
      </c>
      <c r="O19" s="209">
        <f>IFERROR(VLOOKUP($B19,MMWR_TRAD_AGG_RO_COMP[],O$1,0),"ERROR")</f>
        <v>4352</v>
      </c>
      <c r="P19" s="220">
        <f t="shared" si="3"/>
        <v>0.84603421461897355</v>
      </c>
      <c r="Q19" s="205">
        <f>IFERROR(VLOOKUP($B19,MMWR_TRAD_AGG_RO_COMP[],Q$1,0),"ERROR")</f>
        <v>6</v>
      </c>
      <c r="R19" s="205">
        <f>IFERROR(VLOOKUP($B19,MMWR_TRAD_AGG_RO_COMP[],R$1,0),"ERROR")</f>
        <v>23</v>
      </c>
      <c r="S19" s="205">
        <f>IFERROR(VLOOKUP($B19,MMWR_APP_RO[],S$1,0),"ERROR")</f>
        <v>13529</v>
      </c>
      <c r="T19" s="25"/>
    </row>
    <row r="20" spans="1:20" x14ac:dyDescent="0.2">
      <c r="A20" s="108"/>
      <c r="B20" s="109" t="s">
        <v>81</v>
      </c>
      <c r="C20" s="213">
        <f>IFERROR(VLOOKUP($B20,MMWR_TRAD_AGG_RO_COMP[],C$1,0),"ERROR")</f>
        <v>1326</v>
      </c>
      <c r="D20" s="202">
        <f>IFERROR(VLOOKUP($B20,MMWR_TRAD_AGG_RO_COMP[],D$1,0),"ERROR")</f>
        <v>243.7677224736</v>
      </c>
      <c r="E20" s="199">
        <f>IFERROR(VLOOKUP($B20,MMWR_TRAD_AGG_RO_COMP[],E$1,0),"ERROR")</f>
        <v>1247</v>
      </c>
      <c r="F20" s="195">
        <f>IFERROR(VLOOKUP($B20,MMWR_TRAD_AGG_RO_COMP[],F$1,0),"ERROR")</f>
        <v>222</v>
      </c>
      <c r="G20" s="220">
        <f t="shared" si="0"/>
        <v>0.17802726543704891</v>
      </c>
      <c r="H20" s="194">
        <f>IFERROR(VLOOKUP($B20,MMWR_TRAD_AGG_RO_COMP[],H$1,0),"ERROR")</f>
        <v>2031</v>
      </c>
      <c r="I20" s="195">
        <f>IFERROR(VLOOKUP($B20,MMWR_TRAD_AGG_RO_COMP[],I$1,0),"ERROR")</f>
        <v>1034</v>
      </c>
      <c r="J20" s="220">
        <f t="shared" si="1"/>
        <v>0.50910881339241754</v>
      </c>
      <c r="K20" s="208">
        <f>IFERROR(VLOOKUP($B20,MMWR_TRAD_AGG_RO_COMP[],K$1,0),"ERROR")</f>
        <v>774</v>
      </c>
      <c r="L20" s="209">
        <f>IFERROR(VLOOKUP($B20,MMWR_TRAD_AGG_RO_COMP[],L$1,0),"ERROR")</f>
        <v>529</v>
      </c>
      <c r="M20" s="220">
        <f t="shared" si="2"/>
        <v>0.68346253229974163</v>
      </c>
      <c r="N20" s="208">
        <f>IFERROR(VLOOKUP($B20,MMWR_TRAD_AGG_RO_COMP[],N$1,0),"ERROR")</f>
        <v>970</v>
      </c>
      <c r="O20" s="209">
        <f>IFERROR(VLOOKUP($B20,MMWR_TRAD_AGG_RO_COMP[],O$1,0),"ERROR")</f>
        <v>896</v>
      </c>
      <c r="P20" s="220">
        <f t="shared" si="3"/>
        <v>0.92371134020618562</v>
      </c>
      <c r="Q20" s="205">
        <f>IFERROR(VLOOKUP($B20,MMWR_TRAD_AGG_RO_COMP[],Q$1,0),"ERROR")</f>
        <v>0</v>
      </c>
      <c r="R20" s="205">
        <f>IFERROR(VLOOKUP($B20,MMWR_TRAD_AGG_RO_COMP[],R$1,0),"ERROR")</f>
        <v>1</v>
      </c>
      <c r="S20" s="205">
        <f>IFERROR(VLOOKUP($B20,MMWR_APP_RO[],S$1,0),"ERROR")</f>
        <v>349</v>
      </c>
      <c r="T20" s="25"/>
    </row>
    <row r="21" spans="1:20" x14ac:dyDescent="0.2">
      <c r="A21" s="108"/>
      <c r="B21" s="109" t="s">
        <v>440</v>
      </c>
      <c r="C21" s="213">
        <f>IFERROR(VLOOKUP($B21,MMWR_TRAD_AGG_RO_COMP[],C$1,0),"ERROR")</f>
        <v>43985</v>
      </c>
      <c r="D21" s="202">
        <f>IFERROR(VLOOKUP($B21,MMWR_TRAD_AGG_RO_COMP[],D$1,0),"ERROR")</f>
        <v>430.16250994659998</v>
      </c>
      <c r="E21" s="199">
        <f>IFERROR(VLOOKUP($B21,MMWR_TRAD_AGG_RO_COMP[],E$1,0),"ERROR")</f>
        <v>1025</v>
      </c>
      <c r="F21" s="195">
        <f>IFERROR(VLOOKUP($B21,MMWR_TRAD_AGG_RO_COMP[],F$1,0),"ERROR")</f>
        <v>363</v>
      </c>
      <c r="G21" s="220">
        <f t="shared" si="0"/>
        <v>0.35414634146341462</v>
      </c>
      <c r="H21" s="194">
        <f>IFERROR(VLOOKUP($B21,MMWR_TRAD_AGG_RO_COMP[],H$1,0),"ERROR")</f>
        <v>44506</v>
      </c>
      <c r="I21" s="195">
        <f>IFERROR(VLOOKUP($B21,MMWR_TRAD_AGG_RO_COMP[],I$1,0),"ERROR")</f>
        <v>41421</v>
      </c>
      <c r="J21" s="220">
        <f t="shared" si="1"/>
        <v>0.93068350334786321</v>
      </c>
      <c r="K21" s="208">
        <f>IFERROR(VLOOKUP($B21,MMWR_TRAD_AGG_RO_COMP[],K$1,0),"ERROR")</f>
        <v>116</v>
      </c>
      <c r="L21" s="209">
        <f>IFERROR(VLOOKUP($B21,MMWR_TRAD_AGG_RO_COMP[],L$1,0),"ERROR")</f>
        <v>111</v>
      </c>
      <c r="M21" s="220">
        <f t="shared" si="2"/>
        <v>0.9568965517241379</v>
      </c>
      <c r="N21" s="208">
        <f>IFERROR(VLOOKUP($B21,MMWR_TRAD_AGG_RO_COMP[],N$1,0),"ERROR")</f>
        <v>1459</v>
      </c>
      <c r="O21" s="209">
        <f>IFERROR(VLOOKUP($B21,MMWR_TRAD_AGG_RO_COMP[],O$1,0),"ERROR")</f>
        <v>1316</v>
      </c>
      <c r="P21" s="220">
        <f t="shared" si="3"/>
        <v>0.90198766278272791</v>
      </c>
      <c r="Q21" s="205">
        <f>IFERROR(VLOOKUP($B21,MMWR_TRAD_AGG_RO_COMP[],Q$1,0),"ERROR")</f>
        <v>0</v>
      </c>
      <c r="R21" s="205">
        <f>IFERROR(VLOOKUP($B21,MMWR_TRAD_AGG_RO_COMP[],R$1,0),"ERROR")</f>
        <v>2</v>
      </c>
      <c r="S21" s="205">
        <f>IFERROR(VLOOKUP($B21,MMWR_APP_RO[],S$1,0),"ERROR")</f>
        <v>4</v>
      </c>
      <c r="T21" s="25"/>
    </row>
    <row r="22" spans="1:20" x14ac:dyDescent="0.2">
      <c r="A22" s="108"/>
      <c r="B22" s="109" t="s">
        <v>141</v>
      </c>
      <c r="C22" s="213">
        <f>IFERROR(VLOOKUP($B22,MMWR_TRAD_AGG_RO_COMP[],C$1,0),"ERROR")</f>
        <v>467</v>
      </c>
      <c r="D22" s="202">
        <f>IFERROR(VLOOKUP($B22,MMWR_TRAD_AGG_RO_COMP[],D$1,0),"ERROR")</f>
        <v>329.79443254820001</v>
      </c>
      <c r="E22" s="199">
        <f>IFERROR(VLOOKUP($B22,MMWR_TRAD_AGG_RO_COMP[],E$1,0),"ERROR")</f>
        <v>413</v>
      </c>
      <c r="F22" s="195">
        <f>IFERROR(VLOOKUP($B22,MMWR_TRAD_AGG_RO_COMP[],F$1,0),"ERROR")</f>
        <v>131</v>
      </c>
      <c r="G22" s="220">
        <f t="shared" si="0"/>
        <v>0.31719128329297819</v>
      </c>
      <c r="H22" s="194">
        <f>IFERROR(VLOOKUP($B22,MMWR_TRAD_AGG_RO_COMP[],H$1,0),"ERROR")</f>
        <v>701</v>
      </c>
      <c r="I22" s="195">
        <f>IFERROR(VLOOKUP($B22,MMWR_TRAD_AGG_RO_COMP[],I$1,0),"ERROR")</f>
        <v>448</v>
      </c>
      <c r="J22" s="220">
        <f t="shared" si="1"/>
        <v>0.63908701854493577</v>
      </c>
      <c r="K22" s="208">
        <f>IFERROR(VLOOKUP($B22,MMWR_TRAD_AGG_RO_COMP[],K$1,0),"ERROR")</f>
        <v>78</v>
      </c>
      <c r="L22" s="209">
        <f>IFERROR(VLOOKUP($B22,MMWR_TRAD_AGG_RO_COMP[],L$1,0),"ERROR")</f>
        <v>68</v>
      </c>
      <c r="M22" s="220">
        <f t="shared" si="2"/>
        <v>0.87179487179487181</v>
      </c>
      <c r="N22" s="208">
        <f>IFERROR(VLOOKUP($B22,MMWR_TRAD_AGG_RO_COMP[],N$1,0),"ERROR")</f>
        <v>87</v>
      </c>
      <c r="O22" s="209">
        <f>IFERROR(VLOOKUP($B22,MMWR_TRAD_AGG_RO_COMP[],O$1,0),"ERROR")</f>
        <v>53</v>
      </c>
      <c r="P22" s="220">
        <f t="shared" si="3"/>
        <v>0.60919540229885061</v>
      </c>
      <c r="Q22" s="205">
        <f>IFERROR(VLOOKUP($B22,MMWR_TRAD_AGG_RO_COMP[],Q$1,0),"ERROR")</f>
        <v>0</v>
      </c>
      <c r="R22" s="205">
        <f>IFERROR(VLOOKUP($B22,MMWR_TRAD_AGG_RO_COMP[],R$1,0),"ERROR")</f>
        <v>1</v>
      </c>
      <c r="S22" s="205">
        <f>IFERROR(VLOOKUP($B22,MMWR_APP_RO[],S$1,0),"ERROR")</f>
        <v>191</v>
      </c>
      <c r="T22" s="25"/>
    </row>
    <row r="23" spans="1:20" x14ac:dyDescent="0.2">
      <c r="A23" s="108"/>
      <c r="B23" s="109" t="s">
        <v>85</v>
      </c>
      <c r="C23" s="213">
        <f>IFERROR(VLOOKUP($B23,MMWR_TRAD_AGG_RO_COMP[],C$1,0),"ERROR")</f>
        <v>845</v>
      </c>
      <c r="D23" s="202">
        <f>IFERROR(VLOOKUP($B23,MMWR_TRAD_AGG_RO_COMP[],D$1,0),"ERROR")</f>
        <v>306.6792899408</v>
      </c>
      <c r="E23" s="199">
        <f>IFERROR(VLOOKUP($B23,MMWR_TRAD_AGG_RO_COMP[],E$1,0),"ERROR")</f>
        <v>855</v>
      </c>
      <c r="F23" s="195">
        <f>IFERROR(VLOOKUP($B23,MMWR_TRAD_AGG_RO_COMP[],F$1,0),"ERROR")</f>
        <v>301</v>
      </c>
      <c r="G23" s="220">
        <f t="shared" si="0"/>
        <v>0.352046783625731</v>
      </c>
      <c r="H23" s="194">
        <f>IFERROR(VLOOKUP($B23,MMWR_TRAD_AGG_RO_COMP[],H$1,0),"ERROR")</f>
        <v>934</v>
      </c>
      <c r="I23" s="195">
        <f>IFERROR(VLOOKUP($B23,MMWR_TRAD_AGG_RO_COMP[],I$1,0),"ERROR")</f>
        <v>427</v>
      </c>
      <c r="J23" s="220">
        <f t="shared" si="1"/>
        <v>0.45717344753747324</v>
      </c>
      <c r="K23" s="208">
        <f>IFERROR(VLOOKUP($B23,MMWR_TRAD_AGG_RO_COMP[],K$1,0),"ERROR")</f>
        <v>14</v>
      </c>
      <c r="L23" s="209">
        <f>IFERROR(VLOOKUP($B23,MMWR_TRAD_AGG_RO_COMP[],L$1,0),"ERROR")</f>
        <v>12</v>
      </c>
      <c r="M23" s="220">
        <f t="shared" si="2"/>
        <v>0.8571428571428571</v>
      </c>
      <c r="N23" s="208">
        <f>IFERROR(VLOOKUP($B23,MMWR_TRAD_AGG_RO_COMP[],N$1,0),"ERROR")</f>
        <v>396</v>
      </c>
      <c r="O23" s="209">
        <f>IFERROR(VLOOKUP($B23,MMWR_TRAD_AGG_RO_COMP[],O$1,0),"ERROR")</f>
        <v>158</v>
      </c>
      <c r="P23" s="220">
        <f t="shared" si="3"/>
        <v>0.39898989898989901</v>
      </c>
      <c r="Q23" s="205">
        <f>IFERROR(VLOOKUP($B23,MMWR_TRAD_AGG_RO_COMP[],Q$1,0),"ERROR")</f>
        <v>0</v>
      </c>
      <c r="R23" s="205">
        <f>IFERROR(VLOOKUP($B23,MMWR_TRAD_AGG_RO_COMP[],R$1,0),"ERROR")</f>
        <v>0</v>
      </c>
      <c r="S23" s="205">
        <f>IFERROR(VLOOKUP($B23,MMWR_APP_RO[],S$1,0),"ERROR")</f>
        <v>196</v>
      </c>
      <c r="T23" s="25"/>
    </row>
    <row r="24" spans="1:20" x14ac:dyDescent="0.2">
      <c r="A24" s="93"/>
      <c r="B24" s="117" t="s">
        <v>86</v>
      </c>
      <c r="C24" s="214">
        <f>IFERROR(VLOOKUP($B24,MMWR_TRAD_AGG_RO_COMP[],C$1,0),"ERROR")</f>
        <v>15857</v>
      </c>
      <c r="D24" s="203">
        <f>IFERROR(VLOOKUP($B24,MMWR_TRAD_AGG_RO_COMP[],D$1,0),"ERROR")</f>
        <v>331.42258939269999</v>
      </c>
      <c r="E24" s="200">
        <f>IFERROR(VLOOKUP($B24,MMWR_TRAD_AGG_RO_COMP[],E$1,0),"ERROR")</f>
        <v>23781</v>
      </c>
      <c r="F24" s="197">
        <f>IFERROR(VLOOKUP($B24,MMWR_TRAD_AGG_RO_COMP[],F$1,0),"ERROR")</f>
        <v>7631</v>
      </c>
      <c r="G24" s="221">
        <f t="shared" si="0"/>
        <v>0.32088642193347633</v>
      </c>
      <c r="H24" s="196">
        <f>IFERROR(VLOOKUP($B24,MMWR_TRAD_AGG_RO_COMP[],H$1,0),"ERROR")</f>
        <v>24136</v>
      </c>
      <c r="I24" s="197">
        <f>IFERROR(VLOOKUP($B24,MMWR_TRAD_AGG_RO_COMP[],I$1,0),"ERROR")</f>
        <v>13768</v>
      </c>
      <c r="J24" s="221">
        <f t="shared" si="1"/>
        <v>0.57043420616506468</v>
      </c>
      <c r="K24" s="210">
        <f>IFERROR(VLOOKUP($B24,MMWR_TRAD_AGG_RO_COMP[],K$1,0),"ERROR")</f>
        <v>4698</v>
      </c>
      <c r="L24" s="211">
        <f>IFERROR(VLOOKUP($B24,MMWR_TRAD_AGG_RO_COMP[],L$1,0),"ERROR")</f>
        <v>3837</v>
      </c>
      <c r="M24" s="221">
        <f t="shared" si="2"/>
        <v>0.81673052362707532</v>
      </c>
      <c r="N24" s="210">
        <f>IFERROR(VLOOKUP($B24,MMWR_TRAD_AGG_RO_COMP[],N$1,0),"ERROR")</f>
        <v>7401</v>
      </c>
      <c r="O24" s="211">
        <f>IFERROR(VLOOKUP($B24,MMWR_TRAD_AGG_RO_COMP[],O$1,0),"ERROR")</f>
        <v>3943</v>
      </c>
      <c r="P24" s="221">
        <f t="shared" si="3"/>
        <v>0.53276584245372249</v>
      </c>
      <c r="Q24" s="206">
        <f>IFERROR(VLOOKUP($B24,MMWR_TRAD_AGG_RO_COMP[],Q$1,0),"ERROR")</f>
        <v>0</v>
      </c>
      <c r="R24" s="206">
        <f>IFERROR(VLOOKUP($B24,MMWR_TRAD_AGG_RO_COMP[],R$1,0),"ERROR")</f>
        <v>20</v>
      </c>
      <c r="S24" s="205">
        <f>IFERROR(VLOOKUP($B24,MMWR_APP_RO[],S$1,0),"ERROR")</f>
        <v>9091</v>
      </c>
      <c r="T24" s="25"/>
    </row>
    <row r="25" spans="1:20" x14ac:dyDescent="0.2">
      <c r="A25" s="108"/>
      <c r="B25" s="102" t="s">
        <v>400</v>
      </c>
      <c r="C25" s="216">
        <f>IFERROR(VLOOKUP($B25,MMWR_TRAD_AGG_DISTRICT_COMP[],C$1,0),"ERROR")</f>
        <v>51601</v>
      </c>
      <c r="D25" s="201">
        <f>IFERROR(VLOOKUP($B25,MMWR_TRAD_AGG_DISTRICT_COMP[],D$1,0),"ERROR")</f>
        <v>348.78366698320002</v>
      </c>
      <c r="E25" s="217">
        <f>IFERROR(VLOOKUP($B25,MMWR_TRAD_AGG_DISTRICT_COMP[],E$1,0),"ERROR")</f>
        <v>58021</v>
      </c>
      <c r="F25" s="222">
        <f>IFERROR(VLOOKUP($B25,MMWR_TRAD_AGG_DISTRICT_COMP[],F$1,0),"ERROR")</f>
        <v>16366</v>
      </c>
      <c r="G25" s="218">
        <f t="shared" si="0"/>
        <v>0.28207028489684771</v>
      </c>
      <c r="H25" s="222">
        <f>IFERROR(VLOOKUP($B25,MMWR_TRAD_AGG_DISTRICT_COMP[],H$1,0),"ERROR")</f>
        <v>80459</v>
      </c>
      <c r="I25" s="222">
        <f>IFERROR(VLOOKUP($B25,MMWR_TRAD_AGG_DISTRICT_COMP[],I$1,0),"ERROR")</f>
        <v>41321</v>
      </c>
      <c r="J25" s="218">
        <f t="shared" si="1"/>
        <v>0.5135659155594775</v>
      </c>
      <c r="K25" s="216">
        <f>IFERROR(VLOOKUP($B25,MMWR_TRAD_AGG_DISTRICT_COMP[],K$1,0),"ERROR")</f>
        <v>9908</v>
      </c>
      <c r="L25" s="216">
        <f>IFERROR(VLOOKUP($B25,MMWR_TRAD_AGG_DISTRICT_COMP[],L$1,0),"ERROR")</f>
        <v>8206</v>
      </c>
      <c r="M25" s="218">
        <f t="shared" si="2"/>
        <v>0.82821962050867981</v>
      </c>
      <c r="N25" s="216">
        <f>IFERROR(VLOOKUP($B25,MMWR_TRAD_AGG_DISTRICT_COMP[],N$1,0),"ERROR")</f>
        <v>21552</v>
      </c>
      <c r="O25" s="216">
        <f>IFERROR(VLOOKUP($B25,MMWR_TRAD_AGG_DISTRICT_COMP[],O$1,0),"ERROR")</f>
        <v>16643</v>
      </c>
      <c r="P25" s="218">
        <f t="shared" si="3"/>
        <v>0.77222531551596141</v>
      </c>
      <c r="Q25" s="216">
        <f>IFERROR(VLOOKUP($B25,MMWR_TRAD_AGG_DISTRICT_COMP[],Q$1,0),"ERROR")</f>
        <v>189</v>
      </c>
      <c r="R25" s="219">
        <f>IFERROR(VLOOKUP($B25,MMWR_TRAD_AGG_DISTRICT_COMP[],R$1,0),"ERROR")</f>
        <v>1200</v>
      </c>
      <c r="S25" s="219">
        <f>IFERROR(VLOOKUP($B25,MMWR_APP_RO[],S$1,0),"ERROR")</f>
        <v>50675</v>
      </c>
      <c r="T25" s="25"/>
    </row>
    <row r="26" spans="1:20" x14ac:dyDescent="0.2">
      <c r="A26" s="108"/>
      <c r="B26" s="109" t="s">
        <v>40</v>
      </c>
      <c r="C26" s="213">
        <f>IFERROR(VLOOKUP($B26,MMWR_TRAD_AGG_RO_COMP[],C$1,0),"ERROR")</f>
        <v>6728</v>
      </c>
      <c r="D26" s="202">
        <f>IFERROR(VLOOKUP($B26,MMWR_TRAD_AGG_RO_COMP[],D$1,0),"ERROR")</f>
        <v>513.01055291319994</v>
      </c>
      <c r="E26" s="199">
        <f>IFERROR(VLOOKUP($B26,MMWR_TRAD_AGG_RO_COMP[],E$1,0),"ERROR")</f>
        <v>7249</v>
      </c>
      <c r="F26" s="195">
        <f>IFERROR(VLOOKUP($B26,MMWR_TRAD_AGG_RO_COMP[],F$1,0),"ERROR")</f>
        <v>2588</v>
      </c>
      <c r="G26" s="220">
        <f t="shared" si="0"/>
        <v>0.35701476065664228</v>
      </c>
      <c r="H26" s="194">
        <f>IFERROR(VLOOKUP($B26,MMWR_TRAD_AGG_RO_COMP[],H$1,0),"ERROR")</f>
        <v>8395</v>
      </c>
      <c r="I26" s="195">
        <f>IFERROR(VLOOKUP($B26,MMWR_TRAD_AGG_RO_COMP[],I$1,0),"ERROR")</f>
        <v>6429</v>
      </c>
      <c r="J26" s="220">
        <f t="shared" si="1"/>
        <v>0.76581298391899943</v>
      </c>
      <c r="K26" s="208">
        <f>IFERROR(VLOOKUP($B26,MMWR_TRAD_AGG_RO_COMP[],K$1,0),"ERROR")</f>
        <v>1389</v>
      </c>
      <c r="L26" s="209">
        <f>IFERROR(VLOOKUP($B26,MMWR_TRAD_AGG_RO_COMP[],L$1,0),"ERROR")</f>
        <v>1302</v>
      </c>
      <c r="M26" s="220">
        <f t="shared" si="2"/>
        <v>0.93736501079913603</v>
      </c>
      <c r="N26" s="208">
        <f>IFERROR(VLOOKUP($B26,MMWR_TRAD_AGG_RO_COMP[],N$1,0),"ERROR")</f>
        <v>2807</v>
      </c>
      <c r="O26" s="209">
        <f>IFERROR(VLOOKUP($B26,MMWR_TRAD_AGG_RO_COMP[],O$1,0),"ERROR")</f>
        <v>2320</v>
      </c>
      <c r="P26" s="220">
        <f t="shared" si="3"/>
        <v>0.82650516565728538</v>
      </c>
      <c r="Q26" s="205">
        <f>IFERROR(VLOOKUP($B26,MMWR_TRAD_AGG_RO_COMP[],Q$1,0),"ERROR")</f>
        <v>1</v>
      </c>
      <c r="R26" s="205">
        <f>IFERROR(VLOOKUP($B26,MMWR_TRAD_AGG_RO_COMP[],R$1,0),"ERROR")</f>
        <v>289</v>
      </c>
      <c r="S26" s="205">
        <f>IFERROR(VLOOKUP($B26,MMWR_APP_RO[],S$1,0),"ERROR")</f>
        <v>7390</v>
      </c>
      <c r="T26" s="25"/>
    </row>
    <row r="27" spans="1:20" x14ac:dyDescent="0.2">
      <c r="A27" s="108"/>
      <c r="B27" s="109" t="s">
        <v>41</v>
      </c>
      <c r="C27" s="213">
        <f>IFERROR(VLOOKUP($B27,MMWR_TRAD_AGG_RO_COMP[],C$1,0),"ERROR")</f>
        <v>9056</v>
      </c>
      <c r="D27" s="202">
        <f>IFERROR(VLOOKUP($B27,MMWR_TRAD_AGG_RO_COMP[],D$1,0),"ERROR")</f>
        <v>538.68937720849999</v>
      </c>
      <c r="E27" s="199">
        <f>IFERROR(VLOOKUP($B27,MMWR_TRAD_AGG_RO_COMP[],E$1,0),"ERROR")</f>
        <v>8395</v>
      </c>
      <c r="F27" s="195">
        <f>IFERROR(VLOOKUP($B27,MMWR_TRAD_AGG_RO_COMP[],F$1,0),"ERROR")</f>
        <v>2372</v>
      </c>
      <c r="G27" s="220">
        <f t="shared" si="0"/>
        <v>0.28254913639070878</v>
      </c>
      <c r="H27" s="194">
        <f>IFERROR(VLOOKUP($B27,MMWR_TRAD_AGG_RO_COMP[],H$1,0),"ERROR")</f>
        <v>11410</v>
      </c>
      <c r="I27" s="195">
        <f>IFERROR(VLOOKUP($B27,MMWR_TRAD_AGG_RO_COMP[],I$1,0),"ERROR")</f>
        <v>9449</v>
      </c>
      <c r="J27" s="220">
        <f t="shared" si="1"/>
        <v>0.82813321647677474</v>
      </c>
      <c r="K27" s="208">
        <f>IFERROR(VLOOKUP($B27,MMWR_TRAD_AGG_RO_COMP[],K$1,0),"ERROR")</f>
        <v>1584</v>
      </c>
      <c r="L27" s="209">
        <f>IFERROR(VLOOKUP($B27,MMWR_TRAD_AGG_RO_COMP[],L$1,0),"ERROR")</f>
        <v>1553</v>
      </c>
      <c r="M27" s="220">
        <f t="shared" si="2"/>
        <v>0.98042929292929293</v>
      </c>
      <c r="N27" s="208">
        <f>IFERROR(VLOOKUP($B27,MMWR_TRAD_AGG_RO_COMP[],N$1,0),"ERROR")</f>
        <v>5114</v>
      </c>
      <c r="O27" s="209">
        <f>IFERROR(VLOOKUP($B27,MMWR_TRAD_AGG_RO_COMP[],O$1,0),"ERROR")</f>
        <v>4000</v>
      </c>
      <c r="P27" s="220">
        <f t="shared" si="3"/>
        <v>0.7821666014861165</v>
      </c>
      <c r="Q27" s="205">
        <f>IFERROR(VLOOKUP($B27,MMWR_TRAD_AGG_RO_COMP[],Q$1,0),"ERROR")</f>
        <v>15</v>
      </c>
      <c r="R27" s="205">
        <f>IFERROR(VLOOKUP($B27,MMWR_TRAD_AGG_RO_COMP[],R$1,0),"ERROR")</f>
        <v>344</v>
      </c>
      <c r="S27" s="205">
        <f>IFERROR(VLOOKUP($B27,MMWR_APP_RO[],S$1,0),"ERROR")</f>
        <v>13626</v>
      </c>
      <c r="T27" s="25"/>
    </row>
    <row r="28" spans="1:20" x14ac:dyDescent="0.2">
      <c r="A28" s="108"/>
      <c r="B28" s="109" t="s">
        <v>44</v>
      </c>
      <c r="C28" s="213">
        <f>IFERROR(VLOOKUP($B28,MMWR_TRAD_AGG_RO_COMP[],C$1,0),"ERROR")</f>
        <v>1502</v>
      </c>
      <c r="D28" s="202">
        <f>IFERROR(VLOOKUP($B28,MMWR_TRAD_AGG_RO_COMP[],D$1,0),"ERROR")</f>
        <v>128.05193075899999</v>
      </c>
      <c r="E28" s="199">
        <f>IFERROR(VLOOKUP($B28,MMWR_TRAD_AGG_RO_COMP[],E$1,0),"ERROR")</f>
        <v>2401</v>
      </c>
      <c r="F28" s="195">
        <f>IFERROR(VLOOKUP($B28,MMWR_TRAD_AGG_RO_COMP[],F$1,0),"ERROR")</f>
        <v>582</v>
      </c>
      <c r="G28" s="220">
        <f t="shared" si="0"/>
        <v>0.24239900041649312</v>
      </c>
      <c r="H28" s="194">
        <f>IFERROR(VLOOKUP($B28,MMWR_TRAD_AGG_RO_COMP[],H$1,0),"ERROR")</f>
        <v>2621</v>
      </c>
      <c r="I28" s="195">
        <f>IFERROR(VLOOKUP($B28,MMWR_TRAD_AGG_RO_COMP[],I$1,0),"ERROR")</f>
        <v>856</v>
      </c>
      <c r="J28" s="220">
        <f t="shared" si="1"/>
        <v>0.32659290347195724</v>
      </c>
      <c r="K28" s="208">
        <f>IFERROR(VLOOKUP($B28,MMWR_TRAD_AGG_RO_COMP[],K$1,0),"ERROR")</f>
        <v>205</v>
      </c>
      <c r="L28" s="209">
        <f>IFERROR(VLOOKUP($B28,MMWR_TRAD_AGG_RO_COMP[],L$1,0),"ERROR")</f>
        <v>169</v>
      </c>
      <c r="M28" s="220">
        <f t="shared" si="2"/>
        <v>0.82439024390243898</v>
      </c>
      <c r="N28" s="208">
        <f>IFERROR(VLOOKUP($B28,MMWR_TRAD_AGG_RO_COMP[],N$1,0),"ERROR")</f>
        <v>2821</v>
      </c>
      <c r="O28" s="209">
        <f>IFERROR(VLOOKUP($B28,MMWR_TRAD_AGG_RO_COMP[],O$1,0),"ERROR")</f>
        <v>2693</v>
      </c>
      <c r="P28" s="220">
        <f t="shared" si="3"/>
        <v>0.95462601914214817</v>
      </c>
      <c r="Q28" s="205">
        <f>IFERROR(VLOOKUP($B28,MMWR_TRAD_AGG_RO_COMP[],Q$1,0),"ERROR")</f>
        <v>0</v>
      </c>
      <c r="R28" s="205">
        <f>IFERROR(VLOOKUP($B28,MMWR_TRAD_AGG_RO_COMP[],R$1,0),"ERROR")</f>
        <v>10</v>
      </c>
      <c r="S28" s="205">
        <f>IFERROR(VLOOKUP($B28,MMWR_APP_RO[],S$1,0),"ERROR")</f>
        <v>1122</v>
      </c>
      <c r="T28" s="25"/>
    </row>
    <row r="29" spans="1:20" x14ac:dyDescent="0.2">
      <c r="A29" s="108"/>
      <c r="B29" s="109" t="s">
        <v>45</v>
      </c>
      <c r="C29" s="213">
        <f>IFERROR(VLOOKUP($B29,MMWR_TRAD_AGG_RO_COMP[],C$1,0),"ERROR")</f>
        <v>2949</v>
      </c>
      <c r="D29" s="202">
        <f>IFERROR(VLOOKUP($B29,MMWR_TRAD_AGG_RO_COMP[],D$1,0),"ERROR")</f>
        <v>234.58867412679999</v>
      </c>
      <c r="E29" s="199">
        <f>IFERROR(VLOOKUP($B29,MMWR_TRAD_AGG_RO_COMP[],E$1,0),"ERROR")</f>
        <v>7937</v>
      </c>
      <c r="F29" s="195">
        <f>IFERROR(VLOOKUP($B29,MMWR_TRAD_AGG_RO_COMP[],F$1,0),"ERROR")</f>
        <v>2312</v>
      </c>
      <c r="G29" s="220">
        <f t="shared" si="0"/>
        <v>0.29129393977573392</v>
      </c>
      <c r="H29" s="194">
        <f>IFERROR(VLOOKUP($B29,MMWR_TRAD_AGG_RO_COMP[],H$1,0),"ERROR")</f>
        <v>5542</v>
      </c>
      <c r="I29" s="195">
        <f>IFERROR(VLOOKUP($B29,MMWR_TRAD_AGG_RO_COMP[],I$1,0),"ERROR")</f>
        <v>2597</v>
      </c>
      <c r="J29" s="220">
        <f t="shared" si="1"/>
        <v>0.46860339227715625</v>
      </c>
      <c r="K29" s="208">
        <f>IFERROR(VLOOKUP($B29,MMWR_TRAD_AGG_RO_COMP[],K$1,0),"ERROR")</f>
        <v>861</v>
      </c>
      <c r="L29" s="209">
        <f>IFERROR(VLOOKUP($B29,MMWR_TRAD_AGG_RO_COMP[],L$1,0),"ERROR")</f>
        <v>685</v>
      </c>
      <c r="M29" s="220">
        <f t="shared" si="2"/>
        <v>0.79558652729384438</v>
      </c>
      <c r="N29" s="208">
        <f>IFERROR(VLOOKUP($B29,MMWR_TRAD_AGG_RO_COMP[],N$1,0),"ERROR")</f>
        <v>795</v>
      </c>
      <c r="O29" s="209">
        <f>IFERROR(VLOOKUP($B29,MMWR_TRAD_AGG_RO_COMP[],O$1,0),"ERROR")</f>
        <v>576</v>
      </c>
      <c r="P29" s="220">
        <f t="shared" si="3"/>
        <v>0.7245283018867924</v>
      </c>
      <c r="Q29" s="205">
        <f>IFERROR(VLOOKUP($B29,MMWR_TRAD_AGG_RO_COMP[],Q$1,0),"ERROR")</f>
        <v>2</v>
      </c>
      <c r="R29" s="205">
        <f>IFERROR(VLOOKUP($B29,MMWR_TRAD_AGG_RO_COMP[],R$1,0),"ERROR")</f>
        <v>206</v>
      </c>
      <c r="S29" s="205">
        <f>IFERROR(VLOOKUP($B29,MMWR_APP_RO[],S$1,0),"ERROR")</f>
        <v>6141</v>
      </c>
      <c r="T29" s="25"/>
    </row>
    <row r="30" spans="1:20" x14ac:dyDescent="0.2">
      <c r="A30" s="108"/>
      <c r="B30" s="109" t="s">
        <v>46</v>
      </c>
      <c r="C30" s="213">
        <f>IFERROR(VLOOKUP($B30,MMWR_TRAD_AGG_RO_COMP[],C$1,0),"ERROR")</f>
        <v>152</v>
      </c>
      <c r="D30" s="202">
        <f>IFERROR(VLOOKUP($B30,MMWR_TRAD_AGG_RO_COMP[],D$1,0),"ERROR")</f>
        <v>77.697368421099995</v>
      </c>
      <c r="E30" s="199">
        <f>IFERROR(VLOOKUP($B30,MMWR_TRAD_AGG_RO_COMP[],E$1,0),"ERROR")</f>
        <v>903</v>
      </c>
      <c r="F30" s="195">
        <f>IFERROR(VLOOKUP($B30,MMWR_TRAD_AGG_RO_COMP[],F$1,0),"ERROR")</f>
        <v>209</v>
      </c>
      <c r="G30" s="220">
        <f t="shared" si="0"/>
        <v>0.23145071982281284</v>
      </c>
      <c r="H30" s="194">
        <f>IFERROR(VLOOKUP($B30,MMWR_TRAD_AGG_RO_COMP[],H$1,0),"ERROR")</f>
        <v>766</v>
      </c>
      <c r="I30" s="195">
        <f>IFERROR(VLOOKUP($B30,MMWR_TRAD_AGG_RO_COMP[],I$1,0),"ERROR")</f>
        <v>35</v>
      </c>
      <c r="J30" s="220">
        <f t="shared" si="1"/>
        <v>4.5691906005221931E-2</v>
      </c>
      <c r="K30" s="208">
        <f>IFERROR(VLOOKUP($B30,MMWR_TRAD_AGG_RO_COMP[],K$1,0),"ERROR")</f>
        <v>53</v>
      </c>
      <c r="L30" s="209">
        <f>IFERROR(VLOOKUP($B30,MMWR_TRAD_AGG_RO_COMP[],L$1,0),"ERROR")</f>
        <v>13</v>
      </c>
      <c r="M30" s="220">
        <f t="shared" si="2"/>
        <v>0.24528301886792453</v>
      </c>
      <c r="N30" s="208">
        <f>IFERROR(VLOOKUP($B30,MMWR_TRAD_AGG_RO_COMP[],N$1,0),"ERROR")</f>
        <v>32</v>
      </c>
      <c r="O30" s="209">
        <f>IFERROR(VLOOKUP($B30,MMWR_TRAD_AGG_RO_COMP[],O$1,0),"ERROR")</f>
        <v>16</v>
      </c>
      <c r="P30" s="220">
        <f t="shared" si="3"/>
        <v>0.5</v>
      </c>
      <c r="Q30" s="205">
        <f>IFERROR(VLOOKUP($B30,MMWR_TRAD_AGG_RO_COMP[],Q$1,0),"ERROR")</f>
        <v>0</v>
      </c>
      <c r="R30" s="205">
        <f>IFERROR(VLOOKUP($B30,MMWR_TRAD_AGG_RO_COMP[],R$1,0),"ERROR")</f>
        <v>1</v>
      </c>
      <c r="S30" s="205">
        <f>IFERROR(VLOOKUP($B30,MMWR_APP_RO[],S$1,0),"ERROR")</f>
        <v>465</v>
      </c>
      <c r="T30" s="25"/>
    </row>
    <row r="31" spans="1:20" x14ac:dyDescent="0.2">
      <c r="A31" s="108"/>
      <c r="B31" s="109" t="s">
        <v>51</v>
      </c>
      <c r="C31" s="213">
        <f>IFERROR(VLOOKUP($B31,MMWR_TRAD_AGG_RO_COMP[],C$1,0),"ERROR")</f>
        <v>9245</v>
      </c>
      <c r="D31" s="202">
        <f>IFERROR(VLOOKUP($B31,MMWR_TRAD_AGG_RO_COMP[],D$1,0),"ERROR")</f>
        <v>528.03850730119996</v>
      </c>
      <c r="E31" s="199">
        <f>IFERROR(VLOOKUP($B31,MMWR_TRAD_AGG_RO_COMP[],E$1,0),"ERROR")</f>
        <v>4858</v>
      </c>
      <c r="F31" s="195">
        <f>IFERROR(VLOOKUP($B31,MMWR_TRAD_AGG_RO_COMP[],F$1,0),"ERROR")</f>
        <v>1660</v>
      </c>
      <c r="G31" s="220">
        <f t="shared" si="0"/>
        <v>0.34170440510498146</v>
      </c>
      <c r="H31" s="194">
        <f>IFERROR(VLOOKUP($B31,MMWR_TRAD_AGG_RO_COMP[],H$1,0),"ERROR")</f>
        <v>14782</v>
      </c>
      <c r="I31" s="195">
        <f>IFERROR(VLOOKUP($B31,MMWR_TRAD_AGG_RO_COMP[],I$1,0),"ERROR")</f>
        <v>8644</v>
      </c>
      <c r="J31" s="220">
        <f t="shared" si="1"/>
        <v>0.58476525503991339</v>
      </c>
      <c r="K31" s="208">
        <f>IFERROR(VLOOKUP($B31,MMWR_TRAD_AGG_RO_COMP[],K$1,0),"ERROR")</f>
        <v>1059</v>
      </c>
      <c r="L31" s="209">
        <f>IFERROR(VLOOKUP($B31,MMWR_TRAD_AGG_RO_COMP[],L$1,0),"ERROR")</f>
        <v>922</v>
      </c>
      <c r="M31" s="220">
        <f t="shared" si="2"/>
        <v>0.87063267233238906</v>
      </c>
      <c r="N31" s="208">
        <f>IFERROR(VLOOKUP($B31,MMWR_TRAD_AGG_RO_COMP[],N$1,0),"ERROR")</f>
        <v>1950</v>
      </c>
      <c r="O31" s="209">
        <f>IFERROR(VLOOKUP($B31,MMWR_TRAD_AGG_RO_COMP[],O$1,0),"ERROR")</f>
        <v>1311</v>
      </c>
      <c r="P31" s="220">
        <f t="shared" si="3"/>
        <v>0.67230769230769227</v>
      </c>
      <c r="Q31" s="205">
        <f>IFERROR(VLOOKUP($B31,MMWR_TRAD_AGG_RO_COMP[],Q$1,0),"ERROR")</f>
        <v>3</v>
      </c>
      <c r="R31" s="205">
        <f>IFERROR(VLOOKUP($B31,MMWR_TRAD_AGG_RO_COMP[],R$1,0),"ERROR")</f>
        <v>207</v>
      </c>
      <c r="S31" s="205">
        <f>IFERROR(VLOOKUP($B31,MMWR_APP_RO[],S$1,0),"ERROR")</f>
        <v>8052</v>
      </c>
      <c r="T31" s="25"/>
    </row>
    <row r="32" spans="1:20" x14ac:dyDescent="0.2">
      <c r="A32" s="108"/>
      <c r="B32" s="109" t="s">
        <v>53</v>
      </c>
      <c r="C32" s="213">
        <f>IFERROR(VLOOKUP($B32,MMWR_TRAD_AGG_RO_COMP[],C$1,0),"ERROR")</f>
        <v>2656</v>
      </c>
      <c r="D32" s="202">
        <f>IFERROR(VLOOKUP($B32,MMWR_TRAD_AGG_RO_COMP[],D$1,0),"ERROR")</f>
        <v>125.5542168675</v>
      </c>
      <c r="E32" s="199">
        <f>IFERROR(VLOOKUP($B32,MMWR_TRAD_AGG_RO_COMP[],E$1,0),"ERROR")</f>
        <v>2066</v>
      </c>
      <c r="F32" s="195">
        <f>IFERROR(VLOOKUP($B32,MMWR_TRAD_AGG_RO_COMP[],F$1,0),"ERROR")</f>
        <v>405</v>
      </c>
      <c r="G32" s="220">
        <f t="shared" si="0"/>
        <v>0.19603097773475314</v>
      </c>
      <c r="H32" s="194">
        <f>IFERROR(VLOOKUP($B32,MMWR_TRAD_AGG_RO_COMP[],H$1,0),"ERROR")</f>
        <v>4986</v>
      </c>
      <c r="I32" s="195">
        <f>IFERROR(VLOOKUP($B32,MMWR_TRAD_AGG_RO_COMP[],I$1,0),"ERROR")</f>
        <v>1103</v>
      </c>
      <c r="J32" s="220">
        <f t="shared" si="1"/>
        <v>0.22121941436020859</v>
      </c>
      <c r="K32" s="208">
        <f>IFERROR(VLOOKUP($B32,MMWR_TRAD_AGG_RO_COMP[],K$1,0),"ERROR")</f>
        <v>583</v>
      </c>
      <c r="L32" s="209">
        <f>IFERROR(VLOOKUP($B32,MMWR_TRAD_AGG_RO_COMP[],L$1,0),"ERROR")</f>
        <v>485</v>
      </c>
      <c r="M32" s="220">
        <f t="shared" si="2"/>
        <v>0.83190394511149224</v>
      </c>
      <c r="N32" s="208">
        <f>IFERROR(VLOOKUP($B32,MMWR_TRAD_AGG_RO_COMP[],N$1,0),"ERROR")</f>
        <v>290</v>
      </c>
      <c r="O32" s="209">
        <f>IFERROR(VLOOKUP($B32,MMWR_TRAD_AGG_RO_COMP[],O$1,0),"ERROR")</f>
        <v>203</v>
      </c>
      <c r="P32" s="220">
        <f t="shared" si="3"/>
        <v>0.7</v>
      </c>
      <c r="Q32" s="205">
        <f>IFERROR(VLOOKUP($B32,MMWR_TRAD_AGG_RO_COMP[],Q$1,0),"ERROR")</f>
        <v>0</v>
      </c>
      <c r="R32" s="205">
        <f>IFERROR(VLOOKUP($B32,MMWR_TRAD_AGG_RO_COMP[],R$1,0),"ERROR")</f>
        <v>15</v>
      </c>
      <c r="S32" s="205">
        <f>IFERROR(VLOOKUP($B32,MMWR_APP_RO[],S$1,0),"ERROR")</f>
        <v>1368</v>
      </c>
      <c r="T32" s="25"/>
    </row>
    <row r="33" spans="1:20" x14ac:dyDescent="0.2">
      <c r="A33" s="108"/>
      <c r="B33" s="109" t="s">
        <v>59</v>
      </c>
      <c r="C33" s="213">
        <f>IFERROR(VLOOKUP($B33,MMWR_TRAD_AGG_RO_COMP[],C$1,0),"ERROR")</f>
        <v>6889</v>
      </c>
      <c r="D33" s="202">
        <f>IFERROR(VLOOKUP($B33,MMWR_TRAD_AGG_RO_COMP[],D$1,0),"ERROR")</f>
        <v>181.26012483669999</v>
      </c>
      <c r="E33" s="199">
        <f>IFERROR(VLOOKUP($B33,MMWR_TRAD_AGG_RO_COMP[],E$1,0),"ERROR")</f>
        <v>5647</v>
      </c>
      <c r="F33" s="195">
        <f>IFERROR(VLOOKUP($B33,MMWR_TRAD_AGG_RO_COMP[],F$1,0),"ERROR")</f>
        <v>1414</v>
      </c>
      <c r="G33" s="220">
        <f t="shared" si="0"/>
        <v>0.25039844165043385</v>
      </c>
      <c r="H33" s="194">
        <f>IFERROR(VLOOKUP($B33,MMWR_TRAD_AGG_RO_COMP[],H$1,0),"ERROR")</f>
        <v>9244</v>
      </c>
      <c r="I33" s="195">
        <f>IFERROR(VLOOKUP($B33,MMWR_TRAD_AGG_RO_COMP[],I$1,0),"ERROR")</f>
        <v>3802</v>
      </c>
      <c r="J33" s="220">
        <f t="shared" si="1"/>
        <v>0.41129381220250971</v>
      </c>
      <c r="K33" s="208">
        <f>IFERROR(VLOOKUP($B33,MMWR_TRAD_AGG_RO_COMP[],K$1,0),"ERROR")</f>
        <v>295</v>
      </c>
      <c r="L33" s="209">
        <f>IFERROR(VLOOKUP($B33,MMWR_TRAD_AGG_RO_COMP[],L$1,0),"ERROR")</f>
        <v>210</v>
      </c>
      <c r="M33" s="220">
        <f t="shared" si="2"/>
        <v>0.71186440677966101</v>
      </c>
      <c r="N33" s="208">
        <f>IFERROR(VLOOKUP($B33,MMWR_TRAD_AGG_RO_COMP[],N$1,0),"ERROR")</f>
        <v>380</v>
      </c>
      <c r="O33" s="209">
        <f>IFERROR(VLOOKUP($B33,MMWR_TRAD_AGG_RO_COMP[],O$1,0),"ERROR")</f>
        <v>162</v>
      </c>
      <c r="P33" s="220">
        <f t="shared" si="3"/>
        <v>0.4263157894736842</v>
      </c>
      <c r="Q33" s="205">
        <f>IFERROR(VLOOKUP($B33,MMWR_TRAD_AGG_RO_COMP[],Q$1,0),"ERROR")</f>
        <v>107</v>
      </c>
      <c r="R33" s="205">
        <f>IFERROR(VLOOKUP($B33,MMWR_TRAD_AGG_RO_COMP[],R$1,0),"ERROR")</f>
        <v>0</v>
      </c>
      <c r="S33" s="205">
        <f>IFERROR(VLOOKUP($B33,MMWR_APP_RO[],S$1,0),"ERROR")</f>
        <v>2928</v>
      </c>
      <c r="T33" s="25"/>
    </row>
    <row r="34" spans="1:20" x14ac:dyDescent="0.2">
      <c r="A34" s="108"/>
      <c r="B34" s="109" t="s">
        <v>77</v>
      </c>
      <c r="C34" s="213">
        <f>IFERROR(VLOOKUP($B34,MMWR_TRAD_AGG_RO_COMP[],C$1,0),"ERROR")</f>
        <v>794</v>
      </c>
      <c r="D34" s="202">
        <f>IFERROR(VLOOKUP($B34,MMWR_TRAD_AGG_RO_COMP[],D$1,0),"ERROR")</f>
        <v>75.885390428199997</v>
      </c>
      <c r="E34" s="199">
        <f>IFERROR(VLOOKUP($B34,MMWR_TRAD_AGG_RO_COMP[],E$1,0),"ERROR")</f>
        <v>881</v>
      </c>
      <c r="F34" s="195">
        <f>IFERROR(VLOOKUP($B34,MMWR_TRAD_AGG_RO_COMP[],F$1,0),"ERROR")</f>
        <v>239</v>
      </c>
      <c r="G34" s="220">
        <f t="shared" si="0"/>
        <v>0.27128263337116915</v>
      </c>
      <c r="H34" s="194">
        <f>IFERROR(VLOOKUP($B34,MMWR_TRAD_AGG_RO_COMP[],H$1,0),"ERROR")</f>
        <v>1089</v>
      </c>
      <c r="I34" s="195">
        <f>IFERROR(VLOOKUP($B34,MMWR_TRAD_AGG_RO_COMP[],I$1,0),"ERROR")</f>
        <v>137</v>
      </c>
      <c r="J34" s="220">
        <f t="shared" si="1"/>
        <v>0.12580348943985309</v>
      </c>
      <c r="K34" s="208">
        <f>IFERROR(VLOOKUP($B34,MMWR_TRAD_AGG_RO_COMP[],K$1,0),"ERROR")</f>
        <v>717</v>
      </c>
      <c r="L34" s="209">
        <f>IFERROR(VLOOKUP($B34,MMWR_TRAD_AGG_RO_COMP[],L$1,0),"ERROR")</f>
        <v>107</v>
      </c>
      <c r="M34" s="220">
        <f t="shared" si="2"/>
        <v>0.14923291492329149</v>
      </c>
      <c r="N34" s="208">
        <f>IFERROR(VLOOKUP($B34,MMWR_TRAD_AGG_RO_COMP[],N$1,0),"ERROR")</f>
        <v>28</v>
      </c>
      <c r="O34" s="209">
        <f>IFERROR(VLOOKUP($B34,MMWR_TRAD_AGG_RO_COMP[],O$1,0),"ERROR")</f>
        <v>13</v>
      </c>
      <c r="P34" s="220">
        <f t="shared" si="3"/>
        <v>0.4642857142857143</v>
      </c>
      <c r="Q34" s="205">
        <f>IFERROR(VLOOKUP($B34,MMWR_TRAD_AGG_RO_COMP[],Q$1,0),"ERROR")</f>
        <v>0</v>
      </c>
      <c r="R34" s="205">
        <f>IFERROR(VLOOKUP($B34,MMWR_TRAD_AGG_RO_COMP[],R$1,0),"ERROR")</f>
        <v>2</v>
      </c>
      <c r="S34" s="205">
        <f>IFERROR(VLOOKUP($B34,MMWR_APP_RO[],S$1,0),"ERROR")</f>
        <v>245</v>
      </c>
      <c r="T34" s="25"/>
    </row>
    <row r="35" spans="1:20" x14ac:dyDescent="0.2">
      <c r="A35" s="108"/>
      <c r="B35" s="109" t="s">
        <v>78</v>
      </c>
      <c r="C35" s="213">
        <f>IFERROR(VLOOKUP($B35,MMWR_TRAD_AGG_RO_COMP[],C$1,0),"ERROR")</f>
        <v>4753</v>
      </c>
      <c r="D35" s="202">
        <f>IFERROR(VLOOKUP($B35,MMWR_TRAD_AGG_RO_COMP[],D$1,0),"ERROR")</f>
        <v>272.8270565958</v>
      </c>
      <c r="E35" s="199">
        <f>IFERROR(VLOOKUP($B35,MMWR_TRAD_AGG_RO_COMP[],E$1,0),"ERROR")</f>
        <v>4899</v>
      </c>
      <c r="F35" s="195">
        <f>IFERROR(VLOOKUP($B35,MMWR_TRAD_AGG_RO_COMP[],F$1,0),"ERROR")</f>
        <v>1442</v>
      </c>
      <c r="G35" s="220">
        <f t="shared" si="0"/>
        <v>0.29434578485405183</v>
      </c>
      <c r="H35" s="194">
        <f>IFERROR(VLOOKUP($B35,MMWR_TRAD_AGG_RO_COMP[],H$1,0),"ERROR")</f>
        <v>7439</v>
      </c>
      <c r="I35" s="195">
        <f>IFERROR(VLOOKUP($B35,MMWR_TRAD_AGG_RO_COMP[],I$1,0),"ERROR")</f>
        <v>4813</v>
      </c>
      <c r="J35" s="220">
        <f t="shared" si="1"/>
        <v>0.64699556391988167</v>
      </c>
      <c r="K35" s="208">
        <f>IFERROR(VLOOKUP($B35,MMWR_TRAD_AGG_RO_COMP[],K$1,0),"ERROR")</f>
        <v>2361</v>
      </c>
      <c r="L35" s="209">
        <f>IFERROR(VLOOKUP($B35,MMWR_TRAD_AGG_RO_COMP[],L$1,0),"ERROR")</f>
        <v>2227</v>
      </c>
      <c r="M35" s="220">
        <f t="shared" si="2"/>
        <v>0.94324438797119869</v>
      </c>
      <c r="N35" s="208">
        <f>IFERROR(VLOOKUP($B35,MMWR_TRAD_AGG_RO_COMP[],N$1,0),"ERROR")</f>
        <v>5772</v>
      </c>
      <c r="O35" s="209">
        <f>IFERROR(VLOOKUP($B35,MMWR_TRAD_AGG_RO_COMP[],O$1,0),"ERROR")</f>
        <v>4710</v>
      </c>
      <c r="P35" s="220">
        <f t="shared" si="3"/>
        <v>0.81600831600831603</v>
      </c>
      <c r="Q35" s="205">
        <f>IFERROR(VLOOKUP($B35,MMWR_TRAD_AGG_RO_COMP[],Q$1,0),"ERROR")</f>
        <v>44</v>
      </c>
      <c r="R35" s="205">
        <f>IFERROR(VLOOKUP($B35,MMWR_TRAD_AGG_RO_COMP[],R$1,0),"ERROR")</f>
        <v>116</v>
      </c>
      <c r="S35" s="205">
        <f>IFERROR(VLOOKUP($B35,MMWR_APP_RO[],S$1,0),"ERROR")</f>
        <v>6230</v>
      </c>
      <c r="T35" s="25"/>
    </row>
    <row r="36" spans="1:20" x14ac:dyDescent="0.2">
      <c r="A36" s="28"/>
      <c r="B36" s="109" t="s">
        <v>79</v>
      </c>
      <c r="C36" s="223">
        <f>IFERROR(VLOOKUP($B36,MMWR_TRAD_AGG_RO_COMP[],C$1,0),"ERROR")</f>
        <v>5117</v>
      </c>
      <c r="D36" s="224">
        <f>IFERROR(VLOOKUP($B36,MMWR_TRAD_AGG_RO_COMP[],D$1,0),"ERROR")</f>
        <v>142.81024037520001</v>
      </c>
      <c r="E36" s="225">
        <f>IFERROR(VLOOKUP($B36,MMWR_TRAD_AGG_RO_COMP[],E$1,0),"ERROR")</f>
        <v>10243</v>
      </c>
      <c r="F36" s="226">
        <f>IFERROR(VLOOKUP($B36,MMWR_TRAD_AGG_RO_COMP[],F$1,0),"ERROR")</f>
        <v>2429</v>
      </c>
      <c r="G36" s="227">
        <f t="shared" si="0"/>
        <v>0.23713755735624328</v>
      </c>
      <c r="H36" s="228">
        <f>IFERROR(VLOOKUP($B36,MMWR_TRAD_AGG_RO_COMP[],H$1,0),"ERROR")</f>
        <v>11464</v>
      </c>
      <c r="I36" s="226">
        <f>IFERROR(VLOOKUP($B36,MMWR_TRAD_AGG_RO_COMP[],I$1,0),"ERROR")</f>
        <v>2488</v>
      </c>
      <c r="J36" s="227">
        <f t="shared" si="1"/>
        <v>0.21702721563154223</v>
      </c>
      <c r="K36" s="229">
        <f>IFERROR(VLOOKUP($B36,MMWR_TRAD_AGG_RO_COMP[],K$1,0),"ERROR")</f>
        <v>527</v>
      </c>
      <c r="L36" s="230">
        <f>IFERROR(VLOOKUP($B36,MMWR_TRAD_AGG_RO_COMP[],L$1,0),"ERROR")</f>
        <v>394</v>
      </c>
      <c r="M36" s="227">
        <f t="shared" si="2"/>
        <v>0.74762808349146115</v>
      </c>
      <c r="N36" s="229">
        <f>IFERROR(VLOOKUP($B36,MMWR_TRAD_AGG_RO_COMP[],N$1,0),"ERROR")</f>
        <v>1404</v>
      </c>
      <c r="O36" s="230">
        <f>IFERROR(VLOOKUP($B36,MMWR_TRAD_AGG_RO_COMP[],O$1,0),"ERROR")</f>
        <v>545</v>
      </c>
      <c r="P36" s="227">
        <f t="shared" si="3"/>
        <v>0.38817663817663817</v>
      </c>
      <c r="Q36" s="231">
        <f>IFERROR(VLOOKUP($B36,MMWR_TRAD_AGG_RO_COMP[],Q$1,0),"ERROR")</f>
        <v>17</v>
      </c>
      <c r="R36" s="231">
        <f>IFERROR(VLOOKUP($B36,MMWR_TRAD_AGG_RO_COMP[],R$1,0),"ERROR")</f>
        <v>0</v>
      </c>
      <c r="S36" s="205">
        <f>IFERROR(VLOOKUP($B36,MMWR_APP_RO[],S$1,0),"ERROR")</f>
        <v>1772</v>
      </c>
      <c r="T36" s="28"/>
    </row>
    <row r="37" spans="1:20" x14ac:dyDescent="0.2">
      <c r="A37" s="28"/>
      <c r="B37" s="117" t="s">
        <v>84</v>
      </c>
      <c r="C37" s="232">
        <f>IFERROR(VLOOKUP($B37,MMWR_TRAD_AGG_RO_COMP[],C$1,0),"ERROR")</f>
        <v>1760</v>
      </c>
      <c r="D37" s="233">
        <f>IFERROR(VLOOKUP($B37,MMWR_TRAD_AGG_RO_COMP[],D$1,0),"ERROR")</f>
        <v>125.04829545450001</v>
      </c>
      <c r="E37" s="234">
        <f>IFERROR(VLOOKUP($B37,MMWR_TRAD_AGG_RO_COMP[],E$1,0),"ERROR")</f>
        <v>2542</v>
      </c>
      <c r="F37" s="235">
        <f>IFERROR(VLOOKUP($B37,MMWR_TRAD_AGG_RO_COMP[],F$1,0),"ERROR")</f>
        <v>714</v>
      </c>
      <c r="G37" s="236">
        <f t="shared" si="0"/>
        <v>0.28088119590873328</v>
      </c>
      <c r="H37" s="237">
        <f>IFERROR(VLOOKUP($B37,MMWR_TRAD_AGG_RO_COMP[],H$1,0),"ERROR")</f>
        <v>2721</v>
      </c>
      <c r="I37" s="235">
        <f>IFERROR(VLOOKUP($B37,MMWR_TRAD_AGG_RO_COMP[],I$1,0),"ERROR")</f>
        <v>968</v>
      </c>
      <c r="J37" s="236">
        <f t="shared" si="1"/>
        <v>0.35575156192576257</v>
      </c>
      <c r="K37" s="238">
        <f>IFERROR(VLOOKUP($B37,MMWR_TRAD_AGG_RO_COMP[],K$1,0),"ERROR")</f>
        <v>274</v>
      </c>
      <c r="L37" s="239">
        <f>IFERROR(VLOOKUP($B37,MMWR_TRAD_AGG_RO_COMP[],L$1,0),"ERROR")</f>
        <v>139</v>
      </c>
      <c r="M37" s="236">
        <f t="shared" si="2"/>
        <v>0.50729927007299269</v>
      </c>
      <c r="N37" s="238">
        <f>IFERROR(VLOOKUP($B37,MMWR_TRAD_AGG_RO_COMP[],N$1,0),"ERROR")</f>
        <v>159</v>
      </c>
      <c r="O37" s="239">
        <f>IFERROR(VLOOKUP($B37,MMWR_TRAD_AGG_RO_COMP[],O$1,0),"ERROR")</f>
        <v>94</v>
      </c>
      <c r="P37" s="236">
        <f t="shared" si="3"/>
        <v>0.5911949685534591</v>
      </c>
      <c r="Q37" s="240">
        <f>IFERROR(VLOOKUP($B37,MMWR_TRAD_AGG_RO_COMP[],Q$1,0),"ERROR")</f>
        <v>0</v>
      </c>
      <c r="R37" s="240">
        <f>IFERROR(VLOOKUP($B37,MMWR_TRAD_AGG_RO_COMP[],R$1,0),"ERROR")</f>
        <v>10</v>
      </c>
      <c r="S37" s="205">
        <f>IFERROR(VLOOKUP($B37,MMWR_APP_RO[],S$1,0),"ERROR")</f>
        <v>1336</v>
      </c>
      <c r="T37" s="28"/>
    </row>
    <row r="38" spans="1:20" x14ac:dyDescent="0.2">
      <c r="A38" s="28"/>
      <c r="B38" s="102" t="s">
        <v>395</v>
      </c>
      <c r="C38" s="216">
        <f>IFERROR(VLOOKUP($B38,MMWR_TRAD_AGG_DISTRICT_COMP[],C$1,0),"ERROR")</f>
        <v>61675</v>
      </c>
      <c r="D38" s="201">
        <f>IFERROR(VLOOKUP($B38,MMWR_TRAD_AGG_DISTRICT_COMP[],D$1,0),"ERROR")</f>
        <v>327.45958654240002</v>
      </c>
      <c r="E38" s="217">
        <f>IFERROR(VLOOKUP($B38,MMWR_TRAD_AGG_DISTRICT_COMP[],E$1,0),"ERROR")</f>
        <v>70260</v>
      </c>
      <c r="F38" s="222">
        <f>IFERROR(VLOOKUP($B38,MMWR_TRAD_AGG_DISTRICT_COMP[],F$1,0),"ERROR")</f>
        <v>24228</v>
      </c>
      <c r="G38" s="218">
        <f t="shared" si="0"/>
        <v>0.34483347566182748</v>
      </c>
      <c r="H38" s="222">
        <f>IFERROR(VLOOKUP($B38,MMWR_TRAD_AGG_DISTRICT_COMP[],H$1,0),"ERROR")</f>
        <v>91821</v>
      </c>
      <c r="I38" s="222">
        <f>IFERROR(VLOOKUP($B38,MMWR_TRAD_AGG_DISTRICT_COMP[],I$1,0),"ERROR")</f>
        <v>52158</v>
      </c>
      <c r="J38" s="218">
        <f t="shared" si="1"/>
        <v>0.56803999085176593</v>
      </c>
      <c r="K38" s="216">
        <f>IFERROR(VLOOKUP($B38,MMWR_TRAD_AGG_DISTRICT_COMP[],K$1,0),"ERROR")</f>
        <v>13517</v>
      </c>
      <c r="L38" s="216">
        <f>IFERROR(VLOOKUP($B38,MMWR_TRAD_AGG_DISTRICT_COMP[],L$1,0),"ERROR")</f>
        <v>9735</v>
      </c>
      <c r="M38" s="218">
        <f t="shared" si="2"/>
        <v>0.72020418731967151</v>
      </c>
      <c r="N38" s="216">
        <f>IFERROR(VLOOKUP($B38,MMWR_TRAD_AGG_DISTRICT_COMP[],N$1,0),"ERROR")</f>
        <v>25792</v>
      </c>
      <c r="O38" s="216">
        <f>IFERROR(VLOOKUP($B38,MMWR_TRAD_AGG_DISTRICT_COMP[],O$1,0),"ERROR")</f>
        <v>19723</v>
      </c>
      <c r="P38" s="218">
        <f t="shared" si="3"/>
        <v>0.76469447890818854</v>
      </c>
      <c r="Q38" s="216">
        <f>IFERROR(VLOOKUP($B38,MMWR_TRAD_AGG_DISTRICT_COMP[],Q$1,0),"ERROR")</f>
        <v>114</v>
      </c>
      <c r="R38" s="219">
        <f>IFERROR(VLOOKUP($B38,MMWR_TRAD_AGG_DISTRICT_COMP[],R$1,0),"ERROR")</f>
        <v>1251</v>
      </c>
      <c r="S38" s="219">
        <f>IFERROR(VLOOKUP($B38,MMWR_APP_RO[],S$1,0),"ERROR")</f>
        <v>63474</v>
      </c>
      <c r="T38" s="28"/>
    </row>
    <row r="39" spans="1:20" x14ac:dyDescent="0.2">
      <c r="A39" s="28"/>
      <c r="B39" s="109" t="s">
        <v>39</v>
      </c>
      <c r="C39" s="223">
        <f>IFERROR(VLOOKUP($B39,MMWR_TRAD_AGG_RO_COMP[],C$1,0),"ERROR")</f>
        <v>676</v>
      </c>
      <c r="D39" s="224">
        <f>IFERROR(VLOOKUP($B39,MMWR_TRAD_AGG_RO_COMP[],D$1,0),"ERROR")</f>
        <v>217.64644970410001</v>
      </c>
      <c r="E39" s="225">
        <f>IFERROR(VLOOKUP($B39,MMWR_TRAD_AGG_RO_COMP[],E$1,0),"ERROR")</f>
        <v>876</v>
      </c>
      <c r="F39" s="226">
        <f>IFERROR(VLOOKUP($B39,MMWR_TRAD_AGG_RO_COMP[],F$1,0),"ERROR")</f>
        <v>206</v>
      </c>
      <c r="G39" s="227">
        <f t="shared" si="0"/>
        <v>0.23515981735159816</v>
      </c>
      <c r="H39" s="228">
        <f>IFERROR(VLOOKUP($B39,MMWR_TRAD_AGG_RO_COMP[],H$1,0),"ERROR")</f>
        <v>959</v>
      </c>
      <c r="I39" s="226">
        <f>IFERROR(VLOOKUP($B39,MMWR_TRAD_AGG_RO_COMP[],I$1,0),"ERROR")</f>
        <v>402</v>
      </c>
      <c r="J39" s="227">
        <f t="shared" si="1"/>
        <v>0.41918665276329509</v>
      </c>
      <c r="K39" s="229">
        <f>IFERROR(VLOOKUP($B39,MMWR_TRAD_AGG_RO_COMP[],K$1,0),"ERROR")</f>
        <v>186</v>
      </c>
      <c r="L39" s="230">
        <f>IFERROR(VLOOKUP($B39,MMWR_TRAD_AGG_RO_COMP[],L$1,0),"ERROR")</f>
        <v>155</v>
      </c>
      <c r="M39" s="227">
        <f t="shared" si="2"/>
        <v>0.83333333333333337</v>
      </c>
      <c r="N39" s="229">
        <f>IFERROR(VLOOKUP($B39,MMWR_TRAD_AGG_RO_COMP[],N$1,0),"ERROR")</f>
        <v>117</v>
      </c>
      <c r="O39" s="230">
        <f>IFERROR(VLOOKUP($B39,MMWR_TRAD_AGG_RO_COMP[],O$1,0),"ERROR")</f>
        <v>58</v>
      </c>
      <c r="P39" s="227">
        <f t="shared" si="3"/>
        <v>0.49572649572649574</v>
      </c>
      <c r="Q39" s="231">
        <f>IFERROR(VLOOKUP($B39,MMWR_TRAD_AGG_RO_COMP[],Q$1,0),"ERROR")</f>
        <v>25</v>
      </c>
      <c r="R39" s="231">
        <f>IFERROR(VLOOKUP($B39,MMWR_TRAD_AGG_RO_COMP[],R$1,0),"ERROR")</f>
        <v>8</v>
      </c>
      <c r="S39" s="205">
        <f>IFERROR(VLOOKUP($B39,MMWR_APP_RO[],S$1,0),"ERROR")</f>
        <v>318</v>
      </c>
      <c r="T39" s="28"/>
    </row>
    <row r="40" spans="1:20" x14ac:dyDescent="0.2">
      <c r="A40" s="28"/>
      <c r="B40" s="109" t="s">
        <v>43</v>
      </c>
      <c r="C40" s="223">
        <f>IFERROR(VLOOKUP($B40,MMWR_TRAD_AGG_RO_COMP[],C$1,0),"ERROR")</f>
        <v>7436</v>
      </c>
      <c r="D40" s="224">
        <f>IFERROR(VLOOKUP($B40,MMWR_TRAD_AGG_RO_COMP[],D$1,0),"ERROR")</f>
        <v>425.79505110269997</v>
      </c>
      <c r="E40" s="225">
        <f>IFERROR(VLOOKUP($B40,MMWR_TRAD_AGG_RO_COMP[],E$1,0),"ERROR")</f>
        <v>7737</v>
      </c>
      <c r="F40" s="226">
        <f>IFERROR(VLOOKUP($B40,MMWR_TRAD_AGG_RO_COMP[],F$1,0),"ERROR")</f>
        <v>3382</v>
      </c>
      <c r="G40" s="227">
        <f t="shared" si="0"/>
        <v>0.43712033087760116</v>
      </c>
      <c r="H40" s="228">
        <f>IFERROR(VLOOKUP($B40,MMWR_TRAD_AGG_RO_COMP[],H$1,0),"ERROR")</f>
        <v>9788</v>
      </c>
      <c r="I40" s="226">
        <f>IFERROR(VLOOKUP($B40,MMWR_TRAD_AGG_RO_COMP[],I$1,0),"ERROR")</f>
        <v>6648</v>
      </c>
      <c r="J40" s="227">
        <f t="shared" si="1"/>
        <v>0.6791990192071925</v>
      </c>
      <c r="K40" s="229">
        <f>IFERROR(VLOOKUP($B40,MMWR_TRAD_AGG_RO_COMP[],K$1,0),"ERROR")</f>
        <v>2073</v>
      </c>
      <c r="L40" s="230">
        <f>IFERROR(VLOOKUP($B40,MMWR_TRAD_AGG_RO_COMP[],L$1,0),"ERROR")</f>
        <v>1788</v>
      </c>
      <c r="M40" s="227">
        <f t="shared" si="2"/>
        <v>0.86251808972503619</v>
      </c>
      <c r="N40" s="229">
        <f>IFERROR(VLOOKUP($B40,MMWR_TRAD_AGG_RO_COMP[],N$1,0),"ERROR")</f>
        <v>5158</v>
      </c>
      <c r="O40" s="230">
        <f>IFERROR(VLOOKUP($B40,MMWR_TRAD_AGG_RO_COMP[],O$1,0),"ERROR")</f>
        <v>3553</v>
      </c>
      <c r="P40" s="227">
        <f t="shared" si="3"/>
        <v>0.68883288096161299</v>
      </c>
      <c r="Q40" s="231">
        <f>IFERROR(VLOOKUP($B40,MMWR_TRAD_AGG_RO_COMP[],Q$1,0),"ERROR")</f>
        <v>1</v>
      </c>
      <c r="R40" s="231">
        <f>IFERROR(VLOOKUP($B40,MMWR_TRAD_AGG_RO_COMP[],R$1,0),"ERROR")</f>
        <v>56</v>
      </c>
      <c r="S40" s="205">
        <f>IFERROR(VLOOKUP($B40,MMWR_APP_RO[],S$1,0),"ERROR")</f>
        <v>5593</v>
      </c>
      <c r="T40" s="28"/>
    </row>
    <row r="41" spans="1:20" x14ac:dyDescent="0.2">
      <c r="A41" s="28"/>
      <c r="B41" s="109" t="s">
        <v>187</v>
      </c>
      <c r="C41" s="223">
        <f>IFERROR(VLOOKUP($B41,MMWR_TRAD_AGG_RO_COMP[],C$1,0),"ERROR")</f>
        <v>931</v>
      </c>
      <c r="D41" s="224">
        <f>IFERROR(VLOOKUP($B41,MMWR_TRAD_AGG_RO_COMP[],D$1,0),"ERROR")</f>
        <v>175.4693877551</v>
      </c>
      <c r="E41" s="225">
        <f>IFERROR(VLOOKUP($B41,MMWR_TRAD_AGG_RO_COMP[],E$1,0),"ERROR")</f>
        <v>835</v>
      </c>
      <c r="F41" s="226">
        <f>IFERROR(VLOOKUP($B41,MMWR_TRAD_AGG_RO_COMP[],F$1,0),"ERROR")</f>
        <v>95</v>
      </c>
      <c r="G41" s="227">
        <f t="shared" si="0"/>
        <v>0.11377245508982035</v>
      </c>
      <c r="H41" s="228">
        <f>IFERROR(VLOOKUP($B41,MMWR_TRAD_AGG_RO_COMP[],H$1,0),"ERROR")</f>
        <v>1337</v>
      </c>
      <c r="I41" s="226">
        <f>IFERROR(VLOOKUP($B41,MMWR_TRAD_AGG_RO_COMP[],I$1,0),"ERROR")</f>
        <v>438</v>
      </c>
      <c r="J41" s="227">
        <f t="shared" si="1"/>
        <v>0.32759910246821239</v>
      </c>
      <c r="K41" s="229">
        <f>IFERROR(VLOOKUP($B41,MMWR_TRAD_AGG_RO_COMP[],K$1,0),"ERROR")</f>
        <v>323</v>
      </c>
      <c r="L41" s="230">
        <f>IFERROR(VLOOKUP($B41,MMWR_TRAD_AGG_RO_COMP[],L$1,0),"ERROR")</f>
        <v>188</v>
      </c>
      <c r="M41" s="227">
        <f t="shared" si="2"/>
        <v>0.58204334365325072</v>
      </c>
      <c r="N41" s="229">
        <f>IFERROR(VLOOKUP($B41,MMWR_TRAD_AGG_RO_COMP[],N$1,0),"ERROR")</f>
        <v>83</v>
      </c>
      <c r="O41" s="230">
        <f>IFERROR(VLOOKUP($B41,MMWR_TRAD_AGG_RO_COMP[],O$1,0),"ERROR")</f>
        <v>32</v>
      </c>
      <c r="P41" s="227">
        <f t="shared" si="3"/>
        <v>0.38554216867469882</v>
      </c>
      <c r="Q41" s="231">
        <f>IFERROR(VLOOKUP($B41,MMWR_TRAD_AGG_RO_COMP[],Q$1,0),"ERROR")</f>
        <v>0</v>
      </c>
      <c r="R41" s="231">
        <f>IFERROR(VLOOKUP($B41,MMWR_TRAD_AGG_RO_COMP[],R$1,0),"ERROR")</f>
        <v>4</v>
      </c>
      <c r="S41" s="205">
        <f>IFERROR(VLOOKUP($B41,MMWR_APP_RO[],S$1,0),"ERROR")</f>
        <v>262</v>
      </c>
      <c r="T41" s="28"/>
    </row>
    <row r="42" spans="1:20" x14ac:dyDescent="0.2">
      <c r="A42" s="28"/>
      <c r="B42" s="109" t="s">
        <v>49</v>
      </c>
      <c r="C42" s="223">
        <f>IFERROR(VLOOKUP($B42,MMWR_TRAD_AGG_RO_COMP[],C$1,0),"ERROR")</f>
        <v>12734</v>
      </c>
      <c r="D42" s="224">
        <f>IFERROR(VLOOKUP($B42,MMWR_TRAD_AGG_RO_COMP[],D$1,0),"ERROR")</f>
        <v>345.17912674730002</v>
      </c>
      <c r="E42" s="225">
        <f>IFERROR(VLOOKUP($B42,MMWR_TRAD_AGG_RO_COMP[],E$1,0),"ERROR")</f>
        <v>17453</v>
      </c>
      <c r="F42" s="226">
        <f>IFERROR(VLOOKUP($B42,MMWR_TRAD_AGG_RO_COMP[],F$1,0),"ERROR")</f>
        <v>6562</v>
      </c>
      <c r="G42" s="227">
        <f t="shared" si="0"/>
        <v>0.37598120666934054</v>
      </c>
      <c r="H42" s="228">
        <f>IFERROR(VLOOKUP($B42,MMWR_TRAD_AGG_RO_COMP[],H$1,0),"ERROR")</f>
        <v>17078</v>
      </c>
      <c r="I42" s="226">
        <f>IFERROR(VLOOKUP($B42,MMWR_TRAD_AGG_RO_COMP[],I$1,0),"ERROR")</f>
        <v>11470</v>
      </c>
      <c r="J42" s="227">
        <f t="shared" si="1"/>
        <v>0.67162431198032557</v>
      </c>
      <c r="K42" s="229">
        <f>IFERROR(VLOOKUP($B42,MMWR_TRAD_AGG_RO_COMP[],K$1,0),"ERROR")</f>
        <v>1784</v>
      </c>
      <c r="L42" s="230">
        <f>IFERROR(VLOOKUP($B42,MMWR_TRAD_AGG_RO_COMP[],L$1,0),"ERROR")</f>
        <v>1433</v>
      </c>
      <c r="M42" s="227">
        <f t="shared" si="2"/>
        <v>0.8032511210762332</v>
      </c>
      <c r="N42" s="229">
        <f>IFERROR(VLOOKUP($B42,MMWR_TRAD_AGG_RO_COMP[],N$1,0),"ERROR")</f>
        <v>5030</v>
      </c>
      <c r="O42" s="230">
        <f>IFERROR(VLOOKUP($B42,MMWR_TRAD_AGG_RO_COMP[],O$1,0),"ERROR")</f>
        <v>4100</v>
      </c>
      <c r="P42" s="227">
        <f t="shared" si="3"/>
        <v>0.81510934393638168</v>
      </c>
      <c r="Q42" s="231">
        <f>IFERROR(VLOOKUP($B42,MMWR_TRAD_AGG_RO_COMP[],Q$1,0),"ERROR")</f>
        <v>1</v>
      </c>
      <c r="R42" s="231">
        <f>IFERROR(VLOOKUP($B42,MMWR_TRAD_AGG_RO_COMP[],R$1,0),"ERROR")</f>
        <v>236</v>
      </c>
      <c r="S42" s="205">
        <f>IFERROR(VLOOKUP($B42,MMWR_APP_RO[],S$1,0),"ERROR")</f>
        <v>19054</v>
      </c>
      <c r="T42" s="28"/>
    </row>
    <row r="43" spans="1:20" x14ac:dyDescent="0.2">
      <c r="A43" s="28"/>
      <c r="B43" s="109" t="s">
        <v>52</v>
      </c>
      <c r="C43" s="223">
        <f>IFERROR(VLOOKUP($B43,MMWR_TRAD_AGG_RO_COMP[],C$1,0),"ERROR")</f>
        <v>4252</v>
      </c>
      <c r="D43" s="224">
        <f>IFERROR(VLOOKUP($B43,MMWR_TRAD_AGG_RO_COMP[],D$1,0),"ERROR")</f>
        <v>388.35324553150002</v>
      </c>
      <c r="E43" s="225">
        <f>IFERROR(VLOOKUP($B43,MMWR_TRAD_AGG_RO_COMP[],E$1,0),"ERROR")</f>
        <v>4324</v>
      </c>
      <c r="F43" s="226">
        <f>IFERROR(VLOOKUP($B43,MMWR_TRAD_AGG_RO_COMP[],F$1,0),"ERROR")</f>
        <v>2138</v>
      </c>
      <c r="G43" s="227">
        <f t="shared" si="0"/>
        <v>0.4944495837187789</v>
      </c>
      <c r="H43" s="228">
        <f>IFERROR(VLOOKUP($B43,MMWR_TRAD_AGG_RO_COMP[],H$1,0),"ERROR")</f>
        <v>5813</v>
      </c>
      <c r="I43" s="226">
        <f>IFERROR(VLOOKUP($B43,MMWR_TRAD_AGG_RO_COMP[],I$1,0),"ERROR")</f>
        <v>4130</v>
      </c>
      <c r="J43" s="227">
        <f t="shared" si="1"/>
        <v>0.71047651814897639</v>
      </c>
      <c r="K43" s="229">
        <f>IFERROR(VLOOKUP($B43,MMWR_TRAD_AGG_RO_COMP[],K$1,0),"ERROR")</f>
        <v>1652</v>
      </c>
      <c r="L43" s="230">
        <f>IFERROR(VLOOKUP($B43,MMWR_TRAD_AGG_RO_COMP[],L$1,0),"ERROR")</f>
        <v>1389</v>
      </c>
      <c r="M43" s="227">
        <f t="shared" si="2"/>
        <v>0.84079903147699753</v>
      </c>
      <c r="N43" s="229">
        <f>IFERROR(VLOOKUP($B43,MMWR_TRAD_AGG_RO_COMP[],N$1,0),"ERROR")</f>
        <v>2332</v>
      </c>
      <c r="O43" s="230">
        <f>IFERROR(VLOOKUP($B43,MMWR_TRAD_AGG_RO_COMP[],O$1,0),"ERROR")</f>
        <v>1898</v>
      </c>
      <c r="P43" s="227">
        <f t="shared" si="3"/>
        <v>0.81389365351629506</v>
      </c>
      <c r="Q43" s="231">
        <f>IFERROR(VLOOKUP($B43,MMWR_TRAD_AGG_RO_COMP[],Q$1,0),"ERROR")</f>
        <v>83</v>
      </c>
      <c r="R43" s="231">
        <f>IFERROR(VLOOKUP($B43,MMWR_TRAD_AGG_RO_COMP[],R$1,0),"ERROR")</f>
        <v>169</v>
      </c>
      <c r="S43" s="205">
        <f>IFERROR(VLOOKUP($B43,MMWR_APP_RO[],S$1,0),"ERROR")</f>
        <v>4234</v>
      </c>
      <c r="T43" s="28"/>
    </row>
    <row r="44" spans="1:20" x14ac:dyDescent="0.2">
      <c r="A44" s="28"/>
      <c r="B44" s="109" t="s">
        <v>54</v>
      </c>
      <c r="C44" s="223">
        <f>IFERROR(VLOOKUP($B44,MMWR_TRAD_AGG_RO_COMP[],C$1,0),"ERROR")</f>
        <v>4960</v>
      </c>
      <c r="D44" s="224">
        <f>IFERROR(VLOOKUP($B44,MMWR_TRAD_AGG_RO_COMP[],D$1,0),"ERROR")</f>
        <v>322.39233870970003</v>
      </c>
      <c r="E44" s="225">
        <f>IFERROR(VLOOKUP($B44,MMWR_TRAD_AGG_RO_COMP[],E$1,0),"ERROR")</f>
        <v>3379</v>
      </c>
      <c r="F44" s="226">
        <f>IFERROR(VLOOKUP($B44,MMWR_TRAD_AGG_RO_COMP[],F$1,0),"ERROR")</f>
        <v>904</v>
      </c>
      <c r="G44" s="227">
        <f t="shared" si="0"/>
        <v>0.26753477360165728</v>
      </c>
      <c r="H44" s="228">
        <f>IFERROR(VLOOKUP($B44,MMWR_TRAD_AGG_RO_COMP[],H$1,0),"ERROR")</f>
        <v>8086</v>
      </c>
      <c r="I44" s="226">
        <f>IFERROR(VLOOKUP($B44,MMWR_TRAD_AGG_RO_COMP[],I$1,0),"ERROR")</f>
        <v>4014</v>
      </c>
      <c r="J44" s="227">
        <f t="shared" si="1"/>
        <v>0.4964135542913678</v>
      </c>
      <c r="K44" s="229">
        <f>IFERROR(VLOOKUP($B44,MMWR_TRAD_AGG_RO_COMP[],K$1,0),"ERROR")</f>
        <v>3437</v>
      </c>
      <c r="L44" s="230">
        <f>IFERROR(VLOOKUP($B44,MMWR_TRAD_AGG_RO_COMP[],L$1,0),"ERROR")</f>
        <v>2163</v>
      </c>
      <c r="M44" s="227">
        <f t="shared" si="2"/>
        <v>0.62932790224032586</v>
      </c>
      <c r="N44" s="229">
        <f>IFERROR(VLOOKUP($B44,MMWR_TRAD_AGG_RO_COMP[],N$1,0),"ERROR")</f>
        <v>8844</v>
      </c>
      <c r="O44" s="230">
        <f>IFERROR(VLOOKUP($B44,MMWR_TRAD_AGG_RO_COMP[],O$1,0),"ERROR")</f>
        <v>7938</v>
      </c>
      <c r="P44" s="227">
        <f t="shared" si="3"/>
        <v>0.8975576662143826</v>
      </c>
      <c r="Q44" s="231">
        <f>IFERROR(VLOOKUP($B44,MMWR_TRAD_AGG_RO_COMP[],Q$1,0),"ERROR")</f>
        <v>0</v>
      </c>
      <c r="R44" s="231">
        <f>IFERROR(VLOOKUP($B44,MMWR_TRAD_AGG_RO_COMP[],R$1,0),"ERROR")</f>
        <v>164</v>
      </c>
      <c r="S44" s="205">
        <f>IFERROR(VLOOKUP($B44,MMWR_APP_RO[],S$1,0),"ERROR")</f>
        <v>5129</v>
      </c>
      <c r="T44" s="28"/>
    </row>
    <row r="45" spans="1:20" x14ac:dyDescent="0.2">
      <c r="A45" s="28"/>
      <c r="B45" s="109" t="s">
        <v>27</v>
      </c>
      <c r="C45" s="223">
        <f>IFERROR(VLOOKUP($B45,MMWR_TRAD_AGG_RO_COMP[],C$1,0),"ERROR")</f>
        <v>2936</v>
      </c>
      <c r="D45" s="224">
        <f>IFERROR(VLOOKUP($B45,MMWR_TRAD_AGG_RO_COMP[],D$1,0),"ERROR")</f>
        <v>156.35899182559999</v>
      </c>
      <c r="E45" s="225">
        <f>IFERROR(VLOOKUP($B45,MMWR_TRAD_AGG_RO_COMP[],E$1,0),"ERROR")</f>
        <v>6917</v>
      </c>
      <c r="F45" s="226">
        <f>IFERROR(VLOOKUP($B45,MMWR_TRAD_AGG_RO_COMP[],F$1,0),"ERROR")</f>
        <v>1926</v>
      </c>
      <c r="G45" s="227">
        <f t="shared" si="0"/>
        <v>0.27844441231747868</v>
      </c>
      <c r="H45" s="228">
        <f>IFERROR(VLOOKUP($B45,MMWR_TRAD_AGG_RO_COMP[],H$1,0),"ERROR")</f>
        <v>9088</v>
      </c>
      <c r="I45" s="226">
        <f>IFERROR(VLOOKUP($B45,MMWR_TRAD_AGG_RO_COMP[],I$1,0),"ERROR")</f>
        <v>2926</v>
      </c>
      <c r="J45" s="227">
        <f t="shared" si="1"/>
        <v>0.32196302816901406</v>
      </c>
      <c r="K45" s="229">
        <f>IFERROR(VLOOKUP($B45,MMWR_TRAD_AGG_RO_COMP[],K$1,0),"ERROR")</f>
        <v>1159</v>
      </c>
      <c r="L45" s="230">
        <f>IFERROR(VLOOKUP($B45,MMWR_TRAD_AGG_RO_COMP[],L$1,0),"ERROR")</f>
        <v>506</v>
      </c>
      <c r="M45" s="227">
        <f t="shared" si="2"/>
        <v>0.43658326143226922</v>
      </c>
      <c r="N45" s="229">
        <f>IFERROR(VLOOKUP($B45,MMWR_TRAD_AGG_RO_COMP[],N$1,0),"ERROR")</f>
        <v>444</v>
      </c>
      <c r="O45" s="230">
        <f>IFERROR(VLOOKUP($B45,MMWR_TRAD_AGG_RO_COMP[],O$1,0),"ERROR")</f>
        <v>194</v>
      </c>
      <c r="P45" s="227">
        <f t="shared" si="3"/>
        <v>0.43693693693693691</v>
      </c>
      <c r="Q45" s="231">
        <f>IFERROR(VLOOKUP($B45,MMWR_TRAD_AGG_RO_COMP[],Q$1,0),"ERROR")</f>
        <v>0</v>
      </c>
      <c r="R45" s="231">
        <f>IFERROR(VLOOKUP($B45,MMWR_TRAD_AGG_RO_COMP[],R$1,0),"ERROR")</f>
        <v>67</v>
      </c>
      <c r="S45" s="205">
        <f>IFERROR(VLOOKUP($B45,MMWR_APP_RO[],S$1,0),"ERROR")</f>
        <v>3775</v>
      </c>
      <c r="T45" s="28"/>
    </row>
    <row r="46" spans="1:20" x14ac:dyDescent="0.2">
      <c r="A46" s="28"/>
      <c r="B46" s="109" t="s">
        <v>62</v>
      </c>
      <c r="C46" s="223">
        <f>IFERROR(VLOOKUP($B46,MMWR_TRAD_AGG_RO_COMP[],C$1,0),"ERROR")</f>
        <v>6030</v>
      </c>
      <c r="D46" s="224">
        <f>IFERROR(VLOOKUP($B46,MMWR_TRAD_AGG_RO_COMP[],D$1,0),"ERROR")</f>
        <v>408.99950248760001</v>
      </c>
      <c r="E46" s="225">
        <f>IFERROR(VLOOKUP($B46,MMWR_TRAD_AGG_RO_COMP[],E$1,0),"ERROR")</f>
        <v>5637</v>
      </c>
      <c r="F46" s="226">
        <f>IFERROR(VLOOKUP($B46,MMWR_TRAD_AGG_RO_COMP[],F$1,0),"ERROR")</f>
        <v>1839</v>
      </c>
      <c r="G46" s="227">
        <f t="shared" si="0"/>
        <v>0.32623736029803085</v>
      </c>
      <c r="H46" s="228">
        <f>IFERROR(VLOOKUP($B46,MMWR_TRAD_AGG_RO_COMP[],H$1,0),"ERROR")</f>
        <v>7296</v>
      </c>
      <c r="I46" s="226">
        <f>IFERROR(VLOOKUP($B46,MMWR_TRAD_AGG_RO_COMP[],I$1,0),"ERROR")</f>
        <v>4906</v>
      </c>
      <c r="J46" s="227">
        <f t="shared" si="1"/>
        <v>0.6724232456140351</v>
      </c>
      <c r="K46" s="229">
        <f>IFERROR(VLOOKUP($B46,MMWR_TRAD_AGG_RO_COMP[],K$1,0),"ERROR")</f>
        <v>526</v>
      </c>
      <c r="L46" s="230">
        <f>IFERROR(VLOOKUP($B46,MMWR_TRAD_AGG_RO_COMP[],L$1,0),"ERROR")</f>
        <v>473</v>
      </c>
      <c r="M46" s="227">
        <f t="shared" si="2"/>
        <v>0.89923954372623571</v>
      </c>
      <c r="N46" s="229">
        <f>IFERROR(VLOOKUP($B46,MMWR_TRAD_AGG_RO_COMP[],N$1,0),"ERROR")</f>
        <v>731</v>
      </c>
      <c r="O46" s="230">
        <f>IFERROR(VLOOKUP($B46,MMWR_TRAD_AGG_RO_COMP[],O$1,0),"ERROR")</f>
        <v>419</v>
      </c>
      <c r="P46" s="227">
        <f t="shared" si="3"/>
        <v>0.573187414500684</v>
      </c>
      <c r="Q46" s="231">
        <f>IFERROR(VLOOKUP($B46,MMWR_TRAD_AGG_RO_COMP[],Q$1,0),"ERROR")</f>
        <v>2</v>
      </c>
      <c r="R46" s="231">
        <f>IFERROR(VLOOKUP($B46,MMWR_TRAD_AGG_RO_COMP[],R$1,0),"ERROR")</f>
        <v>317</v>
      </c>
      <c r="S46" s="205">
        <f>IFERROR(VLOOKUP($B46,MMWR_APP_RO[],S$1,0),"ERROR")</f>
        <v>5732</v>
      </c>
      <c r="T46" s="28"/>
    </row>
    <row r="47" spans="1:20" x14ac:dyDescent="0.2">
      <c r="A47" s="28"/>
      <c r="B47" s="109" t="s">
        <v>73</v>
      </c>
      <c r="C47" s="223">
        <f>IFERROR(VLOOKUP($B47,MMWR_TRAD_AGG_RO_COMP[],C$1,0),"ERROR")</f>
        <v>8319</v>
      </c>
      <c r="D47" s="224">
        <f>IFERROR(VLOOKUP($B47,MMWR_TRAD_AGG_RO_COMP[],D$1,0),"ERROR")</f>
        <v>242.88243779300001</v>
      </c>
      <c r="E47" s="225">
        <f>IFERROR(VLOOKUP($B47,MMWR_TRAD_AGG_RO_COMP[],E$1,0),"ERROR")</f>
        <v>5079</v>
      </c>
      <c r="F47" s="226">
        <f>IFERROR(VLOOKUP($B47,MMWR_TRAD_AGG_RO_COMP[],F$1,0),"ERROR")</f>
        <v>943</v>
      </c>
      <c r="G47" s="227">
        <f t="shared" si="0"/>
        <v>0.18566646977751525</v>
      </c>
      <c r="H47" s="228">
        <f>IFERROR(VLOOKUP($B47,MMWR_TRAD_AGG_RO_COMP[],H$1,0),"ERROR")</f>
        <v>16301</v>
      </c>
      <c r="I47" s="226">
        <f>IFERROR(VLOOKUP($B47,MMWR_TRAD_AGG_RO_COMP[],I$1,0),"ERROR")</f>
        <v>7614</v>
      </c>
      <c r="J47" s="227">
        <f t="shared" si="1"/>
        <v>0.46708790871725658</v>
      </c>
      <c r="K47" s="229">
        <f>IFERROR(VLOOKUP($B47,MMWR_TRAD_AGG_RO_COMP[],K$1,0),"ERROR")</f>
        <v>972</v>
      </c>
      <c r="L47" s="230">
        <f>IFERROR(VLOOKUP($B47,MMWR_TRAD_AGG_RO_COMP[],L$1,0),"ERROR")</f>
        <v>560</v>
      </c>
      <c r="M47" s="227">
        <f t="shared" si="2"/>
        <v>0.5761316872427984</v>
      </c>
      <c r="N47" s="229">
        <f>IFERROR(VLOOKUP($B47,MMWR_TRAD_AGG_RO_COMP[],N$1,0),"ERROR")</f>
        <v>145</v>
      </c>
      <c r="O47" s="230">
        <f>IFERROR(VLOOKUP($B47,MMWR_TRAD_AGG_RO_COMP[],O$1,0),"ERROR")</f>
        <v>66</v>
      </c>
      <c r="P47" s="227">
        <f t="shared" si="3"/>
        <v>0.45517241379310347</v>
      </c>
      <c r="Q47" s="231">
        <f>IFERROR(VLOOKUP($B47,MMWR_TRAD_AGG_RO_COMP[],Q$1,0),"ERROR")</f>
        <v>0</v>
      </c>
      <c r="R47" s="231">
        <f>IFERROR(VLOOKUP($B47,MMWR_TRAD_AGG_RO_COMP[],R$1,0),"ERROR")</f>
        <v>5</v>
      </c>
      <c r="S47" s="205">
        <f>IFERROR(VLOOKUP($B47,MMWR_APP_RO[],S$1,0),"ERROR")</f>
        <v>433</v>
      </c>
      <c r="T47" s="28"/>
    </row>
    <row r="48" spans="1:20" x14ac:dyDescent="0.2">
      <c r="A48" s="28"/>
      <c r="B48" s="117" t="s">
        <v>82</v>
      </c>
      <c r="C48" s="232">
        <f>IFERROR(VLOOKUP($B48,MMWR_TRAD_AGG_RO_COMP[],C$1,0),"ERROR")</f>
        <v>13401</v>
      </c>
      <c r="D48" s="233">
        <f>IFERROR(VLOOKUP($B48,MMWR_TRAD_AGG_RO_COMP[],D$1,0),"ERROR")</f>
        <v>308.009551526</v>
      </c>
      <c r="E48" s="234">
        <f>IFERROR(VLOOKUP($B48,MMWR_TRAD_AGG_RO_COMP[],E$1,0),"ERROR")</f>
        <v>18023</v>
      </c>
      <c r="F48" s="235">
        <f>IFERROR(VLOOKUP($B48,MMWR_TRAD_AGG_RO_COMP[],F$1,0),"ERROR")</f>
        <v>6233</v>
      </c>
      <c r="G48" s="236">
        <f t="shared" si="0"/>
        <v>0.34583587638018087</v>
      </c>
      <c r="H48" s="237">
        <f>IFERROR(VLOOKUP($B48,MMWR_TRAD_AGG_RO_COMP[],H$1,0),"ERROR")</f>
        <v>16075</v>
      </c>
      <c r="I48" s="235">
        <f>IFERROR(VLOOKUP($B48,MMWR_TRAD_AGG_RO_COMP[],I$1,0),"ERROR")</f>
        <v>9610</v>
      </c>
      <c r="J48" s="236">
        <f t="shared" si="1"/>
        <v>0.59782270606531884</v>
      </c>
      <c r="K48" s="238">
        <f>IFERROR(VLOOKUP($B48,MMWR_TRAD_AGG_RO_COMP[],K$1,0),"ERROR")</f>
        <v>1405</v>
      </c>
      <c r="L48" s="239">
        <f>IFERROR(VLOOKUP($B48,MMWR_TRAD_AGG_RO_COMP[],L$1,0),"ERROR")</f>
        <v>1080</v>
      </c>
      <c r="M48" s="236">
        <f t="shared" si="2"/>
        <v>0.76868327402135228</v>
      </c>
      <c r="N48" s="238">
        <f>IFERROR(VLOOKUP($B48,MMWR_TRAD_AGG_RO_COMP[],N$1,0),"ERROR")</f>
        <v>2908</v>
      </c>
      <c r="O48" s="239">
        <f>IFERROR(VLOOKUP($B48,MMWR_TRAD_AGG_RO_COMP[],O$1,0),"ERROR")</f>
        <v>1465</v>
      </c>
      <c r="P48" s="236">
        <f t="shared" si="3"/>
        <v>0.50378266850068776</v>
      </c>
      <c r="Q48" s="240">
        <f>IFERROR(VLOOKUP($B48,MMWR_TRAD_AGG_RO_COMP[],Q$1,0),"ERROR")</f>
        <v>2</v>
      </c>
      <c r="R48" s="240">
        <f>IFERROR(VLOOKUP($B48,MMWR_TRAD_AGG_RO_COMP[],R$1,0),"ERROR")</f>
        <v>225</v>
      </c>
      <c r="S48" s="205">
        <f>IFERROR(VLOOKUP($B48,MMWR_APP_RO[],S$1,0),"ERROR")</f>
        <v>18944</v>
      </c>
      <c r="T48" s="28"/>
    </row>
    <row r="49" spans="1:20" x14ac:dyDescent="0.2">
      <c r="A49" s="28"/>
      <c r="B49" s="102" t="s">
        <v>414</v>
      </c>
      <c r="C49" s="216">
        <f>IFERROR(VLOOKUP($B49,MMWR_TRAD_AGG_DISTRICT_COMP[],C$1,0),"ERROR")</f>
        <v>69647</v>
      </c>
      <c r="D49" s="201">
        <f>IFERROR(VLOOKUP($B49,MMWR_TRAD_AGG_DISTRICT_COMP[],D$1,0),"ERROR")</f>
        <v>368.54078424049999</v>
      </c>
      <c r="E49" s="217">
        <f>IFERROR(VLOOKUP($B49,MMWR_TRAD_AGG_DISTRICT_COMP[],E$1,0),"ERROR")</f>
        <v>67034</v>
      </c>
      <c r="F49" s="222">
        <f>IFERROR(VLOOKUP($B49,MMWR_TRAD_AGG_DISTRICT_COMP[],F$1,0),"ERROR")</f>
        <v>21806</v>
      </c>
      <c r="G49" s="218">
        <f t="shared" si="0"/>
        <v>0.32529761016797448</v>
      </c>
      <c r="H49" s="222">
        <f>IFERROR(VLOOKUP($B49,MMWR_TRAD_AGG_DISTRICT_COMP[],H$1,0),"ERROR")</f>
        <v>94936</v>
      </c>
      <c r="I49" s="222">
        <f>IFERROR(VLOOKUP($B49,MMWR_TRAD_AGG_DISTRICT_COMP[],I$1,0),"ERROR")</f>
        <v>60353</v>
      </c>
      <c r="J49" s="218">
        <f t="shared" si="1"/>
        <v>0.63572301339850001</v>
      </c>
      <c r="K49" s="216">
        <f>IFERROR(VLOOKUP($B49,MMWR_TRAD_AGG_DISTRICT_COMP[],K$1,0),"ERROR")</f>
        <v>17961</v>
      </c>
      <c r="L49" s="216">
        <f>IFERROR(VLOOKUP($B49,MMWR_TRAD_AGG_DISTRICT_COMP[],L$1,0),"ERROR")</f>
        <v>15229</v>
      </c>
      <c r="M49" s="218">
        <f t="shared" si="2"/>
        <v>0.84789265631089583</v>
      </c>
      <c r="N49" s="216">
        <f>IFERROR(VLOOKUP($B49,MMWR_TRAD_AGG_DISTRICT_COMP[],N$1,0),"ERROR")</f>
        <v>24701</v>
      </c>
      <c r="O49" s="216">
        <f>IFERROR(VLOOKUP($B49,MMWR_TRAD_AGG_DISTRICT_COMP[],O$1,0),"ERROR")</f>
        <v>18649</v>
      </c>
      <c r="P49" s="218">
        <f t="shared" si="3"/>
        <v>0.75498967653131455</v>
      </c>
      <c r="Q49" s="216">
        <f>IFERROR(VLOOKUP($B49,MMWR_TRAD_AGG_DISTRICT_COMP[],Q$1,0),"ERROR")</f>
        <v>352</v>
      </c>
      <c r="R49" s="219">
        <f>IFERROR(VLOOKUP($B49,MMWR_TRAD_AGG_DISTRICT_COMP[],R$1,0),"ERROR")</f>
        <v>696</v>
      </c>
      <c r="S49" s="219">
        <f>IFERROR(VLOOKUP($B49,MMWR_APP_RO[],S$1,0),"ERROR")</f>
        <v>41605</v>
      </c>
      <c r="T49" s="28"/>
    </row>
    <row r="50" spans="1:20" x14ac:dyDescent="0.2">
      <c r="A50" s="28"/>
      <c r="B50" s="109" t="s">
        <v>34</v>
      </c>
      <c r="C50" s="223">
        <f>IFERROR(VLOOKUP($B50,MMWR_TRAD_AGG_RO_COMP[],C$1,0),"ERROR")</f>
        <v>1413</v>
      </c>
      <c r="D50" s="224">
        <f>IFERROR(VLOOKUP($B50,MMWR_TRAD_AGG_RO_COMP[],D$1,0),"ERROR")</f>
        <v>142.30856334040001</v>
      </c>
      <c r="E50" s="225">
        <f>IFERROR(VLOOKUP($B50,MMWR_TRAD_AGG_RO_COMP[],E$1,0),"ERROR")</f>
        <v>3035</v>
      </c>
      <c r="F50" s="226">
        <f>IFERROR(VLOOKUP($B50,MMWR_TRAD_AGG_RO_COMP[],F$1,0),"ERROR")</f>
        <v>1032</v>
      </c>
      <c r="G50" s="227">
        <f t="shared" si="0"/>
        <v>0.34003294892915981</v>
      </c>
      <c r="H50" s="228">
        <f>IFERROR(VLOOKUP($B50,MMWR_TRAD_AGG_RO_COMP[],H$1,0),"ERROR")</f>
        <v>2072</v>
      </c>
      <c r="I50" s="226">
        <f>IFERROR(VLOOKUP($B50,MMWR_TRAD_AGG_RO_COMP[],I$1,0),"ERROR")</f>
        <v>761</v>
      </c>
      <c r="J50" s="227">
        <f t="shared" si="1"/>
        <v>0.36727799227799229</v>
      </c>
      <c r="K50" s="229">
        <f>IFERROR(VLOOKUP($B50,MMWR_TRAD_AGG_RO_COMP[],K$1,0),"ERROR")</f>
        <v>186</v>
      </c>
      <c r="L50" s="230">
        <f>IFERROR(VLOOKUP($B50,MMWR_TRAD_AGG_RO_COMP[],L$1,0),"ERROR")</f>
        <v>98</v>
      </c>
      <c r="M50" s="227">
        <f t="shared" si="2"/>
        <v>0.5268817204301075</v>
      </c>
      <c r="N50" s="229">
        <f>IFERROR(VLOOKUP($B50,MMWR_TRAD_AGG_RO_COMP[],N$1,0),"ERROR")</f>
        <v>434</v>
      </c>
      <c r="O50" s="230">
        <f>IFERROR(VLOOKUP($B50,MMWR_TRAD_AGG_RO_COMP[],O$1,0),"ERROR")</f>
        <v>264</v>
      </c>
      <c r="P50" s="227">
        <f t="shared" si="3"/>
        <v>0.60829493087557607</v>
      </c>
      <c r="Q50" s="231">
        <f>IFERROR(VLOOKUP($B50,MMWR_TRAD_AGG_RO_COMP[],Q$1,0),"ERROR")</f>
        <v>0</v>
      </c>
      <c r="R50" s="231">
        <f>IFERROR(VLOOKUP($B50,MMWR_TRAD_AGG_RO_COMP[],R$1,0),"ERROR")</f>
        <v>17</v>
      </c>
      <c r="S50" s="205">
        <f>IFERROR(VLOOKUP($B50,MMWR_APP_RO[],S$1,0),"ERROR")</f>
        <v>1759</v>
      </c>
      <c r="T50" s="28"/>
    </row>
    <row r="51" spans="1:20" x14ac:dyDescent="0.2">
      <c r="A51" s="28"/>
      <c r="B51" s="109" t="s">
        <v>35</v>
      </c>
      <c r="C51" s="223">
        <f>IFERROR(VLOOKUP($B51,MMWR_TRAD_AGG_RO_COMP[],C$1,0),"ERROR")</f>
        <v>2357</v>
      </c>
      <c r="D51" s="224">
        <f>IFERROR(VLOOKUP($B51,MMWR_TRAD_AGG_RO_COMP[],D$1,0),"ERROR")</f>
        <v>497.40644887569999</v>
      </c>
      <c r="E51" s="225">
        <f>IFERROR(VLOOKUP($B51,MMWR_TRAD_AGG_RO_COMP[],E$1,0),"ERROR")</f>
        <v>951</v>
      </c>
      <c r="F51" s="226">
        <f>IFERROR(VLOOKUP($B51,MMWR_TRAD_AGG_RO_COMP[],F$1,0),"ERROR")</f>
        <v>166</v>
      </c>
      <c r="G51" s="227">
        <f t="shared" si="0"/>
        <v>0.17455310199789695</v>
      </c>
      <c r="H51" s="228">
        <f>IFERROR(VLOOKUP($B51,MMWR_TRAD_AGG_RO_COMP[],H$1,0),"ERROR")</f>
        <v>2967</v>
      </c>
      <c r="I51" s="226">
        <f>IFERROR(VLOOKUP($B51,MMWR_TRAD_AGG_RO_COMP[],I$1,0),"ERROR")</f>
        <v>2196</v>
      </c>
      <c r="J51" s="227">
        <f t="shared" si="1"/>
        <v>0.74014155712841256</v>
      </c>
      <c r="K51" s="229">
        <f>IFERROR(VLOOKUP($B51,MMWR_TRAD_AGG_RO_COMP[],K$1,0),"ERROR")</f>
        <v>1910</v>
      </c>
      <c r="L51" s="230">
        <f>IFERROR(VLOOKUP($B51,MMWR_TRAD_AGG_RO_COMP[],L$1,0),"ERROR")</f>
        <v>1732</v>
      </c>
      <c r="M51" s="227">
        <f t="shared" si="2"/>
        <v>0.90680628272251307</v>
      </c>
      <c r="N51" s="229">
        <f>IFERROR(VLOOKUP($B51,MMWR_TRAD_AGG_RO_COMP[],N$1,0),"ERROR")</f>
        <v>108</v>
      </c>
      <c r="O51" s="230">
        <f>IFERROR(VLOOKUP($B51,MMWR_TRAD_AGG_RO_COMP[],O$1,0),"ERROR")</f>
        <v>89</v>
      </c>
      <c r="P51" s="227">
        <f t="shared" si="3"/>
        <v>0.82407407407407407</v>
      </c>
      <c r="Q51" s="231">
        <f>IFERROR(VLOOKUP($B51,MMWR_TRAD_AGG_RO_COMP[],Q$1,0),"ERROR")</f>
        <v>0</v>
      </c>
      <c r="R51" s="231">
        <f>IFERROR(VLOOKUP($B51,MMWR_TRAD_AGG_RO_COMP[],R$1,0),"ERROR")</f>
        <v>2</v>
      </c>
      <c r="S51" s="205">
        <f>IFERROR(VLOOKUP($B51,MMWR_APP_RO[],S$1,0),"ERROR")</f>
        <v>273</v>
      </c>
      <c r="T51" s="28"/>
    </row>
    <row r="52" spans="1:20" x14ac:dyDescent="0.2">
      <c r="A52" s="28"/>
      <c r="B52" s="109" t="s">
        <v>37</v>
      </c>
      <c r="C52" s="223">
        <f>IFERROR(VLOOKUP($B52,MMWR_TRAD_AGG_RO_COMP[],C$1,0),"ERROR")</f>
        <v>422</v>
      </c>
      <c r="D52" s="224">
        <f>IFERROR(VLOOKUP($B52,MMWR_TRAD_AGG_RO_COMP[],D$1,0),"ERROR")</f>
        <v>98.587677725099994</v>
      </c>
      <c r="E52" s="225">
        <f>IFERROR(VLOOKUP($B52,MMWR_TRAD_AGG_RO_COMP[],E$1,0),"ERROR")</f>
        <v>1510</v>
      </c>
      <c r="F52" s="226">
        <f>IFERROR(VLOOKUP($B52,MMWR_TRAD_AGG_RO_COMP[],F$1,0),"ERROR")</f>
        <v>438</v>
      </c>
      <c r="G52" s="227">
        <f t="shared" si="0"/>
        <v>0.29006622516556291</v>
      </c>
      <c r="H52" s="228">
        <f>IFERROR(VLOOKUP($B52,MMWR_TRAD_AGG_RO_COMP[],H$1,0),"ERROR")</f>
        <v>1053</v>
      </c>
      <c r="I52" s="226">
        <f>IFERROR(VLOOKUP($B52,MMWR_TRAD_AGG_RO_COMP[],I$1,0),"ERROR")</f>
        <v>117</v>
      </c>
      <c r="J52" s="227">
        <f t="shared" si="1"/>
        <v>0.1111111111111111</v>
      </c>
      <c r="K52" s="229">
        <f>IFERROR(VLOOKUP($B52,MMWR_TRAD_AGG_RO_COMP[],K$1,0),"ERROR")</f>
        <v>152</v>
      </c>
      <c r="L52" s="230">
        <f>IFERROR(VLOOKUP($B52,MMWR_TRAD_AGG_RO_COMP[],L$1,0),"ERROR")</f>
        <v>62</v>
      </c>
      <c r="M52" s="227">
        <f t="shared" si="2"/>
        <v>0.40789473684210525</v>
      </c>
      <c r="N52" s="229">
        <f>IFERROR(VLOOKUP($B52,MMWR_TRAD_AGG_RO_COMP[],N$1,0),"ERROR")</f>
        <v>77</v>
      </c>
      <c r="O52" s="230">
        <f>IFERROR(VLOOKUP($B52,MMWR_TRAD_AGG_RO_COMP[],O$1,0),"ERROR")</f>
        <v>41</v>
      </c>
      <c r="P52" s="227">
        <f t="shared" si="3"/>
        <v>0.53246753246753242</v>
      </c>
      <c r="Q52" s="231">
        <f>IFERROR(VLOOKUP($B52,MMWR_TRAD_AGG_RO_COMP[],Q$1,0),"ERROR")</f>
        <v>1</v>
      </c>
      <c r="R52" s="231">
        <f>IFERROR(VLOOKUP($B52,MMWR_TRAD_AGG_RO_COMP[],R$1,0),"ERROR")</f>
        <v>10</v>
      </c>
      <c r="S52" s="205">
        <f>IFERROR(VLOOKUP($B52,MMWR_APP_RO[],S$1,0),"ERROR")</f>
        <v>965</v>
      </c>
      <c r="T52" s="28"/>
    </row>
    <row r="53" spans="1:20" x14ac:dyDescent="0.2">
      <c r="A53" s="28"/>
      <c r="B53" s="109" t="s">
        <v>48</v>
      </c>
      <c r="C53" s="223">
        <f>IFERROR(VLOOKUP($B53,MMWR_TRAD_AGG_RO_COMP[],C$1,0),"ERROR")</f>
        <v>2200</v>
      </c>
      <c r="D53" s="224">
        <f>IFERROR(VLOOKUP($B53,MMWR_TRAD_AGG_RO_COMP[],D$1,0),"ERROR")</f>
        <v>227.2159090909</v>
      </c>
      <c r="E53" s="225">
        <f>IFERROR(VLOOKUP($B53,MMWR_TRAD_AGG_RO_COMP[],E$1,0),"ERROR")</f>
        <v>2556</v>
      </c>
      <c r="F53" s="226">
        <f>IFERROR(VLOOKUP($B53,MMWR_TRAD_AGG_RO_COMP[],F$1,0),"ERROR")</f>
        <v>916</v>
      </c>
      <c r="G53" s="227">
        <f t="shared" si="0"/>
        <v>0.35837245696400627</v>
      </c>
      <c r="H53" s="228">
        <f>IFERROR(VLOOKUP($B53,MMWR_TRAD_AGG_RO_COMP[],H$1,0),"ERROR")</f>
        <v>2824</v>
      </c>
      <c r="I53" s="226">
        <f>IFERROR(VLOOKUP($B53,MMWR_TRAD_AGG_RO_COMP[],I$1,0),"ERROR")</f>
        <v>1496</v>
      </c>
      <c r="J53" s="227">
        <f t="shared" si="1"/>
        <v>0.52974504249291787</v>
      </c>
      <c r="K53" s="229">
        <f>IFERROR(VLOOKUP($B53,MMWR_TRAD_AGG_RO_COMP[],K$1,0),"ERROR")</f>
        <v>434</v>
      </c>
      <c r="L53" s="230">
        <f>IFERROR(VLOOKUP($B53,MMWR_TRAD_AGG_RO_COMP[],L$1,0),"ERROR")</f>
        <v>379</v>
      </c>
      <c r="M53" s="227">
        <f t="shared" si="2"/>
        <v>0.87327188940092171</v>
      </c>
      <c r="N53" s="229">
        <f>IFERROR(VLOOKUP($B53,MMWR_TRAD_AGG_RO_COMP[],N$1,0),"ERROR")</f>
        <v>434</v>
      </c>
      <c r="O53" s="230">
        <f>IFERROR(VLOOKUP($B53,MMWR_TRAD_AGG_RO_COMP[],O$1,0),"ERROR")</f>
        <v>269</v>
      </c>
      <c r="P53" s="227">
        <f t="shared" si="3"/>
        <v>0.61981566820276501</v>
      </c>
      <c r="Q53" s="231">
        <f>IFERROR(VLOOKUP($B53,MMWR_TRAD_AGG_RO_COMP[],Q$1,0),"ERROR")</f>
        <v>0</v>
      </c>
      <c r="R53" s="231">
        <f>IFERROR(VLOOKUP($B53,MMWR_TRAD_AGG_RO_COMP[],R$1,0),"ERROR")</f>
        <v>1</v>
      </c>
      <c r="S53" s="205">
        <f>IFERROR(VLOOKUP($B53,MMWR_APP_RO[],S$1,0),"ERROR")</f>
        <v>1171</v>
      </c>
      <c r="T53" s="28"/>
    </row>
    <row r="54" spans="1:20" x14ac:dyDescent="0.2">
      <c r="A54" s="28"/>
      <c r="B54" s="109" t="s">
        <v>55</v>
      </c>
      <c r="C54" s="223">
        <f>IFERROR(VLOOKUP($B54,MMWR_TRAD_AGG_RO_COMP[],C$1,0),"ERROR")</f>
        <v>7737</v>
      </c>
      <c r="D54" s="224">
        <f>IFERROR(VLOOKUP($B54,MMWR_TRAD_AGG_RO_COMP[],D$1,0),"ERROR")</f>
        <v>415.4360863384</v>
      </c>
      <c r="E54" s="225">
        <f>IFERROR(VLOOKUP($B54,MMWR_TRAD_AGG_RO_COMP[],E$1,0),"ERROR")</f>
        <v>10814</v>
      </c>
      <c r="F54" s="226">
        <f>IFERROR(VLOOKUP($B54,MMWR_TRAD_AGG_RO_COMP[],F$1,0),"ERROR")</f>
        <v>4268</v>
      </c>
      <c r="G54" s="227">
        <f t="shared" si="0"/>
        <v>0.39467357129646752</v>
      </c>
      <c r="H54" s="228">
        <f>IFERROR(VLOOKUP($B54,MMWR_TRAD_AGG_RO_COMP[],H$1,0),"ERROR")</f>
        <v>9298</v>
      </c>
      <c r="I54" s="226">
        <f>IFERROR(VLOOKUP($B54,MMWR_TRAD_AGG_RO_COMP[],I$1,0),"ERROR")</f>
        <v>6897</v>
      </c>
      <c r="J54" s="227">
        <f t="shared" si="1"/>
        <v>0.74177242417724243</v>
      </c>
      <c r="K54" s="229">
        <f>IFERROR(VLOOKUP($B54,MMWR_TRAD_AGG_RO_COMP[],K$1,0),"ERROR")</f>
        <v>1008</v>
      </c>
      <c r="L54" s="230">
        <f>IFERROR(VLOOKUP($B54,MMWR_TRAD_AGG_RO_COMP[],L$1,0),"ERROR")</f>
        <v>906</v>
      </c>
      <c r="M54" s="227">
        <f t="shared" si="2"/>
        <v>0.89880952380952384</v>
      </c>
      <c r="N54" s="229">
        <f>IFERROR(VLOOKUP($B54,MMWR_TRAD_AGG_RO_COMP[],N$1,0),"ERROR")</f>
        <v>5332</v>
      </c>
      <c r="O54" s="230">
        <f>IFERROR(VLOOKUP($B54,MMWR_TRAD_AGG_RO_COMP[],O$1,0),"ERROR")</f>
        <v>3756</v>
      </c>
      <c r="P54" s="227">
        <f t="shared" si="3"/>
        <v>0.70442610652663162</v>
      </c>
      <c r="Q54" s="231">
        <f>IFERROR(VLOOKUP($B54,MMWR_TRAD_AGG_RO_COMP[],Q$1,0),"ERROR")</f>
        <v>3</v>
      </c>
      <c r="R54" s="231">
        <f>IFERROR(VLOOKUP($B54,MMWR_TRAD_AGG_RO_COMP[],R$1,0),"ERROR")</f>
        <v>36</v>
      </c>
      <c r="S54" s="205">
        <f>IFERROR(VLOOKUP($B54,MMWR_APP_RO[],S$1,0),"ERROR")</f>
        <v>4508</v>
      </c>
      <c r="T54" s="28"/>
    </row>
    <row r="55" spans="1:20" x14ac:dyDescent="0.2">
      <c r="A55" s="28"/>
      <c r="B55" s="109" t="s">
        <v>58</v>
      </c>
      <c r="C55" s="223">
        <f>IFERROR(VLOOKUP($B55,MMWR_TRAD_AGG_RO_COMP[],C$1,0),"ERROR")</f>
        <v>688</v>
      </c>
      <c r="D55" s="224">
        <f>IFERROR(VLOOKUP($B55,MMWR_TRAD_AGG_RO_COMP[],D$1,0),"ERROR")</f>
        <v>157.3183139535</v>
      </c>
      <c r="E55" s="225">
        <f>IFERROR(VLOOKUP($B55,MMWR_TRAD_AGG_RO_COMP[],E$1,0),"ERROR")</f>
        <v>1109</v>
      </c>
      <c r="F55" s="226">
        <f>IFERROR(VLOOKUP($B55,MMWR_TRAD_AGG_RO_COMP[],F$1,0),"ERROR")</f>
        <v>438</v>
      </c>
      <c r="G55" s="227">
        <f t="shared" si="0"/>
        <v>0.39495040577096485</v>
      </c>
      <c r="H55" s="228">
        <f>IFERROR(VLOOKUP($B55,MMWR_TRAD_AGG_RO_COMP[],H$1,0),"ERROR")</f>
        <v>901</v>
      </c>
      <c r="I55" s="226">
        <f>IFERROR(VLOOKUP($B55,MMWR_TRAD_AGG_RO_COMP[],I$1,0),"ERROR")</f>
        <v>380</v>
      </c>
      <c r="J55" s="227">
        <f t="shared" si="1"/>
        <v>0.42175360710321863</v>
      </c>
      <c r="K55" s="229">
        <f>IFERROR(VLOOKUP($B55,MMWR_TRAD_AGG_RO_COMP[],K$1,0),"ERROR")</f>
        <v>182</v>
      </c>
      <c r="L55" s="230">
        <f>IFERROR(VLOOKUP($B55,MMWR_TRAD_AGG_RO_COMP[],L$1,0),"ERROR")</f>
        <v>133</v>
      </c>
      <c r="M55" s="227">
        <f t="shared" si="2"/>
        <v>0.73076923076923073</v>
      </c>
      <c r="N55" s="229">
        <f>IFERROR(VLOOKUP($B55,MMWR_TRAD_AGG_RO_COMP[],N$1,0),"ERROR")</f>
        <v>569</v>
      </c>
      <c r="O55" s="230">
        <f>IFERROR(VLOOKUP($B55,MMWR_TRAD_AGG_RO_COMP[],O$1,0),"ERROR")</f>
        <v>424</v>
      </c>
      <c r="P55" s="227">
        <f t="shared" si="3"/>
        <v>0.74516695957820733</v>
      </c>
      <c r="Q55" s="231">
        <f>IFERROR(VLOOKUP($B55,MMWR_TRAD_AGG_RO_COMP[],Q$1,0),"ERROR")</f>
        <v>348</v>
      </c>
      <c r="R55" s="231">
        <f>IFERROR(VLOOKUP($B55,MMWR_TRAD_AGG_RO_COMP[],R$1,0),"ERROR")</f>
        <v>127</v>
      </c>
      <c r="S55" s="205">
        <f>IFERROR(VLOOKUP($B55,MMWR_APP_RO[],S$1,0),"ERROR")</f>
        <v>1036</v>
      </c>
      <c r="T55" s="28"/>
    </row>
    <row r="56" spans="1:20" x14ac:dyDescent="0.2">
      <c r="A56" s="28"/>
      <c r="B56" s="109" t="s">
        <v>65</v>
      </c>
      <c r="C56" s="223">
        <f>IFERROR(VLOOKUP($B56,MMWR_TRAD_AGG_RO_COMP[],C$1,0),"ERROR")</f>
        <v>10492</v>
      </c>
      <c r="D56" s="224">
        <f>IFERROR(VLOOKUP($B56,MMWR_TRAD_AGG_RO_COMP[],D$1,0),"ERROR")</f>
        <v>417.92289363319998</v>
      </c>
      <c r="E56" s="225">
        <f>IFERROR(VLOOKUP($B56,MMWR_TRAD_AGG_RO_COMP[],E$1,0),"ERROR")</f>
        <v>11768</v>
      </c>
      <c r="F56" s="226">
        <f>IFERROR(VLOOKUP($B56,MMWR_TRAD_AGG_RO_COMP[],F$1,0),"ERROR")</f>
        <v>4252</v>
      </c>
      <c r="G56" s="227">
        <f t="shared" si="0"/>
        <v>0.36131883072739635</v>
      </c>
      <c r="H56" s="228">
        <f>IFERROR(VLOOKUP($B56,MMWR_TRAD_AGG_RO_COMP[],H$1,0),"ERROR")</f>
        <v>14094</v>
      </c>
      <c r="I56" s="226">
        <f>IFERROR(VLOOKUP($B56,MMWR_TRAD_AGG_RO_COMP[],I$1,0),"ERROR")</f>
        <v>10926</v>
      </c>
      <c r="J56" s="227">
        <f t="shared" si="1"/>
        <v>0.77522349936143042</v>
      </c>
      <c r="K56" s="229">
        <f>IFERROR(VLOOKUP($B56,MMWR_TRAD_AGG_RO_COMP[],K$1,0),"ERROR")</f>
        <v>3740</v>
      </c>
      <c r="L56" s="230">
        <f>IFERROR(VLOOKUP($B56,MMWR_TRAD_AGG_RO_COMP[],L$1,0),"ERROR")</f>
        <v>3110</v>
      </c>
      <c r="M56" s="227">
        <f t="shared" si="2"/>
        <v>0.83155080213903743</v>
      </c>
      <c r="N56" s="229">
        <f>IFERROR(VLOOKUP($B56,MMWR_TRAD_AGG_RO_COMP[],N$1,0),"ERROR")</f>
        <v>3937</v>
      </c>
      <c r="O56" s="230">
        <f>IFERROR(VLOOKUP($B56,MMWR_TRAD_AGG_RO_COMP[],O$1,0),"ERROR")</f>
        <v>3268</v>
      </c>
      <c r="P56" s="227">
        <f t="shared" si="3"/>
        <v>0.83007366014732031</v>
      </c>
      <c r="Q56" s="231">
        <f>IFERROR(VLOOKUP($B56,MMWR_TRAD_AGG_RO_COMP[],Q$1,0),"ERROR")</f>
        <v>0</v>
      </c>
      <c r="R56" s="231">
        <f>IFERROR(VLOOKUP($B56,MMWR_TRAD_AGG_RO_COMP[],R$1,0),"ERROR")</f>
        <v>43</v>
      </c>
      <c r="S56" s="205">
        <f>IFERROR(VLOOKUP($B56,MMWR_APP_RO[],S$1,0),"ERROR")</f>
        <v>8630</v>
      </c>
      <c r="T56" s="28"/>
    </row>
    <row r="57" spans="1:20" x14ac:dyDescent="0.2">
      <c r="A57" s="28"/>
      <c r="B57" s="109" t="s">
        <v>67</v>
      </c>
      <c r="C57" s="223">
        <f>IFERROR(VLOOKUP($B57,MMWR_TRAD_AGG_RO_COMP[],C$1,0),"ERROR")</f>
        <v>6278</v>
      </c>
      <c r="D57" s="224">
        <f>IFERROR(VLOOKUP($B57,MMWR_TRAD_AGG_RO_COMP[],D$1,0),"ERROR")</f>
        <v>273.24052245939998</v>
      </c>
      <c r="E57" s="225">
        <f>IFERROR(VLOOKUP($B57,MMWR_TRAD_AGG_RO_COMP[],E$1,0),"ERROR")</f>
        <v>5410</v>
      </c>
      <c r="F57" s="226">
        <f>IFERROR(VLOOKUP($B57,MMWR_TRAD_AGG_RO_COMP[],F$1,0),"ERROR")</f>
        <v>1699</v>
      </c>
      <c r="G57" s="227">
        <f t="shared" si="0"/>
        <v>0.31404805914972272</v>
      </c>
      <c r="H57" s="228">
        <f>IFERROR(VLOOKUP($B57,MMWR_TRAD_AGG_RO_COMP[],H$1,0),"ERROR")</f>
        <v>7511</v>
      </c>
      <c r="I57" s="226">
        <f>IFERROR(VLOOKUP($B57,MMWR_TRAD_AGG_RO_COMP[],I$1,0),"ERROR")</f>
        <v>4345</v>
      </c>
      <c r="J57" s="227">
        <f t="shared" si="1"/>
        <v>0.57848488882971638</v>
      </c>
      <c r="K57" s="229">
        <f>IFERROR(VLOOKUP($B57,MMWR_TRAD_AGG_RO_COMP[],K$1,0),"ERROR")</f>
        <v>247</v>
      </c>
      <c r="L57" s="230">
        <f>IFERROR(VLOOKUP($B57,MMWR_TRAD_AGG_RO_COMP[],L$1,0),"ERROR")</f>
        <v>198</v>
      </c>
      <c r="M57" s="227">
        <f t="shared" si="2"/>
        <v>0.80161943319838058</v>
      </c>
      <c r="N57" s="229">
        <f>IFERROR(VLOOKUP($B57,MMWR_TRAD_AGG_RO_COMP[],N$1,0),"ERROR")</f>
        <v>2981</v>
      </c>
      <c r="O57" s="230">
        <f>IFERROR(VLOOKUP($B57,MMWR_TRAD_AGG_RO_COMP[],O$1,0),"ERROR")</f>
        <v>2437</v>
      </c>
      <c r="P57" s="227">
        <f t="shared" si="3"/>
        <v>0.81751090238175106</v>
      </c>
      <c r="Q57" s="231">
        <f>IFERROR(VLOOKUP($B57,MMWR_TRAD_AGG_RO_COMP[],Q$1,0),"ERROR")</f>
        <v>0</v>
      </c>
      <c r="R57" s="231">
        <f>IFERROR(VLOOKUP($B57,MMWR_TRAD_AGG_RO_COMP[],R$1,0),"ERROR")</f>
        <v>67</v>
      </c>
      <c r="S57" s="205">
        <f>IFERROR(VLOOKUP($B57,MMWR_APP_RO[],S$1,0),"ERROR")</f>
        <v>6936</v>
      </c>
      <c r="T57" s="28"/>
    </row>
    <row r="58" spans="1:20" x14ac:dyDescent="0.2">
      <c r="A58" s="28"/>
      <c r="B58" s="109" t="s">
        <v>69</v>
      </c>
      <c r="C58" s="223">
        <f>IFERROR(VLOOKUP($B58,MMWR_TRAD_AGG_RO_COMP[],C$1,0),"ERROR")</f>
        <v>9030</v>
      </c>
      <c r="D58" s="224">
        <f>IFERROR(VLOOKUP($B58,MMWR_TRAD_AGG_RO_COMP[],D$1,0),"ERROR")</f>
        <v>394.1574750831</v>
      </c>
      <c r="E58" s="225">
        <f>IFERROR(VLOOKUP($B58,MMWR_TRAD_AGG_RO_COMP[],E$1,0),"ERROR")</f>
        <v>5618</v>
      </c>
      <c r="F58" s="226">
        <f>IFERROR(VLOOKUP($B58,MMWR_TRAD_AGG_RO_COMP[],F$1,0),"ERROR")</f>
        <v>2111</v>
      </c>
      <c r="G58" s="227">
        <f t="shared" si="0"/>
        <v>0.37575649697401209</v>
      </c>
      <c r="H58" s="228">
        <f>IFERROR(VLOOKUP($B58,MMWR_TRAD_AGG_RO_COMP[],H$1,0),"ERROR")</f>
        <v>11201</v>
      </c>
      <c r="I58" s="226">
        <f>IFERROR(VLOOKUP($B58,MMWR_TRAD_AGG_RO_COMP[],I$1,0),"ERROR")</f>
        <v>7534</v>
      </c>
      <c r="J58" s="227">
        <f t="shared" si="1"/>
        <v>0.67261851620391033</v>
      </c>
      <c r="K58" s="229">
        <f>IFERROR(VLOOKUP($B58,MMWR_TRAD_AGG_RO_COMP[],K$1,0),"ERROR")</f>
        <v>3773</v>
      </c>
      <c r="L58" s="230">
        <f>IFERROR(VLOOKUP($B58,MMWR_TRAD_AGG_RO_COMP[],L$1,0),"ERROR")</f>
        <v>3256</v>
      </c>
      <c r="M58" s="227">
        <f t="shared" si="2"/>
        <v>0.86297376093294464</v>
      </c>
      <c r="N58" s="229">
        <f>IFERROR(VLOOKUP($B58,MMWR_TRAD_AGG_RO_COMP[],N$1,0),"ERROR")</f>
        <v>1270</v>
      </c>
      <c r="O58" s="230">
        <f>IFERROR(VLOOKUP($B58,MMWR_TRAD_AGG_RO_COMP[],O$1,0),"ERROR")</f>
        <v>708</v>
      </c>
      <c r="P58" s="227">
        <f t="shared" si="3"/>
        <v>0.55748031496062989</v>
      </c>
      <c r="Q58" s="231">
        <f>IFERROR(VLOOKUP($B58,MMWR_TRAD_AGG_RO_COMP[],Q$1,0),"ERROR")</f>
        <v>0</v>
      </c>
      <c r="R58" s="231">
        <f>IFERROR(VLOOKUP($B58,MMWR_TRAD_AGG_RO_COMP[],R$1,0),"ERROR")</f>
        <v>76</v>
      </c>
      <c r="S58" s="205">
        <f>IFERROR(VLOOKUP($B58,MMWR_APP_RO[],S$1,0),"ERROR")</f>
        <v>5276</v>
      </c>
      <c r="T58" s="28"/>
    </row>
    <row r="59" spans="1:20" x14ac:dyDescent="0.2">
      <c r="A59" s="28"/>
      <c r="B59" s="109" t="s">
        <v>71</v>
      </c>
      <c r="C59" s="223">
        <f>IFERROR(VLOOKUP($B59,MMWR_TRAD_AGG_RO_COMP[],C$1,0),"ERROR")</f>
        <v>3649</v>
      </c>
      <c r="D59" s="224">
        <f>IFERROR(VLOOKUP($B59,MMWR_TRAD_AGG_RO_COMP[],D$1,0),"ERROR")</f>
        <v>481.45026034530002</v>
      </c>
      <c r="E59" s="225">
        <f>IFERROR(VLOOKUP($B59,MMWR_TRAD_AGG_RO_COMP[],E$1,0),"ERROR")</f>
        <v>3761</v>
      </c>
      <c r="F59" s="226">
        <f>IFERROR(VLOOKUP($B59,MMWR_TRAD_AGG_RO_COMP[],F$1,0),"ERROR")</f>
        <v>1343</v>
      </c>
      <c r="G59" s="227">
        <f t="shared" si="0"/>
        <v>0.35708588141451741</v>
      </c>
      <c r="H59" s="228">
        <f>IFERROR(VLOOKUP($B59,MMWR_TRAD_AGG_RO_COMP[],H$1,0),"ERROR")</f>
        <v>4506</v>
      </c>
      <c r="I59" s="226">
        <f>IFERROR(VLOOKUP($B59,MMWR_TRAD_AGG_RO_COMP[],I$1,0),"ERROR")</f>
        <v>3262</v>
      </c>
      <c r="J59" s="227">
        <f t="shared" si="1"/>
        <v>0.72392365734576125</v>
      </c>
      <c r="K59" s="229">
        <f>IFERROR(VLOOKUP($B59,MMWR_TRAD_AGG_RO_COMP[],K$1,0),"ERROR")</f>
        <v>374</v>
      </c>
      <c r="L59" s="230">
        <f>IFERROR(VLOOKUP($B59,MMWR_TRAD_AGG_RO_COMP[],L$1,0),"ERROR")</f>
        <v>340</v>
      </c>
      <c r="M59" s="227">
        <f t="shared" si="2"/>
        <v>0.90909090909090906</v>
      </c>
      <c r="N59" s="229">
        <f>IFERROR(VLOOKUP($B59,MMWR_TRAD_AGG_RO_COMP[],N$1,0),"ERROR")</f>
        <v>1165</v>
      </c>
      <c r="O59" s="230">
        <f>IFERROR(VLOOKUP($B59,MMWR_TRAD_AGG_RO_COMP[],O$1,0),"ERROR")</f>
        <v>767</v>
      </c>
      <c r="P59" s="227">
        <f t="shared" si="3"/>
        <v>0.65836909871244631</v>
      </c>
      <c r="Q59" s="231">
        <f>IFERROR(VLOOKUP($B59,MMWR_TRAD_AGG_RO_COMP[],Q$1,0),"ERROR")</f>
        <v>0</v>
      </c>
      <c r="R59" s="231">
        <f>IFERROR(VLOOKUP($B59,MMWR_TRAD_AGG_RO_COMP[],R$1,0),"ERROR")</f>
        <v>106</v>
      </c>
      <c r="S59" s="205">
        <f>IFERROR(VLOOKUP($B59,MMWR_APP_RO[],S$1,0),"ERROR")</f>
        <v>2568</v>
      </c>
      <c r="T59" s="28"/>
    </row>
    <row r="60" spans="1:20" x14ac:dyDescent="0.2">
      <c r="A60" s="28"/>
      <c r="B60" s="109" t="s">
        <v>74</v>
      </c>
      <c r="C60" s="223">
        <f>IFERROR(VLOOKUP($B60,MMWR_TRAD_AGG_RO_COMP[],C$1,0),"ERROR")</f>
        <v>9182</v>
      </c>
      <c r="D60" s="224">
        <f>IFERROR(VLOOKUP($B60,MMWR_TRAD_AGG_RO_COMP[],D$1,0),"ERROR")</f>
        <v>305.12045306030001</v>
      </c>
      <c r="E60" s="225">
        <f>IFERROR(VLOOKUP($B60,MMWR_TRAD_AGG_RO_COMP[],E$1,0),"ERROR")</f>
        <v>12197</v>
      </c>
      <c r="F60" s="226">
        <f>IFERROR(VLOOKUP($B60,MMWR_TRAD_AGG_RO_COMP[],F$1,0),"ERROR")</f>
        <v>2574</v>
      </c>
      <c r="G60" s="227">
        <f t="shared" si="0"/>
        <v>0.21103550053291792</v>
      </c>
      <c r="H60" s="228">
        <f>IFERROR(VLOOKUP($B60,MMWR_TRAD_AGG_RO_COMP[],H$1,0),"ERROR")</f>
        <v>16557</v>
      </c>
      <c r="I60" s="226">
        <f>IFERROR(VLOOKUP($B60,MMWR_TRAD_AGG_RO_COMP[],I$1,0),"ERROR")</f>
        <v>7226</v>
      </c>
      <c r="J60" s="227">
        <f t="shared" si="1"/>
        <v>0.43643172072235309</v>
      </c>
      <c r="K60" s="229">
        <f>IFERROR(VLOOKUP($B60,MMWR_TRAD_AGG_RO_COMP[],K$1,0),"ERROR")</f>
        <v>1776</v>
      </c>
      <c r="L60" s="230">
        <f>IFERROR(VLOOKUP($B60,MMWR_TRAD_AGG_RO_COMP[],L$1,0),"ERROR")</f>
        <v>1197</v>
      </c>
      <c r="M60" s="227">
        <f t="shared" si="2"/>
        <v>0.67398648648648651</v>
      </c>
      <c r="N60" s="229">
        <f>IFERROR(VLOOKUP($B60,MMWR_TRAD_AGG_RO_COMP[],N$1,0),"ERROR")</f>
        <v>1935</v>
      </c>
      <c r="O60" s="230">
        <f>IFERROR(VLOOKUP($B60,MMWR_TRAD_AGG_RO_COMP[],O$1,0),"ERROR")</f>
        <v>1362</v>
      </c>
      <c r="P60" s="227">
        <f t="shared" si="3"/>
        <v>0.70387596899224802</v>
      </c>
      <c r="Q60" s="231">
        <f>IFERROR(VLOOKUP($B60,MMWR_TRAD_AGG_RO_COMP[],Q$1,0),"ERROR")</f>
        <v>0</v>
      </c>
      <c r="R60" s="231">
        <f>IFERROR(VLOOKUP($B60,MMWR_TRAD_AGG_RO_COMP[],R$1,0),"ERROR")</f>
        <v>66</v>
      </c>
      <c r="S60" s="205">
        <f>IFERROR(VLOOKUP($B60,MMWR_APP_RO[],S$1,0),"ERROR")</f>
        <v>3978</v>
      </c>
      <c r="T60" s="28"/>
    </row>
    <row r="61" spans="1:20" x14ac:dyDescent="0.2">
      <c r="A61" s="28"/>
      <c r="B61" s="117" t="s">
        <v>76</v>
      </c>
      <c r="C61" s="232">
        <f>IFERROR(VLOOKUP($B61,MMWR_TRAD_AGG_RO_COMP[],C$1,0),"ERROR")</f>
        <v>16199</v>
      </c>
      <c r="D61" s="233">
        <f>IFERROR(VLOOKUP($B61,MMWR_TRAD_AGG_RO_COMP[],D$1,0),"ERROR")</f>
        <v>383.50682140869998</v>
      </c>
      <c r="E61" s="234">
        <f>IFERROR(VLOOKUP($B61,MMWR_TRAD_AGG_RO_COMP[],E$1,0),"ERROR")</f>
        <v>8305</v>
      </c>
      <c r="F61" s="235">
        <f>IFERROR(VLOOKUP($B61,MMWR_TRAD_AGG_RO_COMP[],F$1,0),"ERROR")</f>
        <v>2569</v>
      </c>
      <c r="G61" s="236">
        <f t="shared" si="0"/>
        <v>0.30933172787477425</v>
      </c>
      <c r="H61" s="237">
        <f>IFERROR(VLOOKUP($B61,MMWR_TRAD_AGG_RO_COMP[],H$1,0),"ERROR")</f>
        <v>21952</v>
      </c>
      <c r="I61" s="235">
        <f>IFERROR(VLOOKUP($B61,MMWR_TRAD_AGG_RO_COMP[],I$1,0),"ERROR")</f>
        <v>15213</v>
      </c>
      <c r="J61" s="236">
        <f t="shared" si="1"/>
        <v>0.6930120262390671</v>
      </c>
      <c r="K61" s="238">
        <f>IFERROR(VLOOKUP($B61,MMWR_TRAD_AGG_RO_COMP[],K$1,0),"ERROR")</f>
        <v>4179</v>
      </c>
      <c r="L61" s="239">
        <f>IFERROR(VLOOKUP($B61,MMWR_TRAD_AGG_RO_COMP[],L$1,0),"ERROR")</f>
        <v>3818</v>
      </c>
      <c r="M61" s="236">
        <f t="shared" si="2"/>
        <v>0.91361569753529548</v>
      </c>
      <c r="N61" s="238">
        <f>IFERROR(VLOOKUP($B61,MMWR_TRAD_AGG_RO_COMP[],N$1,0),"ERROR")</f>
        <v>6459</v>
      </c>
      <c r="O61" s="239">
        <f>IFERROR(VLOOKUP($B61,MMWR_TRAD_AGG_RO_COMP[],O$1,0),"ERROR")</f>
        <v>5264</v>
      </c>
      <c r="P61" s="236">
        <f t="shared" si="3"/>
        <v>0.81498684006812205</v>
      </c>
      <c r="Q61" s="240">
        <f>IFERROR(VLOOKUP($B61,MMWR_TRAD_AGG_RO_COMP[],Q$1,0),"ERROR")</f>
        <v>0</v>
      </c>
      <c r="R61" s="240">
        <f>IFERROR(VLOOKUP($B61,MMWR_TRAD_AGG_RO_COMP[],R$1,0),"ERROR")</f>
        <v>145</v>
      </c>
      <c r="S61" s="205">
        <f>IFERROR(VLOOKUP($B61,MMWR_APP_RO[],S$1,0),"ERROR")</f>
        <v>4505</v>
      </c>
      <c r="T61" s="28"/>
    </row>
    <row r="62" spans="1:20" x14ac:dyDescent="0.2">
      <c r="A62" s="28"/>
      <c r="B62" s="102" t="s">
        <v>390</v>
      </c>
      <c r="C62" s="216">
        <f>IFERROR(VLOOKUP($B62,MMWR_TRAD_AGG_DISTRICT_COMP[],C$1,0),"ERROR")</f>
        <v>69568</v>
      </c>
      <c r="D62" s="201">
        <f>IFERROR(VLOOKUP($B62,MMWR_TRAD_AGG_DISTRICT_COMP[],D$1,0),"ERROR")</f>
        <v>343.86355795769998</v>
      </c>
      <c r="E62" s="217">
        <f>IFERROR(VLOOKUP($B62,MMWR_TRAD_AGG_DISTRICT_COMP[],E$1,0),"ERROR")</f>
        <v>75520</v>
      </c>
      <c r="F62" s="222">
        <f>IFERROR(VLOOKUP($B62,MMWR_TRAD_AGG_DISTRICT_COMP[],F$1,0),"ERROR")</f>
        <v>27945</v>
      </c>
      <c r="G62" s="218">
        <f t="shared" si="0"/>
        <v>0.3700344279661017</v>
      </c>
      <c r="H62" s="222">
        <f>IFERROR(VLOOKUP($B62,MMWR_TRAD_AGG_DISTRICT_COMP[],H$1,0),"ERROR")</f>
        <v>97424</v>
      </c>
      <c r="I62" s="222">
        <f>IFERROR(VLOOKUP($B62,MMWR_TRAD_AGG_DISTRICT_COMP[],I$1,0),"ERROR")</f>
        <v>63220</v>
      </c>
      <c r="J62" s="218">
        <f t="shared" si="1"/>
        <v>0.64891607817375596</v>
      </c>
      <c r="K62" s="216">
        <f>IFERROR(VLOOKUP($B62,MMWR_TRAD_AGG_DISTRICT_COMP[],K$1,0),"ERROR")</f>
        <v>17654</v>
      </c>
      <c r="L62" s="216">
        <f>IFERROR(VLOOKUP($B62,MMWR_TRAD_AGG_DISTRICT_COMP[],L$1,0),"ERROR")</f>
        <v>14914</v>
      </c>
      <c r="M62" s="218">
        <f t="shared" si="2"/>
        <v>0.8447943808768551</v>
      </c>
      <c r="N62" s="216">
        <f>IFERROR(VLOOKUP($B62,MMWR_TRAD_AGG_DISTRICT_COMP[],N$1,0),"ERROR")</f>
        <v>32194</v>
      </c>
      <c r="O62" s="216">
        <f>IFERROR(VLOOKUP($B62,MMWR_TRAD_AGG_DISTRICT_COMP[],O$1,0),"ERROR")</f>
        <v>22072</v>
      </c>
      <c r="P62" s="218">
        <f t="shared" si="3"/>
        <v>0.68559358886749089</v>
      </c>
      <c r="Q62" s="216">
        <f>IFERROR(VLOOKUP($B62,MMWR_TRAD_AGG_DISTRICT_COMP[],Q$1,0),"ERROR")</f>
        <v>155</v>
      </c>
      <c r="R62" s="219">
        <f>IFERROR(VLOOKUP($B62,MMWR_TRAD_AGG_DISTRICT_COMP[],R$1,0),"ERROR")</f>
        <v>1118</v>
      </c>
      <c r="S62" s="219">
        <f>IFERROR(VLOOKUP($B62,MMWR_APP_RO[],S$1,0),"ERROR")</f>
        <v>80887</v>
      </c>
      <c r="T62" s="28"/>
    </row>
    <row r="63" spans="1:20" x14ac:dyDescent="0.2">
      <c r="A63" s="28"/>
      <c r="B63" s="109" t="s">
        <v>25</v>
      </c>
      <c r="C63" s="223">
        <f>IFERROR(VLOOKUP($B63,MMWR_TRAD_AGG_RO_COMP[],C$1,0),"ERROR")</f>
        <v>13205</v>
      </c>
      <c r="D63" s="224">
        <f>IFERROR(VLOOKUP($B63,MMWR_TRAD_AGG_RO_COMP[],D$1,0),"ERROR")</f>
        <v>357.13070806510001</v>
      </c>
      <c r="E63" s="225">
        <f>IFERROR(VLOOKUP($B63,MMWR_TRAD_AGG_RO_COMP[],E$1,0),"ERROR")</f>
        <v>15193</v>
      </c>
      <c r="F63" s="226">
        <f>IFERROR(VLOOKUP($B63,MMWR_TRAD_AGG_RO_COMP[],F$1,0),"ERROR")</f>
        <v>5518</v>
      </c>
      <c r="G63" s="227">
        <f t="shared" si="0"/>
        <v>0.36319357598894225</v>
      </c>
      <c r="H63" s="228">
        <f>IFERROR(VLOOKUP($B63,MMWR_TRAD_AGG_RO_COMP[],H$1,0),"ERROR")</f>
        <v>18143</v>
      </c>
      <c r="I63" s="226">
        <f>IFERROR(VLOOKUP($B63,MMWR_TRAD_AGG_RO_COMP[],I$1,0),"ERROR")</f>
        <v>12424</v>
      </c>
      <c r="J63" s="227">
        <f t="shared" si="1"/>
        <v>0.68478200959047564</v>
      </c>
      <c r="K63" s="229">
        <f>IFERROR(VLOOKUP($B63,MMWR_TRAD_AGG_RO_COMP[],K$1,0),"ERROR")</f>
        <v>4455</v>
      </c>
      <c r="L63" s="230">
        <f>IFERROR(VLOOKUP($B63,MMWR_TRAD_AGG_RO_COMP[],L$1,0),"ERROR")</f>
        <v>3869</v>
      </c>
      <c r="M63" s="227">
        <f t="shared" si="2"/>
        <v>0.86846240179573508</v>
      </c>
      <c r="N63" s="229">
        <f>IFERROR(VLOOKUP($B63,MMWR_TRAD_AGG_RO_COMP[],N$1,0),"ERROR")</f>
        <v>13592</v>
      </c>
      <c r="O63" s="230">
        <f>IFERROR(VLOOKUP($B63,MMWR_TRAD_AGG_RO_COMP[],O$1,0),"ERROR")</f>
        <v>8877</v>
      </c>
      <c r="P63" s="227">
        <f t="shared" si="3"/>
        <v>0.65310476751030022</v>
      </c>
      <c r="Q63" s="231">
        <f>IFERROR(VLOOKUP($B63,MMWR_TRAD_AGG_RO_COMP[],Q$1,0),"ERROR")</f>
        <v>61</v>
      </c>
      <c r="R63" s="231">
        <f>IFERROR(VLOOKUP($B63,MMWR_TRAD_AGG_RO_COMP[],R$1,0),"ERROR")</f>
        <v>27</v>
      </c>
      <c r="S63" s="205">
        <f>IFERROR(VLOOKUP($B63,MMWR_APP_RO[],S$1,0),"ERROR")</f>
        <v>15651</v>
      </c>
      <c r="T63" s="28"/>
    </row>
    <row r="64" spans="1:20" x14ac:dyDescent="0.2">
      <c r="A64" s="28"/>
      <c r="B64" s="109" t="s">
        <v>42</v>
      </c>
      <c r="C64" s="223">
        <f>IFERROR(VLOOKUP($B64,MMWR_TRAD_AGG_RO_COMP[],C$1,0),"ERROR")</f>
        <v>11070</v>
      </c>
      <c r="D64" s="224">
        <f>IFERROR(VLOOKUP($B64,MMWR_TRAD_AGG_RO_COMP[],D$1,0),"ERROR")</f>
        <v>304.07732610660003</v>
      </c>
      <c r="E64" s="225">
        <f>IFERROR(VLOOKUP($B64,MMWR_TRAD_AGG_RO_COMP[],E$1,0),"ERROR")</f>
        <v>9173</v>
      </c>
      <c r="F64" s="226">
        <f>IFERROR(VLOOKUP($B64,MMWR_TRAD_AGG_RO_COMP[],F$1,0),"ERROR")</f>
        <v>2861</v>
      </c>
      <c r="G64" s="227">
        <f t="shared" si="0"/>
        <v>0.31189360078491224</v>
      </c>
      <c r="H64" s="228">
        <f>IFERROR(VLOOKUP($B64,MMWR_TRAD_AGG_RO_COMP[],H$1,0),"ERROR")</f>
        <v>19926</v>
      </c>
      <c r="I64" s="226">
        <f>IFERROR(VLOOKUP($B64,MMWR_TRAD_AGG_RO_COMP[],I$1,0),"ERROR")</f>
        <v>12190</v>
      </c>
      <c r="J64" s="227">
        <f t="shared" si="1"/>
        <v>0.61176352504265785</v>
      </c>
      <c r="K64" s="229">
        <f>IFERROR(VLOOKUP($B64,MMWR_TRAD_AGG_RO_COMP[],K$1,0),"ERROR")</f>
        <v>1963</v>
      </c>
      <c r="L64" s="230">
        <f>IFERROR(VLOOKUP($B64,MMWR_TRAD_AGG_RO_COMP[],L$1,0),"ERROR")</f>
        <v>1300</v>
      </c>
      <c r="M64" s="227">
        <f t="shared" si="2"/>
        <v>0.66225165562913912</v>
      </c>
      <c r="N64" s="229">
        <f>IFERROR(VLOOKUP($B64,MMWR_TRAD_AGG_RO_COMP[],N$1,0),"ERROR")</f>
        <v>1870</v>
      </c>
      <c r="O64" s="230">
        <f>IFERROR(VLOOKUP($B64,MMWR_TRAD_AGG_RO_COMP[],O$1,0),"ERROR")</f>
        <v>1432</v>
      </c>
      <c r="P64" s="227">
        <f t="shared" si="3"/>
        <v>0.76577540106951869</v>
      </c>
      <c r="Q64" s="231">
        <f>IFERROR(VLOOKUP($B64,MMWR_TRAD_AGG_RO_COMP[],Q$1,0),"ERROR")</f>
        <v>2</v>
      </c>
      <c r="R64" s="231">
        <f>IFERROR(VLOOKUP($B64,MMWR_TRAD_AGG_RO_COMP[],R$1,0),"ERROR")</f>
        <v>57</v>
      </c>
      <c r="S64" s="205">
        <f>IFERROR(VLOOKUP($B64,MMWR_APP_RO[],S$1,0),"ERROR")</f>
        <v>11309</v>
      </c>
      <c r="T64" s="28"/>
    </row>
    <row r="65" spans="1:20" x14ac:dyDescent="0.2">
      <c r="A65" s="28"/>
      <c r="B65" s="109" t="s">
        <v>56</v>
      </c>
      <c r="C65" s="223">
        <f>IFERROR(VLOOKUP($B65,MMWR_TRAD_AGG_RO_COMP[],C$1,0),"ERROR")</f>
        <v>10017</v>
      </c>
      <c r="D65" s="224">
        <f>IFERROR(VLOOKUP($B65,MMWR_TRAD_AGG_RO_COMP[],D$1,0),"ERROR")</f>
        <v>456.64051113110003</v>
      </c>
      <c r="E65" s="225">
        <f>IFERROR(VLOOKUP($B65,MMWR_TRAD_AGG_RO_COMP[],E$1,0),"ERROR")</f>
        <v>6811</v>
      </c>
      <c r="F65" s="226">
        <f>IFERROR(VLOOKUP($B65,MMWR_TRAD_AGG_RO_COMP[],F$1,0),"ERROR")</f>
        <v>3590</v>
      </c>
      <c r="G65" s="227">
        <f t="shared" si="0"/>
        <v>0.52708853325502858</v>
      </c>
      <c r="H65" s="228">
        <f>IFERROR(VLOOKUP($B65,MMWR_TRAD_AGG_RO_COMP[],H$1,0),"ERROR")</f>
        <v>13962</v>
      </c>
      <c r="I65" s="226">
        <f>IFERROR(VLOOKUP($B65,MMWR_TRAD_AGG_RO_COMP[],I$1,0),"ERROR")</f>
        <v>9538</v>
      </c>
      <c r="J65" s="227">
        <f t="shared" si="1"/>
        <v>0.68313995129637584</v>
      </c>
      <c r="K65" s="229">
        <f>IFERROR(VLOOKUP($B65,MMWR_TRAD_AGG_RO_COMP[],K$1,0),"ERROR")</f>
        <v>2355</v>
      </c>
      <c r="L65" s="230">
        <f>IFERROR(VLOOKUP($B65,MMWR_TRAD_AGG_RO_COMP[],L$1,0),"ERROR")</f>
        <v>2157</v>
      </c>
      <c r="M65" s="227">
        <f t="shared" si="2"/>
        <v>0.91592356687898091</v>
      </c>
      <c r="N65" s="229">
        <f>IFERROR(VLOOKUP($B65,MMWR_TRAD_AGG_RO_COMP[],N$1,0),"ERROR")</f>
        <v>1070</v>
      </c>
      <c r="O65" s="230">
        <f>IFERROR(VLOOKUP($B65,MMWR_TRAD_AGG_RO_COMP[],O$1,0),"ERROR")</f>
        <v>712</v>
      </c>
      <c r="P65" s="227">
        <f t="shared" si="3"/>
        <v>0.66542056074766354</v>
      </c>
      <c r="Q65" s="231">
        <f>IFERROR(VLOOKUP($B65,MMWR_TRAD_AGG_RO_COMP[],Q$1,0),"ERROR")</f>
        <v>78</v>
      </c>
      <c r="R65" s="231">
        <f>IFERROR(VLOOKUP($B65,MMWR_TRAD_AGG_RO_COMP[],R$1,0),"ERROR")</f>
        <v>248</v>
      </c>
      <c r="S65" s="205">
        <f>IFERROR(VLOOKUP($B65,MMWR_APP_RO[],S$1,0),"ERROR")</f>
        <v>4487</v>
      </c>
      <c r="T65" s="28"/>
    </row>
    <row r="66" spans="1:20" x14ac:dyDescent="0.2">
      <c r="A66" s="28"/>
      <c r="B66" s="109" t="s">
        <v>60</v>
      </c>
      <c r="C66" s="223">
        <f>IFERROR(VLOOKUP($B66,MMWR_TRAD_AGG_RO_COMP[],C$1,0),"ERROR")</f>
        <v>12517</v>
      </c>
      <c r="D66" s="224">
        <f>IFERROR(VLOOKUP($B66,MMWR_TRAD_AGG_RO_COMP[],D$1,0),"ERROR")</f>
        <v>377.87936406490002</v>
      </c>
      <c r="E66" s="225">
        <f>IFERROR(VLOOKUP($B66,MMWR_TRAD_AGG_RO_COMP[],E$1,0),"ERROR")</f>
        <v>7888</v>
      </c>
      <c r="F66" s="226">
        <f>IFERROR(VLOOKUP($B66,MMWR_TRAD_AGG_RO_COMP[],F$1,0),"ERROR")</f>
        <v>2839</v>
      </c>
      <c r="G66" s="227">
        <f t="shared" si="0"/>
        <v>0.35991379310344829</v>
      </c>
      <c r="H66" s="228">
        <f>IFERROR(VLOOKUP($B66,MMWR_TRAD_AGG_RO_COMP[],H$1,0),"ERROR")</f>
        <v>14031</v>
      </c>
      <c r="I66" s="226">
        <f>IFERROR(VLOOKUP($B66,MMWR_TRAD_AGG_RO_COMP[],I$1,0),"ERROR")</f>
        <v>10345</v>
      </c>
      <c r="J66" s="227">
        <f t="shared" si="1"/>
        <v>0.73729598745634661</v>
      </c>
      <c r="K66" s="229">
        <f>IFERROR(VLOOKUP($B66,MMWR_TRAD_AGG_RO_COMP[],K$1,0),"ERROR")</f>
        <v>4364</v>
      </c>
      <c r="L66" s="230">
        <f>IFERROR(VLOOKUP($B66,MMWR_TRAD_AGG_RO_COMP[],L$1,0),"ERROR")</f>
        <v>4025</v>
      </c>
      <c r="M66" s="227">
        <f t="shared" si="2"/>
        <v>0.9223189734188818</v>
      </c>
      <c r="N66" s="229">
        <f>IFERROR(VLOOKUP($B66,MMWR_TRAD_AGG_RO_COMP[],N$1,0),"ERROR")</f>
        <v>2584</v>
      </c>
      <c r="O66" s="230">
        <f>IFERROR(VLOOKUP($B66,MMWR_TRAD_AGG_RO_COMP[],O$1,0),"ERROR")</f>
        <v>2087</v>
      </c>
      <c r="P66" s="227">
        <f t="shared" si="3"/>
        <v>0.8076625386996904</v>
      </c>
      <c r="Q66" s="231">
        <f>IFERROR(VLOOKUP($B66,MMWR_TRAD_AGG_RO_COMP[],Q$1,0),"ERROR")</f>
        <v>2</v>
      </c>
      <c r="R66" s="231">
        <f>IFERROR(VLOOKUP($B66,MMWR_TRAD_AGG_RO_COMP[],R$1,0),"ERROR")</f>
        <v>344</v>
      </c>
      <c r="S66" s="205">
        <f>IFERROR(VLOOKUP($B66,MMWR_APP_RO[],S$1,0),"ERROR")</f>
        <v>10393</v>
      </c>
      <c r="T66" s="28"/>
    </row>
    <row r="67" spans="1:20" x14ac:dyDescent="0.2">
      <c r="A67" s="28"/>
      <c r="B67" s="109" t="s">
        <v>61</v>
      </c>
      <c r="C67" s="223">
        <f>IFERROR(VLOOKUP($B67,MMWR_TRAD_AGG_RO_COMP[],C$1,0),"ERROR")</f>
        <v>5158</v>
      </c>
      <c r="D67" s="224">
        <f>IFERROR(VLOOKUP($B67,MMWR_TRAD_AGG_RO_COMP[],D$1,0),"ERROR")</f>
        <v>231.25184179909999</v>
      </c>
      <c r="E67" s="225">
        <f>IFERROR(VLOOKUP($B67,MMWR_TRAD_AGG_RO_COMP[],E$1,0),"ERROR")</f>
        <v>9181</v>
      </c>
      <c r="F67" s="226">
        <f>IFERROR(VLOOKUP($B67,MMWR_TRAD_AGG_RO_COMP[],F$1,0),"ERROR")</f>
        <v>2549</v>
      </c>
      <c r="G67" s="227">
        <f t="shared" si="0"/>
        <v>0.27763860145953601</v>
      </c>
      <c r="H67" s="228">
        <f>IFERROR(VLOOKUP($B67,MMWR_TRAD_AGG_RO_COMP[],H$1,0),"ERROR")</f>
        <v>8240</v>
      </c>
      <c r="I67" s="226">
        <f>IFERROR(VLOOKUP($B67,MMWR_TRAD_AGG_RO_COMP[],I$1,0),"ERROR")</f>
        <v>4201</v>
      </c>
      <c r="J67" s="227">
        <f t="shared" si="1"/>
        <v>0.50983009708737859</v>
      </c>
      <c r="K67" s="229">
        <f>IFERROR(VLOOKUP($B67,MMWR_TRAD_AGG_RO_COMP[],K$1,0),"ERROR")</f>
        <v>1566</v>
      </c>
      <c r="L67" s="230">
        <f>IFERROR(VLOOKUP($B67,MMWR_TRAD_AGG_RO_COMP[],L$1,0),"ERROR")</f>
        <v>1332</v>
      </c>
      <c r="M67" s="227">
        <f t="shared" si="2"/>
        <v>0.85057471264367812</v>
      </c>
      <c r="N67" s="229">
        <f>IFERROR(VLOOKUP($B67,MMWR_TRAD_AGG_RO_COMP[],N$1,0),"ERROR")</f>
        <v>1615</v>
      </c>
      <c r="O67" s="230">
        <f>IFERROR(VLOOKUP($B67,MMWR_TRAD_AGG_RO_COMP[],O$1,0),"ERROR")</f>
        <v>1314</v>
      </c>
      <c r="P67" s="227">
        <f t="shared" si="3"/>
        <v>0.81362229102167183</v>
      </c>
      <c r="Q67" s="231">
        <f>IFERROR(VLOOKUP($B67,MMWR_TRAD_AGG_RO_COMP[],Q$1,0),"ERROR")</f>
        <v>5</v>
      </c>
      <c r="R67" s="231">
        <f>IFERROR(VLOOKUP($B67,MMWR_TRAD_AGG_RO_COMP[],R$1,0),"ERROR")</f>
        <v>206</v>
      </c>
      <c r="S67" s="205">
        <f>IFERROR(VLOOKUP($B67,MMWR_APP_RO[],S$1,0),"ERROR")</f>
        <v>6262</v>
      </c>
      <c r="T67" s="28"/>
    </row>
    <row r="68" spans="1:20" x14ac:dyDescent="0.2">
      <c r="A68" s="28"/>
      <c r="B68" s="109" t="s">
        <v>75</v>
      </c>
      <c r="C68" s="223">
        <f>IFERROR(VLOOKUP($B68,MMWR_TRAD_AGG_RO_COMP[],C$1,0),"ERROR")</f>
        <v>2193</v>
      </c>
      <c r="D68" s="224">
        <f>IFERROR(VLOOKUP($B68,MMWR_TRAD_AGG_RO_COMP[],D$1,0),"ERROR")</f>
        <v>266.89785681709998</v>
      </c>
      <c r="E68" s="225">
        <f>IFERROR(VLOOKUP($B68,MMWR_TRAD_AGG_RO_COMP[],E$1,0),"ERROR")</f>
        <v>2770</v>
      </c>
      <c r="F68" s="226">
        <f>IFERROR(VLOOKUP($B68,MMWR_TRAD_AGG_RO_COMP[],F$1,0),"ERROR")</f>
        <v>987</v>
      </c>
      <c r="G68" s="227">
        <f t="shared" si="0"/>
        <v>0.35631768953068593</v>
      </c>
      <c r="H68" s="228">
        <f>IFERROR(VLOOKUP($B68,MMWR_TRAD_AGG_RO_COMP[],H$1,0),"ERROR")</f>
        <v>3746</v>
      </c>
      <c r="I68" s="226">
        <f>IFERROR(VLOOKUP($B68,MMWR_TRAD_AGG_RO_COMP[],I$1,0),"ERROR")</f>
        <v>2612</v>
      </c>
      <c r="J68" s="227">
        <f t="shared" si="1"/>
        <v>0.69727709556860651</v>
      </c>
      <c r="K68" s="229">
        <f>IFERROR(VLOOKUP($B68,MMWR_TRAD_AGG_RO_COMP[],K$1,0),"ERROR")</f>
        <v>674</v>
      </c>
      <c r="L68" s="230">
        <f>IFERROR(VLOOKUP($B68,MMWR_TRAD_AGG_RO_COMP[],L$1,0),"ERROR")</f>
        <v>634</v>
      </c>
      <c r="M68" s="227">
        <f t="shared" si="2"/>
        <v>0.94065281899109787</v>
      </c>
      <c r="N68" s="229">
        <f>IFERROR(VLOOKUP($B68,MMWR_TRAD_AGG_RO_COMP[],N$1,0),"ERROR")</f>
        <v>1624</v>
      </c>
      <c r="O68" s="230">
        <f>IFERROR(VLOOKUP($B68,MMWR_TRAD_AGG_RO_COMP[],O$1,0),"ERROR")</f>
        <v>1225</v>
      </c>
      <c r="P68" s="227">
        <f t="shared" si="3"/>
        <v>0.75431034482758619</v>
      </c>
      <c r="Q68" s="231">
        <f>IFERROR(VLOOKUP($B68,MMWR_TRAD_AGG_RO_COMP[],Q$1,0),"ERROR")</f>
        <v>0</v>
      </c>
      <c r="R68" s="231">
        <f>IFERROR(VLOOKUP($B68,MMWR_TRAD_AGG_RO_COMP[],R$1,0),"ERROR")</f>
        <v>5</v>
      </c>
      <c r="S68" s="205">
        <f>IFERROR(VLOOKUP($B68,MMWR_APP_RO[],S$1,0),"ERROR")</f>
        <v>5859</v>
      </c>
      <c r="T68" s="28"/>
    </row>
    <row r="69" spans="1:20" x14ac:dyDescent="0.2">
      <c r="A69" s="28"/>
      <c r="B69" s="117" t="s">
        <v>80</v>
      </c>
      <c r="C69" s="232">
        <f>IFERROR(VLOOKUP($B69,MMWR_TRAD_AGG_RO_COMP[],C$1,0),"ERROR")</f>
        <v>15408</v>
      </c>
      <c r="D69" s="233">
        <f>IFERROR(VLOOKUP($B69,MMWR_TRAD_AGG_RO_COMP[],D$1,0),"ERROR")</f>
        <v>308.7788811007</v>
      </c>
      <c r="E69" s="234">
        <f>IFERROR(VLOOKUP($B69,MMWR_TRAD_AGG_RO_COMP[],E$1,0),"ERROR")</f>
        <v>24504</v>
      </c>
      <c r="F69" s="235">
        <f>IFERROR(VLOOKUP($B69,MMWR_TRAD_AGG_RO_COMP[],F$1,0),"ERROR")</f>
        <v>9601</v>
      </c>
      <c r="G69" s="236">
        <f t="shared" si="0"/>
        <v>0.3918135814560888</v>
      </c>
      <c r="H69" s="237">
        <f>IFERROR(VLOOKUP($B69,MMWR_TRAD_AGG_RO_COMP[],H$1,0),"ERROR")</f>
        <v>19376</v>
      </c>
      <c r="I69" s="235">
        <f>IFERROR(VLOOKUP($B69,MMWR_TRAD_AGG_RO_COMP[],I$1,0),"ERROR")</f>
        <v>11910</v>
      </c>
      <c r="J69" s="236">
        <f t="shared" si="1"/>
        <v>0.61467795210569776</v>
      </c>
      <c r="K69" s="238">
        <f>IFERROR(VLOOKUP($B69,MMWR_TRAD_AGG_RO_COMP[],K$1,0),"ERROR")</f>
        <v>2277</v>
      </c>
      <c r="L69" s="239">
        <f>IFERROR(VLOOKUP($B69,MMWR_TRAD_AGG_RO_COMP[],L$1,0),"ERROR")</f>
        <v>1597</v>
      </c>
      <c r="M69" s="236">
        <f t="shared" si="2"/>
        <v>0.70136144049187532</v>
      </c>
      <c r="N69" s="238">
        <f>IFERROR(VLOOKUP($B69,MMWR_TRAD_AGG_RO_COMP[],N$1,0),"ERROR")</f>
        <v>9839</v>
      </c>
      <c r="O69" s="239">
        <f>IFERROR(VLOOKUP($B69,MMWR_TRAD_AGG_RO_COMP[],O$1,0),"ERROR")</f>
        <v>6425</v>
      </c>
      <c r="P69" s="236">
        <f t="shared" si="3"/>
        <v>0.65301351763390592</v>
      </c>
      <c r="Q69" s="240">
        <f>IFERROR(VLOOKUP($B69,MMWR_TRAD_AGG_RO_COMP[],Q$1,0),"ERROR")</f>
        <v>7</v>
      </c>
      <c r="R69" s="240">
        <f>IFERROR(VLOOKUP($B69,MMWR_TRAD_AGG_RO_COMP[],R$1,0),"ERROR")</f>
        <v>231</v>
      </c>
      <c r="S69" s="205">
        <f>IFERROR(VLOOKUP($B69,MMWR_APP_RO[],S$1,0),"ERROR")</f>
        <v>26926</v>
      </c>
      <c r="T69" s="28"/>
    </row>
    <row r="70" spans="1:20" x14ac:dyDescent="0.2">
      <c r="A70" s="28"/>
      <c r="B70" s="102" t="s">
        <v>8</v>
      </c>
      <c r="C70" s="216">
        <f>IFERROR(VLOOKUP($B70,MMWR_TRAD_AGG_RO_COMP[],C$1,0),"ERROR")</f>
        <v>51</v>
      </c>
      <c r="D70" s="201">
        <f>IFERROR(VLOOKUP($B70,MMWR_TRAD_AGG_RO_COMP[],D$1,0),"ERROR")</f>
        <v>792.01960784309995</v>
      </c>
      <c r="E70" s="217">
        <f>IFERROR(VLOOKUP($B70,MMWR_TRAD_AGG_RO_COMP[],E$1,0),"ERROR")</f>
        <v>1</v>
      </c>
      <c r="F70" s="222">
        <f>IFERROR(VLOOKUP($B70,MMWR_TRAD_AGG_RO_COMP[],F$1,0),"ERROR")</f>
        <v>0</v>
      </c>
      <c r="G70" s="218">
        <f>IFERROR(F70/E70,"0%")</f>
        <v>0</v>
      </c>
      <c r="H70" s="222">
        <f>IFERROR(VLOOKUP($B70,MMWR_TRAD_AGG_RO_COMP[],H$1,0),"ERROR")</f>
        <v>54</v>
      </c>
      <c r="I70" s="222">
        <f>IFERROR(VLOOKUP($B70,MMWR_TRAD_AGG_RO_COMP[],I$1,0),"ERROR")</f>
        <v>54</v>
      </c>
      <c r="J70" s="218">
        <f>IFERROR(I70/H70,"0%")</f>
        <v>1</v>
      </c>
      <c r="K70" s="216">
        <f>IFERROR(VLOOKUP($B70,MMWR_TRAD_AGG_RO_COMP[],K$1,0),"ERROR")</f>
        <v>1</v>
      </c>
      <c r="L70" s="216">
        <f>IFERROR(VLOOKUP($B70,MMWR_TRAD_AGG_RO_COMP[],L$1,0),"ERROR")</f>
        <v>1</v>
      </c>
      <c r="M70" s="218">
        <f>IFERROR(L70/K70,"0%")</f>
        <v>1</v>
      </c>
      <c r="N70" s="216">
        <f>IFERROR(VLOOKUP($B70,MMWR_TRAD_AGG_RO_COMP[],N$1,0),"ERROR")</f>
        <v>16486</v>
      </c>
      <c r="O70" s="216">
        <f>IFERROR(VLOOKUP($B70,MMWR_TRAD_AGG_RO_COMP[],O$1,0),"ERROR")</f>
        <v>4131</v>
      </c>
      <c r="P70" s="218">
        <f>IFERROR(O70/N70,"0%")</f>
        <v>0.25057624651219218</v>
      </c>
      <c r="Q70" s="216">
        <f>IFERROR(VLOOKUP($B70,MMWR_TRAD_AGG_RO_COMP[],Q$1,0),"ERROR")</f>
        <v>0</v>
      </c>
      <c r="R70" s="219">
        <f>IFERROR(VLOOKUP($B70,MMWR_TRAD_AGG_RO_COMP[],R$1,0),"ERROR")</f>
        <v>1</v>
      </c>
      <c r="S70" s="219">
        <f>IFERROR(VLOOKUP($B70,MMWR_APP_RO[],S$1,0),"ERROR")</f>
        <v>13017</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2" t="s">
        <v>497</v>
      </c>
      <c r="D72" s="453"/>
      <c r="E72" s="453"/>
      <c r="F72" s="453"/>
      <c r="G72" s="453"/>
      <c r="H72" s="453"/>
      <c r="I72" s="453"/>
      <c r="J72" s="453"/>
      <c r="K72" s="453"/>
      <c r="L72" s="453"/>
      <c r="M72" s="453"/>
      <c r="N72" s="453"/>
      <c r="O72" s="453"/>
      <c r="P72" s="453"/>
      <c r="Q72" s="453"/>
      <c r="R72" s="453"/>
      <c r="S72" s="454"/>
      <c r="T72" s="28"/>
    </row>
    <row r="73" spans="1:20" x14ac:dyDescent="0.2">
      <c r="A73" s="25"/>
      <c r="B73" s="118"/>
      <c r="C73" s="455" t="s">
        <v>233</v>
      </c>
      <c r="D73" s="456"/>
      <c r="E73" s="457" t="s">
        <v>213</v>
      </c>
      <c r="F73" s="458"/>
      <c r="G73" s="459"/>
      <c r="H73" s="457" t="s">
        <v>7</v>
      </c>
      <c r="I73" s="458"/>
      <c r="J73" s="459"/>
      <c r="K73" s="457" t="s">
        <v>33</v>
      </c>
      <c r="L73" s="458"/>
      <c r="M73" s="459"/>
      <c r="N73" s="457" t="s">
        <v>8</v>
      </c>
      <c r="O73" s="458"/>
      <c r="P73" s="459"/>
      <c r="Q73" s="82" t="s">
        <v>9</v>
      </c>
      <c r="R73" s="83" t="s">
        <v>10</v>
      </c>
      <c r="S73" s="83" t="s">
        <v>11</v>
      </c>
      <c r="T73" s="28"/>
    </row>
    <row r="74" spans="1:20" ht="38.25" x14ac:dyDescent="0.2">
      <c r="A74" s="92"/>
      <c r="B74" s="119"/>
      <c r="C74" s="85" t="s">
        <v>12</v>
      </c>
      <c r="D74" s="86" t="s">
        <v>140</v>
      </c>
      <c r="E74" s="87" t="s">
        <v>12</v>
      </c>
      <c r="F74" s="88" t="s">
        <v>3</v>
      </c>
      <c r="G74" s="89" t="s">
        <v>4</v>
      </c>
      <c r="H74" s="87" t="s">
        <v>12</v>
      </c>
      <c r="I74" s="88" t="s">
        <v>3</v>
      </c>
      <c r="J74" s="89" t="s">
        <v>4</v>
      </c>
      <c r="K74" s="87" t="s">
        <v>12</v>
      </c>
      <c r="L74" s="88" t="s">
        <v>3</v>
      </c>
      <c r="M74" s="89" t="s">
        <v>4</v>
      </c>
      <c r="N74" s="87" t="s">
        <v>12</v>
      </c>
      <c r="O74" s="88" t="s">
        <v>3</v>
      </c>
      <c r="P74" s="89" t="s">
        <v>4</v>
      </c>
      <c r="Q74" s="90" t="s">
        <v>12</v>
      </c>
      <c r="R74" s="90" t="s">
        <v>12</v>
      </c>
      <c r="S74" s="91" t="s">
        <v>498</v>
      </c>
      <c r="T74" s="28"/>
    </row>
    <row r="75" spans="1:20" x14ac:dyDescent="0.2">
      <c r="A75" s="25"/>
      <c r="B75" s="102" t="s">
        <v>472</v>
      </c>
      <c r="C75" s="241">
        <f>IFERROR(VLOOKUP($B75,MMWR_TRAD_AGG_RO_PEN[],C$1,0),"ERROR")</f>
        <v>19289</v>
      </c>
      <c r="D75" s="242">
        <f>IFERROR(VLOOKUP($B75,MMWR_TRAD_AGG_RO_PEN[],D$1,0),"ERROR")</f>
        <v>78.3228264814</v>
      </c>
      <c r="E75" s="241">
        <f>IFERROR(VLOOKUP($B75,MMWR_TRAD_AGG_RO_PEN[],E$1,0),"ERROR")</f>
        <v>23394</v>
      </c>
      <c r="F75" s="241">
        <f>IFERROR(VLOOKUP($B75,MMWR_TRAD_AGG_RO_PEN[],F$1,0),"ERROR")</f>
        <v>2776</v>
      </c>
      <c r="G75" s="243">
        <f>IFERROR(F75/E75,"0%")</f>
        <v>0.11866290501838078</v>
      </c>
      <c r="H75" s="241">
        <f>IFERROR(VLOOKUP($B75,MMWR_TRAD_AGG_RO_PEN[],H$1,0),"ERROR")</f>
        <v>31262</v>
      </c>
      <c r="I75" s="241">
        <f>IFERROR(VLOOKUP($B75,MMWR_TRAD_AGG_RO_PEN[],I$1,0),"ERROR")</f>
        <v>6195</v>
      </c>
      <c r="J75" s="243">
        <f>IFERROR(I75/H75,"0%")</f>
        <v>0.19816390506045678</v>
      </c>
      <c r="K75" s="241">
        <f>IFERROR(VLOOKUP($B75,MMWR_TRAD_AGG_RO_PEN[],K$1,0),"ERROR")</f>
        <v>775</v>
      </c>
      <c r="L75" s="241">
        <f>IFERROR(VLOOKUP($B75,MMWR_TRAD_AGG_RO_PEN[],L$1,0),"ERROR")</f>
        <v>747</v>
      </c>
      <c r="M75" s="243">
        <f>IFERROR(L75/K75,"0%")</f>
        <v>0.96387096774193548</v>
      </c>
      <c r="N75" s="241">
        <f>IFERROR(VLOOKUP($B75,MMWR_TRAD_AGG_RO_PEN[],N$1,0),"ERROR")</f>
        <v>5897</v>
      </c>
      <c r="O75" s="241">
        <f>IFERROR(VLOOKUP($B75,MMWR_TRAD_AGG_RO_PEN[],O$1,0),"ERROR")</f>
        <v>1023</v>
      </c>
      <c r="P75" s="243">
        <f>IFERROR(O75/N75,"0%")</f>
        <v>0.17347803968119382</v>
      </c>
      <c r="Q75" s="241">
        <f>IFERROR(VLOOKUP($B75,MMWR_TRAD_AGG_RO_PEN[],Q$1,0),"ERROR")</f>
        <v>10630</v>
      </c>
      <c r="R75" s="244">
        <f>IFERROR(VLOOKUP($B75,MMWR_TRAD_AGG_RO_PEN[],R$1,0),"ERROR")</f>
        <v>4887</v>
      </c>
      <c r="S75" s="244">
        <f>IFERROR(VLOOKUP($B75,MMWR_APP_RO[],S$1,0),"ERROR")</f>
        <v>5964</v>
      </c>
      <c r="T75" s="28"/>
    </row>
    <row r="76" spans="1:20" x14ac:dyDescent="0.2">
      <c r="A76" s="108"/>
      <c r="B76" s="123" t="s">
        <v>218</v>
      </c>
      <c r="C76" s="245">
        <f>IFERROR(VLOOKUP($B76,MMWR_TRAD_AGG_RO_PEN[],C$1,0),"ERROR")</f>
        <v>11624</v>
      </c>
      <c r="D76" s="246">
        <f>IFERROR(VLOOKUP($B76,MMWR_TRAD_AGG_RO_PEN[],D$1,0),"ERROR")</f>
        <v>93.815984170700006</v>
      </c>
      <c r="E76" s="245">
        <f>IFERROR(VLOOKUP($B76,MMWR_TRAD_AGG_RO_PEN[],E$1,0),"ERROR")</f>
        <v>10774</v>
      </c>
      <c r="F76" s="245">
        <f>IFERROR(VLOOKUP($B76,MMWR_TRAD_AGG_RO_PEN[],F$1,0),"ERROR")</f>
        <v>1947</v>
      </c>
      <c r="G76" s="227">
        <f>IFERROR(F76/E76,"0%")</f>
        <v>0.18071282717653611</v>
      </c>
      <c r="H76" s="245">
        <f>IFERROR(VLOOKUP($B76,MMWR_TRAD_AGG_RO_PEN[],H$1,0),"ERROR")</f>
        <v>17998</v>
      </c>
      <c r="I76" s="245">
        <f>IFERROR(VLOOKUP($B76,MMWR_TRAD_AGG_RO_PEN[],I$1,0),"ERROR")</f>
        <v>4695</v>
      </c>
      <c r="J76" s="227">
        <f>IFERROR(I76/H76,"0%")</f>
        <v>0.26086231803533727</v>
      </c>
      <c r="K76" s="245">
        <f>IFERROR(VLOOKUP($B76,MMWR_TRAD_AGG_RO_PEN[],K$1,0),"ERROR")</f>
        <v>455</v>
      </c>
      <c r="L76" s="245">
        <f>IFERROR(VLOOKUP($B76,MMWR_TRAD_AGG_RO_PEN[],L$1,0),"ERROR")</f>
        <v>439</v>
      </c>
      <c r="M76" s="227">
        <f>IFERROR(L76/K76,"0%")</f>
        <v>0.96483516483516485</v>
      </c>
      <c r="N76" s="245">
        <f>IFERROR(VLOOKUP($B76,MMWR_TRAD_AGG_RO_PEN[],N$1,0),"ERROR")</f>
        <v>5072</v>
      </c>
      <c r="O76" s="245">
        <f>IFERROR(VLOOKUP($B76,MMWR_TRAD_AGG_RO_PEN[],O$1,0),"ERROR")</f>
        <v>660</v>
      </c>
      <c r="P76" s="227">
        <f>IFERROR(O76/N76,"0%")</f>
        <v>0.13012618296529968</v>
      </c>
      <c r="Q76" s="245">
        <f>IFERROR(VLOOKUP($B76,MMWR_TRAD_AGG_RO_PEN[],Q$1,0),"ERROR")</f>
        <v>1515</v>
      </c>
      <c r="R76" s="245">
        <f>IFERROR(VLOOKUP($B76,MMWR_TRAD_AGG_RO_PEN[],R$1,0),"ERROR")</f>
        <v>3212</v>
      </c>
      <c r="S76" s="247">
        <f>IFERROR(VLOOKUP($B76,MMWR_APP_RO[],S$1,0),"ERROR")</f>
        <v>2644</v>
      </c>
      <c r="T76" s="28"/>
    </row>
    <row r="77" spans="1:20" x14ac:dyDescent="0.2">
      <c r="A77" s="108"/>
      <c r="B77" s="123" t="s">
        <v>217</v>
      </c>
      <c r="C77" s="245">
        <f>IFERROR(VLOOKUP($B77,MMWR_TRAD_AGG_RO_PEN[],C$1,0),"ERROR")</f>
        <v>5027</v>
      </c>
      <c r="D77" s="246">
        <f>IFERROR(VLOOKUP($B77,MMWR_TRAD_AGG_RO_PEN[],D$1,0),"ERROR")</f>
        <v>60.276904714499999</v>
      </c>
      <c r="E77" s="245">
        <f>IFERROR(VLOOKUP($B77,MMWR_TRAD_AGG_RO_PEN[],E$1,0),"ERROR")</f>
        <v>5571</v>
      </c>
      <c r="F77" s="245">
        <f>IFERROR(VLOOKUP($B77,MMWR_TRAD_AGG_RO_PEN[],F$1,0),"ERROR")</f>
        <v>454</v>
      </c>
      <c r="G77" s="227">
        <f>IFERROR(F77/E77,"0%")</f>
        <v>8.1493448213965175E-2</v>
      </c>
      <c r="H77" s="245">
        <f>IFERROR(VLOOKUP($B77,MMWR_TRAD_AGG_RO_PEN[],H$1,0),"ERROR")</f>
        <v>7854</v>
      </c>
      <c r="I77" s="245">
        <f>IFERROR(VLOOKUP($B77,MMWR_TRAD_AGG_RO_PEN[],I$1,0),"ERROR")</f>
        <v>645</v>
      </c>
      <c r="J77" s="227">
        <f>IFERROR(I77/H77,"0%")</f>
        <v>8.2123758594346827E-2</v>
      </c>
      <c r="K77" s="245">
        <f>IFERROR(VLOOKUP($B77,MMWR_TRAD_AGG_RO_PEN[],K$1,0),"ERROR")</f>
        <v>34</v>
      </c>
      <c r="L77" s="245">
        <f>IFERROR(VLOOKUP($B77,MMWR_TRAD_AGG_RO_PEN[],L$1,0),"ERROR")</f>
        <v>33</v>
      </c>
      <c r="M77" s="227">
        <f>IFERROR(L77/K77,"0%")</f>
        <v>0.97058823529411764</v>
      </c>
      <c r="N77" s="245">
        <f>IFERROR(VLOOKUP($B77,MMWR_TRAD_AGG_RO_PEN[],N$1,0),"ERROR")</f>
        <v>435</v>
      </c>
      <c r="O77" s="245">
        <f>IFERROR(VLOOKUP($B77,MMWR_TRAD_AGG_RO_PEN[],O$1,0),"ERROR")</f>
        <v>83</v>
      </c>
      <c r="P77" s="227">
        <f>IFERROR(O77/N77,"0%")</f>
        <v>0.19080459770114944</v>
      </c>
      <c r="Q77" s="245">
        <f>IFERROR(VLOOKUP($B77,MMWR_TRAD_AGG_RO_PEN[],Q$1,0),"ERROR")</f>
        <v>4370</v>
      </c>
      <c r="R77" s="245">
        <f>IFERROR(VLOOKUP($B77,MMWR_TRAD_AGG_RO_PEN[],R$1,0),"ERROR")</f>
        <v>473</v>
      </c>
      <c r="S77" s="247">
        <f>IFERROR(VLOOKUP($B77,MMWR_APP_RO[],S$1,0),"ERROR")</f>
        <v>2052</v>
      </c>
      <c r="T77" s="28"/>
    </row>
    <row r="78" spans="1:20" x14ac:dyDescent="0.2">
      <c r="A78" s="108"/>
      <c r="B78" s="123" t="s">
        <v>220</v>
      </c>
      <c r="C78" s="245">
        <f>IFERROR(VLOOKUP($B78,MMWR_TRAD_AGG_RO_PEN[],C$1,0),"ERROR")</f>
        <v>2638</v>
      </c>
      <c r="D78" s="246">
        <f>IFERROR(VLOOKUP($B78,MMWR_TRAD_AGG_RO_PEN[],D$1,0),"ERROR")</f>
        <v>44.442759666400001</v>
      </c>
      <c r="E78" s="245">
        <f>IFERROR(VLOOKUP($B78,MMWR_TRAD_AGG_RO_PEN[],E$1,0),"ERROR")</f>
        <v>6810</v>
      </c>
      <c r="F78" s="245">
        <f>IFERROR(VLOOKUP($B78,MMWR_TRAD_AGG_RO_PEN[],F$1,0),"ERROR")</f>
        <v>284</v>
      </c>
      <c r="G78" s="227">
        <f>IFERROR(F78/E78,"0%")</f>
        <v>4.1703377386196769E-2</v>
      </c>
      <c r="H78" s="245">
        <f>IFERROR(VLOOKUP($B78,MMWR_TRAD_AGG_RO_PEN[],H$1,0),"ERROR")</f>
        <v>4435</v>
      </c>
      <c r="I78" s="245">
        <f>IFERROR(VLOOKUP($B78,MMWR_TRAD_AGG_RO_PEN[],I$1,0),"ERROR")</f>
        <v>54</v>
      </c>
      <c r="J78" s="227">
        <f>IFERROR(I78/H78,"0%")</f>
        <v>1.2175873731679819E-2</v>
      </c>
      <c r="K78" s="245">
        <f>IFERROR(VLOOKUP($B78,MMWR_TRAD_AGG_RO_PEN[],K$1,0),"ERROR")</f>
        <v>10</v>
      </c>
      <c r="L78" s="245">
        <f>IFERROR(VLOOKUP($B78,MMWR_TRAD_AGG_RO_PEN[],L$1,0),"ERROR")</f>
        <v>8</v>
      </c>
      <c r="M78" s="227">
        <f>IFERROR(L78/K78,"0%")</f>
        <v>0.8</v>
      </c>
      <c r="N78" s="245">
        <f>IFERROR(VLOOKUP($B78,MMWR_TRAD_AGG_RO_PEN[],N$1,0),"ERROR")</f>
        <v>89</v>
      </c>
      <c r="O78" s="245">
        <f>IFERROR(VLOOKUP($B78,MMWR_TRAD_AGG_RO_PEN[],O$1,0),"ERROR")</f>
        <v>27</v>
      </c>
      <c r="P78" s="227">
        <f>IFERROR(O78/N78,"0%")</f>
        <v>0.30337078651685395</v>
      </c>
      <c r="Q78" s="245">
        <f>IFERROR(VLOOKUP($B78,MMWR_TRAD_AGG_RO_PEN[],Q$1,0),"ERROR")</f>
        <v>4635</v>
      </c>
      <c r="R78" s="245">
        <f>IFERROR(VLOOKUP($B78,MMWR_TRAD_AGG_RO_PEN[],R$1,0),"ERROR")</f>
        <v>1202</v>
      </c>
      <c r="S78" s="247">
        <f>IFERROR(VLOOKUP($B78,MMWR_APP_RO[],S$1,0),"ERROR")</f>
        <v>1268</v>
      </c>
      <c r="T78" s="28"/>
    </row>
    <row r="79" spans="1:20" x14ac:dyDescent="0.2">
      <c r="A79" s="93"/>
      <c r="B79" s="102" t="s">
        <v>232</v>
      </c>
      <c r="C79" s="222">
        <f>IFERROR(VLOOKUP($B79,MMWR_TRAD_AGG_RO_PEN[],C$1,0),"ERROR")</f>
        <v>0</v>
      </c>
      <c r="D79" s="193">
        <f>IFERROR(VLOOKUP($B79,MMWR_TRAD_AGG_RO_PEN[],D$1,0),"ERROR")</f>
        <v>0</v>
      </c>
      <c r="E79" s="222">
        <f>IFERROR(VLOOKUP($B79,MMWR_TRAD_AGG_RO_PEN[],E$1,0),"ERROR")</f>
        <v>239</v>
      </c>
      <c r="F79" s="222">
        <f>IFERROR(VLOOKUP($B79,MMWR_TRAD_AGG_RO_PEN[],F$1,0),"ERROR")</f>
        <v>91</v>
      </c>
      <c r="G79" s="218">
        <f>IFERROR(F79/E79,"0%")</f>
        <v>0.3807531380753138</v>
      </c>
      <c r="H79" s="222">
        <f>IFERROR(VLOOKUP($B79,MMWR_TRAD_AGG_RO_PEN[],H$1,0),"ERROR")</f>
        <v>975</v>
      </c>
      <c r="I79" s="222">
        <f>IFERROR(VLOOKUP($B79,MMWR_TRAD_AGG_RO_PEN[],I$1,0),"ERROR")</f>
        <v>801</v>
      </c>
      <c r="J79" s="218">
        <f>IFERROR(I79/H79,"0%")</f>
        <v>0.82153846153846155</v>
      </c>
      <c r="K79" s="222">
        <f>IFERROR(VLOOKUP($B79,MMWR_TRAD_AGG_RO_PEN[],K$1,0),"ERROR")</f>
        <v>276</v>
      </c>
      <c r="L79" s="222">
        <f>IFERROR(VLOOKUP($B79,MMWR_TRAD_AGG_RO_PEN[],L$1,0),"ERROR")</f>
        <v>267</v>
      </c>
      <c r="M79" s="218">
        <f>IFERROR(L79/K79,"0%")</f>
        <v>0.96739130434782605</v>
      </c>
      <c r="N79" s="222">
        <f>IFERROR(VLOOKUP($B79,MMWR_TRAD_AGG_RO_PEN[],N$1,0),"ERROR")</f>
        <v>301</v>
      </c>
      <c r="O79" s="222">
        <f>IFERROR(VLOOKUP($B79,MMWR_TRAD_AGG_RO_PEN[],O$1,0),"ERROR")</f>
        <v>253</v>
      </c>
      <c r="P79" s="218">
        <f>IFERROR(O79/N79,"0%")</f>
        <v>0.84053156146179397</v>
      </c>
      <c r="Q79" s="222">
        <f>IFERROR(VLOOKUP($B79,MMWR_TRAD_AGG_RO_PEN[],Q$1,0),"ERROR")</f>
        <v>110</v>
      </c>
      <c r="R79" s="248">
        <f>IFERROR(VLOOKUP($B79,MMWR_TRAD_AGG_RO_PEN[],R$1,0),"ERROR")</f>
        <v>0</v>
      </c>
      <c r="S79" s="248"/>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A3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8" priority="97" stopIfTrue="1">
      <formula>ISERROR(S63)</formula>
    </cfRule>
  </conditionalFormatting>
  <conditionalFormatting sqref="B6:C6 E6:G6 B7:B24 B72:B74 C7:G7 S8:S24 S36:S37 J6:J7 M6:M7 P6:S7 B26:S35">
    <cfRule type="expression" dxfId="357" priority="340" stopIfTrue="1">
      <formula>ISERROR(B6)</formula>
    </cfRule>
  </conditionalFormatting>
  <conditionalFormatting sqref="D6">
    <cfRule type="expression" dxfId="356" priority="339" stopIfTrue="1">
      <formula>ISERROR(D6)</formula>
    </cfRule>
  </conditionalFormatting>
  <conditionalFormatting sqref="D7:G24 Q7:R24">
    <cfRule type="expression" dxfId="355" priority="338" stopIfTrue="1">
      <formula>ISERROR(D7)</formula>
    </cfRule>
  </conditionalFormatting>
  <conditionalFormatting sqref="S4">
    <cfRule type="expression" dxfId="354" priority="333" stopIfTrue="1">
      <formula>ISERROR(S4)</formula>
    </cfRule>
  </conditionalFormatting>
  <conditionalFormatting sqref="M38">
    <cfRule type="expression" dxfId="353" priority="251" stopIfTrue="1">
      <formula>ISERROR(M38)</formula>
    </cfRule>
  </conditionalFormatting>
  <conditionalFormatting sqref="S49">
    <cfRule type="expression" dxfId="352" priority="329" stopIfTrue="1">
      <formula>ISERROR(S49)</formula>
    </cfRule>
  </conditionalFormatting>
  <conditionalFormatting sqref="E4">
    <cfRule type="expression" dxfId="351" priority="337" stopIfTrue="1">
      <formula>ISERROR(E4)</formula>
    </cfRule>
  </conditionalFormatting>
  <conditionalFormatting sqref="C4">
    <cfRule type="expression" dxfId="350" priority="336" stopIfTrue="1">
      <formula>ISERROR(C4)</formula>
    </cfRule>
  </conditionalFormatting>
  <conditionalFormatting sqref="N25">
    <cfRule type="expression" dxfId="349" priority="279" stopIfTrue="1">
      <formula>ISERROR(N25)</formula>
    </cfRule>
  </conditionalFormatting>
  <conditionalFormatting sqref="K7">
    <cfRule type="expression" dxfId="348" priority="309" stopIfTrue="1">
      <formula>ISERROR(K7)</formula>
    </cfRule>
  </conditionalFormatting>
  <conditionalFormatting sqref="S25">
    <cfRule type="expression" dxfId="347" priority="331" stopIfTrue="1">
      <formula>ISERROR(S25)</formula>
    </cfRule>
  </conditionalFormatting>
  <conditionalFormatting sqref="Q4">
    <cfRule type="expression" dxfId="346" priority="335" stopIfTrue="1">
      <formula>ISERROR(Q4)</formula>
    </cfRule>
  </conditionalFormatting>
  <conditionalFormatting sqref="R4">
    <cfRule type="expression" dxfId="345" priority="334" stopIfTrue="1">
      <formula>ISERROR(R4)</formula>
    </cfRule>
  </conditionalFormatting>
  <conditionalFormatting sqref="K4">
    <cfRule type="expression" dxfId="344" priority="322" stopIfTrue="1">
      <formula>ISERROR(K4)</formula>
    </cfRule>
  </conditionalFormatting>
  <conditionalFormatting sqref="P7">
    <cfRule type="expression" dxfId="343" priority="294" stopIfTrue="1">
      <formula>ISERROR(P7)</formula>
    </cfRule>
  </conditionalFormatting>
  <conditionalFormatting sqref="H7">
    <cfRule type="expression" dxfId="342" priority="312" stopIfTrue="1">
      <formula>ISERROR(H7)</formula>
    </cfRule>
  </conditionalFormatting>
  <conditionalFormatting sqref="C7:C24">
    <cfRule type="expression" dxfId="341" priority="332" stopIfTrue="1">
      <formula>ISERROR(C7)</formula>
    </cfRule>
  </conditionalFormatting>
  <conditionalFormatting sqref="S62">
    <cfRule type="expression" dxfId="340" priority="328" stopIfTrue="1">
      <formula>ISERROR(S62)</formula>
    </cfRule>
  </conditionalFormatting>
  <conditionalFormatting sqref="N7">
    <cfRule type="expression" dxfId="339" priority="305" stopIfTrue="1">
      <formula>ISERROR(N7)</formula>
    </cfRule>
  </conditionalFormatting>
  <conditionalFormatting sqref="Q25">
    <cfRule type="expression" dxfId="338" priority="276" stopIfTrue="1">
      <formula>ISERROR(Q25)</formula>
    </cfRule>
  </conditionalFormatting>
  <conditionalFormatting sqref="R25">
    <cfRule type="expression" dxfId="337" priority="275" stopIfTrue="1">
      <formula>ISERROR(R25)</formula>
    </cfRule>
  </conditionalFormatting>
  <conditionalFormatting sqref="S38">
    <cfRule type="expression" dxfId="336" priority="330" stopIfTrue="1">
      <formula>ISERROR(S38)</formula>
    </cfRule>
  </conditionalFormatting>
  <conditionalFormatting sqref="M7">
    <cfRule type="expression" dxfId="335" priority="295" stopIfTrue="1">
      <formula>ISERROR(M7)</formula>
    </cfRule>
  </conditionalFormatting>
  <conditionalFormatting sqref="K49">
    <cfRule type="expression" dxfId="334" priority="239" stopIfTrue="1">
      <formula>ISERROR(K49)</formula>
    </cfRule>
  </conditionalFormatting>
  <conditionalFormatting sqref="L38">
    <cfRule type="expression" dxfId="333" priority="260" stopIfTrue="1">
      <formula>ISERROR(L38)</formula>
    </cfRule>
  </conditionalFormatting>
  <conditionalFormatting sqref="L38">
    <cfRule type="expression" dxfId="332" priority="259" stopIfTrue="1">
      <formula>ISERROR(L38)</formula>
    </cfRule>
  </conditionalFormatting>
  <conditionalFormatting sqref="I7">
    <cfRule type="expression" dxfId="331" priority="311" stopIfTrue="1">
      <formula>ISERROR(I7)</formula>
    </cfRule>
  </conditionalFormatting>
  <conditionalFormatting sqref="K7">
    <cfRule type="expression" dxfId="330" priority="308" stopIfTrue="1">
      <formula>ISERROR(K7)</formula>
    </cfRule>
  </conditionalFormatting>
  <conditionalFormatting sqref="H6:I6">
    <cfRule type="expression" dxfId="329" priority="327" stopIfTrue="1">
      <formula>ISERROR(H6)</formula>
    </cfRule>
  </conditionalFormatting>
  <conditionalFormatting sqref="H9:J24 H8:I8">
    <cfRule type="expression" dxfId="328" priority="326" stopIfTrue="1">
      <formula>ISERROR(H8)</formula>
    </cfRule>
  </conditionalFormatting>
  <conditionalFormatting sqref="H4">
    <cfRule type="expression" dxfId="327" priority="325" stopIfTrue="1">
      <formula>ISERROR(H4)</formula>
    </cfRule>
  </conditionalFormatting>
  <conditionalFormatting sqref="R7">
    <cfRule type="expression" dxfId="326" priority="300" stopIfTrue="1">
      <formula>ISERROR(R7)</formula>
    </cfRule>
  </conditionalFormatting>
  <conditionalFormatting sqref="K38">
    <cfRule type="expression" dxfId="325" priority="262" stopIfTrue="1">
      <formula>ISERROR(K38)</formula>
    </cfRule>
  </conditionalFormatting>
  <conditionalFormatting sqref="K38">
    <cfRule type="expression" dxfId="324" priority="261" stopIfTrue="1">
      <formula>ISERROR(K38)</formula>
    </cfRule>
  </conditionalFormatting>
  <conditionalFormatting sqref="L25">
    <cfRule type="expression" dxfId="323" priority="282" stopIfTrue="1">
      <formula>ISERROR(L25)</formula>
    </cfRule>
  </conditionalFormatting>
  <conditionalFormatting sqref="L25">
    <cfRule type="expression" dxfId="322" priority="281" stopIfTrue="1">
      <formula>ISERROR(L25)</formula>
    </cfRule>
  </conditionalFormatting>
  <conditionalFormatting sqref="J6">
    <cfRule type="expression" dxfId="321" priority="299" stopIfTrue="1">
      <formula>ISERROR(J6)</formula>
    </cfRule>
  </conditionalFormatting>
  <conditionalFormatting sqref="K6:L6">
    <cfRule type="expression" dxfId="320" priority="324" stopIfTrue="1">
      <formula>ISERROR(K6)</formula>
    </cfRule>
  </conditionalFormatting>
  <conditionalFormatting sqref="K9:M24 K8:L8">
    <cfRule type="expression" dxfId="319" priority="323" stopIfTrue="1">
      <formula>ISERROR(K8)</formula>
    </cfRule>
  </conditionalFormatting>
  <conditionalFormatting sqref="C25">
    <cfRule type="expression" dxfId="318" priority="291" stopIfTrue="1">
      <formula>ISERROR(C25)</formula>
    </cfRule>
  </conditionalFormatting>
  <conditionalFormatting sqref="E25">
    <cfRule type="expression" dxfId="317" priority="290" stopIfTrue="1">
      <formula>ISERROR(E25)</formula>
    </cfRule>
  </conditionalFormatting>
  <conditionalFormatting sqref="P38">
    <cfRule type="expression" dxfId="316" priority="250" stopIfTrue="1">
      <formula>ISERROR(P38)</formula>
    </cfRule>
  </conditionalFormatting>
  <conditionalFormatting sqref="B38:G38 Q38:R38">
    <cfRule type="expression" dxfId="315" priority="271" stopIfTrue="1">
      <formula>ISERROR(B38)</formula>
    </cfRule>
  </conditionalFormatting>
  <conditionalFormatting sqref="Q38:R38 D38:G38">
    <cfRule type="expression" dxfId="314" priority="270" stopIfTrue="1">
      <formula>ISERROR(D38)</formula>
    </cfRule>
  </conditionalFormatting>
  <conditionalFormatting sqref="N6:O6">
    <cfRule type="expression" dxfId="313" priority="321" stopIfTrue="1">
      <formula>ISERROR(N6)</formula>
    </cfRule>
  </conditionalFormatting>
  <conditionalFormatting sqref="N9:P24 N8:O8">
    <cfRule type="expression" dxfId="312" priority="320" stopIfTrue="1">
      <formula>ISERROR(N8)</formula>
    </cfRule>
  </conditionalFormatting>
  <conditionalFormatting sqref="N4">
    <cfRule type="expression" dxfId="311" priority="319" stopIfTrue="1">
      <formula>ISERROR(N4)</formula>
    </cfRule>
  </conditionalFormatting>
  <conditionalFormatting sqref="N25">
    <cfRule type="expression" dxfId="310" priority="280" stopIfTrue="1">
      <formula>ISERROR(N25)</formula>
    </cfRule>
  </conditionalFormatting>
  <conditionalFormatting sqref="O25">
    <cfRule type="expression" dxfId="309" priority="278" stopIfTrue="1">
      <formula>ISERROR(O25)</formula>
    </cfRule>
  </conditionalFormatting>
  <conditionalFormatting sqref="K49">
    <cfRule type="expression" dxfId="308" priority="240" stopIfTrue="1">
      <formula>ISERROR(K49)</formula>
    </cfRule>
  </conditionalFormatting>
  <conditionalFormatting sqref="J8">
    <cfRule type="expression" dxfId="307" priority="318" stopIfTrue="1">
      <formula>ISERROR(J8)</formula>
    </cfRule>
  </conditionalFormatting>
  <conditionalFormatting sqref="M8">
    <cfRule type="expression" dxfId="306" priority="317" stopIfTrue="1">
      <formula>ISERROR(M8)</formula>
    </cfRule>
  </conditionalFormatting>
  <conditionalFormatting sqref="P8">
    <cfRule type="expression" dxfId="305" priority="316" stopIfTrue="1">
      <formula>ISERROR(P8)</formula>
    </cfRule>
  </conditionalFormatting>
  <conditionalFormatting sqref="E7">
    <cfRule type="expression" dxfId="304" priority="315" stopIfTrue="1">
      <formula>ISERROR(E7)</formula>
    </cfRule>
  </conditionalFormatting>
  <conditionalFormatting sqref="F7">
    <cfRule type="expression" dxfId="303" priority="314" stopIfTrue="1">
      <formula>ISERROR(F7)</formula>
    </cfRule>
  </conditionalFormatting>
  <conditionalFormatting sqref="H7">
    <cfRule type="expression" dxfId="302" priority="313" stopIfTrue="1">
      <formula>ISERROR(H7)</formula>
    </cfRule>
  </conditionalFormatting>
  <conditionalFormatting sqref="Q25:R25 D25:G25">
    <cfRule type="expression" dxfId="301" priority="292" stopIfTrue="1">
      <formula>ISERROR(D25)</formula>
    </cfRule>
  </conditionalFormatting>
  <conditionalFormatting sqref="I7">
    <cfRule type="expression" dxfId="300" priority="310" stopIfTrue="1">
      <formula>ISERROR(I7)</formula>
    </cfRule>
  </conditionalFormatting>
  <conditionalFormatting sqref="F25">
    <cfRule type="expression" dxfId="299" priority="289" stopIfTrue="1">
      <formula>ISERROR(F25)</formula>
    </cfRule>
  </conditionalFormatting>
  <conditionalFormatting sqref="H25">
    <cfRule type="expression" dxfId="298" priority="288" stopIfTrue="1">
      <formula>ISERROR(H25)</formula>
    </cfRule>
  </conditionalFormatting>
  <conditionalFormatting sqref="L7">
    <cfRule type="expression" dxfId="297" priority="307" stopIfTrue="1">
      <formula>ISERROR(L7)</formula>
    </cfRule>
  </conditionalFormatting>
  <conditionalFormatting sqref="L7">
    <cfRule type="expression" dxfId="296" priority="306" stopIfTrue="1">
      <formula>ISERROR(L7)</formula>
    </cfRule>
  </conditionalFormatting>
  <conditionalFormatting sqref="N7">
    <cfRule type="expression" dxfId="295" priority="304" stopIfTrue="1">
      <formula>ISERROR(N7)</formula>
    </cfRule>
  </conditionalFormatting>
  <conditionalFormatting sqref="O7">
    <cfRule type="expression" dxfId="294" priority="303" stopIfTrue="1">
      <formula>ISERROR(O7)</formula>
    </cfRule>
  </conditionalFormatting>
  <conditionalFormatting sqref="O7">
    <cfRule type="expression" dxfId="293" priority="302" stopIfTrue="1">
      <formula>ISERROR(O7)</formula>
    </cfRule>
  </conditionalFormatting>
  <conditionalFormatting sqref="Q7">
    <cfRule type="expression" dxfId="292" priority="301" stopIfTrue="1">
      <formula>ISERROR(Q7)</formula>
    </cfRule>
  </conditionalFormatting>
  <conditionalFormatting sqref="O62">
    <cfRule type="expression" dxfId="291" priority="212" stopIfTrue="1">
      <formula>ISERROR(O62)</formula>
    </cfRule>
  </conditionalFormatting>
  <conditionalFormatting sqref="P62">
    <cfRule type="expression" dxfId="290" priority="206" stopIfTrue="1">
      <formula>ISERROR(P62)</formula>
    </cfRule>
  </conditionalFormatting>
  <conditionalFormatting sqref="O25">
    <cfRule type="expression" dxfId="289" priority="277" stopIfTrue="1">
      <formula>ISERROR(O25)</formula>
    </cfRule>
  </conditionalFormatting>
  <conditionalFormatting sqref="M6">
    <cfRule type="expression" dxfId="288" priority="298" stopIfTrue="1">
      <formula>ISERROR(M6)</formula>
    </cfRule>
  </conditionalFormatting>
  <conditionalFormatting sqref="P6">
    <cfRule type="expression" dxfId="287" priority="297" stopIfTrue="1">
      <formula>ISERROR(P6)</formula>
    </cfRule>
  </conditionalFormatting>
  <conditionalFormatting sqref="J7">
    <cfRule type="expression" dxfId="286" priority="296" stopIfTrue="1">
      <formula>ISERROR(J7)</formula>
    </cfRule>
  </conditionalFormatting>
  <conditionalFormatting sqref="M25">
    <cfRule type="expression" dxfId="285" priority="273" stopIfTrue="1">
      <formula>ISERROR(M25)</formula>
    </cfRule>
  </conditionalFormatting>
  <conditionalFormatting sqref="P25">
    <cfRule type="expression" dxfId="284" priority="272" stopIfTrue="1">
      <formula>ISERROR(P25)</formula>
    </cfRule>
  </conditionalFormatting>
  <conditionalFormatting sqref="B25:G25 Q25:R25">
    <cfRule type="expression" dxfId="283" priority="293" stopIfTrue="1">
      <formula>ISERROR(B25)</formula>
    </cfRule>
  </conditionalFormatting>
  <conditionalFormatting sqref="C38">
    <cfRule type="expression" dxfId="282" priority="269" stopIfTrue="1">
      <formula>ISERROR(C38)</formula>
    </cfRule>
  </conditionalFormatting>
  <conditionalFormatting sqref="E38">
    <cfRule type="expression" dxfId="281" priority="268" stopIfTrue="1">
      <formula>ISERROR(E38)</formula>
    </cfRule>
  </conditionalFormatting>
  <conditionalFormatting sqref="H25">
    <cfRule type="expression" dxfId="280" priority="287" stopIfTrue="1">
      <formula>ISERROR(H25)</formula>
    </cfRule>
  </conditionalFormatting>
  <conditionalFormatting sqref="I25">
    <cfRule type="expression" dxfId="279" priority="286" stopIfTrue="1">
      <formula>ISERROR(I25)</formula>
    </cfRule>
  </conditionalFormatting>
  <conditionalFormatting sqref="I25">
    <cfRule type="expression" dxfId="278" priority="285" stopIfTrue="1">
      <formula>ISERROR(I25)</formula>
    </cfRule>
  </conditionalFormatting>
  <conditionalFormatting sqref="K25">
    <cfRule type="expression" dxfId="277" priority="284" stopIfTrue="1">
      <formula>ISERROR(K25)</formula>
    </cfRule>
  </conditionalFormatting>
  <conditionalFormatting sqref="K25">
    <cfRule type="expression" dxfId="276" priority="283" stopIfTrue="1">
      <formula>ISERROR(K25)</formula>
    </cfRule>
  </conditionalFormatting>
  <conditionalFormatting sqref="N38">
    <cfRule type="expression" dxfId="275" priority="258" stopIfTrue="1">
      <formula>ISERROR(N38)</formula>
    </cfRule>
  </conditionalFormatting>
  <conditionalFormatting sqref="N38">
    <cfRule type="expression" dxfId="274" priority="257" stopIfTrue="1">
      <formula>ISERROR(N38)</formula>
    </cfRule>
  </conditionalFormatting>
  <conditionalFormatting sqref="Q38">
    <cfRule type="expression" dxfId="273" priority="254" stopIfTrue="1">
      <formula>ISERROR(Q38)</formula>
    </cfRule>
  </conditionalFormatting>
  <conditionalFormatting sqref="R38">
    <cfRule type="expression" dxfId="272" priority="253" stopIfTrue="1">
      <formula>ISERROR(R38)</formula>
    </cfRule>
  </conditionalFormatting>
  <conditionalFormatting sqref="J25">
    <cfRule type="expression" dxfId="271" priority="274" stopIfTrue="1">
      <formula>ISERROR(J25)</formula>
    </cfRule>
  </conditionalFormatting>
  <conditionalFormatting sqref="B49:G49 Q49:R49">
    <cfRule type="expression" dxfId="270" priority="249" stopIfTrue="1">
      <formula>ISERROR(B49)</formula>
    </cfRule>
  </conditionalFormatting>
  <conditionalFormatting sqref="Q49:R49 D49:G49">
    <cfRule type="expression" dxfId="269" priority="248" stopIfTrue="1">
      <formula>ISERROR(D49)</formula>
    </cfRule>
  </conditionalFormatting>
  <conditionalFormatting sqref="F38">
    <cfRule type="expression" dxfId="268" priority="267" stopIfTrue="1">
      <formula>ISERROR(F38)</formula>
    </cfRule>
  </conditionalFormatting>
  <conditionalFormatting sqref="H38">
    <cfRule type="expression" dxfId="267" priority="266" stopIfTrue="1">
      <formula>ISERROR(H38)</formula>
    </cfRule>
  </conditionalFormatting>
  <conditionalFormatting sqref="H38">
    <cfRule type="expression" dxfId="266" priority="265" stopIfTrue="1">
      <formula>ISERROR(H38)</formula>
    </cfRule>
  </conditionalFormatting>
  <conditionalFormatting sqref="I38">
    <cfRule type="expression" dxfId="265" priority="264" stopIfTrue="1">
      <formula>ISERROR(I38)</formula>
    </cfRule>
  </conditionalFormatting>
  <conditionalFormatting sqref="I38">
    <cfRule type="expression" dxfId="264" priority="263" stopIfTrue="1">
      <formula>ISERROR(I38)</formula>
    </cfRule>
  </conditionalFormatting>
  <conditionalFormatting sqref="L49">
    <cfRule type="expression" dxfId="263" priority="238" stopIfTrue="1">
      <formula>ISERROR(L49)</formula>
    </cfRule>
  </conditionalFormatting>
  <conditionalFormatting sqref="L49">
    <cfRule type="expression" dxfId="262" priority="237" stopIfTrue="1">
      <formula>ISERROR(L49)</formula>
    </cfRule>
  </conditionalFormatting>
  <conditionalFormatting sqref="O38">
    <cfRule type="expression" dxfId="261" priority="256" stopIfTrue="1">
      <formula>ISERROR(O38)</formula>
    </cfRule>
  </conditionalFormatting>
  <conditionalFormatting sqref="O38">
    <cfRule type="expression" dxfId="260" priority="255" stopIfTrue="1">
      <formula>ISERROR(O38)</formula>
    </cfRule>
  </conditionalFormatting>
  <conditionalFormatting sqref="J38">
    <cfRule type="expression" dxfId="259" priority="252" stopIfTrue="1">
      <formula>ISERROR(J38)</formula>
    </cfRule>
  </conditionalFormatting>
  <conditionalFormatting sqref="M49">
    <cfRule type="expression" dxfId="258" priority="229" stopIfTrue="1">
      <formula>ISERROR(M49)</formula>
    </cfRule>
  </conditionalFormatting>
  <conditionalFormatting sqref="P49">
    <cfRule type="expression" dxfId="257" priority="228" stopIfTrue="1">
      <formula>ISERROR(P49)</formula>
    </cfRule>
  </conditionalFormatting>
  <conditionalFormatting sqref="C49">
    <cfRule type="expression" dxfId="256" priority="247" stopIfTrue="1">
      <formula>ISERROR(C49)</formula>
    </cfRule>
  </conditionalFormatting>
  <conditionalFormatting sqref="E49">
    <cfRule type="expression" dxfId="255" priority="246" stopIfTrue="1">
      <formula>ISERROR(E49)</formula>
    </cfRule>
  </conditionalFormatting>
  <conditionalFormatting sqref="F49">
    <cfRule type="expression" dxfId="254" priority="245" stopIfTrue="1">
      <formula>ISERROR(F49)</formula>
    </cfRule>
  </conditionalFormatting>
  <conditionalFormatting sqref="H49">
    <cfRule type="expression" dxfId="253" priority="244" stopIfTrue="1">
      <formula>ISERROR(H49)</formula>
    </cfRule>
  </conditionalFormatting>
  <conditionalFormatting sqref="H49">
    <cfRule type="expression" dxfId="252" priority="243" stopIfTrue="1">
      <formula>ISERROR(H49)</formula>
    </cfRule>
  </conditionalFormatting>
  <conditionalFormatting sqref="I49">
    <cfRule type="expression" dxfId="251" priority="242" stopIfTrue="1">
      <formula>ISERROR(I49)</formula>
    </cfRule>
  </conditionalFormatting>
  <conditionalFormatting sqref="I49">
    <cfRule type="expression" dxfId="250" priority="241" stopIfTrue="1">
      <formula>ISERROR(I49)</formula>
    </cfRule>
  </conditionalFormatting>
  <conditionalFormatting sqref="K62">
    <cfRule type="expression" dxfId="249" priority="218" stopIfTrue="1">
      <formula>ISERROR(K62)</formula>
    </cfRule>
  </conditionalFormatting>
  <conditionalFormatting sqref="K62">
    <cfRule type="expression" dxfId="248" priority="217" stopIfTrue="1">
      <formula>ISERROR(K62)</formula>
    </cfRule>
  </conditionalFormatting>
  <conditionalFormatting sqref="N49">
    <cfRule type="expression" dxfId="247" priority="236" stopIfTrue="1">
      <formula>ISERROR(N49)</formula>
    </cfRule>
  </conditionalFormatting>
  <conditionalFormatting sqref="N49">
    <cfRule type="expression" dxfId="246" priority="235" stopIfTrue="1">
      <formula>ISERROR(N49)</formula>
    </cfRule>
  </conditionalFormatting>
  <conditionalFormatting sqref="O49">
    <cfRule type="expression" dxfId="245" priority="234" stopIfTrue="1">
      <formula>ISERROR(O49)</formula>
    </cfRule>
  </conditionalFormatting>
  <conditionalFormatting sqref="O49">
    <cfRule type="expression" dxfId="244" priority="233" stopIfTrue="1">
      <formula>ISERROR(O49)</formula>
    </cfRule>
  </conditionalFormatting>
  <conditionalFormatting sqref="Q49">
    <cfRule type="expression" dxfId="243" priority="232" stopIfTrue="1">
      <formula>ISERROR(Q49)</formula>
    </cfRule>
  </conditionalFormatting>
  <conditionalFormatting sqref="R49">
    <cfRule type="expression" dxfId="242" priority="231" stopIfTrue="1">
      <formula>ISERROR(R49)</formula>
    </cfRule>
  </conditionalFormatting>
  <conditionalFormatting sqref="J49">
    <cfRule type="expression" dxfId="241" priority="230" stopIfTrue="1">
      <formula>ISERROR(J49)</formula>
    </cfRule>
  </conditionalFormatting>
  <conditionalFormatting sqref="B62:G62 Q62:R62">
    <cfRule type="expression" dxfId="240" priority="227" stopIfTrue="1">
      <formula>ISERROR(B62)</formula>
    </cfRule>
  </conditionalFormatting>
  <conditionalFormatting sqref="Q62:R62 D62:G62">
    <cfRule type="expression" dxfId="239" priority="226" stopIfTrue="1">
      <formula>ISERROR(D62)</formula>
    </cfRule>
  </conditionalFormatting>
  <conditionalFormatting sqref="C62">
    <cfRule type="expression" dxfId="238" priority="225" stopIfTrue="1">
      <formula>ISERROR(C62)</formula>
    </cfRule>
  </conditionalFormatting>
  <conditionalFormatting sqref="E62">
    <cfRule type="expression" dxfId="237" priority="224" stopIfTrue="1">
      <formula>ISERROR(E62)</formula>
    </cfRule>
  </conditionalFormatting>
  <conditionalFormatting sqref="F62">
    <cfRule type="expression" dxfId="236" priority="223" stopIfTrue="1">
      <formula>ISERROR(F62)</formula>
    </cfRule>
  </conditionalFormatting>
  <conditionalFormatting sqref="H62">
    <cfRule type="expression" dxfId="235" priority="222" stopIfTrue="1">
      <formula>ISERROR(H62)</formula>
    </cfRule>
  </conditionalFormatting>
  <conditionalFormatting sqref="H62">
    <cfRule type="expression" dxfId="234" priority="221" stopIfTrue="1">
      <formula>ISERROR(H62)</formula>
    </cfRule>
  </conditionalFormatting>
  <conditionalFormatting sqref="I62">
    <cfRule type="expression" dxfId="233" priority="220" stopIfTrue="1">
      <formula>ISERROR(I62)</formula>
    </cfRule>
  </conditionalFormatting>
  <conditionalFormatting sqref="I62">
    <cfRule type="expression" dxfId="232" priority="219" stopIfTrue="1">
      <formula>ISERROR(I62)</formula>
    </cfRule>
  </conditionalFormatting>
  <conditionalFormatting sqref="L62">
    <cfRule type="expression" dxfId="231" priority="216" stopIfTrue="1">
      <formula>ISERROR(L62)</formula>
    </cfRule>
  </conditionalFormatting>
  <conditionalFormatting sqref="L62">
    <cfRule type="expression" dxfId="230" priority="215" stopIfTrue="1">
      <formula>ISERROR(L62)</formula>
    </cfRule>
  </conditionalFormatting>
  <conditionalFormatting sqref="N62">
    <cfRule type="expression" dxfId="229" priority="214" stopIfTrue="1">
      <formula>ISERROR(N62)</formula>
    </cfRule>
  </conditionalFormatting>
  <conditionalFormatting sqref="N62">
    <cfRule type="expression" dxfId="228" priority="213" stopIfTrue="1">
      <formula>ISERROR(N62)</formula>
    </cfRule>
  </conditionalFormatting>
  <conditionalFormatting sqref="O70">
    <cfRule type="expression" dxfId="227" priority="190" stopIfTrue="1">
      <formula>ISERROR(O70)</formula>
    </cfRule>
  </conditionalFormatting>
  <conditionalFormatting sqref="O62">
    <cfRule type="expression" dxfId="226" priority="211" stopIfTrue="1">
      <formula>ISERROR(O62)</formula>
    </cfRule>
  </conditionalFormatting>
  <conditionalFormatting sqref="Q62">
    <cfRule type="expression" dxfId="225" priority="210" stopIfTrue="1">
      <formula>ISERROR(Q62)</formula>
    </cfRule>
  </conditionalFormatting>
  <conditionalFormatting sqref="R62">
    <cfRule type="expression" dxfId="224" priority="209" stopIfTrue="1">
      <formula>ISERROR(R62)</formula>
    </cfRule>
  </conditionalFormatting>
  <conditionalFormatting sqref="J62">
    <cfRule type="expression" dxfId="223" priority="208" stopIfTrue="1">
      <formula>ISERROR(J62)</formula>
    </cfRule>
  </conditionalFormatting>
  <conditionalFormatting sqref="M62">
    <cfRule type="expression" dxfId="222" priority="207" stopIfTrue="1">
      <formula>ISERROR(M62)</formula>
    </cfRule>
  </conditionalFormatting>
  <conditionalFormatting sqref="P70">
    <cfRule type="expression" dxfId="221" priority="184" stopIfTrue="1">
      <formula>ISERROR(P70)</formula>
    </cfRule>
  </conditionalFormatting>
  <conditionalFormatting sqref="B70:G70 Q70:R70">
    <cfRule type="expression" dxfId="220" priority="205" stopIfTrue="1">
      <formula>ISERROR(B70)</formula>
    </cfRule>
  </conditionalFormatting>
  <conditionalFormatting sqref="Q70:R70 D70:G70">
    <cfRule type="expression" dxfId="219" priority="204" stopIfTrue="1">
      <formula>ISERROR(D70)</formula>
    </cfRule>
  </conditionalFormatting>
  <conditionalFormatting sqref="C70">
    <cfRule type="expression" dxfId="218" priority="203" stopIfTrue="1">
      <formula>ISERROR(C70)</formula>
    </cfRule>
  </conditionalFormatting>
  <conditionalFormatting sqref="E70">
    <cfRule type="expression" dxfId="217" priority="202" stopIfTrue="1">
      <formula>ISERROR(E70)</formula>
    </cfRule>
  </conditionalFormatting>
  <conditionalFormatting sqref="F70">
    <cfRule type="expression" dxfId="216" priority="201" stopIfTrue="1">
      <formula>ISERROR(F70)</formula>
    </cfRule>
  </conditionalFormatting>
  <conditionalFormatting sqref="H70">
    <cfRule type="expression" dxfId="215" priority="200" stopIfTrue="1">
      <formula>ISERROR(H70)</formula>
    </cfRule>
  </conditionalFormatting>
  <conditionalFormatting sqref="H70">
    <cfRule type="expression" dxfId="214" priority="199" stopIfTrue="1">
      <formula>ISERROR(H70)</formula>
    </cfRule>
  </conditionalFormatting>
  <conditionalFormatting sqref="I70">
    <cfRule type="expression" dxfId="213" priority="198" stopIfTrue="1">
      <formula>ISERROR(I70)</formula>
    </cfRule>
  </conditionalFormatting>
  <conditionalFormatting sqref="I70">
    <cfRule type="expression" dxfId="212" priority="197" stopIfTrue="1">
      <formula>ISERROR(I70)</formula>
    </cfRule>
  </conditionalFormatting>
  <conditionalFormatting sqref="K70">
    <cfRule type="expression" dxfId="211" priority="196" stopIfTrue="1">
      <formula>ISERROR(K70)</formula>
    </cfRule>
  </conditionalFormatting>
  <conditionalFormatting sqref="K70">
    <cfRule type="expression" dxfId="210" priority="195" stopIfTrue="1">
      <formula>ISERROR(K70)</formula>
    </cfRule>
  </conditionalFormatting>
  <conditionalFormatting sqref="L70">
    <cfRule type="expression" dxfId="209" priority="194" stopIfTrue="1">
      <formula>ISERROR(L70)</formula>
    </cfRule>
  </conditionalFormatting>
  <conditionalFormatting sqref="L70">
    <cfRule type="expression" dxfId="208" priority="193" stopIfTrue="1">
      <formula>ISERROR(L70)</formula>
    </cfRule>
  </conditionalFormatting>
  <conditionalFormatting sqref="N70">
    <cfRule type="expression" dxfId="207" priority="192" stopIfTrue="1">
      <formula>ISERROR(N70)</formula>
    </cfRule>
  </conditionalFormatting>
  <conditionalFormatting sqref="N70">
    <cfRule type="expression" dxfId="206" priority="191" stopIfTrue="1">
      <formula>ISERROR(N70)</formula>
    </cfRule>
  </conditionalFormatting>
  <conditionalFormatting sqref="O70">
    <cfRule type="expression" dxfId="205" priority="189" stopIfTrue="1">
      <formula>ISERROR(O70)</formula>
    </cfRule>
  </conditionalFormatting>
  <conditionalFormatting sqref="Q70">
    <cfRule type="expression" dxfId="204" priority="188" stopIfTrue="1">
      <formula>ISERROR(Q70)</formula>
    </cfRule>
  </conditionalFormatting>
  <conditionalFormatting sqref="R70">
    <cfRule type="expression" dxfId="203" priority="187" stopIfTrue="1">
      <formula>ISERROR(R70)</formula>
    </cfRule>
  </conditionalFormatting>
  <conditionalFormatting sqref="J70">
    <cfRule type="expression" dxfId="202" priority="186" stopIfTrue="1">
      <formula>ISERROR(J70)</formula>
    </cfRule>
  </conditionalFormatting>
  <conditionalFormatting sqref="M70">
    <cfRule type="expression" dxfId="201" priority="185" stopIfTrue="1">
      <formula>ISERROR(M70)</formula>
    </cfRule>
  </conditionalFormatting>
  <conditionalFormatting sqref="O75">
    <cfRule type="expression" dxfId="200" priority="168" stopIfTrue="1">
      <formula>ISERROR(O75)</formula>
    </cfRule>
  </conditionalFormatting>
  <conditionalFormatting sqref="E74">
    <cfRule type="expression" dxfId="199" priority="157" stopIfTrue="1">
      <formula>ISERROR(E74)</formula>
    </cfRule>
  </conditionalFormatting>
  <conditionalFormatting sqref="K75">
    <cfRule type="expression" dxfId="198" priority="174" stopIfTrue="1">
      <formula>ISERROR(K75)</formula>
    </cfRule>
  </conditionalFormatting>
  <conditionalFormatting sqref="K75">
    <cfRule type="expression" dxfId="197" priority="173" stopIfTrue="1">
      <formula>ISERROR(K75)</formula>
    </cfRule>
  </conditionalFormatting>
  <conditionalFormatting sqref="B75:F75 Q75:R75">
    <cfRule type="expression" dxfId="196" priority="183" stopIfTrue="1">
      <formula>ISERROR(B75)</formula>
    </cfRule>
  </conditionalFormatting>
  <conditionalFormatting sqref="Q75:R75 D75:F75">
    <cfRule type="expression" dxfId="195" priority="182" stopIfTrue="1">
      <formula>ISERROR(D75)</formula>
    </cfRule>
  </conditionalFormatting>
  <conditionalFormatting sqref="C75">
    <cfRule type="expression" dxfId="194" priority="181" stopIfTrue="1">
      <formula>ISERROR(C75)</formula>
    </cfRule>
  </conditionalFormatting>
  <conditionalFormatting sqref="E75">
    <cfRule type="expression" dxfId="193" priority="180" stopIfTrue="1">
      <formula>ISERROR(E75)</formula>
    </cfRule>
  </conditionalFormatting>
  <conditionalFormatting sqref="F75">
    <cfRule type="expression" dxfId="192" priority="179" stopIfTrue="1">
      <formula>ISERROR(F75)</formula>
    </cfRule>
  </conditionalFormatting>
  <conditionalFormatting sqref="H75">
    <cfRule type="expression" dxfId="191" priority="178" stopIfTrue="1">
      <formula>ISERROR(H75)</formula>
    </cfRule>
  </conditionalFormatting>
  <conditionalFormatting sqref="H75">
    <cfRule type="expression" dxfId="190" priority="177" stopIfTrue="1">
      <formula>ISERROR(H75)</formula>
    </cfRule>
  </conditionalFormatting>
  <conditionalFormatting sqref="I75">
    <cfRule type="expression" dxfId="189" priority="176" stopIfTrue="1">
      <formula>ISERROR(I75)</formula>
    </cfRule>
  </conditionalFormatting>
  <conditionalFormatting sqref="I75">
    <cfRule type="expression" dxfId="188" priority="175" stopIfTrue="1">
      <formula>ISERROR(I75)</formula>
    </cfRule>
  </conditionalFormatting>
  <conditionalFormatting sqref="L75">
    <cfRule type="expression" dxfId="187" priority="172" stopIfTrue="1">
      <formula>ISERROR(L75)</formula>
    </cfRule>
  </conditionalFormatting>
  <conditionalFormatting sqref="L75">
    <cfRule type="expression" dxfId="186" priority="171" stopIfTrue="1">
      <formula>ISERROR(L75)</formula>
    </cfRule>
  </conditionalFormatting>
  <conditionalFormatting sqref="N75">
    <cfRule type="expression" dxfId="185" priority="170" stopIfTrue="1">
      <formula>ISERROR(N75)</formula>
    </cfRule>
  </conditionalFormatting>
  <conditionalFormatting sqref="N75">
    <cfRule type="expression" dxfId="184" priority="169" stopIfTrue="1">
      <formula>ISERROR(N75)</formula>
    </cfRule>
  </conditionalFormatting>
  <conditionalFormatting sqref="O75">
    <cfRule type="expression" dxfId="183" priority="167" stopIfTrue="1">
      <formula>ISERROR(O75)</formula>
    </cfRule>
  </conditionalFormatting>
  <conditionalFormatting sqref="Q75">
    <cfRule type="expression" dxfId="182" priority="166" stopIfTrue="1">
      <formula>ISERROR(Q75)</formula>
    </cfRule>
  </conditionalFormatting>
  <conditionalFormatting sqref="R75">
    <cfRule type="expression" dxfId="181" priority="165" stopIfTrue="1">
      <formula>ISERROR(R75)</formula>
    </cfRule>
  </conditionalFormatting>
  <conditionalFormatting sqref="R79">
    <cfRule type="expression" dxfId="180" priority="132" stopIfTrue="1">
      <formula>ISERROR(R79)</formula>
    </cfRule>
  </conditionalFormatting>
  <conditionalFormatting sqref="G75">
    <cfRule type="expression" dxfId="179" priority="164" stopIfTrue="1">
      <formula>ISERROR(G75)</formula>
    </cfRule>
  </conditionalFormatting>
  <conditionalFormatting sqref="J75">
    <cfRule type="expression" dxfId="178" priority="163" stopIfTrue="1">
      <formula>ISERROR(J75)</formula>
    </cfRule>
  </conditionalFormatting>
  <conditionalFormatting sqref="M75">
    <cfRule type="expression" dxfId="177" priority="162" stopIfTrue="1">
      <formula>ISERROR(M75)</formula>
    </cfRule>
  </conditionalFormatting>
  <conditionalFormatting sqref="P75">
    <cfRule type="expression" dxfId="176" priority="161" stopIfTrue="1">
      <formula>ISERROR(P75)</formula>
    </cfRule>
  </conditionalFormatting>
  <conditionalFormatting sqref="S75">
    <cfRule type="expression" dxfId="175" priority="160" stopIfTrue="1">
      <formula>ISERROR(S75)</formula>
    </cfRule>
  </conditionalFormatting>
  <conditionalFormatting sqref="S75">
    <cfRule type="expression" dxfId="174" priority="159" stopIfTrue="1">
      <formula>ISERROR(S75)</formula>
    </cfRule>
  </conditionalFormatting>
  <conditionalFormatting sqref="S75">
    <cfRule type="expression" dxfId="173" priority="158" stopIfTrue="1">
      <formula>ISERROR(S75)</formula>
    </cfRule>
  </conditionalFormatting>
  <conditionalFormatting sqref="H74">
    <cfRule type="expression" dxfId="172" priority="153" stopIfTrue="1">
      <formula>ISERROR(H74)</formula>
    </cfRule>
  </conditionalFormatting>
  <conditionalFormatting sqref="C74">
    <cfRule type="expression" dxfId="171" priority="156" stopIfTrue="1">
      <formula>ISERROR(C74)</formula>
    </cfRule>
  </conditionalFormatting>
  <conditionalFormatting sqref="Q74">
    <cfRule type="expression" dxfId="170" priority="155" stopIfTrue="1">
      <formula>ISERROR(Q74)</formula>
    </cfRule>
  </conditionalFormatting>
  <conditionalFormatting sqref="R74">
    <cfRule type="expression" dxfId="169" priority="154" stopIfTrue="1">
      <formula>ISERROR(R74)</formula>
    </cfRule>
  </conditionalFormatting>
  <conditionalFormatting sqref="K74">
    <cfRule type="expression" dxfId="168" priority="152" stopIfTrue="1">
      <formula>ISERROR(K74)</formula>
    </cfRule>
  </conditionalFormatting>
  <conditionalFormatting sqref="N74">
    <cfRule type="expression" dxfId="167" priority="151" stopIfTrue="1">
      <formula>ISERROR(N74)</formula>
    </cfRule>
  </conditionalFormatting>
  <conditionalFormatting sqref="O79">
    <cfRule type="expression" dxfId="166" priority="135" stopIfTrue="1">
      <formula>ISERROR(O79)</formula>
    </cfRule>
  </conditionalFormatting>
  <conditionalFormatting sqref="P79">
    <cfRule type="expression" dxfId="165" priority="129" stopIfTrue="1">
      <formula>ISERROR(P79)</formula>
    </cfRule>
  </conditionalFormatting>
  <conditionalFormatting sqref="B79:G79 Q79:R79">
    <cfRule type="expression" dxfId="164" priority="150" stopIfTrue="1">
      <formula>ISERROR(B79)</formula>
    </cfRule>
  </conditionalFormatting>
  <conditionalFormatting sqref="Q79:R79 D79:G79">
    <cfRule type="expression" dxfId="163" priority="149" stopIfTrue="1">
      <formula>ISERROR(D79)</formula>
    </cfRule>
  </conditionalFormatting>
  <conditionalFormatting sqref="C79">
    <cfRule type="expression" dxfId="162" priority="148" stopIfTrue="1">
      <formula>ISERROR(C79)</formula>
    </cfRule>
  </conditionalFormatting>
  <conditionalFormatting sqref="E79">
    <cfRule type="expression" dxfId="161" priority="147" stopIfTrue="1">
      <formula>ISERROR(E79)</formula>
    </cfRule>
  </conditionalFormatting>
  <conditionalFormatting sqref="F79">
    <cfRule type="expression" dxfId="160" priority="146" stopIfTrue="1">
      <formula>ISERROR(F79)</formula>
    </cfRule>
  </conditionalFormatting>
  <conditionalFormatting sqref="H79">
    <cfRule type="expression" dxfId="159" priority="145" stopIfTrue="1">
      <formula>ISERROR(H79)</formula>
    </cfRule>
  </conditionalFormatting>
  <conditionalFormatting sqref="H79">
    <cfRule type="expression" dxfId="158" priority="144" stopIfTrue="1">
      <formula>ISERROR(H79)</formula>
    </cfRule>
  </conditionalFormatting>
  <conditionalFormatting sqref="I79">
    <cfRule type="expression" dxfId="157" priority="143" stopIfTrue="1">
      <formula>ISERROR(I79)</formula>
    </cfRule>
  </conditionalFormatting>
  <conditionalFormatting sqref="I79">
    <cfRule type="expression" dxfId="156" priority="142" stopIfTrue="1">
      <formula>ISERROR(I79)</formula>
    </cfRule>
  </conditionalFormatting>
  <conditionalFormatting sqref="K79">
    <cfRule type="expression" dxfId="155" priority="141" stopIfTrue="1">
      <formula>ISERROR(K79)</formula>
    </cfRule>
  </conditionalFormatting>
  <conditionalFormatting sqref="K79">
    <cfRule type="expression" dxfId="154" priority="140" stopIfTrue="1">
      <formula>ISERROR(K79)</formula>
    </cfRule>
  </conditionalFormatting>
  <conditionalFormatting sqref="L79">
    <cfRule type="expression" dxfId="153" priority="139" stopIfTrue="1">
      <formula>ISERROR(L79)</formula>
    </cfRule>
  </conditionalFormatting>
  <conditionalFormatting sqref="L79">
    <cfRule type="expression" dxfId="152" priority="138" stopIfTrue="1">
      <formula>ISERROR(L79)</formula>
    </cfRule>
  </conditionalFormatting>
  <conditionalFormatting sqref="N79">
    <cfRule type="expression" dxfId="151" priority="137" stopIfTrue="1">
      <formula>ISERROR(N79)</formula>
    </cfRule>
  </conditionalFormatting>
  <conditionalFormatting sqref="N79">
    <cfRule type="expression" dxfId="150" priority="136" stopIfTrue="1">
      <formula>ISERROR(N79)</formula>
    </cfRule>
  </conditionalFormatting>
  <conditionalFormatting sqref="O79">
    <cfRule type="expression" dxfId="149" priority="134" stopIfTrue="1">
      <formula>ISERROR(O79)</formula>
    </cfRule>
  </conditionalFormatting>
  <conditionalFormatting sqref="Q79">
    <cfRule type="expression" dxfId="148" priority="133" stopIfTrue="1">
      <formula>ISERROR(Q79)</formula>
    </cfRule>
  </conditionalFormatting>
  <conditionalFormatting sqref="J79">
    <cfRule type="expression" dxfId="147" priority="131" stopIfTrue="1">
      <formula>ISERROR(J79)</formula>
    </cfRule>
  </conditionalFormatting>
  <conditionalFormatting sqref="M79">
    <cfRule type="expression" dxfId="146" priority="130" stopIfTrue="1">
      <formula>ISERROR(M79)</formula>
    </cfRule>
  </conditionalFormatting>
  <conditionalFormatting sqref="S70">
    <cfRule type="expression" dxfId="145" priority="128" stopIfTrue="1">
      <formula>ISERROR(S70)</formula>
    </cfRule>
  </conditionalFormatting>
  <conditionalFormatting sqref="S70">
    <cfRule type="expression" dxfId="144" priority="127" stopIfTrue="1">
      <formula>ISERROR(S70)</formula>
    </cfRule>
  </conditionalFormatting>
  <conditionalFormatting sqref="S70">
    <cfRule type="expression" dxfId="143" priority="126" stopIfTrue="1">
      <formula>ISERROR(S70)</formula>
    </cfRule>
  </conditionalFormatting>
  <conditionalFormatting sqref="S79">
    <cfRule type="expression" dxfId="142" priority="123" stopIfTrue="1">
      <formula>ISERROR(S79)</formula>
    </cfRule>
  </conditionalFormatting>
  <conditionalFormatting sqref="S79">
    <cfRule type="expression" dxfId="141" priority="125" stopIfTrue="1">
      <formula>ISERROR(S79)</formula>
    </cfRule>
  </conditionalFormatting>
  <conditionalFormatting sqref="S79">
    <cfRule type="expression" dxfId="140" priority="124" stopIfTrue="1">
      <formula>ISERROR(S79)</formula>
    </cfRule>
  </conditionalFormatting>
  <conditionalFormatting sqref="S74">
    <cfRule type="expression" dxfId="139" priority="122" stopIfTrue="1">
      <formula>ISERROR(S74)</formula>
    </cfRule>
  </conditionalFormatting>
  <conditionalFormatting sqref="A1:T79">
    <cfRule type="expression" dxfId="138" priority="121">
      <formula>IF(A1="none",TRUE,FALSE)</formula>
    </cfRule>
  </conditionalFormatting>
  <conditionalFormatting sqref="S7:S24">
    <cfRule type="expression" dxfId="137" priority="120" stopIfTrue="1">
      <formula>ISERROR(S7)</formula>
    </cfRule>
  </conditionalFormatting>
  <conditionalFormatting sqref="S25">
    <cfRule type="expression" dxfId="136" priority="116" stopIfTrue="1">
      <formula>ISERROR(S25)</formula>
    </cfRule>
  </conditionalFormatting>
  <conditionalFormatting sqref="S7">
    <cfRule type="expression" dxfId="135" priority="119" stopIfTrue="1">
      <formula>ISERROR(S7)</formula>
    </cfRule>
  </conditionalFormatting>
  <conditionalFormatting sqref="S38">
    <cfRule type="expression" dxfId="134" priority="115" stopIfTrue="1">
      <formula>ISERROR(S38)</formula>
    </cfRule>
  </conditionalFormatting>
  <conditionalFormatting sqref="S38">
    <cfRule type="expression" dxfId="133" priority="114" stopIfTrue="1">
      <formula>ISERROR(S38)</formula>
    </cfRule>
  </conditionalFormatting>
  <conditionalFormatting sqref="S25">
    <cfRule type="expression" dxfId="132" priority="117" stopIfTrue="1">
      <formula>ISERROR(S25)</formula>
    </cfRule>
  </conditionalFormatting>
  <conditionalFormatting sqref="S25">
    <cfRule type="expression" dxfId="131" priority="118" stopIfTrue="1">
      <formula>ISERROR(S25)</formula>
    </cfRule>
  </conditionalFormatting>
  <conditionalFormatting sqref="S38">
    <cfRule type="expression" dxfId="130" priority="113" stopIfTrue="1">
      <formula>ISERROR(S38)</formula>
    </cfRule>
  </conditionalFormatting>
  <conditionalFormatting sqref="S49">
    <cfRule type="expression" dxfId="129" priority="112" stopIfTrue="1">
      <formula>ISERROR(S49)</formula>
    </cfRule>
  </conditionalFormatting>
  <conditionalFormatting sqref="S49">
    <cfRule type="expression" dxfId="128" priority="111" stopIfTrue="1">
      <formula>ISERROR(S49)</formula>
    </cfRule>
  </conditionalFormatting>
  <conditionalFormatting sqref="S49">
    <cfRule type="expression" dxfId="127" priority="110" stopIfTrue="1">
      <formula>ISERROR(S49)</formula>
    </cfRule>
  </conditionalFormatting>
  <conditionalFormatting sqref="S62">
    <cfRule type="expression" dxfId="126" priority="109" stopIfTrue="1">
      <formula>ISERROR(S62)</formula>
    </cfRule>
  </conditionalFormatting>
  <conditionalFormatting sqref="S62">
    <cfRule type="expression" dxfId="125" priority="108" stopIfTrue="1">
      <formula>ISERROR(S62)</formula>
    </cfRule>
  </conditionalFormatting>
  <conditionalFormatting sqref="S62">
    <cfRule type="expression" dxfId="124" priority="107" stopIfTrue="1">
      <formula>ISERROR(S62)</formula>
    </cfRule>
  </conditionalFormatting>
  <conditionalFormatting sqref="S70">
    <cfRule type="expression" dxfId="123" priority="106" stopIfTrue="1">
      <formula>ISERROR(S70)</formula>
    </cfRule>
  </conditionalFormatting>
  <conditionalFormatting sqref="S70">
    <cfRule type="expression" dxfId="122" priority="105" stopIfTrue="1">
      <formula>ISERROR(S70)</formula>
    </cfRule>
  </conditionalFormatting>
  <conditionalFormatting sqref="S70">
    <cfRule type="expression" dxfId="121" priority="104" stopIfTrue="1">
      <formula>ISERROR(S70)</formula>
    </cfRule>
  </conditionalFormatting>
  <conditionalFormatting sqref="S26:S37">
    <cfRule type="expression" dxfId="120" priority="103" stopIfTrue="1">
      <formula>ISERROR(S26)</formula>
    </cfRule>
  </conditionalFormatting>
  <conditionalFormatting sqref="S39:S48">
    <cfRule type="expression" dxfId="119" priority="102" stopIfTrue="1">
      <formula>ISERROR(S39)</formula>
    </cfRule>
  </conditionalFormatting>
  <conditionalFormatting sqref="S39:S48">
    <cfRule type="expression" dxfId="118" priority="101" stopIfTrue="1">
      <formula>ISERROR(S39)</formula>
    </cfRule>
  </conditionalFormatting>
  <conditionalFormatting sqref="S50:S61">
    <cfRule type="expression" dxfId="117" priority="100" stopIfTrue="1">
      <formula>ISERROR(S50)</formula>
    </cfRule>
  </conditionalFormatting>
  <conditionalFormatting sqref="S50:S61">
    <cfRule type="expression" dxfId="116" priority="99" stopIfTrue="1">
      <formula>ISERROR(S50)</formula>
    </cfRule>
  </conditionalFormatting>
  <conditionalFormatting sqref="S63:S69">
    <cfRule type="expression" dxfId="115" priority="98" stopIfTrue="1">
      <formula>ISERROR(S63)</formula>
    </cfRule>
  </conditionalFormatting>
  <conditionalFormatting sqref="S70">
    <cfRule type="expression" dxfId="114" priority="95" stopIfTrue="1">
      <formula>ISERROR(S70)</formula>
    </cfRule>
  </conditionalFormatting>
  <conditionalFormatting sqref="S70">
    <cfRule type="expression" dxfId="113" priority="96" stopIfTrue="1">
      <formula>ISERROR(S70)</formula>
    </cfRule>
  </conditionalFormatting>
  <conditionalFormatting sqref="S70">
    <cfRule type="expression" dxfId="112" priority="94" stopIfTrue="1">
      <formula>ISERROR(S70)</formula>
    </cfRule>
  </conditionalFormatting>
  <conditionalFormatting sqref="S70">
    <cfRule type="expression" dxfId="111" priority="93" stopIfTrue="1">
      <formula>ISERROR(S70)</formula>
    </cfRule>
  </conditionalFormatting>
  <conditionalFormatting sqref="S70">
    <cfRule type="expression" dxfId="110" priority="92" stopIfTrue="1">
      <formula>ISERROR(S70)</formula>
    </cfRule>
  </conditionalFormatting>
  <conditionalFormatting sqref="J7:J24">
    <cfRule type="expression" dxfId="109" priority="91" stopIfTrue="1">
      <formula>ISERROR(J7)</formula>
    </cfRule>
  </conditionalFormatting>
  <conditionalFormatting sqref="J38">
    <cfRule type="expression" dxfId="108" priority="88" stopIfTrue="1">
      <formula>ISERROR(J38)</formula>
    </cfRule>
  </conditionalFormatting>
  <conditionalFormatting sqref="J38">
    <cfRule type="expression" dxfId="107" priority="87" stopIfTrue="1">
      <formula>ISERROR(J38)</formula>
    </cfRule>
  </conditionalFormatting>
  <conditionalFormatting sqref="J25">
    <cfRule type="expression" dxfId="106" priority="89" stopIfTrue="1">
      <formula>ISERROR(J25)</formula>
    </cfRule>
  </conditionalFormatting>
  <conditionalFormatting sqref="J25">
    <cfRule type="expression" dxfId="105" priority="90" stopIfTrue="1">
      <formula>ISERROR(J25)</formula>
    </cfRule>
  </conditionalFormatting>
  <conditionalFormatting sqref="J49">
    <cfRule type="expression" dxfId="104" priority="86" stopIfTrue="1">
      <formula>ISERROR(J49)</formula>
    </cfRule>
  </conditionalFormatting>
  <conditionalFormatting sqref="J49">
    <cfRule type="expression" dxfId="103" priority="85" stopIfTrue="1">
      <formula>ISERROR(J49)</formula>
    </cfRule>
  </conditionalFormatting>
  <conditionalFormatting sqref="J62">
    <cfRule type="expression" dxfId="102" priority="84" stopIfTrue="1">
      <formula>ISERROR(J62)</formula>
    </cfRule>
  </conditionalFormatting>
  <conditionalFormatting sqref="J62">
    <cfRule type="expression" dxfId="101" priority="83" stopIfTrue="1">
      <formula>ISERROR(J62)</formula>
    </cfRule>
  </conditionalFormatting>
  <conditionalFormatting sqref="J70">
    <cfRule type="expression" dxfId="100" priority="82" stopIfTrue="1">
      <formula>ISERROR(J70)</formula>
    </cfRule>
  </conditionalFormatting>
  <conditionalFormatting sqref="J70">
    <cfRule type="expression" dxfId="99" priority="81" stopIfTrue="1">
      <formula>ISERROR(J70)</formula>
    </cfRule>
  </conditionalFormatting>
  <conditionalFormatting sqref="M7:M24">
    <cfRule type="expression" dxfId="98" priority="80" stopIfTrue="1">
      <formula>ISERROR(M7)</formula>
    </cfRule>
  </conditionalFormatting>
  <conditionalFormatting sqref="M38">
    <cfRule type="expression" dxfId="97" priority="77" stopIfTrue="1">
      <formula>ISERROR(M38)</formula>
    </cfRule>
  </conditionalFormatting>
  <conditionalFormatting sqref="M38">
    <cfRule type="expression" dxfId="96" priority="76" stopIfTrue="1">
      <formula>ISERROR(M38)</formula>
    </cfRule>
  </conditionalFormatting>
  <conditionalFormatting sqref="M25">
    <cfRule type="expression" dxfId="95" priority="78" stopIfTrue="1">
      <formula>ISERROR(M25)</formula>
    </cfRule>
  </conditionalFormatting>
  <conditionalFormatting sqref="M25">
    <cfRule type="expression" dxfId="94" priority="79" stopIfTrue="1">
      <formula>ISERROR(M25)</formula>
    </cfRule>
  </conditionalFormatting>
  <conditionalFormatting sqref="M49">
    <cfRule type="expression" dxfId="93" priority="75" stopIfTrue="1">
      <formula>ISERROR(M49)</formula>
    </cfRule>
  </conditionalFormatting>
  <conditionalFormatting sqref="M49">
    <cfRule type="expression" dxfId="92" priority="74" stopIfTrue="1">
      <formula>ISERROR(M49)</formula>
    </cfRule>
  </conditionalFormatting>
  <conditionalFormatting sqref="M62">
    <cfRule type="expression" dxfId="91" priority="73" stopIfTrue="1">
      <formula>ISERROR(M62)</formula>
    </cfRule>
  </conditionalFormatting>
  <conditionalFormatting sqref="M62">
    <cfRule type="expression" dxfId="90" priority="72" stopIfTrue="1">
      <formula>ISERROR(M62)</formula>
    </cfRule>
  </conditionalFormatting>
  <conditionalFormatting sqref="M70">
    <cfRule type="expression" dxfId="89" priority="71" stopIfTrue="1">
      <formula>ISERROR(M70)</formula>
    </cfRule>
  </conditionalFormatting>
  <conditionalFormatting sqref="M70">
    <cfRule type="expression" dxfId="88" priority="70" stopIfTrue="1">
      <formula>ISERROR(M70)</formula>
    </cfRule>
  </conditionalFormatting>
  <conditionalFormatting sqref="P7:P24">
    <cfRule type="expression" dxfId="87" priority="69" stopIfTrue="1">
      <formula>ISERROR(P7)</formula>
    </cfRule>
  </conditionalFormatting>
  <conditionalFormatting sqref="P38">
    <cfRule type="expression" dxfId="86" priority="66" stopIfTrue="1">
      <formula>ISERROR(P38)</formula>
    </cfRule>
  </conditionalFormatting>
  <conditionalFormatting sqref="P38">
    <cfRule type="expression" dxfId="85" priority="65" stopIfTrue="1">
      <formula>ISERROR(P38)</formula>
    </cfRule>
  </conditionalFormatting>
  <conditionalFormatting sqref="P25">
    <cfRule type="expression" dxfId="84" priority="67" stopIfTrue="1">
      <formula>ISERROR(P25)</formula>
    </cfRule>
  </conditionalFormatting>
  <conditionalFormatting sqref="P25">
    <cfRule type="expression" dxfId="83" priority="68" stopIfTrue="1">
      <formula>ISERROR(P25)</formula>
    </cfRule>
  </conditionalFormatting>
  <conditionalFormatting sqref="P49">
    <cfRule type="expression" dxfId="82" priority="64" stopIfTrue="1">
      <formula>ISERROR(P49)</formula>
    </cfRule>
  </conditionalFormatting>
  <conditionalFormatting sqref="P49">
    <cfRule type="expression" dxfId="81" priority="63" stopIfTrue="1">
      <formula>ISERROR(P49)</formula>
    </cfRule>
  </conditionalFormatting>
  <conditionalFormatting sqref="P62">
    <cfRule type="expression" dxfId="80" priority="62" stopIfTrue="1">
      <formula>ISERROR(P62)</formula>
    </cfRule>
  </conditionalFormatting>
  <conditionalFormatting sqref="P62">
    <cfRule type="expression" dxfId="79" priority="61" stopIfTrue="1">
      <formula>ISERROR(P62)</formula>
    </cfRule>
  </conditionalFormatting>
  <conditionalFormatting sqref="P70">
    <cfRule type="expression" dxfId="78" priority="60" stopIfTrue="1">
      <formula>ISERROR(P70)</formula>
    </cfRule>
  </conditionalFormatting>
  <conditionalFormatting sqref="P70">
    <cfRule type="expression" dxfId="77" priority="59" stopIfTrue="1">
      <formula>ISERROR(P70)</formula>
    </cfRule>
  </conditionalFormatting>
  <conditionalFormatting sqref="J75">
    <cfRule type="expression" dxfId="76" priority="58" stopIfTrue="1">
      <formula>ISERROR(J75)</formula>
    </cfRule>
  </conditionalFormatting>
  <conditionalFormatting sqref="J79">
    <cfRule type="expression" dxfId="75" priority="57" stopIfTrue="1">
      <formula>ISERROR(J79)</formula>
    </cfRule>
  </conditionalFormatting>
  <conditionalFormatting sqref="J79">
    <cfRule type="expression" dxfId="74" priority="56" stopIfTrue="1">
      <formula>ISERROR(J79)</formula>
    </cfRule>
  </conditionalFormatting>
  <conditionalFormatting sqref="M75">
    <cfRule type="expression" dxfId="73" priority="55" stopIfTrue="1">
      <formula>ISERROR(M75)</formula>
    </cfRule>
  </conditionalFormatting>
  <conditionalFormatting sqref="M79">
    <cfRule type="expression" dxfId="72" priority="54" stopIfTrue="1">
      <formula>ISERROR(M79)</formula>
    </cfRule>
  </conditionalFormatting>
  <conditionalFormatting sqref="M79">
    <cfRule type="expression" dxfId="71" priority="53" stopIfTrue="1">
      <formula>ISERROR(M79)</formula>
    </cfRule>
  </conditionalFormatting>
  <conditionalFormatting sqref="P75">
    <cfRule type="expression" dxfId="70" priority="52" stopIfTrue="1">
      <formula>ISERROR(P75)</formula>
    </cfRule>
  </conditionalFormatting>
  <conditionalFormatting sqref="P79">
    <cfRule type="expression" dxfId="69" priority="51" stopIfTrue="1">
      <formula>ISERROR(P79)</formula>
    </cfRule>
  </conditionalFormatting>
  <conditionalFormatting sqref="P79">
    <cfRule type="expression" dxfId="68" priority="50" stopIfTrue="1">
      <formula>ISERROR(P79)</formula>
    </cfRule>
  </conditionalFormatting>
  <conditionalFormatting sqref="R75">
    <cfRule type="expression" dxfId="67" priority="31" stopIfTrue="1">
      <formula>ISERROR(R75)</formula>
    </cfRule>
  </conditionalFormatting>
  <conditionalFormatting sqref="O75">
    <cfRule type="expression" dxfId="66" priority="34" stopIfTrue="1">
      <formula>ISERROR(O75)</formula>
    </cfRule>
  </conditionalFormatting>
  <conditionalFormatting sqref="P75">
    <cfRule type="expression" dxfId="65" priority="28" stopIfTrue="1">
      <formula>ISERROR(P75)</formula>
    </cfRule>
  </conditionalFormatting>
  <conditionalFormatting sqref="B75:G75 Q75:R75">
    <cfRule type="expression" dxfId="64" priority="49" stopIfTrue="1">
      <formula>ISERROR(B75)</formula>
    </cfRule>
  </conditionalFormatting>
  <conditionalFormatting sqref="Q75:R75 D75:G75">
    <cfRule type="expression" dxfId="63" priority="48" stopIfTrue="1">
      <formula>ISERROR(D75)</formula>
    </cfRule>
  </conditionalFormatting>
  <conditionalFormatting sqref="C75">
    <cfRule type="expression" dxfId="62" priority="47" stopIfTrue="1">
      <formula>ISERROR(C75)</formula>
    </cfRule>
  </conditionalFormatting>
  <conditionalFormatting sqref="E75">
    <cfRule type="expression" dxfId="61" priority="46" stopIfTrue="1">
      <formula>ISERROR(E75)</formula>
    </cfRule>
  </conditionalFormatting>
  <conditionalFormatting sqref="F75">
    <cfRule type="expression" dxfId="60" priority="45" stopIfTrue="1">
      <formula>ISERROR(F75)</formula>
    </cfRule>
  </conditionalFormatting>
  <conditionalFormatting sqref="H75">
    <cfRule type="expression" dxfId="59" priority="44" stopIfTrue="1">
      <formula>ISERROR(H75)</formula>
    </cfRule>
  </conditionalFormatting>
  <conditionalFormatting sqref="H75">
    <cfRule type="expression" dxfId="58" priority="43" stopIfTrue="1">
      <formula>ISERROR(H75)</formula>
    </cfRule>
  </conditionalFormatting>
  <conditionalFormatting sqref="I75">
    <cfRule type="expression" dxfId="57" priority="42" stopIfTrue="1">
      <formula>ISERROR(I75)</formula>
    </cfRule>
  </conditionalFormatting>
  <conditionalFormatting sqref="I75">
    <cfRule type="expression" dxfId="56" priority="41" stopIfTrue="1">
      <formula>ISERROR(I75)</formula>
    </cfRule>
  </conditionalFormatting>
  <conditionalFormatting sqref="K75">
    <cfRule type="expression" dxfId="55" priority="40" stopIfTrue="1">
      <formula>ISERROR(K75)</formula>
    </cfRule>
  </conditionalFormatting>
  <conditionalFormatting sqref="K75">
    <cfRule type="expression" dxfId="54" priority="39" stopIfTrue="1">
      <formula>ISERROR(K75)</formula>
    </cfRule>
  </conditionalFormatting>
  <conditionalFormatting sqref="L75">
    <cfRule type="expression" dxfId="53" priority="38" stopIfTrue="1">
      <formula>ISERROR(L75)</formula>
    </cfRule>
  </conditionalFormatting>
  <conditionalFormatting sqref="L75">
    <cfRule type="expression" dxfId="52" priority="37" stopIfTrue="1">
      <formula>ISERROR(L75)</formula>
    </cfRule>
  </conditionalFormatting>
  <conditionalFormatting sqref="N75">
    <cfRule type="expression" dxfId="51" priority="36" stopIfTrue="1">
      <formula>ISERROR(N75)</formula>
    </cfRule>
  </conditionalFormatting>
  <conditionalFormatting sqref="N75">
    <cfRule type="expression" dxfId="50" priority="35" stopIfTrue="1">
      <formula>ISERROR(N75)</formula>
    </cfRule>
  </conditionalFormatting>
  <conditionalFormatting sqref="O75">
    <cfRule type="expression" dxfId="49" priority="33" stopIfTrue="1">
      <formula>ISERROR(O75)</formula>
    </cfRule>
  </conditionalFormatting>
  <conditionalFormatting sqref="Q75">
    <cfRule type="expression" dxfId="48" priority="32" stopIfTrue="1">
      <formula>ISERROR(Q75)</formula>
    </cfRule>
  </conditionalFormatting>
  <conditionalFormatting sqref="J75">
    <cfRule type="expression" dxfId="47" priority="30" stopIfTrue="1">
      <formula>ISERROR(J75)</formula>
    </cfRule>
  </conditionalFormatting>
  <conditionalFormatting sqref="M75">
    <cfRule type="expression" dxfId="46" priority="29" stopIfTrue="1">
      <formula>ISERROR(M75)</formula>
    </cfRule>
  </conditionalFormatting>
  <conditionalFormatting sqref="S75">
    <cfRule type="expression" dxfId="45" priority="25" stopIfTrue="1">
      <formula>ISERROR(S75)</formula>
    </cfRule>
  </conditionalFormatting>
  <conditionalFormatting sqref="S75">
    <cfRule type="expression" dxfId="44" priority="27" stopIfTrue="1">
      <formula>ISERROR(S75)</formula>
    </cfRule>
  </conditionalFormatting>
  <conditionalFormatting sqref="S75">
    <cfRule type="expression" dxfId="43" priority="26" stopIfTrue="1">
      <formula>ISERROR(S75)</formula>
    </cfRule>
  </conditionalFormatting>
  <conditionalFormatting sqref="J75">
    <cfRule type="expression" dxfId="42" priority="24" stopIfTrue="1">
      <formula>ISERROR(J75)</formula>
    </cfRule>
  </conditionalFormatting>
  <conditionalFormatting sqref="J75">
    <cfRule type="expression" dxfId="41" priority="23" stopIfTrue="1">
      <formula>ISERROR(J75)</formula>
    </cfRule>
  </conditionalFormatting>
  <conditionalFormatting sqref="M75">
    <cfRule type="expression" dxfId="40" priority="22" stopIfTrue="1">
      <formula>ISERROR(M75)</formula>
    </cfRule>
  </conditionalFormatting>
  <conditionalFormatting sqref="M75">
    <cfRule type="expression" dxfId="39" priority="21" stopIfTrue="1">
      <formula>ISERROR(M75)</formula>
    </cfRule>
  </conditionalFormatting>
  <conditionalFormatting sqref="P75">
    <cfRule type="expression" dxfId="38" priority="20" stopIfTrue="1">
      <formula>ISERROR(P75)</formula>
    </cfRule>
  </conditionalFormatting>
  <conditionalFormatting sqref="P75">
    <cfRule type="expression" dxfId="37" priority="19" stopIfTrue="1">
      <formula>ISERROR(P75)</formula>
    </cfRule>
  </conditionalFormatting>
  <conditionalFormatting sqref="H7">
    <cfRule type="expression" dxfId="36" priority="18" stopIfTrue="1">
      <formula>ISERROR(H7)</formula>
    </cfRule>
  </conditionalFormatting>
  <conditionalFormatting sqref="H7">
    <cfRule type="expression" dxfId="35" priority="17" stopIfTrue="1">
      <formula>ISERROR(H7)</formula>
    </cfRule>
  </conditionalFormatting>
  <conditionalFormatting sqref="H7">
    <cfRule type="expression" dxfId="34" priority="16" stopIfTrue="1">
      <formula>ISERROR(H7)</formula>
    </cfRule>
  </conditionalFormatting>
  <conditionalFormatting sqref="I7">
    <cfRule type="expression" dxfId="33" priority="15" stopIfTrue="1">
      <formula>ISERROR(I7)</formula>
    </cfRule>
  </conditionalFormatting>
  <conditionalFormatting sqref="I7">
    <cfRule type="expression" dxfId="32" priority="14" stopIfTrue="1">
      <formula>ISERROR(I7)</formula>
    </cfRule>
  </conditionalFormatting>
  <conditionalFormatting sqref="I7">
    <cfRule type="expression" dxfId="31" priority="13" stopIfTrue="1">
      <formula>ISERROR(I7)</formula>
    </cfRule>
  </conditionalFormatting>
  <conditionalFormatting sqref="K7">
    <cfRule type="expression" dxfId="30" priority="12" stopIfTrue="1">
      <formula>ISERROR(K7)</formula>
    </cfRule>
  </conditionalFormatting>
  <conditionalFormatting sqref="K7">
    <cfRule type="expression" dxfId="29" priority="11" stopIfTrue="1">
      <formula>ISERROR(K7)</formula>
    </cfRule>
  </conditionalFormatting>
  <conditionalFormatting sqref="K7">
    <cfRule type="expression" dxfId="28" priority="10" stopIfTrue="1">
      <formula>ISERROR(K7)</formula>
    </cfRule>
  </conditionalFormatting>
  <conditionalFormatting sqref="L7">
    <cfRule type="expression" dxfId="27" priority="9" stopIfTrue="1">
      <formula>ISERROR(L7)</formula>
    </cfRule>
  </conditionalFormatting>
  <conditionalFormatting sqref="L7">
    <cfRule type="expression" dxfId="26" priority="8" stopIfTrue="1">
      <formula>ISERROR(L7)</formula>
    </cfRule>
  </conditionalFormatting>
  <conditionalFormatting sqref="L7">
    <cfRule type="expression" dxfId="25" priority="7" stopIfTrue="1">
      <formula>ISERROR(L7)</formula>
    </cfRule>
  </conditionalFormatting>
  <conditionalFormatting sqref="N7">
    <cfRule type="expression" dxfId="24" priority="6" stopIfTrue="1">
      <formula>ISERROR(N7)</formula>
    </cfRule>
  </conditionalFormatting>
  <conditionalFormatting sqref="N7">
    <cfRule type="expression" dxfId="23" priority="5" stopIfTrue="1">
      <formula>ISERROR(N7)</formula>
    </cfRule>
  </conditionalFormatting>
  <conditionalFormatting sqref="N7">
    <cfRule type="expression" dxfId="22" priority="4" stopIfTrue="1">
      <formula>ISERROR(N7)</formula>
    </cfRule>
  </conditionalFormatting>
  <conditionalFormatting sqref="O7">
    <cfRule type="expression" dxfId="21" priority="3" stopIfTrue="1">
      <formula>ISERROR(O7)</formula>
    </cfRule>
  </conditionalFormatting>
  <conditionalFormatting sqref="O7">
    <cfRule type="expression" dxfId="20" priority="2" stopIfTrue="1">
      <formula>ISERROR(O7)</formula>
    </cfRule>
  </conditionalFormatting>
  <conditionalFormatting sqref="O7">
    <cfRule type="expression" dxfId="19"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4" customFormat="1" ht="15" customHeight="1" x14ac:dyDescent="0.2">
      <c r="A1" s="25"/>
      <c r="B1" s="26"/>
      <c r="C1" s="80">
        <v>2</v>
      </c>
      <c r="D1" s="80">
        <v>3</v>
      </c>
      <c r="E1" s="81">
        <v>4</v>
      </c>
      <c r="F1" s="81">
        <v>5</v>
      </c>
      <c r="G1" s="81"/>
      <c r="H1" s="81">
        <v>6</v>
      </c>
      <c r="I1" s="81">
        <v>7</v>
      </c>
      <c r="J1" s="81"/>
      <c r="K1" s="81">
        <v>8</v>
      </c>
      <c r="L1" s="81">
        <v>9</v>
      </c>
      <c r="M1" s="81"/>
      <c r="N1" s="81">
        <v>10</v>
      </c>
      <c r="O1" s="81">
        <v>11</v>
      </c>
      <c r="P1" s="81"/>
      <c r="Q1" s="81">
        <v>12</v>
      </c>
      <c r="R1" s="81">
        <v>13</v>
      </c>
      <c r="S1" s="81">
        <v>2</v>
      </c>
      <c r="T1" s="28"/>
    </row>
    <row r="2" spans="1:20" s="124" customFormat="1" ht="26.25" x14ac:dyDescent="0.4">
      <c r="A2" s="25"/>
      <c r="B2" s="26"/>
      <c r="C2" s="452" t="str">
        <f>UPPER("INVENTORY BY STATE "&amp;Transformation!B4)</f>
        <v>INVENTORY BY STATE AS OF: JULY 18, 2015</v>
      </c>
      <c r="D2" s="453"/>
      <c r="E2" s="453"/>
      <c r="F2" s="453"/>
      <c r="G2" s="453"/>
      <c r="H2" s="453"/>
      <c r="I2" s="453"/>
      <c r="J2" s="453"/>
      <c r="K2" s="453"/>
      <c r="L2" s="453"/>
      <c r="M2" s="453"/>
      <c r="N2" s="453"/>
      <c r="O2" s="453"/>
      <c r="P2" s="453"/>
      <c r="Q2" s="453"/>
      <c r="R2" s="453"/>
      <c r="S2" s="454"/>
      <c r="T2" s="28"/>
    </row>
    <row r="3" spans="1:20" s="124" customFormat="1" x14ac:dyDescent="0.2">
      <c r="A3" s="25"/>
      <c r="B3" s="26"/>
      <c r="C3" s="460" t="s">
        <v>233</v>
      </c>
      <c r="D3" s="460"/>
      <c r="E3" s="457" t="s">
        <v>213</v>
      </c>
      <c r="F3" s="458"/>
      <c r="G3" s="459"/>
      <c r="H3" s="457" t="s">
        <v>7</v>
      </c>
      <c r="I3" s="458"/>
      <c r="J3" s="459"/>
      <c r="K3" s="457" t="s">
        <v>33</v>
      </c>
      <c r="L3" s="458"/>
      <c r="M3" s="459"/>
      <c r="N3" s="457" t="s">
        <v>8</v>
      </c>
      <c r="O3" s="458"/>
      <c r="P3" s="459"/>
      <c r="Q3" s="82" t="s">
        <v>9</v>
      </c>
      <c r="R3" s="83" t="s">
        <v>10</v>
      </c>
      <c r="S3" s="83" t="s">
        <v>11</v>
      </c>
      <c r="T3" s="28"/>
    </row>
    <row r="4" spans="1:20" s="124" customFormat="1" ht="38.25" x14ac:dyDescent="0.2">
      <c r="A4" s="84"/>
      <c r="B4" s="55"/>
      <c r="C4" s="85" t="s">
        <v>12</v>
      </c>
      <c r="D4" s="86" t="s">
        <v>140</v>
      </c>
      <c r="E4" s="87" t="s">
        <v>12</v>
      </c>
      <c r="F4" s="88" t="s">
        <v>3</v>
      </c>
      <c r="G4" s="89" t="s">
        <v>4</v>
      </c>
      <c r="H4" s="87" t="s">
        <v>12</v>
      </c>
      <c r="I4" s="88" t="s">
        <v>3</v>
      </c>
      <c r="J4" s="89" t="s">
        <v>4</v>
      </c>
      <c r="K4" s="87" t="s">
        <v>12</v>
      </c>
      <c r="L4" s="88" t="s">
        <v>3</v>
      </c>
      <c r="M4" s="89" t="s">
        <v>4</v>
      </c>
      <c r="N4" s="87" t="s">
        <v>12</v>
      </c>
      <c r="O4" s="88" t="s">
        <v>3</v>
      </c>
      <c r="P4" s="89" t="s">
        <v>4</v>
      </c>
      <c r="Q4" s="90" t="s">
        <v>12</v>
      </c>
      <c r="R4" s="90" t="s">
        <v>12</v>
      </c>
      <c r="S4" s="90" t="s">
        <v>498</v>
      </c>
      <c r="T4" s="28"/>
    </row>
    <row r="5" spans="1:20" s="124" customFormat="1" ht="26.25" x14ac:dyDescent="0.4">
      <c r="A5" s="25"/>
      <c r="B5" s="125"/>
      <c r="C5" s="452" t="s">
        <v>496</v>
      </c>
      <c r="D5" s="453"/>
      <c r="E5" s="453"/>
      <c r="F5" s="453"/>
      <c r="G5" s="453"/>
      <c r="H5" s="453"/>
      <c r="I5" s="453"/>
      <c r="J5" s="453"/>
      <c r="K5" s="453"/>
      <c r="L5" s="453"/>
      <c r="M5" s="453"/>
      <c r="N5" s="453"/>
      <c r="O5" s="453"/>
      <c r="P5" s="453"/>
      <c r="Q5" s="453"/>
      <c r="R5" s="453"/>
      <c r="S5" s="454"/>
      <c r="T5" s="28"/>
    </row>
    <row r="6" spans="1:20" s="124" customFormat="1" x14ac:dyDescent="0.2">
      <c r="A6" s="93"/>
      <c r="B6" s="126" t="s">
        <v>471</v>
      </c>
      <c r="C6" s="95">
        <f>IFERROR(VLOOKUP($B6,MMWR_TRAD_AGG_ST_DISTRICT_COMP[],C$1,0),"ERROR")</f>
        <v>362686</v>
      </c>
      <c r="D6" s="96">
        <f>IFERROR(VLOOKUP($B6,MMWR_TRAD_AGG_ST_DISTRICT_COMP[],D$1,0),"ERROR")</f>
        <v>364.2403787298</v>
      </c>
      <c r="E6" s="97">
        <f>IFERROR(VLOOKUP($B6,MMWR_TRAD_AGG_ST_DISTRICT_COMP[],E$1,0),"ERROR")</f>
        <v>353179</v>
      </c>
      <c r="F6" s="98">
        <f>IFERROR(VLOOKUP($B6,MMWR_TRAD_AGG_ST_DISTRICT_COMP[],F$1,0),"ERROR")</f>
        <v>117115</v>
      </c>
      <c r="G6" s="99">
        <f t="shared" ref="G6:G37" si="0">IFERROR(F6/E6,"0%")</f>
        <v>0.33160238859048813</v>
      </c>
      <c r="H6" s="97">
        <f>IFERROR(VLOOKUP($B6,MMWR_TRAD_AGG_ST_DISTRICT_COMP[],H$1,0),"ERROR")</f>
        <v>503021</v>
      </c>
      <c r="I6" s="98">
        <f>IFERROR(VLOOKUP($B6,MMWR_TRAD_AGG_ST_DISTRICT_COMP[],I$1,0),"ERROR")</f>
        <v>315998</v>
      </c>
      <c r="J6" s="100">
        <f t="shared" ref="J6:J37" si="1">IFERROR(I6/H6,"0%")</f>
        <v>0.62820041310402552</v>
      </c>
      <c r="K6" s="97">
        <f>IFERROR(VLOOKUP($B6,MMWR_TRAD_AGG_ST_DISTRICT_COMP[],K$1,0),"ERROR")</f>
        <v>77021</v>
      </c>
      <c r="L6" s="98">
        <f>IFERROR(VLOOKUP($B6,MMWR_TRAD_AGG_ST_DISTRICT_COMP[],L$1,0),"ERROR")</f>
        <v>61132</v>
      </c>
      <c r="M6" s="100">
        <f t="shared" ref="M6:M37" si="2">IFERROR(L6/K6,"0%")</f>
        <v>0.79370561275496299</v>
      </c>
      <c r="N6" s="97">
        <f>IFERROR(VLOOKUP($B6,MMWR_TRAD_AGG_ST_DISTRICT_COMP[],N$1,0),"ERROR")</f>
        <v>157685</v>
      </c>
      <c r="O6" s="98">
        <f>IFERROR(VLOOKUP($B6,MMWR_TRAD_AGG_ST_DISTRICT_COMP[],O$1,0),"ERROR")</f>
        <v>106735</v>
      </c>
      <c r="P6" s="100">
        <f t="shared" ref="P6:P37" si="3">IFERROR(O6/N6,"0%")</f>
        <v>0.67688746551669465</v>
      </c>
      <c r="Q6" s="101">
        <f>IFERROR(VLOOKUP($B6,MMWR_TRAD_AGG_ST_DISTRICT_COMP[],Q$1,0),"ERROR")</f>
        <v>8075</v>
      </c>
      <c r="R6" s="101">
        <f>IFERROR(VLOOKUP($B6,MMWR_TRAD_AGG_ST_DISTRICT_COMP[],R$1,0),"ERROR")</f>
        <v>4371</v>
      </c>
      <c r="S6" s="101">
        <f>S7+S23+S36+S46+S56+S64</f>
        <v>297880</v>
      </c>
      <c r="T6" s="28"/>
    </row>
    <row r="7" spans="1:20" s="124" customFormat="1" x14ac:dyDescent="0.2">
      <c r="A7" s="93"/>
      <c r="B7" s="127" t="s">
        <v>379</v>
      </c>
      <c r="C7" s="103">
        <f>IF(SUM(C8:C22)&lt;&gt;VLOOKUP($B7,MMWR_TRAD_AGG_ST_DISTRICT_COMP[],C$1,0),"ERROR",
VLOOKUP($B7,MMWR_TRAD_AGG_ST_DISTRICT_COMP[],C$1,0))</f>
        <v>73593</v>
      </c>
      <c r="D7" s="104">
        <f>IFERROR(VLOOKUP($B7,MMWR_TRAD_AGG_ST_DISTRICT_COMP[],D$1,0),"ERROR")</f>
        <v>377.14006766950001</v>
      </c>
      <c r="E7" s="103">
        <f>IF(SUM(E8:E22)&lt;&gt;VLOOKUP($B7,MMWR_TRAD_AGG_ST_DISTRICT_COMP[],E$1,0),"ERROR",
VLOOKUP($B7,MMWR_TRAD_AGG_ST_DISTRICT_COMP[],E$1,0))</f>
        <v>76944</v>
      </c>
      <c r="F7" s="103">
        <f>IFERROR(VLOOKUP($B7,MMWR_TRAD_AGG_ST_DISTRICT_COMP[],F$1,0),"ERROR")</f>
        <v>25378</v>
      </c>
      <c r="G7" s="105">
        <f t="shared" si="0"/>
        <v>0.32982428779372008</v>
      </c>
      <c r="H7" s="103">
        <f>IF(SUM(H8:H22)&lt;&gt;VLOOKUP($B7,MMWR_TRAD_AGG_ST_DISTRICT_COMP[],H$1,0),"ERROR",
VLOOKUP($B7,MMWR_TRAD_AGG_ST_DISTRICT_COMP[],H$1,0))</f>
        <v>102016</v>
      </c>
      <c r="I7" s="103">
        <f>IF(SUM(I8:I22)&lt;&gt;VLOOKUP($B7,MMWR_TRAD_AGG_ST_DISTRICT_COMP[],I$1,0),"ERROR",
VLOOKUP($B7,MMWR_TRAD_AGG_ST_DISTRICT_COMP[],I$1,0))</f>
        <v>64227</v>
      </c>
      <c r="J7" s="106">
        <f t="shared" si="1"/>
        <v>0.62957771329987455</v>
      </c>
      <c r="K7" s="103">
        <f>IF(SUM(K8:K22)&lt;&gt;VLOOKUP($B7,MMWR_TRAD_AGG_ST_DISTRICT_COMP[],K$1,0),"ERROR",
VLOOKUP($B7,MMWR_TRAD_AGG_ST_DISTRICT_COMP[],K$1,0))</f>
        <v>16856</v>
      </c>
      <c r="L7" s="103">
        <f>IF(SUM(L8:L22)&lt;&gt;VLOOKUP($B7,MMWR_TRAD_AGG_ST_DISTRICT_COMP[],L$1,0),"ERROR",
VLOOKUP($B7,MMWR_TRAD_AGG_ST_DISTRICT_COMP[],L$1,0))</f>
        <v>12504</v>
      </c>
      <c r="M7" s="106">
        <f t="shared" si="2"/>
        <v>0.74181300427147601</v>
      </c>
      <c r="N7" s="103">
        <f>IF(SUM(N8:N22)&lt;&gt;VLOOKUP($B7,MMWR_TRAD_AGG_ST_DISTRICT_COMP[],N$1,0),"ERROR",
VLOOKUP($B7,MMWR_TRAD_AGG_ST_DISTRICT_COMP[],N$1,0))</f>
        <v>34568</v>
      </c>
      <c r="O7" s="103">
        <f>IF(SUM(O8:O22)&lt;&gt;VLOOKUP($B7,MMWR_TRAD_AGG_ST_DISTRICT_COMP[],O$1,0),"ERROR",
VLOOKUP($B7,MMWR_TRAD_AGG_ST_DISTRICT_COMP[],O$1,0))</f>
        <v>22736</v>
      </c>
      <c r="P7" s="106">
        <f t="shared" si="3"/>
        <v>0.65771812080536918</v>
      </c>
      <c r="Q7" s="103">
        <f>IF(SUM(Q8:Q22)&lt;&gt;VLOOKUP($B7,MMWR_TRAD_AGG_ST_DISTRICT_COMP[],Q$1,0),"ERROR",
VLOOKUP($B7,MMWR_TRAD_AGG_ST_DISTRICT_COMP[],Q$1,0))</f>
        <v>5022</v>
      </c>
      <c r="R7" s="107">
        <f>IFERROR(VLOOKUP($B7,MMWR_TRAD_AGG_ST_DISTRICT_COMP[],R$1,0),"ERROR")</f>
        <v>166</v>
      </c>
      <c r="S7" s="107">
        <f>SUM(S8:S22)</f>
        <v>54004</v>
      </c>
      <c r="T7" s="28"/>
    </row>
    <row r="8" spans="1:20" s="124" customFormat="1" x14ac:dyDescent="0.2">
      <c r="A8" s="108"/>
      <c r="B8" s="128" t="s">
        <v>383</v>
      </c>
      <c r="C8" s="110">
        <f>IFERROR(VLOOKUP($B8,MMWR_TRAD_AGG_STATE_COMP[],C$1,0),"ERROR")</f>
        <v>2211</v>
      </c>
      <c r="D8" s="111">
        <f>IFERROR(VLOOKUP($B8,MMWR_TRAD_AGG_STATE_COMP[],D$1,0),"ERROR")</f>
        <v>233.0013568521</v>
      </c>
      <c r="E8" s="112">
        <f>IFERROR(VLOOKUP($B8,MMWR_TRAD_AGG_STATE_COMP[],E$1,0),"ERROR")</f>
        <v>2044</v>
      </c>
      <c r="F8" s="113">
        <f>IFERROR(VLOOKUP($B8,MMWR_TRAD_AGG_STATE_COMP[],F$1,0),"ERROR")</f>
        <v>567</v>
      </c>
      <c r="G8" s="114">
        <f t="shared" si="0"/>
        <v>0.2773972602739726</v>
      </c>
      <c r="H8" s="112">
        <f>IFERROR(VLOOKUP($B8,MMWR_TRAD_AGG_STATE_COMP[],H$1,0),"ERROR")</f>
        <v>3593</v>
      </c>
      <c r="I8" s="113">
        <f>IFERROR(VLOOKUP($B8,MMWR_TRAD_AGG_STATE_COMP[],I$1,0),"ERROR")</f>
        <v>1901</v>
      </c>
      <c r="J8" s="115">
        <f t="shared" si="1"/>
        <v>0.52908433064291682</v>
      </c>
      <c r="K8" s="112">
        <f>IFERROR(VLOOKUP($B8,MMWR_TRAD_AGG_STATE_COMP[],K$1,0),"ERROR")</f>
        <v>353</v>
      </c>
      <c r="L8" s="113">
        <f>IFERROR(VLOOKUP($B8,MMWR_TRAD_AGG_STATE_COMP[],L$1,0),"ERROR")</f>
        <v>269</v>
      </c>
      <c r="M8" s="115">
        <f t="shared" si="2"/>
        <v>0.76203966005665724</v>
      </c>
      <c r="N8" s="112">
        <f>IFERROR(VLOOKUP($B8,MMWR_TRAD_AGG_STATE_COMP[],N$1,0),"ERROR")</f>
        <v>735</v>
      </c>
      <c r="O8" s="113">
        <f>IFERROR(VLOOKUP($B8,MMWR_TRAD_AGG_STATE_COMP[],O$1,0),"ERROR")</f>
        <v>487</v>
      </c>
      <c r="P8" s="115">
        <f t="shared" si="3"/>
        <v>0.66258503401360547</v>
      </c>
      <c r="Q8" s="116">
        <f>IFERROR(VLOOKUP($B8,MMWR_TRAD_AGG_STATE_COMP[],Q$1,0),"ERROR")</f>
        <v>154</v>
      </c>
      <c r="R8" s="116">
        <f>IFERROR(VLOOKUP($B8,MMWR_TRAD_AGG_STATE_COMP[],R$1,0),"ERROR")</f>
        <v>3</v>
      </c>
      <c r="S8" s="116">
        <f>IFERROR(VLOOKUP($B8,MMWR_APP_STATE_COMP[],S$1,0),"ERROR")</f>
        <v>1048</v>
      </c>
      <c r="T8" s="28"/>
    </row>
    <row r="9" spans="1:20" s="124" customFormat="1" x14ac:dyDescent="0.2">
      <c r="A9" s="108"/>
      <c r="B9" s="128" t="s">
        <v>433</v>
      </c>
      <c r="C9" s="110">
        <f>IFERROR(VLOOKUP($B9,MMWR_TRAD_AGG_STATE_COMP[],C$1,0),"ERROR")</f>
        <v>1089</v>
      </c>
      <c r="D9" s="111">
        <f>IFERROR(VLOOKUP($B9,MMWR_TRAD_AGG_STATE_COMP[],D$1,0),"ERROR")</f>
        <v>335.23875114779997</v>
      </c>
      <c r="E9" s="112">
        <f>IFERROR(VLOOKUP($B9,MMWR_TRAD_AGG_STATE_COMP[],E$1,0),"ERROR")</f>
        <v>1022</v>
      </c>
      <c r="F9" s="113">
        <f>IFERROR(VLOOKUP($B9,MMWR_TRAD_AGG_STATE_COMP[],F$1,0),"ERROR")</f>
        <v>382</v>
      </c>
      <c r="G9" s="114">
        <f t="shared" si="0"/>
        <v>0.37377690802348335</v>
      </c>
      <c r="H9" s="112">
        <f>IFERROR(VLOOKUP($B9,MMWR_TRAD_AGG_STATE_COMP[],H$1,0),"ERROR")</f>
        <v>1324</v>
      </c>
      <c r="I9" s="113">
        <f>IFERROR(VLOOKUP($B9,MMWR_TRAD_AGG_STATE_COMP[],I$1,0),"ERROR")</f>
        <v>712</v>
      </c>
      <c r="J9" s="115">
        <f t="shared" si="1"/>
        <v>0.53776435045317217</v>
      </c>
      <c r="K9" s="112">
        <f>IFERROR(VLOOKUP($B9,MMWR_TRAD_AGG_STATE_COMP[],K$1,0),"ERROR")</f>
        <v>74</v>
      </c>
      <c r="L9" s="113">
        <f>IFERROR(VLOOKUP($B9,MMWR_TRAD_AGG_STATE_COMP[],L$1,0),"ERROR")</f>
        <v>54</v>
      </c>
      <c r="M9" s="115">
        <f t="shared" si="2"/>
        <v>0.72972972972972971</v>
      </c>
      <c r="N9" s="112">
        <f>IFERROR(VLOOKUP($B9,MMWR_TRAD_AGG_STATE_COMP[],N$1,0),"ERROR")</f>
        <v>495</v>
      </c>
      <c r="O9" s="113">
        <f>IFERROR(VLOOKUP($B9,MMWR_TRAD_AGG_STATE_COMP[],O$1,0),"ERROR")</f>
        <v>212</v>
      </c>
      <c r="P9" s="115">
        <f t="shared" si="3"/>
        <v>0.42828282828282827</v>
      </c>
      <c r="Q9" s="116">
        <f>IFERROR(VLOOKUP($B9,MMWR_TRAD_AGG_STATE_COMP[],Q$1,0),"ERROR")</f>
        <v>47</v>
      </c>
      <c r="R9" s="116">
        <f>IFERROR(VLOOKUP($B9,MMWR_TRAD_AGG_STATE_COMP[],R$1,0),"ERROR")</f>
        <v>1</v>
      </c>
      <c r="S9" s="116">
        <f>IFERROR(VLOOKUP($B9,MMWR_APP_STATE_COMP[],S$1,0),"ERROR")</f>
        <v>480</v>
      </c>
      <c r="T9" s="28"/>
    </row>
    <row r="10" spans="1:20" s="124" customFormat="1" x14ac:dyDescent="0.2">
      <c r="A10" s="108"/>
      <c r="B10" s="128" t="s">
        <v>424</v>
      </c>
      <c r="C10" s="110">
        <f>IFERROR(VLOOKUP($B10,MMWR_TRAD_AGG_STATE_COMP[],C$1,0),"ERROR")</f>
        <v>483</v>
      </c>
      <c r="D10" s="111">
        <f>IFERROR(VLOOKUP($B10,MMWR_TRAD_AGG_STATE_COMP[],D$1,0),"ERROR")</f>
        <v>457.4844720497</v>
      </c>
      <c r="E10" s="112">
        <f>IFERROR(VLOOKUP($B10,MMWR_TRAD_AGG_STATE_COMP[],E$1,0),"ERROR")</f>
        <v>567</v>
      </c>
      <c r="F10" s="113">
        <f>IFERROR(VLOOKUP($B10,MMWR_TRAD_AGG_STATE_COMP[],F$1,0),"ERROR")</f>
        <v>205</v>
      </c>
      <c r="G10" s="114">
        <f t="shared" si="0"/>
        <v>0.36155202821869487</v>
      </c>
      <c r="H10" s="112">
        <f>IFERROR(VLOOKUP($B10,MMWR_TRAD_AGG_STATE_COMP[],H$1,0),"ERROR")</f>
        <v>660</v>
      </c>
      <c r="I10" s="113">
        <f>IFERROR(VLOOKUP($B10,MMWR_TRAD_AGG_STATE_COMP[],I$1,0),"ERROR")</f>
        <v>453</v>
      </c>
      <c r="J10" s="115">
        <f t="shared" si="1"/>
        <v>0.6863636363636364</v>
      </c>
      <c r="K10" s="112">
        <f>IFERROR(VLOOKUP($B10,MMWR_TRAD_AGG_STATE_COMP[],K$1,0),"ERROR")</f>
        <v>97</v>
      </c>
      <c r="L10" s="113">
        <f>IFERROR(VLOOKUP($B10,MMWR_TRAD_AGG_STATE_COMP[],L$1,0),"ERROR")</f>
        <v>79</v>
      </c>
      <c r="M10" s="115">
        <f t="shared" si="2"/>
        <v>0.81443298969072164</v>
      </c>
      <c r="N10" s="112">
        <f>IFERROR(VLOOKUP($B10,MMWR_TRAD_AGG_STATE_COMP[],N$1,0),"ERROR")</f>
        <v>320</v>
      </c>
      <c r="O10" s="113">
        <f>IFERROR(VLOOKUP($B10,MMWR_TRAD_AGG_STATE_COMP[],O$1,0),"ERROR")</f>
        <v>241</v>
      </c>
      <c r="P10" s="115">
        <f t="shared" si="3"/>
        <v>0.75312500000000004</v>
      </c>
      <c r="Q10" s="116">
        <f>IFERROR(VLOOKUP($B10,MMWR_TRAD_AGG_STATE_COMP[],Q$1,0),"ERROR")</f>
        <v>16</v>
      </c>
      <c r="R10" s="116">
        <f>IFERROR(VLOOKUP($B10,MMWR_TRAD_AGG_STATE_COMP[],R$1,0),"ERROR")</f>
        <v>1</v>
      </c>
      <c r="S10" s="116">
        <f>IFERROR(VLOOKUP($B10,MMWR_APP_STATE_COMP[],S$1,0),"ERROR")</f>
        <v>530</v>
      </c>
      <c r="T10" s="28"/>
    </row>
    <row r="11" spans="1:20" s="124" customFormat="1" x14ac:dyDescent="0.2">
      <c r="A11" s="108"/>
      <c r="B11" s="128" t="s">
        <v>426</v>
      </c>
      <c r="C11" s="110">
        <f>IFERROR(VLOOKUP($B11,MMWR_TRAD_AGG_STATE_COMP[],C$1,0),"ERROR")</f>
        <v>1438</v>
      </c>
      <c r="D11" s="111">
        <f>IFERROR(VLOOKUP($B11,MMWR_TRAD_AGG_STATE_COMP[],D$1,0),"ERROR")</f>
        <v>269.94853963840001</v>
      </c>
      <c r="E11" s="112">
        <f>IFERROR(VLOOKUP($B11,MMWR_TRAD_AGG_STATE_COMP[],E$1,0),"ERROR")</f>
        <v>1326</v>
      </c>
      <c r="F11" s="113">
        <f>IFERROR(VLOOKUP($B11,MMWR_TRAD_AGG_STATE_COMP[],F$1,0),"ERROR")</f>
        <v>233</v>
      </c>
      <c r="G11" s="114">
        <f t="shared" si="0"/>
        <v>0.17571644042232276</v>
      </c>
      <c r="H11" s="112">
        <f>IFERROR(VLOOKUP($B11,MMWR_TRAD_AGG_STATE_COMP[],H$1,0),"ERROR")</f>
        <v>1975</v>
      </c>
      <c r="I11" s="113">
        <f>IFERROR(VLOOKUP($B11,MMWR_TRAD_AGG_STATE_COMP[],I$1,0),"ERROR")</f>
        <v>1065</v>
      </c>
      <c r="J11" s="115">
        <f t="shared" si="1"/>
        <v>0.53924050632911391</v>
      </c>
      <c r="K11" s="112">
        <f>IFERROR(VLOOKUP($B11,MMWR_TRAD_AGG_STATE_COMP[],K$1,0),"ERROR")</f>
        <v>740</v>
      </c>
      <c r="L11" s="113">
        <f>IFERROR(VLOOKUP($B11,MMWR_TRAD_AGG_STATE_COMP[],L$1,0),"ERROR")</f>
        <v>493</v>
      </c>
      <c r="M11" s="115">
        <f t="shared" si="2"/>
        <v>0.66621621621621618</v>
      </c>
      <c r="N11" s="112">
        <f>IFERROR(VLOOKUP($B11,MMWR_TRAD_AGG_STATE_COMP[],N$1,0),"ERROR")</f>
        <v>313</v>
      </c>
      <c r="O11" s="113">
        <f>IFERROR(VLOOKUP($B11,MMWR_TRAD_AGG_STATE_COMP[],O$1,0),"ERROR")</f>
        <v>174</v>
      </c>
      <c r="P11" s="115">
        <f t="shared" si="3"/>
        <v>0.55591054313099042</v>
      </c>
      <c r="Q11" s="116">
        <f>IFERROR(VLOOKUP($B11,MMWR_TRAD_AGG_STATE_COMP[],Q$1,0),"ERROR")</f>
        <v>214</v>
      </c>
      <c r="R11" s="116">
        <f>IFERROR(VLOOKUP($B11,MMWR_TRAD_AGG_STATE_COMP[],R$1,0),"ERROR")</f>
        <v>3</v>
      </c>
      <c r="S11" s="116">
        <f>IFERROR(VLOOKUP($B11,MMWR_APP_STATE_COMP[],S$1,0),"ERROR")</f>
        <v>446</v>
      </c>
      <c r="T11" s="28"/>
    </row>
    <row r="12" spans="1:20" s="124" customFormat="1" x14ac:dyDescent="0.2">
      <c r="A12" s="108"/>
      <c r="B12" s="128" t="s">
        <v>386</v>
      </c>
      <c r="C12" s="110">
        <f>IFERROR(VLOOKUP($B12,MMWR_TRAD_AGG_STATE_COMP[],C$1,0),"ERROR")</f>
        <v>7682</v>
      </c>
      <c r="D12" s="111">
        <f>IFERROR(VLOOKUP($B12,MMWR_TRAD_AGG_STATE_COMP[],D$1,0),"ERROR")</f>
        <v>545.8031762562</v>
      </c>
      <c r="E12" s="112">
        <f>IFERROR(VLOOKUP($B12,MMWR_TRAD_AGG_STATE_COMP[],E$1,0),"ERROR")</f>
        <v>6229</v>
      </c>
      <c r="F12" s="113">
        <f>IFERROR(VLOOKUP($B12,MMWR_TRAD_AGG_STATE_COMP[],F$1,0),"ERROR")</f>
        <v>2204</v>
      </c>
      <c r="G12" s="114">
        <f t="shared" si="0"/>
        <v>0.35382886498635413</v>
      </c>
      <c r="H12" s="112">
        <f>IFERROR(VLOOKUP($B12,MMWR_TRAD_AGG_STATE_COMP[],H$1,0),"ERROR")</f>
        <v>9632</v>
      </c>
      <c r="I12" s="113">
        <f>IFERROR(VLOOKUP($B12,MMWR_TRAD_AGG_STATE_COMP[],I$1,0),"ERROR")</f>
        <v>7193</v>
      </c>
      <c r="J12" s="115">
        <f t="shared" si="1"/>
        <v>0.74678156146179397</v>
      </c>
      <c r="K12" s="112">
        <f>IFERROR(VLOOKUP($B12,MMWR_TRAD_AGG_STATE_COMP[],K$1,0),"ERROR")</f>
        <v>1245</v>
      </c>
      <c r="L12" s="113">
        <f>IFERROR(VLOOKUP($B12,MMWR_TRAD_AGG_STATE_COMP[],L$1,0),"ERROR")</f>
        <v>1026</v>
      </c>
      <c r="M12" s="115">
        <f t="shared" si="2"/>
        <v>0.82409638554216869</v>
      </c>
      <c r="N12" s="112">
        <f>IFERROR(VLOOKUP($B12,MMWR_TRAD_AGG_STATE_COMP[],N$1,0),"ERROR")</f>
        <v>6572</v>
      </c>
      <c r="O12" s="113">
        <f>IFERROR(VLOOKUP($B12,MMWR_TRAD_AGG_STATE_COMP[],O$1,0),"ERROR")</f>
        <v>5564</v>
      </c>
      <c r="P12" s="115">
        <f t="shared" si="3"/>
        <v>0.84662203286670723</v>
      </c>
      <c r="Q12" s="116">
        <f>IFERROR(VLOOKUP($B12,MMWR_TRAD_AGG_STATE_COMP[],Q$1,0),"ERROR")</f>
        <v>269</v>
      </c>
      <c r="R12" s="116">
        <f>IFERROR(VLOOKUP($B12,MMWR_TRAD_AGG_STATE_COMP[],R$1,0),"ERROR")</f>
        <v>10</v>
      </c>
      <c r="S12" s="116">
        <f>IFERROR(VLOOKUP($B12,MMWR_APP_STATE_COMP[],S$1,0),"ERROR")</f>
        <v>5225</v>
      </c>
      <c r="T12" s="28"/>
    </row>
    <row r="13" spans="1:20" s="124" customFormat="1" x14ac:dyDescent="0.2">
      <c r="A13" s="108"/>
      <c r="B13" s="128" t="s">
        <v>381</v>
      </c>
      <c r="C13" s="110">
        <f>IFERROR(VLOOKUP($B13,MMWR_TRAD_AGG_STATE_COMP[],C$1,0),"ERROR")</f>
        <v>5540</v>
      </c>
      <c r="D13" s="111">
        <f>IFERROR(VLOOKUP($B13,MMWR_TRAD_AGG_STATE_COMP[],D$1,0),"ERROR")</f>
        <v>437.41678700360001</v>
      </c>
      <c r="E13" s="112">
        <f>IFERROR(VLOOKUP($B13,MMWR_TRAD_AGG_STATE_COMP[],E$1,0),"ERROR")</f>
        <v>4562</v>
      </c>
      <c r="F13" s="113">
        <f>IFERROR(VLOOKUP($B13,MMWR_TRAD_AGG_STATE_COMP[],F$1,0),"ERROR")</f>
        <v>1376</v>
      </c>
      <c r="G13" s="114">
        <f t="shared" si="0"/>
        <v>0.3016220955721175</v>
      </c>
      <c r="H13" s="112">
        <f>IFERROR(VLOOKUP($B13,MMWR_TRAD_AGG_STATE_COMP[],H$1,0),"ERROR")</f>
        <v>8075</v>
      </c>
      <c r="I13" s="113">
        <f>IFERROR(VLOOKUP($B13,MMWR_TRAD_AGG_STATE_COMP[],I$1,0),"ERROR")</f>
        <v>5057</v>
      </c>
      <c r="J13" s="115">
        <f t="shared" si="1"/>
        <v>0.6262538699690402</v>
      </c>
      <c r="K13" s="112">
        <f>IFERROR(VLOOKUP($B13,MMWR_TRAD_AGG_STATE_COMP[],K$1,0),"ERROR")</f>
        <v>2440</v>
      </c>
      <c r="L13" s="113">
        <f>IFERROR(VLOOKUP($B13,MMWR_TRAD_AGG_STATE_COMP[],L$1,0),"ERROR")</f>
        <v>1857</v>
      </c>
      <c r="M13" s="115">
        <f t="shared" si="2"/>
        <v>0.76106557377049178</v>
      </c>
      <c r="N13" s="112">
        <f>IFERROR(VLOOKUP($B13,MMWR_TRAD_AGG_STATE_COMP[],N$1,0),"ERROR")</f>
        <v>1308</v>
      </c>
      <c r="O13" s="113">
        <f>IFERROR(VLOOKUP($B13,MMWR_TRAD_AGG_STATE_COMP[],O$1,0),"ERROR")</f>
        <v>1005</v>
      </c>
      <c r="P13" s="115">
        <f t="shared" si="3"/>
        <v>0.76834862385321101</v>
      </c>
      <c r="Q13" s="116">
        <f>IFERROR(VLOOKUP($B13,MMWR_TRAD_AGG_STATE_COMP[],Q$1,0),"ERROR")</f>
        <v>446</v>
      </c>
      <c r="R13" s="116">
        <f>IFERROR(VLOOKUP($B13,MMWR_TRAD_AGG_STATE_COMP[],R$1,0),"ERROR")</f>
        <v>13</v>
      </c>
      <c r="S13" s="116">
        <f>IFERROR(VLOOKUP($B13,MMWR_APP_STATE_COMP[],S$1,0),"ERROR")</f>
        <v>3536</v>
      </c>
      <c r="T13" s="28"/>
    </row>
    <row r="14" spans="1:20" s="124" customFormat="1" x14ac:dyDescent="0.2">
      <c r="A14" s="108"/>
      <c r="B14" s="128" t="s">
        <v>425</v>
      </c>
      <c r="C14" s="110">
        <f>IFERROR(VLOOKUP($B14,MMWR_TRAD_AGG_STATE_COMP[],C$1,0),"ERROR")</f>
        <v>2084</v>
      </c>
      <c r="D14" s="111">
        <f>IFERROR(VLOOKUP($B14,MMWR_TRAD_AGG_STATE_COMP[],D$1,0),"ERROR")</f>
        <v>359.16410748560003</v>
      </c>
      <c r="E14" s="112">
        <f>IFERROR(VLOOKUP($B14,MMWR_TRAD_AGG_STATE_COMP[],E$1,0),"ERROR")</f>
        <v>1242</v>
      </c>
      <c r="F14" s="113">
        <f>IFERROR(VLOOKUP($B14,MMWR_TRAD_AGG_STATE_COMP[],F$1,0),"ERROR")</f>
        <v>345</v>
      </c>
      <c r="G14" s="114">
        <f t="shared" si="0"/>
        <v>0.27777777777777779</v>
      </c>
      <c r="H14" s="112">
        <f>IFERROR(VLOOKUP($B14,MMWR_TRAD_AGG_STATE_COMP[],H$1,0),"ERROR")</f>
        <v>2724</v>
      </c>
      <c r="I14" s="113">
        <f>IFERROR(VLOOKUP($B14,MMWR_TRAD_AGG_STATE_COMP[],I$1,0),"ERROR")</f>
        <v>1744</v>
      </c>
      <c r="J14" s="115">
        <f t="shared" si="1"/>
        <v>0.64023494860499264</v>
      </c>
      <c r="K14" s="112">
        <f>IFERROR(VLOOKUP($B14,MMWR_TRAD_AGG_STATE_COMP[],K$1,0),"ERROR")</f>
        <v>665</v>
      </c>
      <c r="L14" s="113">
        <f>IFERROR(VLOOKUP($B14,MMWR_TRAD_AGG_STATE_COMP[],L$1,0),"ERROR")</f>
        <v>579</v>
      </c>
      <c r="M14" s="115">
        <f t="shared" si="2"/>
        <v>0.87067669172932327</v>
      </c>
      <c r="N14" s="112">
        <f>IFERROR(VLOOKUP($B14,MMWR_TRAD_AGG_STATE_COMP[],N$1,0),"ERROR")</f>
        <v>168</v>
      </c>
      <c r="O14" s="113">
        <f>IFERROR(VLOOKUP($B14,MMWR_TRAD_AGG_STATE_COMP[],O$1,0),"ERROR")</f>
        <v>89</v>
      </c>
      <c r="P14" s="115">
        <f t="shared" si="3"/>
        <v>0.52976190476190477</v>
      </c>
      <c r="Q14" s="116">
        <f>IFERROR(VLOOKUP($B14,MMWR_TRAD_AGG_STATE_COMP[],Q$1,0),"ERROR")</f>
        <v>94</v>
      </c>
      <c r="R14" s="116">
        <f>IFERROR(VLOOKUP($B14,MMWR_TRAD_AGG_STATE_COMP[],R$1,0),"ERROR")</f>
        <v>3</v>
      </c>
      <c r="S14" s="116">
        <f>IFERROR(VLOOKUP($B14,MMWR_APP_STATE_COMP[],S$1,0),"ERROR")</f>
        <v>726</v>
      </c>
      <c r="T14" s="28"/>
    </row>
    <row r="15" spans="1:20" s="124" customFormat="1" x14ac:dyDescent="0.2">
      <c r="A15" s="108"/>
      <c r="B15" s="128" t="s">
        <v>384</v>
      </c>
      <c r="C15" s="110">
        <f>IFERROR(VLOOKUP($B15,MMWR_TRAD_AGG_STATE_COMP[],C$1,0),"ERROR")</f>
        <v>2538</v>
      </c>
      <c r="D15" s="111">
        <f>IFERROR(VLOOKUP($B15,MMWR_TRAD_AGG_STATE_COMP[],D$1,0),"ERROR")</f>
        <v>296.98226950349999</v>
      </c>
      <c r="E15" s="112">
        <f>IFERROR(VLOOKUP($B15,MMWR_TRAD_AGG_STATE_COMP[],E$1,0),"ERROR")</f>
        <v>4427</v>
      </c>
      <c r="F15" s="113">
        <f>IFERROR(VLOOKUP($B15,MMWR_TRAD_AGG_STATE_COMP[],F$1,0),"ERROR")</f>
        <v>1589</v>
      </c>
      <c r="G15" s="114">
        <f t="shared" si="0"/>
        <v>0.35893381522475715</v>
      </c>
      <c r="H15" s="112">
        <f>IFERROR(VLOOKUP($B15,MMWR_TRAD_AGG_STATE_COMP[],H$1,0),"ERROR")</f>
        <v>3960</v>
      </c>
      <c r="I15" s="113">
        <f>IFERROR(VLOOKUP($B15,MMWR_TRAD_AGG_STATE_COMP[],I$1,0),"ERROR")</f>
        <v>2058</v>
      </c>
      <c r="J15" s="115">
        <f t="shared" si="1"/>
        <v>0.51969696969696966</v>
      </c>
      <c r="K15" s="112">
        <f>IFERROR(VLOOKUP($B15,MMWR_TRAD_AGG_STATE_COMP[],K$1,0),"ERROR")</f>
        <v>537</v>
      </c>
      <c r="L15" s="113">
        <f>IFERROR(VLOOKUP($B15,MMWR_TRAD_AGG_STATE_COMP[],L$1,0),"ERROR")</f>
        <v>236</v>
      </c>
      <c r="M15" s="115">
        <f t="shared" si="2"/>
        <v>0.43947858472998136</v>
      </c>
      <c r="N15" s="112">
        <f>IFERROR(VLOOKUP($B15,MMWR_TRAD_AGG_STATE_COMP[],N$1,0),"ERROR")</f>
        <v>2006</v>
      </c>
      <c r="O15" s="113">
        <f>IFERROR(VLOOKUP($B15,MMWR_TRAD_AGG_STATE_COMP[],O$1,0),"ERROR")</f>
        <v>1181</v>
      </c>
      <c r="P15" s="115">
        <f t="shared" si="3"/>
        <v>0.5887337986041874</v>
      </c>
      <c r="Q15" s="116">
        <f>IFERROR(VLOOKUP($B15,MMWR_TRAD_AGG_STATE_COMP[],Q$1,0),"ERROR")</f>
        <v>488</v>
      </c>
      <c r="R15" s="116">
        <f>IFERROR(VLOOKUP($B15,MMWR_TRAD_AGG_STATE_COMP[],R$1,0),"ERROR")</f>
        <v>7</v>
      </c>
      <c r="S15" s="116">
        <f>IFERROR(VLOOKUP($B15,MMWR_APP_STATE_COMP[],S$1,0),"ERROR")</f>
        <v>4067</v>
      </c>
      <c r="T15" s="28"/>
    </row>
    <row r="16" spans="1:20" s="124" customFormat="1" x14ac:dyDescent="0.2">
      <c r="A16" s="108"/>
      <c r="B16" s="128" t="s">
        <v>63</v>
      </c>
      <c r="C16" s="110">
        <f>IFERROR(VLOOKUP($B16,MMWR_TRAD_AGG_STATE_COMP[],C$1,0),"ERROR")</f>
        <v>5821</v>
      </c>
      <c r="D16" s="111">
        <f>IFERROR(VLOOKUP($B16,MMWR_TRAD_AGG_STATE_COMP[],D$1,0),"ERROR")</f>
        <v>255.91272977150001</v>
      </c>
      <c r="E16" s="112">
        <f>IFERROR(VLOOKUP($B16,MMWR_TRAD_AGG_STATE_COMP[],E$1,0),"ERROR")</f>
        <v>10012</v>
      </c>
      <c r="F16" s="113">
        <f>IFERROR(VLOOKUP($B16,MMWR_TRAD_AGG_STATE_COMP[],F$1,0),"ERROR")</f>
        <v>3393</v>
      </c>
      <c r="G16" s="114">
        <f t="shared" si="0"/>
        <v>0.33889332800639232</v>
      </c>
      <c r="H16" s="112">
        <f>IFERROR(VLOOKUP($B16,MMWR_TRAD_AGG_STATE_COMP[],H$1,0),"ERROR")</f>
        <v>9068</v>
      </c>
      <c r="I16" s="113">
        <f>IFERROR(VLOOKUP($B16,MMWR_TRAD_AGG_STATE_COMP[],I$1,0),"ERROR")</f>
        <v>4624</v>
      </c>
      <c r="J16" s="115">
        <f t="shared" si="1"/>
        <v>0.50992501102778998</v>
      </c>
      <c r="K16" s="112">
        <f>IFERROR(VLOOKUP($B16,MMWR_TRAD_AGG_STATE_COMP[],K$1,0),"ERROR")</f>
        <v>1684</v>
      </c>
      <c r="L16" s="113">
        <f>IFERROR(VLOOKUP($B16,MMWR_TRAD_AGG_STATE_COMP[],L$1,0),"ERROR")</f>
        <v>949</v>
      </c>
      <c r="M16" s="115">
        <f t="shared" si="2"/>
        <v>0.56353919239904993</v>
      </c>
      <c r="N16" s="112">
        <f>IFERROR(VLOOKUP($B16,MMWR_TRAD_AGG_STATE_COMP[],N$1,0),"ERROR")</f>
        <v>1484</v>
      </c>
      <c r="O16" s="113">
        <f>IFERROR(VLOOKUP($B16,MMWR_TRAD_AGG_STATE_COMP[],O$1,0),"ERROR")</f>
        <v>811</v>
      </c>
      <c r="P16" s="115">
        <f t="shared" si="3"/>
        <v>0.54649595687331531</v>
      </c>
      <c r="Q16" s="116">
        <f>IFERROR(VLOOKUP($B16,MMWR_TRAD_AGG_STATE_COMP[],Q$1,0),"ERROR")</f>
        <v>852</v>
      </c>
      <c r="R16" s="116">
        <f>IFERROR(VLOOKUP($B16,MMWR_TRAD_AGG_STATE_COMP[],R$1,0),"ERROR")</f>
        <v>17</v>
      </c>
      <c r="S16" s="116">
        <f>IFERROR(VLOOKUP($B16,MMWR_APP_STATE_COMP[],S$1,0),"ERROR")</f>
        <v>5355</v>
      </c>
      <c r="T16" s="28"/>
    </row>
    <row r="17" spans="1:20" s="124" customFormat="1" x14ac:dyDescent="0.2">
      <c r="A17" s="108"/>
      <c r="B17" s="128" t="s">
        <v>392</v>
      </c>
      <c r="C17" s="110">
        <f>IFERROR(VLOOKUP($B17,MMWR_TRAD_AGG_STATE_COMP[],C$1,0),"ERROR")</f>
        <v>15894</v>
      </c>
      <c r="D17" s="111">
        <f>IFERROR(VLOOKUP($B17,MMWR_TRAD_AGG_STATE_COMP[],D$1,0),"ERROR")</f>
        <v>347.33849251290002</v>
      </c>
      <c r="E17" s="112">
        <f>IFERROR(VLOOKUP($B17,MMWR_TRAD_AGG_STATE_COMP[],E$1,0),"ERROR")</f>
        <v>18976</v>
      </c>
      <c r="F17" s="113">
        <f>IFERROR(VLOOKUP($B17,MMWR_TRAD_AGG_STATE_COMP[],F$1,0),"ERROR")</f>
        <v>6683</v>
      </c>
      <c r="G17" s="114">
        <f t="shared" si="0"/>
        <v>0.35218170320404724</v>
      </c>
      <c r="H17" s="112">
        <f>IFERROR(VLOOKUP($B17,MMWR_TRAD_AGG_STATE_COMP[],H$1,0),"ERROR")</f>
        <v>21528</v>
      </c>
      <c r="I17" s="113">
        <f>IFERROR(VLOOKUP($B17,MMWR_TRAD_AGG_STATE_COMP[],I$1,0),"ERROR")</f>
        <v>13907</v>
      </c>
      <c r="J17" s="115">
        <f t="shared" si="1"/>
        <v>0.6459959123002601</v>
      </c>
      <c r="K17" s="112">
        <f>IFERROR(VLOOKUP($B17,MMWR_TRAD_AGG_STATE_COMP[],K$1,0),"ERROR")</f>
        <v>4214</v>
      </c>
      <c r="L17" s="113">
        <f>IFERROR(VLOOKUP($B17,MMWR_TRAD_AGG_STATE_COMP[],L$1,0),"ERROR")</f>
        <v>3395</v>
      </c>
      <c r="M17" s="115">
        <f t="shared" si="2"/>
        <v>0.80564784053156147</v>
      </c>
      <c r="N17" s="112">
        <f>IFERROR(VLOOKUP($B17,MMWR_TRAD_AGG_STATE_COMP[],N$1,0),"ERROR")</f>
        <v>8108</v>
      </c>
      <c r="O17" s="113">
        <f>IFERROR(VLOOKUP($B17,MMWR_TRAD_AGG_STATE_COMP[],O$1,0),"ERROR")</f>
        <v>4338</v>
      </c>
      <c r="P17" s="115">
        <f t="shared" si="3"/>
        <v>0.5350271336951159</v>
      </c>
      <c r="Q17" s="116">
        <f>IFERROR(VLOOKUP($B17,MMWR_TRAD_AGG_STATE_COMP[],Q$1,0),"ERROR")</f>
        <v>718</v>
      </c>
      <c r="R17" s="116">
        <f>IFERROR(VLOOKUP($B17,MMWR_TRAD_AGG_STATE_COMP[],R$1,0),"ERROR")</f>
        <v>40</v>
      </c>
      <c r="S17" s="116">
        <f>IFERROR(VLOOKUP($B17,MMWR_APP_STATE_COMP[],S$1,0),"ERROR")</f>
        <v>9976</v>
      </c>
      <c r="T17" s="28"/>
    </row>
    <row r="18" spans="1:20" s="124" customFormat="1" x14ac:dyDescent="0.2">
      <c r="A18" s="108"/>
      <c r="B18" s="128" t="s">
        <v>385</v>
      </c>
      <c r="C18" s="110">
        <f>IFERROR(VLOOKUP($B18,MMWR_TRAD_AGG_STATE_COMP[],C$1,0),"ERROR")</f>
        <v>8219</v>
      </c>
      <c r="D18" s="111">
        <f>IFERROR(VLOOKUP($B18,MMWR_TRAD_AGG_STATE_COMP[],D$1,0),"ERROR")</f>
        <v>395.94245041980002</v>
      </c>
      <c r="E18" s="112">
        <f>IFERROR(VLOOKUP($B18,MMWR_TRAD_AGG_STATE_COMP[],E$1,0),"ERROR")</f>
        <v>9736</v>
      </c>
      <c r="F18" s="113">
        <f>IFERROR(VLOOKUP($B18,MMWR_TRAD_AGG_STATE_COMP[],F$1,0),"ERROR")</f>
        <v>3423</v>
      </c>
      <c r="G18" s="114">
        <f t="shared" si="0"/>
        <v>0.35158175842235007</v>
      </c>
      <c r="H18" s="112">
        <f>IFERROR(VLOOKUP($B18,MMWR_TRAD_AGG_STATE_COMP[],H$1,0),"ERROR")</f>
        <v>11903</v>
      </c>
      <c r="I18" s="113">
        <f>IFERROR(VLOOKUP($B18,MMWR_TRAD_AGG_STATE_COMP[],I$1,0),"ERROR")</f>
        <v>7811</v>
      </c>
      <c r="J18" s="115">
        <f t="shared" si="1"/>
        <v>0.65622112072586747</v>
      </c>
      <c r="K18" s="112">
        <f>IFERROR(VLOOKUP($B18,MMWR_TRAD_AGG_STATE_COMP[],K$1,0),"ERROR")</f>
        <v>982</v>
      </c>
      <c r="L18" s="113">
        <f>IFERROR(VLOOKUP($B18,MMWR_TRAD_AGG_STATE_COMP[],L$1,0),"ERROR")</f>
        <v>665</v>
      </c>
      <c r="M18" s="115">
        <f t="shared" si="2"/>
        <v>0.67718940936863548</v>
      </c>
      <c r="N18" s="112">
        <f>IFERROR(VLOOKUP($B18,MMWR_TRAD_AGG_STATE_COMP[],N$1,0),"ERROR")</f>
        <v>6183</v>
      </c>
      <c r="O18" s="113">
        <f>IFERROR(VLOOKUP($B18,MMWR_TRAD_AGG_STATE_COMP[],O$1,0),"ERROR")</f>
        <v>3467</v>
      </c>
      <c r="P18" s="115">
        <f t="shared" si="3"/>
        <v>0.5607310367135695</v>
      </c>
      <c r="Q18" s="116">
        <f>IFERROR(VLOOKUP($B18,MMWR_TRAD_AGG_STATE_COMP[],Q$1,0),"ERROR")</f>
        <v>780</v>
      </c>
      <c r="R18" s="116">
        <f>IFERROR(VLOOKUP($B18,MMWR_TRAD_AGG_STATE_COMP[],R$1,0),"ERROR")</f>
        <v>11</v>
      </c>
      <c r="S18" s="116">
        <f>IFERROR(VLOOKUP($B18,MMWR_APP_STATE_COMP[],S$1,0),"ERROR")</f>
        <v>6340</v>
      </c>
      <c r="T18" s="28"/>
    </row>
    <row r="19" spans="1:20" s="124" customFormat="1" x14ac:dyDescent="0.2">
      <c r="A19" s="108"/>
      <c r="B19" s="128" t="s">
        <v>382</v>
      </c>
      <c r="C19" s="110">
        <f>IFERROR(VLOOKUP($B19,MMWR_TRAD_AGG_STATE_COMP[],C$1,0),"ERROR")</f>
        <v>470</v>
      </c>
      <c r="D19" s="111">
        <f>IFERROR(VLOOKUP($B19,MMWR_TRAD_AGG_STATE_COMP[],D$1,0),"ERROR")</f>
        <v>227.4936170213</v>
      </c>
      <c r="E19" s="112">
        <f>IFERROR(VLOOKUP($B19,MMWR_TRAD_AGG_STATE_COMP[],E$1,0),"ERROR")</f>
        <v>871</v>
      </c>
      <c r="F19" s="113">
        <f>IFERROR(VLOOKUP($B19,MMWR_TRAD_AGG_STATE_COMP[],F$1,0),"ERROR")</f>
        <v>221</v>
      </c>
      <c r="G19" s="114">
        <f t="shared" si="0"/>
        <v>0.2537313432835821</v>
      </c>
      <c r="H19" s="112">
        <f>IFERROR(VLOOKUP($B19,MMWR_TRAD_AGG_STATE_COMP[],H$1,0),"ERROR")</f>
        <v>1167</v>
      </c>
      <c r="I19" s="113">
        <f>IFERROR(VLOOKUP($B19,MMWR_TRAD_AGG_STATE_COMP[],I$1,0),"ERROR")</f>
        <v>457</v>
      </c>
      <c r="J19" s="115">
        <f t="shared" si="1"/>
        <v>0.3916023993144816</v>
      </c>
      <c r="K19" s="112">
        <f>IFERROR(VLOOKUP($B19,MMWR_TRAD_AGG_STATE_COMP[],K$1,0),"ERROR")</f>
        <v>356</v>
      </c>
      <c r="L19" s="113">
        <f>IFERROR(VLOOKUP($B19,MMWR_TRAD_AGG_STATE_COMP[],L$1,0),"ERROR")</f>
        <v>139</v>
      </c>
      <c r="M19" s="115">
        <f t="shared" si="2"/>
        <v>0.3904494382022472</v>
      </c>
      <c r="N19" s="112">
        <f>IFERROR(VLOOKUP($B19,MMWR_TRAD_AGG_STATE_COMP[],N$1,0),"ERROR")</f>
        <v>105</v>
      </c>
      <c r="O19" s="113">
        <f>IFERROR(VLOOKUP($B19,MMWR_TRAD_AGG_STATE_COMP[],O$1,0),"ERROR")</f>
        <v>51</v>
      </c>
      <c r="P19" s="115">
        <f t="shared" si="3"/>
        <v>0.48571428571428571</v>
      </c>
      <c r="Q19" s="116">
        <f>IFERROR(VLOOKUP($B19,MMWR_TRAD_AGG_STATE_COMP[],Q$1,0),"ERROR")</f>
        <v>97</v>
      </c>
      <c r="R19" s="116">
        <f>IFERROR(VLOOKUP($B19,MMWR_TRAD_AGG_STATE_COMP[],R$1,0),"ERROR")</f>
        <v>2</v>
      </c>
      <c r="S19" s="116">
        <f>IFERROR(VLOOKUP($B19,MMWR_APP_STATE_COMP[],S$1,0),"ERROR")</f>
        <v>303</v>
      </c>
      <c r="T19" s="28"/>
    </row>
    <row r="20" spans="1:20" s="124" customFormat="1" x14ac:dyDescent="0.2">
      <c r="A20" s="108"/>
      <c r="B20" s="128" t="s">
        <v>427</v>
      </c>
      <c r="C20" s="110">
        <f>IFERROR(VLOOKUP($B20,MMWR_TRAD_AGG_STATE_COMP[],C$1,0),"ERROR")</f>
        <v>529</v>
      </c>
      <c r="D20" s="111">
        <f>IFERROR(VLOOKUP($B20,MMWR_TRAD_AGG_STATE_COMP[],D$1,0),"ERROR")</f>
        <v>322.30812854440001</v>
      </c>
      <c r="E20" s="112">
        <f>IFERROR(VLOOKUP($B20,MMWR_TRAD_AGG_STATE_COMP[],E$1,0),"ERROR")</f>
        <v>450</v>
      </c>
      <c r="F20" s="113">
        <f>IFERROR(VLOOKUP($B20,MMWR_TRAD_AGG_STATE_COMP[],F$1,0),"ERROR")</f>
        <v>122</v>
      </c>
      <c r="G20" s="114">
        <f t="shared" si="0"/>
        <v>0.27111111111111114</v>
      </c>
      <c r="H20" s="112">
        <f>IFERROR(VLOOKUP($B20,MMWR_TRAD_AGG_STATE_COMP[],H$1,0),"ERROR")</f>
        <v>876</v>
      </c>
      <c r="I20" s="113">
        <f>IFERROR(VLOOKUP($B20,MMWR_TRAD_AGG_STATE_COMP[],I$1,0),"ERROR")</f>
        <v>473</v>
      </c>
      <c r="J20" s="115">
        <f t="shared" si="1"/>
        <v>0.53995433789954339</v>
      </c>
      <c r="K20" s="112">
        <f>IFERROR(VLOOKUP($B20,MMWR_TRAD_AGG_STATE_COMP[],K$1,0),"ERROR")</f>
        <v>158</v>
      </c>
      <c r="L20" s="113">
        <f>IFERROR(VLOOKUP($B20,MMWR_TRAD_AGG_STATE_COMP[],L$1,0),"ERROR")</f>
        <v>101</v>
      </c>
      <c r="M20" s="115">
        <f t="shared" si="2"/>
        <v>0.63924050632911389</v>
      </c>
      <c r="N20" s="112">
        <f>IFERROR(VLOOKUP($B20,MMWR_TRAD_AGG_STATE_COMP[],N$1,0),"ERROR")</f>
        <v>80</v>
      </c>
      <c r="O20" s="113">
        <f>IFERROR(VLOOKUP($B20,MMWR_TRAD_AGG_STATE_COMP[],O$1,0),"ERROR")</f>
        <v>48</v>
      </c>
      <c r="P20" s="115">
        <f t="shared" si="3"/>
        <v>0.6</v>
      </c>
      <c r="Q20" s="116">
        <f>IFERROR(VLOOKUP($B20,MMWR_TRAD_AGG_STATE_COMP[],Q$1,0),"ERROR")</f>
        <v>31</v>
      </c>
      <c r="R20" s="116">
        <f>IFERROR(VLOOKUP($B20,MMWR_TRAD_AGG_STATE_COMP[],R$1,0),"ERROR")</f>
        <v>1</v>
      </c>
      <c r="S20" s="116">
        <f>IFERROR(VLOOKUP($B20,MMWR_APP_STATE_COMP[],S$1,0),"ERROR")</f>
        <v>189</v>
      </c>
      <c r="T20" s="28"/>
    </row>
    <row r="21" spans="1:20" s="124" customFormat="1" x14ac:dyDescent="0.2">
      <c r="A21" s="108"/>
      <c r="B21" s="128" t="s">
        <v>388</v>
      </c>
      <c r="C21" s="110">
        <f>IFERROR(VLOOKUP($B21,MMWR_TRAD_AGG_STATE_COMP[],C$1,0),"ERROR")</f>
        <v>17218</v>
      </c>
      <c r="D21" s="111">
        <f>IFERROR(VLOOKUP($B21,MMWR_TRAD_AGG_STATE_COMP[],D$1,0),"ERROR")</f>
        <v>407.60384481360001</v>
      </c>
      <c r="E21" s="112">
        <f>IFERROR(VLOOKUP($B21,MMWR_TRAD_AGG_STATE_COMP[],E$1,0),"ERROR")</f>
        <v>12952</v>
      </c>
      <c r="F21" s="113">
        <f>IFERROR(VLOOKUP($B21,MMWR_TRAD_AGG_STATE_COMP[],F$1,0),"ERROR")</f>
        <v>3954</v>
      </c>
      <c r="G21" s="114">
        <f t="shared" si="0"/>
        <v>0.30528103767757875</v>
      </c>
      <c r="H21" s="112">
        <f>IFERROR(VLOOKUP($B21,MMWR_TRAD_AGG_STATE_COMP[],H$1,0),"ERROR")</f>
        <v>21911</v>
      </c>
      <c r="I21" s="113">
        <f>IFERROR(VLOOKUP($B21,MMWR_TRAD_AGG_STATE_COMP[],I$1,0),"ERROR")</f>
        <v>14802</v>
      </c>
      <c r="J21" s="115">
        <f t="shared" si="1"/>
        <v>0.6755510930582812</v>
      </c>
      <c r="K21" s="112">
        <f>IFERROR(VLOOKUP($B21,MMWR_TRAD_AGG_STATE_COMP[],K$1,0),"ERROR")</f>
        <v>3001</v>
      </c>
      <c r="L21" s="113">
        <f>IFERROR(VLOOKUP($B21,MMWR_TRAD_AGG_STATE_COMP[],L$1,0),"ERROR")</f>
        <v>2407</v>
      </c>
      <c r="M21" s="115">
        <f t="shared" si="2"/>
        <v>0.80206597800733093</v>
      </c>
      <c r="N21" s="112">
        <f>IFERROR(VLOOKUP($B21,MMWR_TRAD_AGG_STATE_COMP[],N$1,0),"ERROR")</f>
        <v>5619</v>
      </c>
      <c r="O21" s="113">
        <f>IFERROR(VLOOKUP($B21,MMWR_TRAD_AGG_STATE_COMP[],O$1,0),"ERROR")</f>
        <v>4323</v>
      </c>
      <c r="P21" s="115">
        <f t="shared" si="3"/>
        <v>0.76935397757608115</v>
      </c>
      <c r="Q21" s="116">
        <f>IFERROR(VLOOKUP($B21,MMWR_TRAD_AGG_STATE_COMP[],Q$1,0),"ERROR")</f>
        <v>571</v>
      </c>
      <c r="R21" s="116">
        <f>IFERROR(VLOOKUP($B21,MMWR_TRAD_AGG_STATE_COMP[],R$1,0),"ERROR")</f>
        <v>36</v>
      </c>
      <c r="S21" s="116">
        <f>IFERROR(VLOOKUP($B21,MMWR_APP_STATE_COMP[],S$1,0),"ERROR")</f>
        <v>13467</v>
      </c>
      <c r="T21" s="28"/>
    </row>
    <row r="22" spans="1:20" s="124" customFormat="1" x14ac:dyDescent="0.2">
      <c r="A22" s="108"/>
      <c r="B22" s="128" t="s">
        <v>389</v>
      </c>
      <c r="C22" s="110">
        <f>IFERROR(VLOOKUP($B22,MMWR_TRAD_AGG_STATE_COMP[],C$1,0),"ERROR")</f>
        <v>2377</v>
      </c>
      <c r="D22" s="111">
        <f>IFERROR(VLOOKUP($B22,MMWR_TRAD_AGG_STATE_COMP[],D$1,0),"ERROR")</f>
        <v>246.96087505259999</v>
      </c>
      <c r="E22" s="112">
        <f>IFERROR(VLOOKUP($B22,MMWR_TRAD_AGG_STATE_COMP[],E$1,0),"ERROR")</f>
        <v>2528</v>
      </c>
      <c r="F22" s="113">
        <f>IFERROR(VLOOKUP($B22,MMWR_TRAD_AGG_STATE_COMP[],F$1,0),"ERROR")</f>
        <v>681</v>
      </c>
      <c r="G22" s="114">
        <f t="shared" si="0"/>
        <v>0.26938291139240506</v>
      </c>
      <c r="H22" s="112">
        <f>IFERROR(VLOOKUP($B22,MMWR_TRAD_AGG_STATE_COMP[],H$1,0),"ERROR")</f>
        <v>3620</v>
      </c>
      <c r="I22" s="113">
        <f>IFERROR(VLOOKUP($B22,MMWR_TRAD_AGG_STATE_COMP[],I$1,0),"ERROR")</f>
        <v>1970</v>
      </c>
      <c r="J22" s="115">
        <f t="shared" si="1"/>
        <v>0.54419889502762431</v>
      </c>
      <c r="K22" s="112">
        <f>IFERROR(VLOOKUP($B22,MMWR_TRAD_AGG_STATE_COMP[],K$1,0),"ERROR")</f>
        <v>310</v>
      </c>
      <c r="L22" s="113">
        <f>IFERROR(VLOOKUP($B22,MMWR_TRAD_AGG_STATE_COMP[],L$1,0),"ERROR")</f>
        <v>255</v>
      </c>
      <c r="M22" s="115">
        <f t="shared" si="2"/>
        <v>0.82258064516129037</v>
      </c>
      <c r="N22" s="112">
        <f>IFERROR(VLOOKUP($B22,MMWR_TRAD_AGG_STATE_COMP[],N$1,0),"ERROR")</f>
        <v>1072</v>
      </c>
      <c r="O22" s="113">
        <f>IFERROR(VLOOKUP($B22,MMWR_TRAD_AGG_STATE_COMP[],O$1,0),"ERROR")</f>
        <v>745</v>
      </c>
      <c r="P22" s="115">
        <f t="shared" si="3"/>
        <v>0.6949626865671642</v>
      </c>
      <c r="Q22" s="116">
        <f>IFERROR(VLOOKUP($B22,MMWR_TRAD_AGG_STATE_COMP[],Q$1,0),"ERROR")</f>
        <v>245</v>
      </c>
      <c r="R22" s="116">
        <f>IFERROR(VLOOKUP($B22,MMWR_TRAD_AGG_STATE_COMP[],R$1,0),"ERROR")</f>
        <v>18</v>
      </c>
      <c r="S22" s="116">
        <f>IFERROR(VLOOKUP($B22,MMWR_APP_STATE_COMP[],S$1,0),"ERROR")</f>
        <v>2316</v>
      </c>
      <c r="T22" s="28"/>
    </row>
    <row r="23" spans="1:20" s="124" customFormat="1" x14ac:dyDescent="0.2">
      <c r="A23" s="108"/>
      <c r="B23" s="127" t="s">
        <v>400</v>
      </c>
      <c r="C23" s="103">
        <f>IF(SUM(C24:C35)&lt;&gt;VLOOKUP($B23,MMWR_TRAD_AGG_ST_DISTRICT_COMP[],C$1,0),"ERROR",
VLOOKUP($B23,MMWR_TRAD_AGG_ST_DISTRICT_COMP[],C$1,0))</f>
        <v>51464</v>
      </c>
      <c r="D23" s="104">
        <f>IFERROR(VLOOKUP($B23,MMWR_TRAD_AGG_ST_DISTRICT_COMP[],D$1,0),"ERROR")</f>
        <v>375.69506839730002</v>
      </c>
      <c r="E23" s="103">
        <f>IF(SUM(E24:E35)&lt;&gt;VLOOKUP($B23,MMWR_TRAD_AGG_ST_DISTRICT_COMP[],E$1,0),"ERROR",
VLOOKUP($B23,MMWR_TRAD_AGG_ST_DISTRICT_COMP[],E$1,0))</f>
        <v>54247</v>
      </c>
      <c r="F23" s="103">
        <f>IF(SUM(F24:F35)&lt;&gt;VLOOKUP($B23,MMWR_TRAD_AGG_ST_DISTRICT_COMP[],F$1,0),"ERROR",
VLOOKUP($B23,MMWR_TRAD_AGG_ST_DISTRICT_COMP[],F$1,0))</f>
        <v>15974</v>
      </c>
      <c r="G23" s="105">
        <f t="shared" si="0"/>
        <v>0.29446789684222169</v>
      </c>
      <c r="H23" s="103">
        <f>IF(SUM(H24:H35)&lt;&gt;VLOOKUP($B23,MMWR_TRAD_AGG_ST_DISTRICT_COMP[],H$1,0),"ERROR",
VLOOKUP($B23,MMWR_TRAD_AGG_ST_DISTRICT_COMP[],H$1,0))</f>
        <v>76316</v>
      </c>
      <c r="I23" s="103">
        <f>IF(SUM(I24:I35)&lt;&gt;VLOOKUP($B23,MMWR_TRAD_AGG_ST_DISTRICT_COMP[],I$1,0),"ERROR",
VLOOKUP($B23,MMWR_TRAD_AGG_ST_DISTRICT_COMP[],I$1,0))</f>
        <v>44047</v>
      </c>
      <c r="J23" s="106">
        <f t="shared" si="1"/>
        <v>0.57716599402484403</v>
      </c>
      <c r="K23" s="103">
        <f>IF(SUM(K24:K35)&lt;&gt;VLOOKUP($B23,MMWR_TRAD_AGG_ST_DISTRICT_COMP[],K$1,0),"ERROR",
VLOOKUP($B23,MMWR_TRAD_AGG_ST_DISTRICT_COMP[],K$1,0))</f>
        <v>10187</v>
      </c>
      <c r="L23" s="103">
        <f>IF(SUM(L24:L35)&lt;&gt;VLOOKUP($B23,MMWR_TRAD_AGG_ST_DISTRICT_COMP[],L$1,0),"ERROR",
VLOOKUP($B23,MMWR_TRAD_AGG_ST_DISTRICT_COMP[],L$1,0))</f>
        <v>8354</v>
      </c>
      <c r="M23" s="106">
        <f t="shared" si="2"/>
        <v>0.82006478845587516</v>
      </c>
      <c r="N23" s="103">
        <f>IF(SUM(N24:N35)&lt;&gt;VLOOKUP($B23,MMWR_TRAD_AGG_ST_DISTRICT_COMP[],N$1,0),"ERROR",
VLOOKUP($B23,MMWR_TRAD_AGG_ST_DISTRICT_COMP[],N$1,0))</f>
        <v>21267</v>
      </c>
      <c r="O23" s="103">
        <f>IF(SUM(O24:O35)&lt;&gt;VLOOKUP($B23,MMWR_TRAD_AGG_ST_DISTRICT_COMP[],O$1,0),"ERROR",
VLOOKUP($B23,MMWR_TRAD_AGG_ST_DISTRICT_COMP[],O$1,0))</f>
        <v>15003</v>
      </c>
      <c r="P23" s="106">
        <f t="shared" si="3"/>
        <v>0.70545916208209902</v>
      </c>
      <c r="Q23" s="103">
        <f>IF(SUM(Q24:Q35)&lt;&gt;VLOOKUP($B23,MMWR_TRAD_AGG_ST_DISTRICT_COMP[],Q$1,0),"ERROR",
VLOOKUP($B23,MMWR_TRAD_AGG_ST_DISTRICT_COMP[],Q$1,0))</f>
        <v>148</v>
      </c>
      <c r="R23" s="103">
        <f>IF(SUM(R24:R35)&lt;&gt;VLOOKUP($B23,MMWR_TRAD_AGG_ST_DISTRICT_COMP[],R$1,0),"ERROR",
VLOOKUP($B23,MMWR_TRAD_AGG_ST_DISTRICT_COMP[],R$1,0))</f>
        <v>1202</v>
      </c>
      <c r="S23" s="107">
        <f>SUM(S24:S35)</f>
        <v>52717</v>
      </c>
      <c r="T23" s="28"/>
    </row>
    <row r="24" spans="1:20" s="124" customFormat="1" x14ac:dyDescent="0.2">
      <c r="A24" s="93"/>
      <c r="B24" s="128" t="s">
        <v>404</v>
      </c>
      <c r="C24" s="110">
        <f>IFERROR(VLOOKUP($B24,MMWR_TRAD_AGG_STATE_COMP[],C$1,0),"ERROR")</f>
        <v>8030</v>
      </c>
      <c r="D24" s="111">
        <f>IFERROR(VLOOKUP($B24,MMWR_TRAD_AGG_STATE_COMP[],D$1,0),"ERROR")</f>
        <v>467.703860523</v>
      </c>
      <c r="E24" s="112">
        <f>IFERROR(VLOOKUP($B24,MMWR_TRAD_AGG_STATE_COMP[],E$1,0),"ERROR")</f>
        <v>7927</v>
      </c>
      <c r="F24" s="113">
        <f>IFERROR(VLOOKUP($B24,MMWR_TRAD_AGG_STATE_COMP[],F$1,0),"ERROR")</f>
        <v>2762</v>
      </c>
      <c r="G24" s="114">
        <f t="shared" si="0"/>
        <v>0.34842941844329506</v>
      </c>
      <c r="H24" s="112">
        <f>IFERROR(VLOOKUP($B24,MMWR_TRAD_AGG_STATE_COMP[],H$1,0),"ERROR")</f>
        <v>10549</v>
      </c>
      <c r="I24" s="113">
        <f>IFERROR(VLOOKUP($B24,MMWR_TRAD_AGG_STATE_COMP[],I$1,0),"ERROR")</f>
        <v>7363</v>
      </c>
      <c r="J24" s="115">
        <f t="shared" si="1"/>
        <v>0.69798085126552278</v>
      </c>
      <c r="K24" s="112">
        <f>IFERROR(VLOOKUP($B24,MMWR_TRAD_AGG_STATE_COMP[],K$1,0),"ERROR")</f>
        <v>1508</v>
      </c>
      <c r="L24" s="113">
        <f>IFERROR(VLOOKUP($B24,MMWR_TRAD_AGG_STATE_COMP[],L$1,0),"ERROR")</f>
        <v>1362</v>
      </c>
      <c r="M24" s="115">
        <f t="shared" si="2"/>
        <v>0.90318302387267901</v>
      </c>
      <c r="N24" s="112">
        <f>IFERROR(VLOOKUP($B24,MMWR_TRAD_AGG_STATE_COMP[],N$1,0),"ERROR")</f>
        <v>3090</v>
      </c>
      <c r="O24" s="113">
        <f>IFERROR(VLOOKUP($B24,MMWR_TRAD_AGG_STATE_COMP[],O$1,0),"ERROR")</f>
        <v>2370</v>
      </c>
      <c r="P24" s="115">
        <f t="shared" si="3"/>
        <v>0.76699029126213591</v>
      </c>
      <c r="Q24" s="116">
        <f>IFERROR(VLOOKUP($B24,MMWR_TRAD_AGG_STATE_COMP[],Q$1,0),"ERROR")</f>
        <v>25</v>
      </c>
      <c r="R24" s="116">
        <f>IFERROR(VLOOKUP($B24,MMWR_TRAD_AGG_STATE_COMP[],R$1,0),"ERROR")</f>
        <v>281</v>
      </c>
      <c r="S24" s="116">
        <f>IFERROR(VLOOKUP($B24,MMWR_APP_STATE_COMP[],S$1,0),"ERROR")</f>
        <v>7611</v>
      </c>
      <c r="T24" s="28"/>
    </row>
    <row r="25" spans="1:20" s="124" customFormat="1" x14ac:dyDescent="0.2">
      <c r="A25" s="108"/>
      <c r="B25" s="128" t="s">
        <v>402</v>
      </c>
      <c r="C25" s="110">
        <f>IFERROR(VLOOKUP($B25,MMWR_TRAD_AGG_STATE_COMP[],C$1,0),"ERROR")</f>
        <v>7593</v>
      </c>
      <c r="D25" s="111">
        <f>IFERROR(VLOOKUP($B25,MMWR_TRAD_AGG_STATE_COMP[],D$1,0),"ERROR")</f>
        <v>628.6898459107</v>
      </c>
      <c r="E25" s="112">
        <f>IFERROR(VLOOKUP($B25,MMWR_TRAD_AGG_STATE_COMP[],E$1,0),"ERROR")</f>
        <v>5236</v>
      </c>
      <c r="F25" s="113">
        <f>IFERROR(VLOOKUP($B25,MMWR_TRAD_AGG_STATE_COMP[],F$1,0),"ERROR")</f>
        <v>1757</v>
      </c>
      <c r="G25" s="114">
        <f t="shared" si="0"/>
        <v>0.33556149732620322</v>
      </c>
      <c r="H25" s="112">
        <f>IFERROR(VLOOKUP($B25,MMWR_TRAD_AGG_STATE_COMP[],H$1,0),"ERROR")</f>
        <v>9909</v>
      </c>
      <c r="I25" s="113">
        <f>IFERROR(VLOOKUP($B25,MMWR_TRAD_AGG_STATE_COMP[],I$1,0),"ERROR")</f>
        <v>7413</v>
      </c>
      <c r="J25" s="115">
        <f t="shared" si="1"/>
        <v>0.74810778080532847</v>
      </c>
      <c r="K25" s="112">
        <f>IFERROR(VLOOKUP($B25,MMWR_TRAD_AGG_STATE_COMP[],K$1,0),"ERROR")</f>
        <v>1164</v>
      </c>
      <c r="L25" s="113">
        <f>IFERROR(VLOOKUP($B25,MMWR_TRAD_AGG_STATE_COMP[],L$1,0),"ERROR")</f>
        <v>1004</v>
      </c>
      <c r="M25" s="115">
        <f t="shared" si="2"/>
        <v>0.86254295532646053</v>
      </c>
      <c r="N25" s="112">
        <f>IFERROR(VLOOKUP($B25,MMWR_TRAD_AGG_STATE_COMP[],N$1,0),"ERROR")</f>
        <v>2226</v>
      </c>
      <c r="O25" s="113">
        <f>IFERROR(VLOOKUP($B25,MMWR_TRAD_AGG_STATE_COMP[],O$1,0),"ERROR")</f>
        <v>1587</v>
      </c>
      <c r="P25" s="115">
        <f t="shared" si="3"/>
        <v>0.71293800539083563</v>
      </c>
      <c r="Q25" s="116">
        <f>IFERROR(VLOOKUP($B25,MMWR_TRAD_AGG_STATE_COMP[],Q$1,0),"ERROR")</f>
        <v>18</v>
      </c>
      <c r="R25" s="116">
        <f>IFERROR(VLOOKUP($B25,MMWR_TRAD_AGG_STATE_COMP[],R$1,0),"ERROR")</f>
        <v>199</v>
      </c>
      <c r="S25" s="116">
        <f>IFERROR(VLOOKUP($B25,MMWR_APP_STATE_COMP[],S$1,0),"ERROR")</f>
        <v>7977</v>
      </c>
      <c r="T25" s="28"/>
    </row>
    <row r="26" spans="1:20" s="124" customFormat="1" x14ac:dyDescent="0.2">
      <c r="A26" s="108"/>
      <c r="B26" s="128" t="s">
        <v>409</v>
      </c>
      <c r="C26" s="110">
        <f>IFERROR(VLOOKUP($B26,MMWR_TRAD_AGG_STATE_COMP[],C$1,0),"ERROR")</f>
        <v>1918</v>
      </c>
      <c r="D26" s="111">
        <f>IFERROR(VLOOKUP($B26,MMWR_TRAD_AGG_STATE_COMP[],D$1,0),"ERROR")</f>
        <v>168.05005213760001</v>
      </c>
      <c r="E26" s="112">
        <f>IFERROR(VLOOKUP($B26,MMWR_TRAD_AGG_STATE_COMP[],E$1,0),"ERROR")</f>
        <v>2632</v>
      </c>
      <c r="F26" s="113">
        <f>IFERROR(VLOOKUP($B26,MMWR_TRAD_AGG_STATE_COMP[],F$1,0),"ERROR")</f>
        <v>645</v>
      </c>
      <c r="G26" s="114">
        <f t="shared" si="0"/>
        <v>0.24506079027355623</v>
      </c>
      <c r="H26" s="112">
        <f>IFERROR(VLOOKUP($B26,MMWR_TRAD_AGG_STATE_COMP[],H$1,0),"ERROR")</f>
        <v>3494</v>
      </c>
      <c r="I26" s="113">
        <f>IFERROR(VLOOKUP($B26,MMWR_TRAD_AGG_STATE_COMP[],I$1,0),"ERROR")</f>
        <v>1420</v>
      </c>
      <c r="J26" s="115">
        <f t="shared" si="1"/>
        <v>0.4064109902690326</v>
      </c>
      <c r="K26" s="112">
        <f>IFERROR(VLOOKUP($B26,MMWR_TRAD_AGG_STATE_COMP[],K$1,0),"ERROR")</f>
        <v>266</v>
      </c>
      <c r="L26" s="113">
        <f>IFERROR(VLOOKUP($B26,MMWR_TRAD_AGG_STATE_COMP[],L$1,0),"ERROR")</f>
        <v>216</v>
      </c>
      <c r="M26" s="115">
        <f t="shared" si="2"/>
        <v>0.81203007518796988</v>
      </c>
      <c r="N26" s="112">
        <f>IFERROR(VLOOKUP($B26,MMWR_TRAD_AGG_STATE_COMP[],N$1,0),"ERROR")</f>
        <v>1233</v>
      </c>
      <c r="O26" s="113">
        <f>IFERROR(VLOOKUP($B26,MMWR_TRAD_AGG_STATE_COMP[],O$1,0),"ERROR")</f>
        <v>1044</v>
      </c>
      <c r="P26" s="115">
        <f t="shared" si="3"/>
        <v>0.84671532846715325</v>
      </c>
      <c r="Q26" s="116">
        <f>IFERROR(VLOOKUP($B26,MMWR_TRAD_AGG_STATE_COMP[],Q$1,0),"ERROR")</f>
        <v>0</v>
      </c>
      <c r="R26" s="116">
        <f>IFERROR(VLOOKUP($B26,MMWR_TRAD_AGG_STATE_COMP[],R$1,0),"ERROR")</f>
        <v>11</v>
      </c>
      <c r="S26" s="116">
        <f>IFERROR(VLOOKUP($B26,MMWR_APP_STATE_COMP[],S$1,0),"ERROR")</f>
        <v>1262</v>
      </c>
      <c r="T26" s="28"/>
    </row>
    <row r="27" spans="1:20" s="124" customFormat="1" x14ac:dyDescent="0.2">
      <c r="A27" s="108"/>
      <c r="B27" s="128" t="s">
        <v>432</v>
      </c>
      <c r="C27" s="110">
        <f>IFERROR(VLOOKUP($B27,MMWR_TRAD_AGG_STATE_COMP[],C$1,0),"ERROR")</f>
        <v>2417</v>
      </c>
      <c r="D27" s="111">
        <f>IFERROR(VLOOKUP($B27,MMWR_TRAD_AGG_STATE_COMP[],D$1,0),"ERROR")</f>
        <v>209.80513032690001</v>
      </c>
      <c r="E27" s="112">
        <f>IFERROR(VLOOKUP($B27,MMWR_TRAD_AGG_STATE_COMP[],E$1,0),"ERROR")</f>
        <v>2775</v>
      </c>
      <c r="F27" s="113">
        <f>IFERROR(VLOOKUP($B27,MMWR_TRAD_AGG_STATE_COMP[],F$1,0),"ERROR")</f>
        <v>756</v>
      </c>
      <c r="G27" s="114">
        <f t="shared" si="0"/>
        <v>0.27243243243243243</v>
      </c>
      <c r="H27" s="112">
        <f>IFERROR(VLOOKUP($B27,MMWR_TRAD_AGG_STATE_COMP[],H$1,0),"ERROR")</f>
        <v>3682</v>
      </c>
      <c r="I27" s="113">
        <f>IFERROR(VLOOKUP($B27,MMWR_TRAD_AGG_STATE_COMP[],I$1,0),"ERROR")</f>
        <v>1543</v>
      </c>
      <c r="J27" s="115">
        <f t="shared" si="1"/>
        <v>0.41906572514937535</v>
      </c>
      <c r="K27" s="112">
        <f>IFERROR(VLOOKUP($B27,MMWR_TRAD_AGG_STATE_COMP[],K$1,0),"ERROR")</f>
        <v>384</v>
      </c>
      <c r="L27" s="113">
        <f>IFERROR(VLOOKUP($B27,MMWR_TRAD_AGG_STATE_COMP[],L$1,0),"ERROR")</f>
        <v>241</v>
      </c>
      <c r="M27" s="115">
        <f t="shared" si="2"/>
        <v>0.62760416666666663</v>
      </c>
      <c r="N27" s="112">
        <f>IFERROR(VLOOKUP($B27,MMWR_TRAD_AGG_STATE_COMP[],N$1,0),"ERROR")</f>
        <v>402</v>
      </c>
      <c r="O27" s="113">
        <f>IFERROR(VLOOKUP($B27,MMWR_TRAD_AGG_STATE_COMP[],O$1,0),"ERROR")</f>
        <v>225</v>
      </c>
      <c r="P27" s="115">
        <f t="shared" si="3"/>
        <v>0.55970149253731338</v>
      </c>
      <c r="Q27" s="116">
        <f>IFERROR(VLOOKUP($B27,MMWR_TRAD_AGG_STATE_COMP[],Q$1,0),"ERROR")</f>
        <v>3</v>
      </c>
      <c r="R27" s="116">
        <f>IFERROR(VLOOKUP($B27,MMWR_TRAD_AGG_STATE_COMP[],R$1,0),"ERROR")</f>
        <v>14</v>
      </c>
      <c r="S27" s="116">
        <f>IFERROR(VLOOKUP($B27,MMWR_APP_STATE_COMP[],S$1,0),"ERROR")</f>
        <v>1446</v>
      </c>
      <c r="T27" s="28"/>
    </row>
    <row r="28" spans="1:20" s="124" customFormat="1" x14ac:dyDescent="0.2">
      <c r="A28" s="108"/>
      <c r="B28" s="128" t="s">
        <v>405</v>
      </c>
      <c r="C28" s="110">
        <f>IFERROR(VLOOKUP($B28,MMWR_TRAD_AGG_STATE_COMP[],C$1,0),"ERROR")</f>
        <v>3952</v>
      </c>
      <c r="D28" s="111">
        <f>IFERROR(VLOOKUP($B28,MMWR_TRAD_AGG_STATE_COMP[],D$1,0),"ERROR")</f>
        <v>258.45900809720001</v>
      </c>
      <c r="E28" s="112">
        <f>IFERROR(VLOOKUP($B28,MMWR_TRAD_AGG_STATE_COMP[],E$1,0),"ERROR")</f>
        <v>8285</v>
      </c>
      <c r="F28" s="113">
        <f>IFERROR(VLOOKUP($B28,MMWR_TRAD_AGG_STATE_COMP[],F$1,0),"ERROR")</f>
        <v>2434</v>
      </c>
      <c r="G28" s="114">
        <f t="shared" si="0"/>
        <v>0.29378394689197346</v>
      </c>
      <c r="H28" s="112">
        <f>IFERROR(VLOOKUP($B28,MMWR_TRAD_AGG_STATE_COMP[],H$1,0),"ERROR")</f>
        <v>7511</v>
      </c>
      <c r="I28" s="113">
        <f>IFERROR(VLOOKUP($B28,MMWR_TRAD_AGG_STATE_COMP[],I$1,0),"ERROR")</f>
        <v>3563</v>
      </c>
      <c r="J28" s="115">
        <f t="shared" si="1"/>
        <v>0.47437092264678471</v>
      </c>
      <c r="K28" s="112">
        <f>IFERROR(VLOOKUP($B28,MMWR_TRAD_AGG_STATE_COMP[],K$1,0),"ERROR")</f>
        <v>943</v>
      </c>
      <c r="L28" s="113">
        <f>IFERROR(VLOOKUP($B28,MMWR_TRAD_AGG_STATE_COMP[],L$1,0),"ERROR")</f>
        <v>770</v>
      </c>
      <c r="M28" s="115">
        <f t="shared" si="2"/>
        <v>0.81654294803817606</v>
      </c>
      <c r="N28" s="112">
        <f>IFERROR(VLOOKUP($B28,MMWR_TRAD_AGG_STATE_COMP[],N$1,0),"ERROR")</f>
        <v>1270</v>
      </c>
      <c r="O28" s="113">
        <f>IFERROR(VLOOKUP($B28,MMWR_TRAD_AGG_STATE_COMP[],O$1,0),"ERROR")</f>
        <v>791</v>
      </c>
      <c r="P28" s="115">
        <f t="shared" si="3"/>
        <v>0.62283464566929136</v>
      </c>
      <c r="Q28" s="116">
        <f>IFERROR(VLOOKUP($B28,MMWR_TRAD_AGG_STATE_COMP[],Q$1,0),"ERROR")</f>
        <v>26</v>
      </c>
      <c r="R28" s="116">
        <f>IFERROR(VLOOKUP($B28,MMWR_TRAD_AGG_STATE_COMP[],R$1,0),"ERROR")</f>
        <v>204</v>
      </c>
      <c r="S28" s="116">
        <f>IFERROR(VLOOKUP($B28,MMWR_APP_STATE_COMP[],S$1,0),"ERROR")</f>
        <v>6426</v>
      </c>
      <c r="T28" s="28"/>
    </row>
    <row r="29" spans="1:20" s="124" customFormat="1" x14ac:dyDescent="0.2">
      <c r="A29" s="108"/>
      <c r="B29" s="128" t="s">
        <v>411</v>
      </c>
      <c r="C29" s="110">
        <f>IFERROR(VLOOKUP($B29,MMWR_TRAD_AGG_STATE_COMP[],C$1,0),"ERROR")</f>
        <v>2884</v>
      </c>
      <c r="D29" s="111">
        <f>IFERROR(VLOOKUP($B29,MMWR_TRAD_AGG_STATE_COMP[],D$1,0),"ERROR")</f>
        <v>129.80305131759999</v>
      </c>
      <c r="E29" s="112">
        <f>IFERROR(VLOOKUP($B29,MMWR_TRAD_AGG_STATE_COMP[],E$1,0),"ERROR")</f>
        <v>5509</v>
      </c>
      <c r="F29" s="113">
        <f>IFERROR(VLOOKUP($B29,MMWR_TRAD_AGG_STATE_COMP[],F$1,0),"ERROR")</f>
        <v>1382</v>
      </c>
      <c r="G29" s="114">
        <f t="shared" si="0"/>
        <v>0.25086222544926484</v>
      </c>
      <c r="H29" s="112">
        <f>IFERROR(VLOOKUP($B29,MMWR_TRAD_AGG_STATE_COMP[],H$1,0),"ERROR")</f>
        <v>6137</v>
      </c>
      <c r="I29" s="113">
        <f>IFERROR(VLOOKUP($B29,MMWR_TRAD_AGG_STATE_COMP[],I$1,0),"ERROR")</f>
        <v>1401</v>
      </c>
      <c r="J29" s="115">
        <f t="shared" si="1"/>
        <v>0.22828743685839986</v>
      </c>
      <c r="K29" s="112">
        <f>IFERROR(VLOOKUP($B29,MMWR_TRAD_AGG_STATE_COMP[],K$1,0),"ERROR")</f>
        <v>374</v>
      </c>
      <c r="L29" s="113">
        <f>IFERROR(VLOOKUP($B29,MMWR_TRAD_AGG_STATE_COMP[],L$1,0),"ERROR")</f>
        <v>268</v>
      </c>
      <c r="M29" s="115">
        <f t="shared" si="2"/>
        <v>0.71657754010695185</v>
      </c>
      <c r="N29" s="112">
        <f>IFERROR(VLOOKUP($B29,MMWR_TRAD_AGG_STATE_COMP[],N$1,0),"ERROR")</f>
        <v>1113</v>
      </c>
      <c r="O29" s="113">
        <f>IFERROR(VLOOKUP($B29,MMWR_TRAD_AGG_STATE_COMP[],O$1,0),"ERROR")</f>
        <v>402</v>
      </c>
      <c r="P29" s="115">
        <f t="shared" si="3"/>
        <v>0.36118598382749328</v>
      </c>
      <c r="Q29" s="116">
        <f>IFERROR(VLOOKUP($B29,MMWR_TRAD_AGG_STATE_COMP[],Q$1,0),"ERROR")</f>
        <v>5</v>
      </c>
      <c r="R29" s="116">
        <f>IFERROR(VLOOKUP($B29,MMWR_TRAD_AGG_STATE_COMP[],R$1,0),"ERROR")</f>
        <v>3</v>
      </c>
      <c r="S29" s="116">
        <f>IFERROR(VLOOKUP($B29,MMWR_APP_STATE_COMP[],S$1,0),"ERROR")</f>
        <v>2233</v>
      </c>
      <c r="T29" s="28"/>
    </row>
    <row r="30" spans="1:20" s="124" customFormat="1" x14ac:dyDescent="0.2">
      <c r="A30" s="108"/>
      <c r="B30" s="128" t="s">
        <v>407</v>
      </c>
      <c r="C30" s="110">
        <f>IFERROR(VLOOKUP($B30,MMWR_TRAD_AGG_STATE_COMP[],C$1,0),"ERROR")</f>
        <v>5981</v>
      </c>
      <c r="D30" s="111">
        <f>IFERROR(VLOOKUP($B30,MMWR_TRAD_AGG_STATE_COMP[],D$1,0),"ERROR")</f>
        <v>279.39959872930001</v>
      </c>
      <c r="E30" s="112">
        <f>IFERROR(VLOOKUP($B30,MMWR_TRAD_AGG_STATE_COMP[],E$1,0),"ERROR")</f>
        <v>5432</v>
      </c>
      <c r="F30" s="113">
        <f>IFERROR(VLOOKUP($B30,MMWR_TRAD_AGG_STATE_COMP[],F$1,0),"ERROR")</f>
        <v>1580</v>
      </c>
      <c r="G30" s="114">
        <f t="shared" si="0"/>
        <v>0.29086892488954347</v>
      </c>
      <c r="H30" s="112">
        <f>IFERROR(VLOOKUP($B30,MMWR_TRAD_AGG_STATE_COMP[],H$1,0),"ERROR")</f>
        <v>8970</v>
      </c>
      <c r="I30" s="113">
        <f>IFERROR(VLOOKUP($B30,MMWR_TRAD_AGG_STATE_COMP[],I$1,0),"ERROR")</f>
        <v>5458</v>
      </c>
      <c r="J30" s="115">
        <f t="shared" si="1"/>
        <v>0.60847268673355626</v>
      </c>
      <c r="K30" s="112">
        <f>IFERROR(VLOOKUP($B30,MMWR_TRAD_AGG_STATE_COMP[],K$1,0),"ERROR")</f>
        <v>2228</v>
      </c>
      <c r="L30" s="113">
        <f>IFERROR(VLOOKUP($B30,MMWR_TRAD_AGG_STATE_COMP[],L$1,0),"ERROR")</f>
        <v>2059</v>
      </c>
      <c r="M30" s="115">
        <f t="shared" si="2"/>
        <v>0.92414721723518856</v>
      </c>
      <c r="N30" s="112">
        <f>IFERROR(VLOOKUP($B30,MMWR_TRAD_AGG_STATE_COMP[],N$1,0),"ERROR")</f>
        <v>6076</v>
      </c>
      <c r="O30" s="113">
        <f>IFERROR(VLOOKUP($B30,MMWR_TRAD_AGG_STATE_COMP[],O$1,0),"ERROR")</f>
        <v>4560</v>
      </c>
      <c r="P30" s="115">
        <f t="shared" si="3"/>
        <v>0.75049374588545092</v>
      </c>
      <c r="Q30" s="116">
        <f>IFERROR(VLOOKUP($B30,MMWR_TRAD_AGG_STATE_COMP[],Q$1,0),"ERROR")</f>
        <v>15</v>
      </c>
      <c r="R30" s="116">
        <f>IFERROR(VLOOKUP($B30,MMWR_TRAD_AGG_STATE_COMP[],R$1,0),"ERROR")</f>
        <v>120</v>
      </c>
      <c r="S30" s="116">
        <f>IFERROR(VLOOKUP($B30,MMWR_APP_STATE_COMP[],S$1,0),"ERROR")</f>
        <v>6779</v>
      </c>
      <c r="T30" s="28"/>
    </row>
    <row r="31" spans="1:20" s="124" customFormat="1" x14ac:dyDescent="0.2">
      <c r="A31" s="108"/>
      <c r="B31" s="128" t="s">
        <v>410</v>
      </c>
      <c r="C31" s="110">
        <f>IFERROR(VLOOKUP($B31,MMWR_TRAD_AGG_STATE_COMP[],C$1,0),"ERROR")</f>
        <v>1671</v>
      </c>
      <c r="D31" s="111">
        <f>IFERROR(VLOOKUP($B31,MMWR_TRAD_AGG_STATE_COMP[],D$1,0),"ERROR")</f>
        <v>178.80011968880001</v>
      </c>
      <c r="E31" s="112">
        <f>IFERROR(VLOOKUP($B31,MMWR_TRAD_AGG_STATE_COMP[],E$1,0),"ERROR")</f>
        <v>2239</v>
      </c>
      <c r="F31" s="113">
        <f>IFERROR(VLOOKUP($B31,MMWR_TRAD_AGG_STATE_COMP[],F$1,0),"ERROR")</f>
        <v>433</v>
      </c>
      <c r="G31" s="114">
        <f t="shared" si="0"/>
        <v>0.19338990620812863</v>
      </c>
      <c r="H31" s="112">
        <f>IFERROR(VLOOKUP($B31,MMWR_TRAD_AGG_STATE_COMP[],H$1,0),"ERROR")</f>
        <v>2683</v>
      </c>
      <c r="I31" s="113">
        <f>IFERROR(VLOOKUP($B31,MMWR_TRAD_AGG_STATE_COMP[],I$1,0),"ERROR")</f>
        <v>850</v>
      </c>
      <c r="J31" s="115">
        <f t="shared" si="1"/>
        <v>0.31680954155795749</v>
      </c>
      <c r="K31" s="112">
        <f>IFERROR(VLOOKUP($B31,MMWR_TRAD_AGG_STATE_COMP[],K$1,0),"ERROR")</f>
        <v>636</v>
      </c>
      <c r="L31" s="113">
        <f>IFERROR(VLOOKUP($B31,MMWR_TRAD_AGG_STATE_COMP[],L$1,0),"ERROR")</f>
        <v>462</v>
      </c>
      <c r="M31" s="115">
        <f t="shared" si="2"/>
        <v>0.72641509433962259</v>
      </c>
      <c r="N31" s="112">
        <f>IFERROR(VLOOKUP($B31,MMWR_TRAD_AGG_STATE_COMP[],N$1,0),"ERROR")</f>
        <v>337</v>
      </c>
      <c r="O31" s="113">
        <f>IFERROR(VLOOKUP($B31,MMWR_TRAD_AGG_STATE_COMP[],O$1,0),"ERROR")</f>
        <v>147</v>
      </c>
      <c r="P31" s="115">
        <f t="shared" si="3"/>
        <v>0.43620178041543028</v>
      </c>
      <c r="Q31" s="116">
        <f>IFERROR(VLOOKUP($B31,MMWR_TRAD_AGG_STATE_COMP[],Q$1,0),"ERROR")</f>
        <v>0</v>
      </c>
      <c r="R31" s="116">
        <f>IFERROR(VLOOKUP($B31,MMWR_TRAD_AGG_STATE_COMP[],R$1,0),"ERROR")</f>
        <v>15</v>
      </c>
      <c r="S31" s="116">
        <f>IFERROR(VLOOKUP($B31,MMWR_APP_STATE_COMP[],S$1,0),"ERROR")</f>
        <v>1578</v>
      </c>
      <c r="T31" s="28"/>
    </row>
    <row r="32" spans="1:20" s="124" customFormat="1" x14ac:dyDescent="0.2">
      <c r="A32" s="108"/>
      <c r="B32" s="128" t="s">
        <v>429</v>
      </c>
      <c r="C32" s="110">
        <f>IFERROR(VLOOKUP($B32,MMWR_TRAD_AGG_STATE_COMP[],C$1,0),"ERROR")</f>
        <v>245</v>
      </c>
      <c r="D32" s="111">
        <f>IFERROR(VLOOKUP($B32,MMWR_TRAD_AGG_STATE_COMP[],D$1,0),"ERROR")</f>
        <v>227.28979591839999</v>
      </c>
      <c r="E32" s="112">
        <f>IFERROR(VLOOKUP($B32,MMWR_TRAD_AGG_STATE_COMP[],E$1,0),"ERROR")</f>
        <v>702</v>
      </c>
      <c r="F32" s="113">
        <f>IFERROR(VLOOKUP($B32,MMWR_TRAD_AGG_STATE_COMP[],F$1,0),"ERROR")</f>
        <v>176</v>
      </c>
      <c r="G32" s="114">
        <f t="shared" si="0"/>
        <v>0.25071225071225073</v>
      </c>
      <c r="H32" s="112">
        <f>IFERROR(VLOOKUP($B32,MMWR_TRAD_AGG_STATE_COMP[],H$1,0),"ERROR")</f>
        <v>786</v>
      </c>
      <c r="I32" s="113">
        <f>IFERROR(VLOOKUP($B32,MMWR_TRAD_AGG_STATE_COMP[],I$1,0),"ERROR")</f>
        <v>159</v>
      </c>
      <c r="J32" s="115">
        <f t="shared" si="1"/>
        <v>0.20229007633587787</v>
      </c>
      <c r="K32" s="112">
        <f>IFERROR(VLOOKUP($B32,MMWR_TRAD_AGG_STATE_COMP[],K$1,0),"ERROR")</f>
        <v>69</v>
      </c>
      <c r="L32" s="113">
        <f>IFERROR(VLOOKUP($B32,MMWR_TRAD_AGG_STATE_COMP[],L$1,0),"ERROR")</f>
        <v>45</v>
      </c>
      <c r="M32" s="115">
        <f t="shared" si="2"/>
        <v>0.65217391304347827</v>
      </c>
      <c r="N32" s="112">
        <f>IFERROR(VLOOKUP($B32,MMWR_TRAD_AGG_STATE_COMP[],N$1,0),"ERROR")</f>
        <v>92</v>
      </c>
      <c r="O32" s="113">
        <f>IFERROR(VLOOKUP($B32,MMWR_TRAD_AGG_STATE_COMP[],O$1,0),"ERROR")</f>
        <v>37</v>
      </c>
      <c r="P32" s="115">
        <f t="shared" si="3"/>
        <v>0.40217391304347827</v>
      </c>
      <c r="Q32" s="116">
        <f>IFERROR(VLOOKUP($B32,MMWR_TRAD_AGG_STATE_COMP[],Q$1,0),"ERROR")</f>
        <v>0</v>
      </c>
      <c r="R32" s="116">
        <f>IFERROR(VLOOKUP($B32,MMWR_TRAD_AGG_STATE_COMP[],R$1,0),"ERROR")</f>
        <v>1</v>
      </c>
      <c r="S32" s="116">
        <f>IFERROR(VLOOKUP($B32,MMWR_APP_STATE_COMP[],S$1,0),"ERROR")</f>
        <v>370</v>
      </c>
      <c r="T32" s="28"/>
    </row>
    <row r="33" spans="1:20" s="124" customFormat="1" x14ac:dyDescent="0.2">
      <c r="A33" s="108"/>
      <c r="B33" s="128" t="s">
        <v>401</v>
      </c>
      <c r="C33" s="110">
        <f>IFERROR(VLOOKUP($B33,MMWR_TRAD_AGG_STATE_COMP[],C$1,0),"ERROR")</f>
        <v>10381</v>
      </c>
      <c r="D33" s="111">
        <f>IFERROR(VLOOKUP($B33,MMWR_TRAD_AGG_STATE_COMP[],D$1,0),"ERROR")</f>
        <v>501.70224448509998</v>
      </c>
      <c r="E33" s="112">
        <f>IFERROR(VLOOKUP($B33,MMWR_TRAD_AGG_STATE_COMP[],E$1,0),"ERROR")</f>
        <v>8538</v>
      </c>
      <c r="F33" s="113">
        <f>IFERROR(VLOOKUP($B33,MMWR_TRAD_AGG_STATE_COMP[],F$1,0),"ERROR")</f>
        <v>2594</v>
      </c>
      <c r="G33" s="114">
        <f t="shared" si="0"/>
        <v>0.30381822440852657</v>
      </c>
      <c r="H33" s="112">
        <f>IFERROR(VLOOKUP($B33,MMWR_TRAD_AGG_STATE_COMP[],H$1,0),"ERROR")</f>
        <v>13868</v>
      </c>
      <c r="I33" s="113">
        <f>IFERROR(VLOOKUP($B33,MMWR_TRAD_AGG_STATE_COMP[],I$1,0),"ERROR")</f>
        <v>10692</v>
      </c>
      <c r="J33" s="115">
        <f t="shared" si="1"/>
        <v>0.77098355927314677</v>
      </c>
      <c r="K33" s="112">
        <f>IFERROR(VLOOKUP($B33,MMWR_TRAD_AGG_STATE_COMP[],K$1,0),"ERROR")</f>
        <v>1631</v>
      </c>
      <c r="L33" s="113">
        <f>IFERROR(VLOOKUP($B33,MMWR_TRAD_AGG_STATE_COMP[],L$1,0),"ERROR")</f>
        <v>1562</v>
      </c>
      <c r="M33" s="115">
        <f t="shared" si="2"/>
        <v>0.95769466584917229</v>
      </c>
      <c r="N33" s="112">
        <f>IFERROR(VLOOKUP($B33,MMWR_TRAD_AGG_STATE_COMP[],N$1,0),"ERROR")</f>
        <v>4596</v>
      </c>
      <c r="O33" s="113">
        <f>IFERROR(VLOOKUP($B33,MMWR_TRAD_AGG_STATE_COMP[],O$1,0),"ERROR")</f>
        <v>3489</v>
      </c>
      <c r="P33" s="115">
        <f t="shared" si="3"/>
        <v>0.75913838120104438</v>
      </c>
      <c r="Q33" s="116">
        <f>IFERROR(VLOOKUP($B33,MMWR_TRAD_AGG_STATE_COMP[],Q$1,0),"ERROR")</f>
        <v>47</v>
      </c>
      <c r="R33" s="116">
        <f>IFERROR(VLOOKUP($B33,MMWR_TRAD_AGG_STATE_COMP[],R$1,0),"ERROR")</f>
        <v>345</v>
      </c>
      <c r="S33" s="116">
        <f>IFERROR(VLOOKUP($B33,MMWR_APP_STATE_COMP[],S$1,0),"ERROR")</f>
        <v>13735</v>
      </c>
      <c r="T33" s="28"/>
    </row>
    <row r="34" spans="1:20" s="124" customFormat="1" x14ac:dyDescent="0.2">
      <c r="A34" s="108"/>
      <c r="B34" s="128" t="s">
        <v>430</v>
      </c>
      <c r="C34" s="110">
        <f>IFERROR(VLOOKUP($B34,MMWR_TRAD_AGG_STATE_COMP[],C$1,0),"ERROR")</f>
        <v>917</v>
      </c>
      <c r="D34" s="111">
        <f>IFERROR(VLOOKUP($B34,MMWR_TRAD_AGG_STATE_COMP[],D$1,0),"ERROR")</f>
        <v>132.42420937840001</v>
      </c>
      <c r="E34" s="112">
        <f>IFERROR(VLOOKUP($B34,MMWR_TRAD_AGG_STATE_COMP[],E$1,0),"ERROR")</f>
        <v>947</v>
      </c>
      <c r="F34" s="113">
        <f>IFERROR(VLOOKUP($B34,MMWR_TRAD_AGG_STATE_COMP[],F$1,0),"ERROR")</f>
        <v>252</v>
      </c>
      <c r="G34" s="114">
        <f t="shared" si="0"/>
        <v>0.26610348468848999</v>
      </c>
      <c r="H34" s="112">
        <f>IFERROR(VLOOKUP($B34,MMWR_TRAD_AGG_STATE_COMP[],H$1,0),"ERROR")</f>
        <v>1362</v>
      </c>
      <c r="I34" s="113">
        <f>IFERROR(VLOOKUP($B34,MMWR_TRAD_AGG_STATE_COMP[],I$1,0),"ERROR")</f>
        <v>303</v>
      </c>
      <c r="J34" s="115">
        <f t="shared" si="1"/>
        <v>0.22246696035242292</v>
      </c>
      <c r="K34" s="112">
        <f>IFERROR(VLOOKUP($B34,MMWR_TRAD_AGG_STATE_COMP[],K$1,0),"ERROR")</f>
        <v>666</v>
      </c>
      <c r="L34" s="113">
        <f>IFERROR(VLOOKUP($B34,MMWR_TRAD_AGG_STATE_COMP[],L$1,0),"ERROR")</f>
        <v>112</v>
      </c>
      <c r="M34" s="115">
        <f t="shared" si="2"/>
        <v>0.16816816816816818</v>
      </c>
      <c r="N34" s="112">
        <f>IFERROR(VLOOKUP($B34,MMWR_TRAD_AGG_STATE_COMP[],N$1,0),"ERROR")</f>
        <v>120</v>
      </c>
      <c r="O34" s="113">
        <f>IFERROR(VLOOKUP($B34,MMWR_TRAD_AGG_STATE_COMP[],O$1,0),"ERROR")</f>
        <v>47</v>
      </c>
      <c r="P34" s="115">
        <f t="shared" si="3"/>
        <v>0.39166666666666666</v>
      </c>
      <c r="Q34" s="116">
        <f>IFERROR(VLOOKUP($B34,MMWR_TRAD_AGG_STATE_COMP[],Q$1,0),"ERROR")</f>
        <v>0</v>
      </c>
      <c r="R34" s="116">
        <f>IFERROR(VLOOKUP($B34,MMWR_TRAD_AGG_STATE_COMP[],R$1,0),"ERROR")</f>
        <v>1</v>
      </c>
      <c r="S34" s="116">
        <f>IFERROR(VLOOKUP($B34,MMWR_APP_STATE_COMP[],S$1,0),"ERROR")</f>
        <v>210</v>
      </c>
      <c r="T34" s="28"/>
    </row>
    <row r="35" spans="1:20" s="124" customFormat="1" x14ac:dyDescent="0.2">
      <c r="A35" s="108"/>
      <c r="B35" s="128" t="s">
        <v>406</v>
      </c>
      <c r="C35" s="110">
        <f>IFERROR(VLOOKUP($B35,MMWR_TRAD_AGG_STATE_COMP[],C$1,0),"ERROR")</f>
        <v>5475</v>
      </c>
      <c r="D35" s="111">
        <f>IFERROR(VLOOKUP($B35,MMWR_TRAD_AGG_STATE_COMP[],D$1,0),"ERROR")</f>
        <v>223.7647488584</v>
      </c>
      <c r="E35" s="112">
        <f>IFERROR(VLOOKUP($B35,MMWR_TRAD_AGG_STATE_COMP[],E$1,0),"ERROR")</f>
        <v>4025</v>
      </c>
      <c r="F35" s="113">
        <f>IFERROR(VLOOKUP($B35,MMWR_TRAD_AGG_STATE_COMP[],F$1,0),"ERROR")</f>
        <v>1203</v>
      </c>
      <c r="G35" s="114">
        <f t="shared" si="0"/>
        <v>0.29888198757763973</v>
      </c>
      <c r="H35" s="112">
        <f>IFERROR(VLOOKUP($B35,MMWR_TRAD_AGG_STATE_COMP[],H$1,0),"ERROR")</f>
        <v>7365</v>
      </c>
      <c r="I35" s="113">
        <f>IFERROR(VLOOKUP($B35,MMWR_TRAD_AGG_STATE_COMP[],I$1,0),"ERROR")</f>
        <v>3882</v>
      </c>
      <c r="J35" s="115">
        <f t="shared" si="1"/>
        <v>0.52708757637474546</v>
      </c>
      <c r="K35" s="112">
        <f>IFERROR(VLOOKUP($B35,MMWR_TRAD_AGG_STATE_COMP[],K$1,0),"ERROR")</f>
        <v>318</v>
      </c>
      <c r="L35" s="113">
        <f>IFERROR(VLOOKUP($B35,MMWR_TRAD_AGG_STATE_COMP[],L$1,0),"ERROR")</f>
        <v>253</v>
      </c>
      <c r="M35" s="115">
        <f t="shared" si="2"/>
        <v>0.79559748427672961</v>
      </c>
      <c r="N35" s="112">
        <f>IFERROR(VLOOKUP($B35,MMWR_TRAD_AGG_STATE_COMP[],N$1,0),"ERROR")</f>
        <v>712</v>
      </c>
      <c r="O35" s="113">
        <f>IFERROR(VLOOKUP($B35,MMWR_TRAD_AGG_STATE_COMP[],O$1,0),"ERROR")</f>
        <v>304</v>
      </c>
      <c r="P35" s="115">
        <f t="shared" si="3"/>
        <v>0.42696629213483145</v>
      </c>
      <c r="Q35" s="116">
        <f>IFERROR(VLOOKUP($B35,MMWR_TRAD_AGG_STATE_COMP[],Q$1,0),"ERROR")</f>
        <v>9</v>
      </c>
      <c r="R35" s="116">
        <f>IFERROR(VLOOKUP($B35,MMWR_TRAD_AGG_STATE_COMP[],R$1,0),"ERROR")</f>
        <v>8</v>
      </c>
      <c r="S35" s="116">
        <f>IFERROR(VLOOKUP($B35,MMWR_APP_STATE_COMP[],S$1,0),"ERROR")</f>
        <v>3090</v>
      </c>
      <c r="T35" s="28"/>
    </row>
    <row r="36" spans="1:20" s="124" customFormat="1" x14ac:dyDescent="0.2">
      <c r="A36" s="28"/>
      <c r="B36" s="127" t="s">
        <v>395</v>
      </c>
      <c r="C36" s="103">
        <f>IF(SUM(C37:C45)&lt;&gt;VLOOKUP($B36,MMWR_TRAD_AGG_ST_DISTRICT_COMP[],C$1,0),"ERROR",
VLOOKUP($B36,MMWR_TRAD_AGG_ST_DISTRICT_COMP[],C$1,0))</f>
        <v>69312</v>
      </c>
      <c r="D36" s="104">
        <f>IFERROR(VLOOKUP($B36,MMWR_TRAD_AGG_ST_DISTRICT_COMP[],D$1,0),"ERROR")</f>
        <v>340.97030817170003</v>
      </c>
      <c r="E36" s="103">
        <f>IFERROR(VLOOKUP($B36,MMWR_TRAD_AGG_ST_DISTRICT_COMP[],E$1,0),"ERROR")</f>
        <v>71485</v>
      </c>
      <c r="F36" s="103">
        <f>IFERROR(VLOOKUP($B36,MMWR_TRAD_AGG_ST_DISTRICT_COMP[],F$1,0),"ERROR")</f>
        <v>24019</v>
      </c>
      <c r="G36" s="105">
        <f t="shared" si="0"/>
        <v>0.33600055955794922</v>
      </c>
      <c r="H36" s="103">
        <f>IFERROR(VLOOKUP($B36,MMWR_TRAD_AGG_ST_DISTRICT_COMP[],H$1,0),"ERROR")</f>
        <v>96497</v>
      </c>
      <c r="I36" s="103">
        <f>IFERROR(VLOOKUP($B36,MMWR_TRAD_AGG_ST_DISTRICT_COMP[],I$1,0),"ERROR")</f>
        <v>57044</v>
      </c>
      <c r="J36" s="106">
        <f t="shared" si="1"/>
        <v>0.59114791133403111</v>
      </c>
      <c r="K36" s="103">
        <f>IFERROR(VLOOKUP($B36,MMWR_TRAD_AGG_ST_DISTRICT_COMP[],K$1,0),"ERROR")</f>
        <v>12861</v>
      </c>
      <c r="L36" s="103">
        <f>IFERROR(VLOOKUP($B36,MMWR_TRAD_AGG_ST_DISTRICT_COMP[],L$1,0),"ERROR")</f>
        <v>9447</v>
      </c>
      <c r="M36" s="106">
        <f t="shared" si="2"/>
        <v>0.73454630277583388</v>
      </c>
      <c r="N36" s="103">
        <f>IFERROR(VLOOKUP($B36,MMWR_TRAD_AGG_ST_DISTRICT_COMP[],N$1,0),"ERROR")</f>
        <v>26178</v>
      </c>
      <c r="O36" s="103">
        <f>IFERROR(VLOOKUP($B36,MMWR_TRAD_AGG_ST_DISTRICT_COMP[],O$1,0),"ERROR")</f>
        <v>18015</v>
      </c>
      <c r="P36" s="106">
        <f t="shared" si="3"/>
        <v>0.68817327526931016</v>
      </c>
      <c r="Q36" s="103">
        <f>IFERROR(VLOOKUP($B36,MMWR_TRAD_AGG_ST_DISTRICT_COMP[],Q$1,0),"ERROR")</f>
        <v>90</v>
      </c>
      <c r="R36" s="107">
        <f>IFERROR(VLOOKUP($B36,MMWR_TRAD_AGG_ST_DISTRICT_COMP[],R$1,0),"ERROR")</f>
        <v>1203</v>
      </c>
      <c r="S36" s="107">
        <f>SUM(S37:S45)</f>
        <v>66140</v>
      </c>
      <c r="T36" s="28"/>
    </row>
    <row r="37" spans="1:20" s="124" customFormat="1" x14ac:dyDescent="0.2">
      <c r="A37" s="28"/>
      <c r="B37" s="128" t="s">
        <v>421</v>
      </c>
      <c r="C37" s="110">
        <f>IFERROR(VLOOKUP($B37,MMWR_TRAD_AGG_STATE_COMP[],C$1,0),"ERROR")</f>
        <v>5710</v>
      </c>
      <c r="D37" s="111">
        <f>IFERROR(VLOOKUP($B37,MMWR_TRAD_AGG_STATE_COMP[],D$1,0),"ERROR")</f>
        <v>328.44150612959999</v>
      </c>
      <c r="E37" s="112">
        <f>IFERROR(VLOOKUP($B37,MMWR_TRAD_AGG_STATE_COMP[],E$1,0),"ERROR")</f>
        <v>3562</v>
      </c>
      <c r="F37" s="113">
        <f>IFERROR(VLOOKUP($B37,MMWR_TRAD_AGG_STATE_COMP[],F$1,0),"ERROR")</f>
        <v>938</v>
      </c>
      <c r="G37" s="114">
        <f t="shared" si="0"/>
        <v>0.26333520494104434</v>
      </c>
      <c r="H37" s="112">
        <f>IFERROR(VLOOKUP($B37,MMWR_TRAD_AGG_STATE_COMP[],H$1,0),"ERROR")</f>
        <v>8066</v>
      </c>
      <c r="I37" s="113">
        <f>IFERROR(VLOOKUP($B37,MMWR_TRAD_AGG_STATE_COMP[],I$1,0),"ERROR")</f>
        <v>4584</v>
      </c>
      <c r="J37" s="115">
        <f t="shared" si="1"/>
        <v>0.56831143069675183</v>
      </c>
      <c r="K37" s="112">
        <f>IFERROR(VLOOKUP($B37,MMWR_TRAD_AGG_STATE_COMP[],K$1,0),"ERROR")</f>
        <v>2486</v>
      </c>
      <c r="L37" s="113">
        <f>IFERROR(VLOOKUP($B37,MMWR_TRAD_AGG_STATE_COMP[],L$1,0),"ERROR")</f>
        <v>1550</v>
      </c>
      <c r="M37" s="115">
        <f t="shared" si="2"/>
        <v>0.62349155269509249</v>
      </c>
      <c r="N37" s="112">
        <f>IFERROR(VLOOKUP($B37,MMWR_TRAD_AGG_STATE_COMP[],N$1,0),"ERROR")</f>
        <v>6398</v>
      </c>
      <c r="O37" s="113">
        <f>IFERROR(VLOOKUP($B37,MMWR_TRAD_AGG_STATE_COMP[],O$1,0),"ERROR")</f>
        <v>5460</v>
      </c>
      <c r="P37" s="115">
        <f t="shared" si="3"/>
        <v>0.85339168490153172</v>
      </c>
      <c r="Q37" s="116">
        <f>IFERROR(VLOOKUP($B37,MMWR_TRAD_AGG_STATE_COMP[],Q$1,0),"ERROR")</f>
        <v>7</v>
      </c>
      <c r="R37" s="116">
        <f>IFERROR(VLOOKUP($B37,MMWR_TRAD_AGG_STATE_COMP[],R$1,0),"ERROR")</f>
        <v>158</v>
      </c>
      <c r="S37" s="116">
        <f>IFERROR(VLOOKUP($B37,MMWR_APP_STATE_COMP[],S$1,0),"ERROR")</f>
        <v>5289</v>
      </c>
      <c r="T37" s="28"/>
    </row>
    <row r="38" spans="1:20" s="124" customFormat="1" x14ac:dyDescent="0.2">
      <c r="A38" s="28"/>
      <c r="B38" s="128" t="s">
        <v>413</v>
      </c>
      <c r="C38" s="110">
        <f>IFERROR(VLOOKUP($B38,MMWR_TRAD_AGG_STATE_COMP[],C$1,0),"ERROR")</f>
        <v>8292</v>
      </c>
      <c r="D38" s="111">
        <f>IFERROR(VLOOKUP($B38,MMWR_TRAD_AGG_STATE_COMP[],D$1,0),"ERROR")</f>
        <v>400.74710564399999</v>
      </c>
      <c r="E38" s="112">
        <f>IFERROR(VLOOKUP($B38,MMWR_TRAD_AGG_STATE_COMP[],E$1,0),"ERROR")</f>
        <v>7873</v>
      </c>
      <c r="F38" s="113">
        <f>IFERROR(VLOOKUP($B38,MMWR_TRAD_AGG_STATE_COMP[],F$1,0),"ERROR")</f>
        <v>2994</v>
      </c>
      <c r="G38" s="114">
        <f t="shared" ref="G38:G64" si="4">IFERROR(F38/E38,"0%")</f>
        <v>0.38028705703035692</v>
      </c>
      <c r="H38" s="112">
        <f>IFERROR(VLOOKUP($B38,MMWR_TRAD_AGG_STATE_COMP[],H$1,0),"ERROR")</f>
        <v>11023</v>
      </c>
      <c r="I38" s="113">
        <f>IFERROR(VLOOKUP($B38,MMWR_TRAD_AGG_STATE_COMP[],I$1,0),"ERROR")</f>
        <v>7231</v>
      </c>
      <c r="J38" s="115">
        <f t="shared" ref="J38:J64" si="5">IFERROR(I38/H38,"0%")</f>
        <v>0.65599201669237051</v>
      </c>
      <c r="K38" s="112">
        <f>IFERROR(VLOOKUP($B38,MMWR_TRAD_AGG_STATE_COMP[],K$1,0),"ERROR")</f>
        <v>2030</v>
      </c>
      <c r="L38" s="113">
        <f>IFERROR(VLOOKUP($B38,MMWR_TRAD_AGG_STATE_COMP[],L$1,0),"ERROR")</f>
        <v>1727</v>
      </c>
      <c r="M38" s="115">
        <f t="shared" ref="M38:M64" si="6">IFERROR(L38/K38,"0%")</f>
        <v>0.85073891625615761</v>
      </c>
      <c r="N38" s="112">
        <f>IFERROR(VLOOKUP($B38,MMWR_TRAD_AGG_STATE_COMP[],N$1,0),"ERROR")</f>
        <v>4900</v>
      </c>
      <c r="O38" s="113">
        <f>IFERROR(VLOOKUP($B38,MMWR_TRAD_AGG_STATE_COMP[],O$1,0),"ERROR")</f>
        <v>3200</v>
      </c>
      <c r="P38" s="115">
        <f t="shared" ref="P38:P64" si="7">IFERROR(O38/N38,"0%")</f>
        <v>0.65306122448979587</v>
      </c>
      <c r="Q38" s="116">
        <f>IFERROR(VLOOKUP($B38,MMWR_TRAD_AGG_STATE_COMP[],Q$1,0),"ERROR")</f>
        <v>7</v>
      </c>
      <c r="R38" s="116">
        <f>IFERROR(VLOOKUP($B38,MMWR_TRAD_AGG_STATE_COMP[],R$1,0),"ERROR")</f>
        <v>60</v>
      </c>
      <c r="S38" s="116">
        <f>IFERROR(VLOOKUP($B38,MMWR_APP_STATE_COMP[],S$1,0),"ERROR")</f>
        <v>5804</v>
      </c>
      <c r="T38" s="28"/>
    </row>
    <row r="39" spans="1:20" s="124" customFormat="1" x14ac:dyDescent="0.2">
      <c r="A39" s="28"/>
      <c r="B39" s="128" t="s">
        <v>397</v>
      </c>
      <c r="C39" s="110">
        <f>IFERROR(VLOOKUP($B39,MMWR_TRAD_AGG_STATE_COMP[],C$1,0),"ERROR")</f>
        <v>7175</v>
      </c>
      <c r="D39" s="111">
        <f>IFERROR(VLOOKUP($B39,MMWR_TRAD_AGG_STATE_COMP[],D$1,0),"ERROR")</f>
        <v>398.92501742159999</v>
      </c>
      <c r="E39" s="112">
        <f>IFERROR(VLOOKUP($B39,MMWR_TRAD_AGG_STATE_COMP[],E$1,0),"ERROR")</f>
        <v>6098</v>
      </c>
      <c r="F39" s="113">
        <f>IFERROR(VLOOKUP($B39,MMWR_TRAD_AGG_STATE_COMP[],F$1,0),"ERROR")</f>
        <v>1959</v>
      </c>
      <c r="G39" s="114">
        <f t="shared" si="4"/>
        <v>0.32125286979337486</v>
      </c>
      <c r="H39" s="112">
        <f>IFERROR(VLOOKUP($B39,MMWR_TRAD_AGG_STATE_COMP[],H$1,0),"ERROR")</f>
        <v>9681</v>
      </c>
      <c r="I39" s="113">
        <f>IFERROR(VLOOKUP($B39,MMWR_TRAD_AGG_STATE_COMP[],I$1,0),"ERROR")</f>
        <v>6089</v>
      </c>
      <c r="J39" s="115">
        <f t="shared" si="5"/>
        <v>0.62896395000516481</v>
      </c>
      <c r="K39" s="112">
        <f>IFERROR(VLOOKUP($B39,MMWR_TRAD_AGG_STATE_COMP[],K$1,0),"ERROR")</f>
        <v>664</v>
      </c>
      <c r="L39" s="113">
        <f>IFERROR(VLOOKUP($B39,MMWR_TRAD_AGG_STATE_COMP[],L$1,0),"ERROR")</f>
        <v>556</v>
      </c>
      <c r="M39" s="115">
        <f t="shared" si="6"/>
        <v>0.83734939759036142</v>
      </c>
      <c r="N39" s="112">
        <f>IFERROR(VLOOKUP($B39,MMWR_TRAD_AGG_STATE_COMP[],N$1,0),"ERROR")</f>
        <v>1135</v>
      </c>
      <c r="O39" s="113">
        <f>IFERROR(VLOOKUP($B39,MMWR_TRAD_AGG_STATE_COMP[],O$1,0),"ERROR")</f>
        <v>585</v>
      </c>
      <c r="P39" s="115">
        <f t="shared" si="7"/>
        <v>0.51541850220264318</v>
      </c>
      <c r="Q39" s="116">
        <f>IFERROR(VLOOKUP($B39,MMWR_TRAD_AGG_STATE_COMP[],Q$1,0),"ERROR")</f>
        <v>8</v>
      </c>
      <c r="R39" s="116">
        <f>IFERROR(VLOOKUP($B39,MMWR_TRAD_AGG_STATE_COMP[],R$1,0),"ERROR")</f>
        <v>314</v>
      </c>
      <c r="S39" s="116">
        <f>IFERROR(VLOOKUP($B39,MMWR_APP_STATE_COMP[],S$1,0),"ERROR")</f>
        <v>5954</v>
      </c>
      <c r="T39" s="28"/>
    </row>
    <row r="40" spans="1:20" s="124" customFormat="1" x14ac:dyDescent="0.2">
      <c r="A40" s="28"/>
      <c r="B40" s="128" t="s">
        <v>399</v>
      </c>
      <c r="C40" s="110">
        <f>IFERROR(VLOOKUP($B40,MMWR_TRAD_AGG_STATE_COMP[],C$1,0),"ERROR")</f>
        <v>5150</v>
      </c>
      <c r="D40" s="111">
        <f>IFERROR(VLOOKUP($B40,MMWR_TRAD_AGG_STATE_COMP[],D$1,0),"ERROR")</f>
        <v>368.43553398059998</v>
      </c>
      <c r="E40" s="112">
        <f>IFERROR(VLOOKUP($B40,MMWR_TRAD_AGG_STATE_COMP[],E$1,0),"ERROR")</f>
        <v>4056</v>
      </c>
      <c r="F40" s="113">
        <f>IFERROR(VLOOKUP($B40,MMWR_TRAD_AGG_STATE_COMP[],F$1,0),"ERROR")</f>
        <v>1664</v>
      </c>
      <c r="G40" s="114">
        <f t="shared" si="4"/>
        <v>0.41025641025641024</v>
      </c>
      <c r="H40" s="112">
        <f>IFERROR(VLOOKUP($B40,MMWR_TRAD_AGG_STATE_COMP[],H$1,0),"ERROR")</f>
        <v>6936</v>
      </c>
      <c r="I40" s="113">
        <f>IFERROR(VLOOKUP($B40,MMWR_TRAD_AGG_STATE_COMP[],I$1,0),"ERROR")</f>
        <v>4914</v>
      </c>
      <c r="J40" s="115">
        <f t="shared" si="5"/>
        <v>0.70847750865051906</v>
      </c>
      <c r="K40" s="112">
        <f>IFERROR(VLOOKUP($B40,MMWR_TRAD_AGG_STATE_COMP[],K$1,0),"ERROR")</f>
        <v>877</v>
      </c>
      <c r="L40" s="113">
        <f>IFERROR(VLOOKUP($B40,MMWR_TRAD_AGG_STATE_COMP[],L$1,0),"ERROR")</f>
        <v>758</v>
      </c>
      <c r="M40" s="115">
        <f t="shared" si="6"/>
        <v>0.86431014823261121</v>
      </c>
      <c r="N40" s="112">
        <f>IFERROR(VLOOKUP($B40,MMWR_TRAD_AGG_STATE_COMP[],N$1,0),"ERROR")</f>
        <v>2365</v>
      </c>
      <c r="O40" s="113">
        <f>IFERROR(VLOOKUP($B40,MMWR_TRAD_AGG_STATE_COMP[],O$1,0),"ERROR")</f>
        <v>1894</v>
      </c>
      <c r="P40" s="115">
        <f t="shared" si="7"/>
        <v>0.80084566596194506</v>
      </c>
      <c r="Q40" s="116">
        <f>IFERROR(VLOOKUP($B40,MMWR_TRAD_AGG_STATE_COMP[],Q$1,0),"ERROR")</f>
        <v>12</v>
      </c>
      <c r="R40" s="116">
        <f>IFERROR(VLOOKUP($B40,MMWR_TRAD_AGG_STATE_COMP[],R$1,0),"ERROR")</f>
        <v>143</v>
      </c>
      <c r="S40" s="116">
        <f>IFERROR(VLOOKUP($B40,MMWR_APP_STATE_COMP[],S$1,0),"ERROR")</f>
        <v>4515</v>
      </c>
      <c r="T40" s="28"/>
    </row>
    <row r="41" spans="1:20" s="124" customFormat="1" x14ac:dyDescent="0.2">
      <c r="A41" s="28"/>
      <c r="B41" s="128" t="s">
        <v>428</v>
      </c>
      <c r="C41" s="110">
        <f>IFERROR(VLOOKUP($B41,MMWR_TRAD_AGG_STATE_COMP[],C$1,0),"ERROR")</f>
        <v>1286</v>
      </c>
      <c r="D41" s="111">
        <f>IFERROR(VLOOKUP($B41,MMWR_TRAD_AGG_STATE_COMP[],D$1,0),"ERROR")</f>
        <v>223.3888024883</v>
      </c>
      <c r="E41" s="112">
        <f>IFERROR(VLOOKUP($B41,MMWR_TRAD_AGG_STATE_COMP[],E$1,0),"ERROR")</f>
        <v>940</v>
      </c>
      <c r="F41" s="113">
        <f>IFERROR(VLOOKUP($B41,MMWR_TRAD_AGG_STATE_COMP[],F$1,0),"ERROR")</f>
        <v>130</v>
      </c>
      <c r="G41" s="114">
        <f t="shared" si="4"/>
        <v>0.13829787234042554</v>
      </c>
      <c r="H41" s="112">
        <f>IFERROR(VLOOKUP($B41,MMWR_TRAD_AGG_STATE_COMP[],H$1,0),"ERROR")</f>
        <v>1834</v>
      </c>
      <c r="I41" s="113">
        <f>IFERROR(VLOOKUP($B41,MMWR_TRAD_AGG_STATE_COMP[],I$1,0),"ERROR")</f>
        <v>809</v>
      </c>
      <c r="J41" s="115">
        <f t="shared" si="5"/>
        <v>0.44111232279171209</v>
      </c>
      <c r="K41" s="112">
        <f>IFERROR(VLOOKUP($B41,MMWR_TRAD_AGG_STATE_COMP[],K$1,0),"ERROR")</f>
        <v>376</v>
      </c>
      <c r="L41" s="113">
        <f>IFERROR(VLOOKUP($B41,MMWR_TRAD_AGG_STATE_COMP[],L$1,0),"ERROR")</f>
        <v>241</v>
      </c>
      <c r="M41" s="115">
        <f t="shared" si="6"/>
        <v>0.64095744680851063</v>
      </c>
      <c r="N41" s="112">
        <f>IFERROR(VLOOKUP($B41,MMWR_TRAD_AGG_STATE_COMP[],N$1,0),"ERROR")</f>
        <v>192</v>
      </c>
      <c r="O41" s="113">
        <f>IFERROR(VLOOKUP($B41,MMWR_TRAD_AGG_STATE_COMP[],O$1,0),"ERROR")</f>
        <v>97</v>
      </c>
      <c r="P41" s="115">
        <f t="shared" si="7"/>
        <v>0.50520833333333337</v>
      </c>
      <c r="Q41" s="116">
        <f>IFERROR(VLOOKUP($B41,MMWR_TRAD_AGG_STATE_COMP[],Q$1,0),"ERROR")</f>
        <v>1</v>
      </c>
      <c r="R41" s="116">
        <f>IFERROR(VLOOKUP($B41,MMWR_TRAD_AGG_STATE_COMP[],R$1,0),"ERROR")</f>
        <v>7</v>
      </c>
      <c r="S41" s="116">
        <f>IFERROR(VLOOKUP($B41,MMWR_APP_STATE_COMP[],S$1,0),"ERROR")</f>
        <v>333</v>
      </c>
      <c r="T41" s="28"/>
    </row>
    <row r="42" spans="1:20" s="124" customFormat="1" x14ac:dyDescent="0.2">
      <c r="A42" s="28"/>
      <c r="B42" s="128" t="s">
        <v>422</v>
      </c>
      <c r="C42" s="110">
        <f>IFERROR(VLOOKUP($B42,MMWR_TRAD_AGG_STATE_COMP[],C$1,0),"ERROR")</f>
        <v>5090</v>
      </c>
      <c r="D42" s="111">
        <f>IFERROR(VLOOKUP($B42,MMWR_TRAD_AGG_STATE_COMP[],D$1,0),"ERROR")</f>
        <v>268.84931237720002</v>
      </c>
      <c r="E42" s="112">
        <f>IFERROR(VLOOKUP($B42,MMWR_TRAD_AGG_STATE_COMP[],E$1,0),"ERROR")</f>
        <v>7447</v>
      </c>
      <c r="F42" s="113">
        <f>IFERROR(VLOOKUP($B42,MMWR_TRAD_AGG_STATE_COMP[],F$1,0),"ERROR")</f>
        <v>2045</v>
      </c>
      <c r="G42" s="114">
        <f t="shared" si="4"/>
        <v>0.27460722438565865</v>
      </c>
      <c r="H42" s="112">
        <f>IFERROR(VLOOKUP($B42,MMWR_TRAD_AGG_STATE_COMP[],H$1,0),"ERROR")</f>
        <v>7874</v>
      </c>
      <c r="I42" s="113">
        <f>IFERROR(VLOOKUP($B42,MMWR_TRAD_AGG_STATE_COMP[],I$1,0),"ERROR")</f>
        <v>3520</v>
      </c>
      <c r="J42" s="115">
        <f t="shared" si="5"/>
        <v>0.44704089408178815</v>
      </c>
      <c r="K42" s="112">
        <f>IFERROR(VLOOKUP($B42,MMWR_TRAD_AGG_STATE_COMP[],K$1,0),"ERROR")</f>
        <v>1212</v>
      </c>
      <c r="L42" s="113">
        <f>IFERROR(VLOOKUP($B42,MMWR_TRAD_AGG_STATE_COMP[],L$1,0),"ERROR")</f>
        <v>603</v>
      </c>
      <c r="M42" s="115">
        <f t="shared" si="6"/>
        <v>0.49752475247524752</v>
      </c>
      <c r="N42" s="112">
        <f>IFERROR(VLOOKUP($B42,MMWR_TRAD_AGG_STATE_COMP[],N$1,0),"ERROR")</f>
        <v>1080</v>
      </c>
      <c r="O42" s="113">
        <f>IFERROR(VLOOKUP($B42,MMWR_TRAD_AGG_STATE_COMP[],O$1,0),"ERROR")</f>
        <v>426</v>
      </c>
      <c r="P42" s="115">
        <f t="shared" si="7"/>
        <v>0.39444444444444443</v>
      </c>
      <c r="Q42" s="116">
        <f>IFERROR(VLOOKUP($B42,MMWR_TRAD_AGG_STATE_COMP[],Q$1,0),"ERROR")</f>
        <v>8</v>
      </c>
      <c r="R42" s="116">
        <f>IFERROR(VLOOKUP($B42,MMWR_TRAD_AGG_STATE_COMP[],R$1,0),"ERROR")</f>
        <v>66</v>
      </c>
      <c r="S42" s="116">
        <f>IFERROR(VLOOKUP($B42,MMWR_APP_STATE_COMP[],S$1,0),"ERROR")</f>
        <v>4189</v>
      </c>
      <c r="T42" s="28"/>
    </row>
    <row r="43" spans="1:20" s="124" customFormat="1" x14ac:dyDescent="0.2">
      <c r="A43" s="28"/>
      <c r="B43" s="128" t="s">
        <v>420</v>
      </c>
      <c r="C43" s="110">
        <f>IFERROR(VLOOKUP($B43,MMWR_TRAD_AGG_STATE_COMP[],C$1,0),"ERROR")</f>
        <v>33444</v>
      </c>
      <c r="D43" s="111">
        <f>IFERROR(VLOOKUP($B43,MMWR_TRAD_AGG_STATE_COMP[],D$1,0),"ERROR")</f>
        <v>330.35979547900001</v>
      </c>
      <c r="E43" s="112">
        <f>IFERROR(VLOOKUP($B43,MMWR_TRAD_AGG_STATE_COMP[],E$1,0),"ERROR")</f>
        <v>38572</v>
      </c>
      <c r="F43" s="113">
        <f>IFERROR(VLOOKUP($B43,MMWR_TRAD_AGG_STATE_COMP[],F$1,0),"ERROR")</f>
        <v>13478</v>
      </c>
      <c r="G43" s="114">
        <f t="shared" si="4"/>
        <v>0.34942445297106711</v>
      </c>
      <c r="H43" s="112">
        <f>IFERROR(VLOOKUP($B43,MMWR_TRAD_AGG_STATE_COMP[],H$1,0),"ERROR")</f>
        <v>45990</v>
      </c>
      <c r="I43" s="113">
        <f>IFERROR(VLOOKUP($B43,MMWR_TRAD_AGG_STATE_COMP[],I$1,0),"ERROR")</f>
        <v>27296</v>
      </c>
      <c r="J43" s="115">
        <f t="shared" si="5"/>
        <v>0.59352033050663189</v>
      </c>
      <c r="K43" s="112">
        <f>IFERROR(VLOOKUP($B43,MMWR_TRAD_AGG_STATE_COMP[],K$1,0),"ERROR")</f>
        <v>4392</v>
      </c>
      <c r="L43" s="113">
        <f>IFERROR(VLOOKUP($B43,MMWR_TRAD_AGG_STATE_COMP[],L$1,0),"ERROR")</f>
        <v>3393</v>
      </c>
      <c r="M43" s="115">
        <f t="shared" si="6"/>
        <v>0.77254098360655743</v>
      </c>
      <c r="N43" s="112">
        <f>IFERROR(VLOOKUP($B43,MMWR_TRAD_AGG_STATE_COMP[],N$1,0),"ERROR")</f>
        <v>9703</v>
      </c>
      <c r="O43" s="113">
        <f>IFERROR(VLOOKUP($B43,MMWR_TRAD_AGG_STATE_COMP[],O$1,0),"ERROR")</f>
        <v>6134</v>
      </c>
      <c r="P43" s="115">
        <f t="shared" si="7"/>
        <v>0.63217561578893122</v>
      </c>
      <c r="Q43" s="116">
        <f>IFERROR(VLOOKUP($B43,MMWR_TRAD_AGG_STATE_COMP[],Q$1,0),"ERROR")</f>
        <v>22</v>
      </c>
      <c r="R43" s="116">
        <f>IFERROR(VLOOKUP($B43,MMWR_TRAD_AGG_STATE_COMP[],R$1,0),"ERROR")</f>
        <v>444</v>
      </c>
      <c r="S43" s="116">
        <f>IFERROR(VLOOKUP($B43,MMWR_APP_STATE_COMP[],S$1,0),"ERROR")</f>
        <v>39149</v>
      </c>
      <c r="T43" s="28"/>
    </row>
    <row r="44" spans="1:20" s="124" customFormat="1" x14ac:dyDescent="0.2">
      <c r="A44" s="28"/>
      <c r="B44" s="128" t="s">
        <v>416</v>
      </c>
      <c r="C44" s="110">
        <f>IFERROR(VLOOKUP($B44,MMWR_TRAD_AGG_STATE_COMP[],C$1,0),"ERROR")</f>
        <v>2387</v>
      </c>
      <c r="D44" s="111">
        <f>IFERROR(VLOOKUP($B44,MMWR_TRAD_AGG_STATE_COMP[],D$1,0),"ERROR")</f>
        <v>322.11813992459997</v>
      </c>
      <c r="E44" s="112">
        <f>IFERROR(VLOOKUP($B44,MMWR_TRAD_AGG_STATE_COMP[],E$1,0),"ERROR")</f>
        <v>1987</v>
      </c>
      <c r="F44" s="113">
        <f>IFERROR(VLOOKUP($B44,MMWR_TRAD_AGG_STATE_COMP[],F$1,0),"ERROR")</f>
        <v>566</v>
      </c>
      <c r="G44" s="114">
        <f t="shared" si="4"/>
        <v>0.28485153497735277</v>
      </c>
      <c r="H44" s="112">
        <f>IFERROR(VLOOKUP($B44,MMWR_TRAD_AGG_STATE_COMP[],H$1,0),"ERROR")</f>
        <v>3953</v>
      </c>
      <c r="I44" s="113">
        <f>IFERROR(VLOOKUP($B44,MMWR_TRAD_AGG_STATE_COMP[],I$1,0),"ERROR")</f>
        <v>2070</v>
      </c>
      <c r="J44" s="115">
        <f t="shared" si="5"/>
        <v>0.52365292183152035</v>
      </c>
      <c r="K44" s="112">
        <f>IFERROR(VLOOKUP($B44,MMWR_TRAD_AGG_STATE_COMP[],K$1,0),"ERROR")</f>
        <v>624</v>
      </c>
      <c r="L44" s="113">
        <f>IFERROR(VLOOKUP($B44,MMWR_TRAD_AGG_STATE_COMP[],L$1,0),"ERROR")</f>
        <v>455</v>
      </c>
      <c r="M44" s="115">
        <f t="shared" si="6"/>
        <v>0.72916666666666663</v>
      </c>
      <c r="N44" s="112">
        <f>IFERROR(VLOOKUP($B44,MMWR_TRAD_AGG_STATE_COMP[],N$1,0),"ERROR")</f>
        <v>242</v>
      </c>
      <c r="O44" s="113">
        <f>IFERROR(VLOOKUP($B44,MMWR_TRAD_AGG_STATE_COMP[],O$1,0),"ERROR")</f>
        <v>132</v>
      </c>
      <c r="P44" s="115">
        <f t="shared" si="7"/>
        <v>0.54545454545454541</v>
      </c>
      <c r="Q44" s="116">
        <f>IFERROR(VLOOKUP($B44,MMWR_TRAD_AGG_STATE_COMP[],Q$1,0),"ERROR")</f>
        <v>0</v>
      </c>
      <c r="R44" s="116">
        <f>IFERROR(VLOOKUP($B44,MMWR_TRAD_AGG_STATE_COMP[],R$1,0),"ERROR")</f>
        <v>4</v>
      </c>
      <c r="S44" s="116">
        <f>IFERROR(VLOOKUP($B44,MMWR_APP_STATE_COMP[],S$1,0),"ERROR")</f>
        <v>544</v>
      </c>
      <c r="T44" s="28"/>
    </row>
    <row r="45" spans="1:20" s="124" customFormat="1" x14ac:dyDescent="0.2">
      <c r="A45" s="28"/>
      <c r="B45" s="128" t="s">
        <v>431</v>
      </c>
      <c r="C45" s="110">
        <f>IFERROR(VLOOKUP($B45,MMWR_TRAD_AGG_STATE_COMP[],C$1,0),"ERROR")</f>
        <v>778</v>
      </c>
      <c r="D45" s="111">
        <f>IFERROR(VLOOKUP($B45,MMWR_TRAD_AGG_STATE_COMP[],D$1,0),"ERROR")</f>
        <v>259.68894601540001</v>
      </c>
      <c r="E45" s="112">
        <f>IFERROR(VLOOKUP($B45,MMWR_TRAD_AGG_STATE_COMP[],E$1,0),"ERROR")</f>
        <v>950</v>
      </c>
      <c r="F45" s="113">
        <f>IFERROR(VLOOKUP($B45,MMWR_TRAD_AGG_STATE_COMP[],F$1,0),"ERROR")</f>
        <v>245</v>
      </c>
      <c r="G45" s="114">
        <f t="shared" si="4"/>
        <v>0.25789473684210529</v>
      </c>
      <c r="H45" s="112">
        <f>IFERROR(VLOOKUP($B45,MMWR_TRAD_AGG_STATE_COMP[],H$1,0),"ERROR")</f>
        <v>1140</v>
      </c>
      <c r="I45" s="113">
        <f>IFERROR(VLOOKUP($B45,MMWR_TRAD_AGG_STATE_COMP[],I$1,0),"ERROR")</f>
        <v>531</v>
      </c>
      <c r="J45" s="115">
        <f t="shared" si="5"/>
        <v>0.46578947368421053</v>
      </c>
      <c r="K45" s="112">
        <f>IFERROR(VLOOKUP($B45,MMWR_TRAD_AGG_STATE_COMP[],K$1,0),"ERROR")</f>
        <v>200</v>
      </c>
      <c r="L45" s="113">
        <f>IFERROR(VLOOKUP($B45,MMWR_TRAD_AGG_STATE_COMP[],L$1,0),"ERROR")</f>
        <v>164</v>
      </c>
      <c r="M45" s="115">
        <f t="shared" si="6"/>
        <v>0.82</v>
      </c>
      <c r="N45" s="112">
        <f>IFERROR(VLOOKUP($B45,MMWR_TRAD_AGG_STATE_COMP[],N$1,0),"ERROR")</f>
        <v>163</v>
      </c>
      <c r="O45" s="113">
        <f>IFERROR(VLOOKUP($B45,MMWR_TRAD_AGG_STATE_COMP[],O$1,0),"ERROR")</f>
        <v>87</v>
      </c>
      <c r="P45" s="115">
        <f t="shared" si="7"/>
        <v>0.53374233128834359</v>
      </c>
      <c r="Q45" s="116">
        <f>IFERROR(VLOOKUP($B45,MMWR_TRAD_AGG_STATE_COMP[],Q$1,0),"ERROR")</f>
        <v>25</v>
      </c>
      <c r="R45" s="116">
        <f>IFERROR(VLOOKUP($B45,MMWR_TRAD_AGG_STATE_COMP[],R$1,0),"ERROR")</f>
        <v>7</v>
      </c>
      <c r="S45" s="116">
        <f>IFERROR(VLOOKUP($B45,MMWR_APP_STATE_COMP[],S$1,0),"ERROR")</f>
        <v>363</v>
      </c>
      <c r="T45" s="28"/>
    </row>
    <row r="46" spans="1:20" s="124" customFormat="1" x14ac:dyDescent="0.2">
      <c r="A46" s="28"/>
      <c r="B46" s="127" t="s">
        <v>414</v>
      </c>
      <c r="C46" s="103">
        <f>IFERROR(VLOOKUP($B46,MMWR_TRAD_AGG_ST_DISTRICT_COMP[],C$1,0),"ERROR")</f>
        <v>78626</v>
      </c>
      <c r="D46" s="104">
        <f>IFERROR(VLOOKUP($B46,MMWR_TRAD_AGG_ST_DISTRICT_COMP[],D$1,0),"ERROR")</f>
        <v>368.14630020599998</v>
      </c>
      <c r="E46" s="103">
        <f>IFERROR(VLOOKUP($B46,MMWR_TRAD_AGG_ST_DISTRICT_COMP[],E$1,0),"ERROR")</f>
        <v>66573</v>
      </c>
      <c r="F46" s="103">
        <f>IFERROR(VLOOKUP($B46,MMWR_TRAD_AGG_ST_DISTRICT_COMP[],F$1,0),"ERROR")</f>
        <v>21669</v>
      </c>
      <c r="G46" s="105">
        <f t="shared" si="4"/>
        <v>0.32549231670497047</v>
      </c>
      <c r="H46" s="103">
        <f>IFERROR(VLOOKUP($B46,MMWR_TRAD_AGG_ST_DISTRICT_COMP[],H$1,0),"ERROR")</f>
        <v>106428</v>
      </c>
      <c r="I46" s="103">
        <f>IFERROR(VLOOKUP($B46,MMWR_TRAD_AGG_ST_DISTRICT_COMP[],I$1,0),"ERROR")</f>
        <v>69608</v>
      </c>
      <c r="J46" s="106">
        <f t="shared" si="5"/>
        <v>0.65403841094448834</v>
      </c>
      <c r="K46" s="103">
        <f>IFERROR(VLOOKUP($B46,MMWR_TRAD_AGG_ST_DISTRICT_COMP[],K$1,0),"ERROR")</f>
        <v>17055</v>
      </c>
      <c r="L46" s="103">
        <f>IFERROR(VLOOKUP($B46,MMWR_TRAD_AGG_ST_DISTRICT_COMP[],L$1,0),"ERROR")</f>
        <v>14394</v>
      </c>
      <c r="M46" s="106">
        <f t="shared" si="6"/>
        <v>0.84397537379067722</v>
      </c>
      <c r="N46" s="103">
        <f>IFERROR(VLOOKUP($B46,MMWR_TRAD_AGG_ST_DISTRICT_COMP[],N$1,0),"ERROR")</f>
        <v>25578</v>
      </c>
      <c r="O46" s="103">
        <f>IFERROR(VLOOKUP($B46,MMWR_TRAD_AGG_ST_DISTRICT_COMP[],O$1,0),"ERROR")</f>
        <v>18111</v>
      </c>
      <c r="P46" s="106">
        <f t="shared" si="7"/>
        <v>0.70806943467041994</v>
      </c>
      <c r="Q46" s="103">
        <f>IFERROR(VLOOKUP($B46,MMWR_TRAD_AGG_ST_DISTRICT_COMP[],Q$1,0),"ERROR")</f>
        <v>80</v>
      </c>
      <c r="R46" s="107">
        <f>IFERROR(VLOOKUP($B46,MMWR_TRAD_AGG_ST_DISTRICT_COMP[],R$1,0),"ERROR")</f>
        <v>595</v>
      </c>
      <c r="S46" s="107">
        <f>SUM(S47:S55)</f>
        <v>41848</v>
      </c>
      <c r="T46" s="28"/>
    </row>
    <row r="47" spans="1:20" s="124" customFormat="1" x14ac:dyDescent="0.2">
      <c r="A47" s="28"/>
      <c r="B47" s="128" t="s">
        <v>434</v>
      </c>
      <c r="C47" s="110">
        <f>IFERROR(VLOOKUP($B47,MMWR_TRAD_AGG_STATE_COMP[],C$1,0),"ERROR")</f>
        <v>2354</v>
      </c>
      <c r="D47" s="111">
        <f>IFERROR(VLOOKUP($B47,MMWR_TRAD_AGG_STATE_COMP[],D$1,0),"ERROR")</f>
        <v>476.16057774000001</v>
      </c>
      <c r="E47" s="112">
        <f>IFERROR(VLOOKUP($B47,MMWR_TRAD_AGG_STATE_COMP[],E$1,0),"ERROR")</f>
        <v>1087</v>
      </c>
      <c r="F47" s="113">
        <f>IFERROR(VLOOKUP($B47,MMWR_TRAD_AGG_STATE_COMP[],F$1,0),"ERROR")</f>
        <v>209</v>
      </c>
      <c r="G47" s="114">
        <f t="shared" si="4"/>
        <v>0.19227230910763571</v>
      </c>
      <c r="H47" s="112">
        <f>IFERROR(VLOOKUP($B47,MMWR_TRAD_AGG_STATE_COMP[],H$1,0),"ERROR")</f>
        <v>3078</v>
      </c>
      <c r="I47" s="113">
        <f>IFERROR(VLOOKUP($B47,MMWR_TRAD_AGG_STATE_COMP[],I$1,0),"ERROR")</f>
        <v>2172</v>
      </c>
      <c r="J47" s="115">
        <f t="shared" si="5"/>
        <v>0.70565302144249509</v>
      </c>
      <c r="K47" s="112">
        <f>IFERROR(VLOOKUP($B47,MMWR_TRAD_AGG_STATE_COMP[],K$1,0),"ERROR")</f>
        <v>1581</v>
      </c>
      <c r="L47" s="113">
        <f>IFERROR(VLOOKUP($B47,MMWR_TRAD_AGG_STATE_COMP[],L$1,0),"ERROR")</f>
        <v>1427</v>
      </c>
      <c r="M47" s="115">
        <f t="shared" si="6"/>
        <v>0.90259329538266919</v>
      </c>
      <c r="N47" s="112">
        <f>IFERROR(VLOOKUP($B47,MMWR_TRAD_AGG_STATE_COMP[],N$1,0),"ERROR")</f>
        <v>254</v>
      </c>
      <c r="O47" s="113">
        <f>IFERROR(VLOOKUP($B47,MMWR_TRAD_AGG_STATE_COMP[],O$1,0),"ERROR")</f>
        <v>169</v>
      </c>
      <c r="P47" s="115">
        <f t="shared" si="7"/>
        <v>0.66535433070866146</v>
      </c>
      <c r="Q47" s="116">
        <f>IFERROR(VLOOKUP($B47,MMWR_TRAD_AGG_STATE_COMP[],Q$1,0),"ERROR")</f>
        <v>0</v>
      </c>
      <c r="R47" s="116">
        <f>IFERROR(VLOOKUP($B47,MMWR_TRAD_AGG_STATE_COMP[],R$1,0),"ERROR")</f>
        <v>2</v>
      </c>
      <c r="S47" s="116">
        <f>IFERROR(VLOOKUP($B47,MMWR_APP_STATE_COMP[],S$1,0),"ERROR")</f>
        <v>347</v>
      </c>
      <c r="T47" s="28"/>
    </row>
    <row r="48" spans="1:20" s="124" customFormat="1" x14ac:dyDescent="0.2">
      <c r="A48" s="28"/>
      <c r="B48" s="128" t="s">
        <v>436</v>
      </c>
      <c r="C48" s="110">
        <f>IFERROR(VLOOKUP($B48,MMWR_TRAD_AGG_STATE_COMP[],C$1,0),"ERROR")</f>
        <v>8125</v>
      </c>
      <c r="D48" s="111">
        <f>IFERROR(VLOOKUP($B48,MMWR_TRAD_AGG_STATE_COMP[],D$1,0),"ERROR")</f>
        <v>301.4987076923</v>
      </c>
      <c r="E48" s="112">
        <f>IFERROR(VLOOKUP($B48,MMWR_TRAD_AGG_STATE_COMP[],E$1,0),"ERROR")</f>
        <v>6583</v>
      </c>
      <c r="F48" s="113">
        <f>IFERROR(VLOOKUP($B48,MMWR_TRAD_AGG_STATE_COMP[],F$1,0),"ERROR")</f>
        <v>2014</v>
      </c>
      <c r="G48" s="114">
        <f t="shared" si="4"/>
        <v>0.30593954124259454</v>
      </c>
      <c r="H48" s="112">
        <f>IFERROR(VLOOKUP($B48,MMWR_TRAD_AGG_STATE_COMP[],H$1,0),"ERROR")</f>
        <v>10365</v>
      </c>
      <c r="I48" s="113">
        <f>IFERROR(VLOOKUP($B48,MMWR_TRAD_AGG_STATE_COMP[],I$1,0),"ERROR")</f>
        <v>6220</v>
      </c>
      <c r="J48" s="115">
        <f t="shared" si="5"/>
        <v>0.60009647853352632</v>
      </c>
      <c r="K48" s="112">
        <f>IFERROR(VLOOKUP($B48,MMWR_TRAD_AGG_STATE_COMP[],K$1,0),"ERROR")</f>
        <v>606</v>
      </c>
      <c r="L48" s="113">
        <f>IFERROR(VLOOKUP($B48,MMWR_TRAD_AGG_STATE_COMP[],L$1,0),"ERROR")</f>
        <v>480</v>
      </c>
      <c r="M48" s="115">
        <f t="shared" si="6"/>
        <v>0.79207920792079212</v>
      </c>
      <c r="N48" s="112">
        <f>IFERROR(VLOOKUP($B48,MMWR_TRAD_AGG_STATE_COMP[],N$1,0),"ERROR")</f>
        <v>3311</v>
      </c>
      <c r="O48" s="113">
        <f>IFERROR(VLOOKUP($B48,MMWR_TRAD_AGG_STATE_COMP[],O$1,0),"ERROR")</f>
        <v>2530</v>
      </c>
      <c r="P48" s="115">
        <f t="shared" si="7"/>
        <v>0.76411960132890366</v>
      </c>
      <c r="Q48" s="116">
        <f>IFERROR(VLOOKUP($B48,MMWR_TRAD_AGG_STATE_COMP[],Q$1,0),"ERROR")</f>
        <v>6</v>
      </c>
      <c r="R48" s="116">
        <f>IFERROR(VLOOKUP($B48,MMWR_TRAD_AGG_STATE_COMP[],R$1,0),"ERROR")</f>
        <v>74</v>
      </c>
      <c r="S48" s="116">
        <f>IFERROR(VLOOKUP($B48,MMWR_APP_STATE_COMP[],S$1,0),"ERROR")</f>
        <v>6977</v>
      </c>
      <c r="T48" s="28"/>
    </row>
    <row r="49" spans="1:20" s="124" customFormat="1" x14ac:dyDescent="0.2">
      <c r="A49" s="28"/>
      <c r="B49" s="128" t="s">
        <v>417</v>
      </c>
      <c r="C49" s="110">
        <f>IFERROR(VLOOKUP($B49,MMWR_TRAD_AGG_STATE_COMP[],C$1,0),"ERROR")</f>
        <v>32695</v>
      </c>
      <c r="D49" s="111">
        <f>IFERROR(VLOOKUP($B49,MMWR_TRAD_AGG_STATE_COMP[],D$1,0),"ERROR")</f>
        <v>369.4097262578</v>
      </c>
      <c r="E49" s="112">
        <f>IFERROR(VLOOKUP($B49,MMWR_TRAD_AGG_STATE_COMP[],E$1,0),"ERROR")</f>
        <v>33672</v>
      </c>
      <c r="F49" s="113">
        <f>IFERROR(VLOOKUP($B49,MMWR_TRAD_AGG_STATE_COMP[],F$1,0),"ERROR")</f>
        <v>10877</v>
      </c>
      <c r="G49" s="114">
        <f t="shared" si="4"/>
        <v>0.32302803516274647</v>
      </c>
      <c r="H49" s="112">
        <f>IFERROR(VLOOKUP($B49,MMWR_TRAD_AGG_STATE_COMP[],H$1,0),"ERROR")</f>
        <v>45502</v>
      </c>
      <c r="I49" s="113">
        <f>IFERROR(VLOOKUP($B49,MMWR_TRAD_AGG_STATE_COMP[],I$1,0),"ERROR")</f>
        <v>30116</v>
      </c>
      <c r="J49" s="115">
        <f t="shared" si="5"/>
        <v>0.66186101709814948</v>
      </c>
      <c r="K49" s="112">
        <f>IFERROR(VLOOKUP($B49,MMWR_TRAD_AGG_STATE_COMP[],K$1,0),"ERROR")</f>
        <v>6275</v>
      </c>
      <c r="L49" s="113">
        <f>IFERROR(VLOOKUP($B49,MMWR_TRAD_AGG_STATE_COMP[],L$1,0),"ERROR")</f>
        <v>5054</v>
      </c>
      <c r="M49" s="115">
        <f t="shared" si="6"/>
        <v>0.8054183266932271</v>
      </c>
      <c r="N49" s="112">
        <f>IFERROR(VLOOKUP($B49,MMWR_TRAD_AGG_STATE_COMP[],N$1,0),"ERROR")</f>
        <v>11597</v>
      </c>
      <c r="O49" s="113">
        <f>IFERROR(VLOOKUP($B49,MMWR_TRAD_AGG_STATE_COMP[],O$1,0),"ERROR")</f>
        <v>8063</v>
      </c>
      <c r="P49" s="115">
        <f t="shared" si="7"/>
        <v>0.69526601707338109</v>
      </c>
      <c r="Q49" s="116">
        <f>IFERROR(VLOOKUP($B49,MMWR_TRAD_AGG_STATE_COMP[],Q$1,0),"ERROR")</f>
        <v>48</v>
      </c>
      <c r="R49" s="116">
        <f>IFERROR(VLOOKUP($B49,MMWR_TRAD_AGG_STATE_COMP[],R$1,0),"ERROR")</f>
        <v>164</v>
      </c>
      <c r="S49" s="116">
        <f>IFERROR(VLOOKUP($B49,MMWR_APP_STATE_COMP[],S$1,0),"ERROR")</f>
        <v>17848</v>
      </c>
      <c r="T49" s="28"/>
    </row>
    <row r="50" spans="1:20" s="124" customFormat="1" x14ac:dyDescent="0.2">
      <c r="A50" s="28"/>
      <c r="B50" s="128" t="s">
        <v>438</v>
      </c>
      <c r="C50" s="110">
        <f>IFERROR(VLOOKUP($B50,MMWR_TRAD_AGG_STATE_COMP[],C$1,0),"ERROR")</f>
        <v>2091</v>
      </c>
      <c r="D50" s="111">
        <f>IFERROR(VLOOKUP($B50,MMWR_TRAD_AGG_STATE_COMP[],D$1,0),"ERROR")</f>
        <v>271.75131516020002</v>
      </c>
      <c r="E50" s="112">
        <f>IFERROR(VLOOKUP($B50,MMWR_TRAD_AGG_STATE_COMP[],E$1,0),"ERROR")</f>
        <v>2125</v>
      </c>
      <c r="F50" s="113">
        <f>IFERROR(VLOOKUP($B50,MMWR_TRAD_AGG_STATE_COMP[],F$1,0),"ERROR")</f>
        <v>700</v>
      </c>
      <c r="G50" s="114">
        <f t="shared" si="4"/>
        <v>0.32941176470588235</v>
      </c>
      <c r="H50" s="112">
        <f>IFERROR(VLOOKUP($B50,MMWR_TRAD_AGG_STATE_COMP[],H$1,0),"ERROR")</f>
        <v>2780</v>
      </c>
      <c r="I50" s="113">
        <f>IFERROR(VLOOKUP($B50,MMWR_TRAD_AGG_STATE_COMP[],I$1,0),"ERROR")</f>
        <v>1582</v>
      </c>
      <c r="J50" s="115">
        <f t="shared" si="5"/>
        <v>0.56906474820143882</v>
      </c>
      <c r="K50" s="112">
        <f>IFERROR(VLOOKUP($B50,MMWR_TRAD_AGG_STATE_COMP[],K$1,0),"ERROR")</f>
        <v>376</v>
      </c>
      <c r="L50" s="113">
        <f>IFERROR(VLOOKUP($B50,MMWR_TRAD_AGG_STATE_COMP[],L$1,0),"ERROR")</f>
        <v>331</v>
      </c>
      <c r="M50" s="115">
        <f t="shared" si="6"/>
        <v>0.88031914893617025</v>
      </c>
      <c r="N50" s="112">
        <f>IFERROR(VLOOKUP($B50,MMWR_TRAD_AGG_STATE_COMP[],N$1,0),"ERROR")</f>
        <v>521</v>
      </c>
      <c r="O50" s="113">
        <f>IFERROR(VLOOKUP($B50,MMWR_TRAD_AGG_STATE_COMP[],O$1,0),"ERROR")</f>
        <v>334</v>
      </c>
      <c r="P50" s="115">
        <f t="shared" si="7"/>
        <v>0.64107485604606529</v>
      </c>
      <c r="Q50" s="116">
        <f>IFERROR(VLOOKUP($B50,MMWR_TRAD_AGG_STATE_COMP[],Q$1,0),"ERROR")</f>
        <v>6</v>
      </c>
      <c r="R50" s="116">
        <f>IFERROR(VLOOKUP($B50,MMWR_TRAD_AGG_STATE_COMP[],R$1,0),"ERROR")</f>
        <v>3</v>
      </c>
      <c r="S50" s="116">
        <f>IFERROR(VLOOKUP($B50,MMWR_APP_STATE_COMP[],S$1,0),"ERROR")</f>
        <v>1001</v>
      </c>
      <c r="T50" s="28"/>
    </row>
    <row r="51" spans="1:20" s="124" customFormat="1" x14ac:dyDescent="0.2">
      <c r="A51" s="28"/>
      <c r="B51" s="128" t="s">
        <v>418</v>
      </c>
      <c r="C51" s="110">
        <f>IFERROR(VLOOKUP($B51,MMWR_TRAD_AGG_STATE_COMP[],C$1,0),"ERROR")</f>
        <v>1021</v>
      </c>
      <c r="D51" s="111">
        <f>IFERROR(VLOOKUP($B51,MMWR_TRAD_AGG_STATE_COMP[],D$1,0),"ERROR")</f>
        <v>255.96180215480001</v>
      </c>
      <c r="E51" s="112">
        <f>IFERROR(VLOOKUP($B51,MMWR_TRAD_AGG_STATE_COMP[],E$1,0),"ERROR")</f>
        <v>1706</v>
      </c>
      <c r="F51" s="113">
        <f>IFERROR(VLOOKUP($B51,MMWR_TRAD_AGG_STATE_COMP[],F$1,0),"ERROR")</f>
        <v>505</v>
      </c>
      <c r="G51" s="114">
        <f t="shared" si="4"/>
        <v>0.29601406799531066</v>
      </c>
      <c r="H51" s="112">
        <f>IFERROR(VLOOKUP($B51,MMWR_TRAD_AGG_STATE_COMP[],H$1,0),"ERROR")</f>
        <v>1791</v>
      </c>
      <c r="I51" s="113">
        <f>IFERROR(VLOOKUP($B51,MMWR_TRAD_AGG_STATE_COMP[],I$1,0),"ERROR")</f>
        <v>687</v>
      </c>
      <c r="J51" s="115">
        <f t="shared" si="5"/>
        <v>0.38358458961474035</v>
      </c>
      <c r="K51" s="112">
        <f>IFERROR(VLOOKUP($B51,MMWR_TRAD_AGG_STATE_COMP[],K$1,0),"ERROR")</f>
        <v>229</v>
      </c>
      <c r="L51" s="113">
        <f>IFERROR(VLOOKUP($B51,MMWR_TRAD_AGG_STATE_COMP[],L$1,0),"ERROR")</f>
        <v>145</v>
      </c>
      <c r="M51" s="115">
        <f t="shared" si="6"/>
        <v>0.63318777292576423</v>
      </c>
      <c r="N51" s="112">
        <f>IFERROR(VLOOKUP($B51,MMWR_TRAD_AGG_STATE_COMP[],N$1,0),"ERROR")</f>
        <v>249</v>
      </c>
      <c r="O51" s="113">
        <f>IFERROR(VLOOKUP($B51,MMWR_TRAD_AGG_STATE_COMP[],O$1,0),"ERROR")</f>
        <v>139</v>
      </c>
      <c r="P51" s="115">
        <f t="shared" si="7"/>
        <v>0.55823293172690758</v>
      </c>
      <c r="Q51" s="116">
        <f>IFERROR(VLOOKUP($B51,MMWR_TRAD_AGG_STATE_COMP[],Q$1,0),"ERROR")</f>
        <v>1</v>
      </c>
      <c r="R51" s="116">
        <f>IFERROR(VLOOKUP($B51,MMWR_TRAD_AGG_STATE_COMP[],R$1,0),"ERROR")</f>
        <v>10</v>
      </c>
      <c r="S51" s="116">
        <f>IFERROR(VLOOKUP($B51,MMWR_APP_STATE_COMP[],S$1,0),"ERROR")</f>
        <v>1044</v>
      </c>
      <c r="T51" s="28"/>
    </row>
    <row r="52" spans="1:20" s="124" customFormat="1" x14ac:dyDescent="0.2">
      <c r="A52" s="28"/>
      <c r="B52" s="128" t="s">
        <v>423</v>
      </c>
      <c r="C52" s="110">
        <f>IFERROR(VLOOKUP($B52,MMWR_TRAD_AGG_STATE_COMP[],C$1,0),"ERROR")</f>
        <v>4457</v>
      </c>
      <c r="D52" s="111">
        <f>IFERROR(VLOOKUP($B52,MMWR_TRAD_AGG_STATE_COMP[],D$1,0),"ERROR")</f>
        <v>444.70069553510001</v>
      </c>
      <c r="E52" s="112">
        <f>IFERROR(VLOOKUP($B52,MMWR_TRAD_AGG_STATE_COMP[],E$1,0),"ERROR")</f>
        <v>4120</v>
      </c>
      <c r="F52" s="113">
        <f>IFERROR(VLOOKUP($B52,MMWR_TRAD_AGG_STATE_COMP[],F$1,0),"ERROR")</f>
        <v>1422</v>
      </c>
      <c r="G52" s="114">
        <f t="shared" si="4"/>
        <v>0.34514563106796114</v>
      </c>
      <c r="H52" s="112">
        <f>IFERROR(VLOOKUP($B52,MMWR_TRAD_AGG_STATE_COMP[],H$1,0),"ERROR")</f>
        <v>5741</v>
      </c>
      <c r="I52" s="113">
        <f>IFERROR(VLOOKUP($B52,MMWR_TRAD_AGG_STATE_COMP[],I$1,0),"ERROR")</f>
        <v>3950</v>
      </c>
      <c r="J52" s="115">
        <f t="shared" si="5"/>
        <v>0.68803344365093189</v>
      </c>
      <c r="K52" s="112">
        <f>IFERROR(VLOOKUP($B52,MMWR_TRAD_AGG_STATE_COMP[],K$1,0),"ERROR")</f>
        <v>509</v>
      </c>
      <c r="L52" s="113">
        <f>IFERROR(VLOOKUP($B52,MMWR_TRAD_AGG_STATE_COMP[],L$1,0),"ERROR")</f>
        <v>442</v>
      </c>
      <c r="M52" s="115">
        <f t="shared" si="6"/>
        <v>0.86836935166994111</v>
      </c>
      <c r="N52" s="112">
        <f>IFERROR(VLOOKUP($B52,MMWR_TRAD_AGG_STATE_COMP[],N$1,0),"ERROR")</f>
        <v>1479</v>
      </c>
      <c r="O52" s="113">
        <f>IFERROR(VLOOKUP($B52,MMWR_TRAD_AGG_STATE_COMP[],O$1,0),"ERROR")</f>
        <v>936</v>
      </c>
      <c r="P52" s="115">
        <f t="shared" si="7"/>
        <v>0.63286004056795131</v>
      </c>
      <c r="Q52" s="116">
        <f>IFERROR(VLOOKUP($B52,MMWR_TRAD_AGG_STATE_COMP[],Q$1,0),"ERROR")</f>
        <v>8</v>
      </c>
      <c r="R52" s="116">
        <f>IFERROR(VLOOKUP($B52,MMWR_TRAD_AGG_STATE_COMP[],R$1,0),"ERROR")</f>
        <v>101</v>
      </c>
      <c r="S52" s="116">
        <f>IFERROR(VLOOKUP($B52,MMWR_APP_STATE_COMP[],S$1,0),"ERROR")</f>
        <v>2675</v>
      </c>
      <c r="T52" s="28"/>
    </row>
    <row r="53" spans="1:20" s="124" customFormat="1" x14ac:dyDescent="0.2">
      <c r="A53" s="28"/>
      <c r="B53" s="128" t="s">
        <v>415</v>
      </c>
      <c r="C53" s="110">
        <f>IFERROR(VLOOKUP($B53,MMWR_TRAD_AGG_STATE_COMP[],C$1,0),"ERROR")</f>
        <v>2005</v>
      </c>
      <c r="D53" s="111">
        <f>IFERROR(VLOOKUP($B53,MMWR_TRAD_AGG_STATE_COMP[],D$1,0),"ERROR")</f>
        <v>214.2798004988</v>
      </c>
      <c r="E53" s="112">
        <f>IFERROR(VLOOKUP($B53,MMWR_TRAD_AGG_STATE_COMP[],E$1,0),"ERROR")</f>
        <v>3273</v>
      </c>
      <c r="F53" s="113">
        <f>IFERROR(VLOOKUP($B53,MMWR_TRAD_AGG_STATE_COMP[],F$1,0),"ERROR")</f>
        <v>1078</v>
      </c>
      <c r="G53" s="114">
        <f t="shared" si="4"/>
        <v>0.32936144210204704</v>
      </c>
      <c r="H53" s="112">
        <f>IFERROR(VLOOKUP($B53,MMWR_TRAD_AGG_STATE_COMP[],H$1,0),"ERROR")</f>
        <v>2810</v>
      </c>
      <c r="I53" s="113">
        <f>IFERROR(VLOOKUP($B53,MMWR_TRAD_AGG_STATE_COMP[],I$1,0),"ERROR")</f>
        <v>1297</v>
      </c>
      <c r="J53" s="115">
        <f t="shared" si="5"/>
        <v>0.46156583629893239</v>
      </c>
      <c r="K53" s="112">
        <f>IFERROR(VLOOKUP($B53,MMWR_TRAD_AGG_STATE_COMP[],K$1,0),"ERROR")</f>
        <v>232</v>
      </c>
      <c r="L53" s="113">
        <f>IFERROR(VLOOKUP($B53,MMWR_TRAD_AGG_STATE_COMP[],L$1,0),"ERROR")</f>
        <v>150</v>
      </c>
      <c r="M53" s="115">
        <f t="shared" si="6"/>
        <v>0.64655172413793105</v>
      </c>
      <c r="N53" s="112">
        <f>IFERROR(VLOOKUP($B53,MMWR_TRAD_AGG_STATE_COMP[],N$1,0),"ERROR")</f>
        <v>644</v>
      </c>
      <c r="O53" s="113">
        <f>IFERROR(VLOOKUP($B53,MMWR_TRAD_AGG_STATE_COMP[],O$1,0),"ERROR")</f>
        <v>336</v>
      </c>
      <c r="P53" s="115">
        <f t="shared" si="7"/>
        <v>0.52173913043478259</v>
      </c>
      <c r="Q53" s="116">
        <f>IFERROR(VLOOKUP($B53,MMWR_TRAD_AGG_STATE_COMP[],Q$1,0),"ERROR")</f>
        <v>3</v>
      </c>
      <c r="R53" s="116">
        <f>IFERROR(VLOOKUP($B53,MMWR_TRAD_AGG_STATE_COMP[],R$1,0),"ERROR")</f>
        <v>17</v>
      </c>
      <c r="S53" s="116">
        <f>IFERROR(VLOOKUP($B53,MMWR_APP_STATE_COMP[],S$1,0),"ERROR")</f>
        <v>1880</v>
      </c>
      <c r="T53" s="28"/>
    </row>
    <row r="54" spans="1:20" s="124" customFormat="1" x14ac:dyDescent="0.2">
      <c r="A54" s="28"/>
      <c r="B54" s="128" t="s">
        <v>419</v>
      </c>
      <c r="C54" s="110">
        <f>IFERROR(VLOOKUP($B54,MMWR_TRAD_AGG_STATE_COMP[],C$1,0),"ERROR")</f>
        <v>10045</v>
      </c>
      <c r="D54" s="111">
        <f>IFERROR(VLOOKUP($B54,MMWR_TRAD_AGG_STATE_COMP[],D$1,0),"ERROR")</f>
        <v>387.41712294669998</v>
      </c>
      <c r="E54" s="112">
        <f>IFERROR(VLOOKUP($B54,MMWR_TRAD_AGG_STATE_COMP[],E$1,0),"ERROR")</f>
        <v>5761</v>
      </c>
      <c r="F54" s="113">
        <f>IFERROR(VLOOKUP($B54,MMWR_TRAD_AGG_STATE_COMP[],F$1,0),"ERROR")</f>
        <v>2187</v>
      </c>
      <c r="G54" s="114">
        <f t="shared" si="4"/>
        <v>0.37962159347335533</v>
      </c>
      <c r="H54" s="112">
        <f>IFERROR(VLOOKUP($B54,MMWR_TRAD_AGG_STATE_COMP[],H$1,0),"ERROR")</f>
        <v>12836</v>
      </c>
      <c r="I54" s="113">
        <f>IFERROR(VLOOKUP($B54,MMWR_TRAD_AGG_STATE_COMP[],I$1,0),"ERROR")</f>
        <v>8664</v>
      </c>
      <c r="J54" s="115">
        <f t="shared" si="5"/>
        <v>0.67497662823309446</v>
      </c>
      <c r="K54" s="112">
        <f>IFERROR(VLOOKUP($B54,MMWR_TRAD_AGG_STATE_COMP[],K$1,0),"ERROR")</f>
        <v>3550</v>
      </c>
      <c r="L54" s="113">
        <f>IFERROR(VLOOKUP($B54,MMWR_TRAD_AGG_STATE_COMP[],L$1,0),"ERROR")</f>
        <v>3041</v>
      </c>
      <c r="M54" s="115">
        <f t="shared" si="6"/>
        <v>0.85661971830985917</v>
      </c>
      <c r="N54" s="112">
        <f>IFERROR(VLOOKUP($B54,MMWR_TRAD_AGG_STATE_COMP[],N$1,0),"ERROR")</f>
        <v>1465</v>
      </c>
      <c r="O54" s="113">
        <f>IFERROR(VLOOKUP($B54,MMWR_TRAD_AGG_STATE_COMP[],O$1,0),"ERROR")</f>
        <v>703</v>
      </c>
      <c r="P54" s="115">
        <f t="shared" si="7"/>
        <v>0.47986348122866895</v>
      </c>
      <c r="Q54" s="116">
        <f>IFERROR(VLOOKUP($B54,MMWR_TRAD_AGG_STATE_COMP[],Q$1,0),"ERROR")</f>
        <v>1</v>
      </c>
      <c r="R54" s="116">
        <f>IFERROR(VLOOKUP($B54,MMWR_TRAD_AGG_STATE_COMP[],R$1,0),"ERROR")</f>
        <v>80</v>
      </c>
      <c r="S54" s="116">
        <f>IFERROR(VLOOKUP($B54,MMWR_APP_STATE_COMP[],S$1,0),"ERROR")</f>
        <v>5357</v>
      </c>
      <c r="T54" s="28"/>
    </row>
    <row r="55" spans="1:20" s="124" customFormat="1" x14ac:dyDescent="0.2">
      <c r="A55" s="28"/>
      <c r="B55" s="128" t="s">
        <v>83</v>
      </c>
      <c r="C55" s="110">
        <f>IFERROR(VLOOKUP($B55,MMWR_TRAD_AGG_STATE_COMP[],C$1,0),"ERROR")</f>
        <v>15833</v>
      </c>
      <c r="D55" s="111">
        <f>IFERROR(VLOOKUP($B55,MMWR_TRAD_AGG_STATE_COMP[],D$1,0),"ERROR")</f>
        <v>389.35293374600002</v>
      </c>
      <c r="E55" s="112">
        <f>IFERROR(VLOOKUP($B55,MMWR_TRAD_AGG_STATE_COMP[],E$1,0),"ERROR")</f>
        <v>8246</v>
      </c>
      <c r="F55" s="113">
        <f>IFERROR(VLOOKUP($B55,MMWR_TRAD_AGG_STATE_COMP[],F$1,0),"ERROR")</f>
        <v>2677</v>
      </c>
      <c r="G55" s="114">
        <f t="shared" si="4"/>
        <v>0.32464225078826098</v>
      </c>
      <c r="H55" s="112">
        <f>IFERROR(VLOOKUP($B55,MMWR_TRAD_AGG_STATE_COMP[],H$1,0),"ERROR")</f>
        <v>21525</v>
      </c>
      <c r="I55" s="113">
        <f>IFERROR(VLOOKUP($B55,MMWR_TRAD_AGG_STATE_COMP[],I$1,0),"ERROR")</f>
        <v>14920</v>
      </c>
      <c r="J55" s="115">
        <f t="shared" si="5"/>
        <v>0.6931475029036005</v>
      </c>
      <c r="K55" s="112">
        <f>IFERROR(VLOOKUP($B55,MMWR_TRAD_AGG_STATE_COMP[],K$1,0),"ERROR")</f>
        <v>3697</v>
      </c>
      <c r="L55" s="113">
        <f>IFERROR(VLOOKUP($B55,MMWR_TRAD_AGG_STATE_COMP[],L$1,0),"ERROR")</f>
        <v>3324</v>
      </c>
      <c r="M55" s="115">
        <f t="shared" si="6"/>
        <v>0.89910738436570192</v>
      </c>
      <c r="N55" s="112">
        <f>IFERROR(VLOOKUP($B55,MMWR_TRAD_AGG_STATE_COMP[],N$1,0),"ERROR")</f>
        <v>6058</v>
      </c>
      <c r="O55" s="113">
        <f>IFERROR(VLOOKUP($B55,MMWR_TRAD_AGG_STATE_COMP[],O$1,0),"ERROR")</f>
        <v>4901</v>
      </c>
      <c r="P55" s="115">
        <f t="shared" si="7"/>
        <v>0.80901287553648071</v>
      </c>
      <c r="Q55" s="116">
        <f>IFERROR(VLOOKUP($B55,MMWR_TRAD_AGG_STATE_COMP[],Q$1,0),"ERROR")</f>
        <v>7</v>
      </c>
      <c r="R55" s="116">
        <f>IFERROR(VLOOKUP($B55,MMWR_TRAD_AGG_STATE_COMP[],R$1,0),"ERROR")</f>
        <v>144</v>
      </c>
      <c r="S55" s="116">
        <f>IFERROR(VLOOKUP($B55,MMWR_APP_STATE_COMP[],S$1,0),"ERROR")</f>
        <v>4719</v>
      </c>
      <c r="T55" s="28"/>
    </row>
    <row r="56" spans="1:20" s="124" customFormat="1" x14ac:dyDescent="0.2">
      <c r="A56" s="28"/>
      <c r="B56" s="127" t="s">
        <v>390</v>
      </c>
      <c r="C56" s="103">
        <f>IFERROR(VLOOKUP($B56,MMWR_TRAD_AGG_ST_DISTRICT_COMP[],C$1,0),"ERROR")</f>
        <v>80698</v>
      </c>
      <c r="D56" s="104">
        <f>IFERROR(VLOOKUP($B56,MMWR_TRAD_AGG_ST_DISTRICT_COMP[],D$1,0),"ERROR")</f>
        <v>356.0950705098</v>
      </c>
      <c r="E56" s="103">
        <f>IFERROR(VLOOKUP($B56,MMWR_TRAD_AGG_ST_DISTRICT_COMP[],E$1,0),"ERROR")</f>
        <v>79546</v>
      </c>
      <c r="F56" s="103">
        <f>IFERROR(VLOOKUP($B56,MMWR_TRAD_AGG_ST_DISTRICT_COMP[],F$1,0),"ERROR")</f>
        <v>28003</v>
      </c>
      <c r="G56" s="105">
        <f t="shared" si="4"/>
        <v>0.35203530032936919</v>
      </c>
      <c r="H56" s="103">
        <f>IFERROR(VLOOKUP($B56,MMWR_TRAD_AGG_ST_DISTRICT_COMP[],H$1,0),"ERROR")</f>
        <v>110809</v>
      </c>
      <c r="I56" s="103">
        <f>IFERROR(VLOOKUP($B56,MMWR_TRAD_AGG_ST_DISTRICT_COMP[],I$1,0),"ERROR")</f>
        <v>72912</v>
      </c>
      <c r="J56" s="106">
        <f t="shared" si="5"/>
        <v>0.65799709409885476</v>
      </c>
      <c r="K56" s="103">
        <f>IFERROR(VLOOKUP($B56,MMWR_TRAD_AGG_ST_DISTRICT_COMP[],K$1,0),"ERROR")</f>
        <v>18711</v>
      </c>
      <c r="L56" s="103">
        <f>IFERROR(VLOOKUP($B56,MMWR_TRAD_AGG_ST_DISTRICT_COMP[],L$1,0),"ERROR")</f>
        <v>15285</v>
      </c>
      <c r="M56" s="106">
        <f t="shared" si="6"/>
        <v>0.81689915023248361</v>
      </c>
      <c r="N56" s="103">
        <f>IFERROR(VLOOKUP($B56,MMWR_TRAD_AGG_ST_DISTRICT_COMP[],N$1,0),"ERROR")</f>
        <v>33991</v>
      </c>
      <c r="O56" s="103">
        <f>IFERROR(VLOOKUP($B56,MMWR_TRAD_AGG_ST_DISTRICT_COMP[],O$1,0),"ERROR")</f>
        <v>22303</v>
      </c>
      <c r="P56" s="106">
        <f t="shared" si="7"/>
        <v>0.6561442734841576</v>
      </c>
      <c r="Q56" s="103">
        <f>IFERROR(VLOOKUP($B56,MMWR_TRAD_AGG_ST_DISTRICT_COMP[],Q$1,0),"ERROR")</f>
        <v>2353</v>
      </c>
      <c r="R56" s="107">
        <f>IFERROR(VLOOKUP($B56,MMWR_TRAD_AGG_ST_DISTRICT_COMP[],R$1,0),"ERROR")</f>
        <v>1066</v>
      </c>
      <c r="S56" s="107">
        <f>SUM(S57:S63)</f>
        <v>82806</v>
      </c>
      <c r="T56" s="28"/>
    </row>
    <row r="57" spans="1:20" s="124" customFormat="1" x14ac:dyDescent="0.2">
      <c r="A57" s="28"/>
      <c r="B57" s="128" t="s">
        <v>398</v>
      </c>
      <c r="C57" s="110">
        <f>IFERROR(VLOOKUP($B57,MMWR_TRAD_AGG_STATE_COMP[],C$1,0),"ERROR")</f>
        <v>14493</v>
      </c>
      <c r="D57" s="111">
        <f>IFERROR(VLOOKUP($B57,MMWR_TRAD_AGG_STATE_COMP[],D$1,0),"ERROR")</f>
        <v>366.7990064169</v>
      </c>
      <c r="E57" s="112">
        <f>IFERROR(VLOOKUP($B57,MMWR_TRAD_AGG_STATE_COMP[],E$1,0),"ERROR")</f>
        <v>8708</v>
      </c>
      <c r="F57" s="113">
        <f>IFERROR(VLOOKUP($B57,MMWR_TRAD_AGG_STATE_COMP[],F$1,0),"ERROR")</f>
        <v>3084</v>
      </c>
      <c r="G57" s="114">
        <f t="shared" si="4"/>
        <v>0.35415709692237024</v>
      </c>
      <c r="H57" s="112">
        <f>IFERROR(VLOOKUP($B57,MMWR_TRAD_AGG_STATE_COMP[],H$1,0),"ERROR")</f>
        <v>16965</v>
      </c>
      <c r="I57" s="113">
        <f>IFERROR(VLOOKUP($B57,MMWR_TRAD_AGG_STATE_COMP[],I$1,0),"ERROR")</f>
        <v>12189</v>
      </c>
      <c r="J57" s="115">
        <f t="shared" si="5"/>
        <v>0.7184792219274978</v>
      </c>
      <c r="K57" s="112">
        <f>IFERROR(VLOOKUP($B57,MMWR_TRAD_AGG_STATE_COMP[],K$1,0),"ERROR")</f>
        <v>4358</v>
      </c>
      <c r="L57" s="113">
        <f>IFERROR(VLOOKUP($B57,MMWR_TRAD_AGG_STATE_COMP[],L$1,0),"ERROR")</f>
        <v>3979</v>
      </c>
      <c r="M57" s="115">
        <f t="shared" si="6"/>
        <v>0.91303350160624142</v>
      </c>
      <c r="N57" s="112">
        <f>IFERROR(VLOOKUP($B57,MMWR_TRAD_AGG_STATE_COMP[],N$1,0),"ERROR")</f>
        <v>3235</v>
      </c>
      <c r="O57" s="113">
        <f>IFERROR(VLOOKUP($B57,MMWR_TRAD_AGG_STATE_COMP[],O$1,0),"ERROR")</f>
        <v>2234</v>
      </c>
      <c r="P57" s="115">
        <f t="shared" si="7"/>
        <v>0.69057187017001542</v>
      </c>
      <c r="Q57" s="116">
        <f>IFERROR(VLOOKUP($B57,MMWR_TRAD_AGG_STATE_COMP[],Q$1,0),"ERROR")</f>
        <v>21</v>
      </c>
      <c r="R57" s="116">
        <f>IFERROR(VLOOKUP($B57,MMWR_TRAD_AGG_STATE_COMP[],R$1,0),"ERROR")</f>
        <v>344</v>
      </c>
      <c r="S57" s="116">
        <f>IFERROR(VLOOKUP($B57,MMWR_APP_STATE_COMP[],S$1,0),"ERROR")</f>
        <v>10828</v>
      </c>
      <c r="T57" s="28"/>
    </row>
    <row r="58" spans="1:20" s="124" customFormat="1" x14ac:dyDescent="0.2">
      <c r="A58" s="28"/>
      <c r="B58" s="128" t="s">
        <v>435</v>
      </c>
      <c r="C58" s="110">
        <f>IFERROR(VLOOKUP($B58,MMWR_TRAD_AGG_STATE_COMP[],C$1,0),"ERROR")</f>
        <v>20699</v>
      </c>
      <c r="D58" s="111">
        <f>IFERROR(VLOOKUP($B58,MMWR_TRAD_AGG_STATE_COMP[],D$1,0),"ERROR")</f>
        <v>328.68186868930002</v>
      </c>
      <c r="E58" s="112">
        <f>IFERROR(VLOOKUP($B58,MMWR_TRAD_AGG_STATE_COMP[],E$1,0),"ERROR")</f>
        <v>26799</v>
      </c>
      <c r="F58" s="113">
        <f>IFERROR(VLOOKUP($B58,MMWR_TRAD_AGG_STATE_COMP[],F$1,0),"ERROR")</f>
        <v>10494</v>
      </c>
      <c r="G58" s="114">
        <f t="shared" si="4"/>
        <v>0.39158177543938205</v>
      </c>
      <c r="H58" s="112">
        <f>IFERROR(VLOOKUP($B58,MMWR_TRAD_AGG_STATE_COMP[],H$1,0),"ERROR")</f>
        <v>28749</v>
      </c>
      <c r="I58" s="113">
        <f>IFERROR(VLOOKUP($B58,MMWR_TRAD_AGG_STATE_COMP[],I$1,0),"ERROR")</f>
        <v>17461</v>
      </c>
      <c r="J58" s="115">
        <f t="shared" si="5"/>
        <v>0.60736025600890464</v>
      </c>
      <c r="K58" s="112">
        <f>IFERROR(VLOOKUP($B58,MMWR_TRAD_AGG_STATE_COMP[],K$1,0),"ERROR")</f>
        <v>3579</v>
      </c>
      <c r="L58" s="113">
        <f>IFERROR(VLOOKUP($B58,MMWR_TRAD_AGG_STATE_COMP[],L$1,0),"ERROR")</f>
        <v>2492</v>
      </c>
      <c r="M58" s="115">
        <f t="shared" si="6"/>
        <v>0.69628387817826209</v>
      </c>
      <c r="N58" s="112">
        <f>IFERROR(VLOOKUP($B58,MMWR_TRAD_AGG_STATE_COMP[],N$1,0),"ERROR")</f>
        <v>10600</v>
      </c>
      <c r="O58" s="113">
        <f>IFERROR(VLOOKUP($B58,MMWR_TRAD_AGG_STATE_COMP[],O$1,0),"ERROR")</f>
        <v>6739</v>
      </c>
      <c r="P58" s="115">
        <f t="shared" si="7"/>
        <v>0.63575471698113206</v>
      </c>
      <c r="Q58" s="116">
        <f>IFERROR(VLOOKUP($B58,MMWR_TRAD_AGG_STATE_COMP[],Q$1,0),"ERROR")</f>
        <v>1111</v>
      </c>
      <c r="R58" s="116">
        <f>IFERROR(VLOOKUP($B58,MMWR_TRAD_AGG_STATE_COMP[],R$1,0),"ERROR")</f>
        <v>249</v>
      </c>
      <c r="S58" s="116">
        <f>IFERROR(VLOOKUP($B58,MMWR_APP_STATE_COMP[],S$1,0),"ERROR")</f>
        <v>27915</v>
      </c>
      <c r="T58" s="28"/>
    </row>
    <row r="59" spans="1:20" s="124" customFormat="1" x14ac:dyDescent="0.2">
      <c r="A59" s="28"/>
      <c r="B59" s="128" t="s">
        <v>391</v>
      </c>
      <c r="C59" s="110">
        <f>IFERROR(VLOOKUP($B59,MMWR_TRAD_AGG_STATE_COMP[],C$1,0),"ERROR")</f>
        <v>16483</v>
      </c>
      <c r="D59" s="111">
        <f>IFERROR(VLOOKUP($B59,MMWR_TRAD_AGG_STATE_COMP[],D$1,0),"ERROR")</f>
        <v>363.71965054909998</v>
      </c>
      <c r="E59" s="112">
        <f>IFERROR(VLOOKUP($B59,MMWR_TRAD_AGG_STATE_COMP[],E$1,0),"ERROR")</f>
        <v>16739</v>
      </c>
      <c r="F59" s="113">
        <f>IFERROR(VLOOKUP($B59,MMWR_TRAD_AGG_STATE_COMP[],F$1,0),"ERROR")</f>
        <v>5925</v>
      </c>
      <c r="G59" s="114">
        <f t="shared" si="4"/>
        <v>0.35396379712049703</v>
      </c>
      <c r="H59" s="112">
        <f>IFERROR(VLOOKUP($B59,MMWR_TRAD_AGG_STATE_COMP[],H$1,0),"ERROR")</f>
        <v>23574</v>
      </c>
      <c r="I59" s="113">
        <f>IFERROR(VLOOKUP($B59,MMWR_TRAD_AGG_STATE_COMP[],I$1,0),"ERROR")</f>
        <v>15431</v>
      </c>
      <c r="J59" s="115">
        <f t="shared" si="5"/>
        <v>0.65457707644014596</v>
      </c>
      <c r="K59" s="112">
        <f>IFERROR(VLOOKUP($B59,MMWR_TRAD_AGG_STATE_COMP[],K$1,0),"ERROR")</f>
        <v>5130</v>
      </c>
      <c r="L59" s="113">
        <f>IFERROR(VLOOKUP($B59,MMWR_TRAD_AGG_STATE_COMP[],L$1,0),"ERROR")</f>
        <v>4289</v>
      </c>
      <c r="M59" s="115">
        <f t="shared" si="6"/>
        <v>0.83606237816764128</v>
      </c>
      <c r="N59" s="112">
        <f>IFERROR(VLOOKUP($B59,MMWR_TRAD_AGG_STATE_COMP[],N$1,0),"ERROR")</f>
        <v>12841</v>
      </c>
      <c r="O59" s="113">
        <f>IFERROR(VLOOKUP($B59,MMWR_TRAD_AGG_STATE_COMP[],O$1,0),"ERROR")</f>
        <v>8783</v>
      </c>
      <c r="P59" s="115">
        <f t="shared" si="7"/>
        <v>0.68398099836461335</v>
      </c>
      <c r="Q59" s="116">
        <f>IFERROR(VLOOKUP($B59,MMWR_TRAD_AGG_STATE_COMP[],Q$1,0),"ERROR")</f>
        <v>580</v>
      </c>
      <c r="R59" s="116">
        <f>IFERROR(VLOOKUP($B59,MMWR_TRAD_AGG_STATE_COMP[],R$1,0),"ERROR")</f>
        <v>39</v>
      </c>
      <c r="S59" s="116">
        <f>IFERROR(VLOOKUP($B59,MMWR_APP_STATE_COMP[],S$1,0),"ERROR")</f>
        <v>16229</v>
      </c>
      <c r="T59" s="28"/>
    </row>
    <row r="60" spans="1:20" s="124" customFormat="1" x14ac:dyDescent="0.2">
      <c r="A60" s="28"/>
      <c r="B60" s="128" t="s">
        <v>403</v>
      </c>
      <c r="C60" s="110">
        <f>IFERROR(VLOOKUP($B60,MMWR_TRAD_AGG_STATE_COMP[],C$1,0),"ERROR")</f>
        <v>7426</v>
      </c>
      <c r="D60" s="111">
        <f>IFERROR(VLOOKUP($B60,MMWR_TRAD_AGG_STATE_COMP[],D$1,0),"ERROR")</f>
        <v>528.60153514679996</v>
      </c>
      <c r="E60" s="112">
        <f>IFERROR(VLOOKUP($B60,MMWR_TRAD_AGG_STATE_COMP[],E$1,0),"ERROR")</f>
        <v>4622</v>
      </c>
      <c r="F60" s="113">
        <f>IFERROR(VLOOKUP($B60,MMWR_TRAD_AGG_STATE_COMP[],F$1,0),"ERROR")</f>
        <v>1629</v>
      </c>
      <c r="G60" s="114">
        <f t="shared" si="4"/>
        <v>0.35244482907832109</v>
      </c>
      <c r="H60" s="112">
        <f>IFERROR(VLOOKUP($B60,MMWR_TRAD_AGG_STATE_COMP[],H$1,0),"ERROR")</f>
        <v>10076</v>
      </c>
      <c r="I60" s="113">
        <f>IFERROR(VLOOKUP($B60,MMWR_TRAD_AGG_STATE_COMP[],I$1,0),"ERROR")</f>
        <v>7438</v>
      </c>
      <c r="J60" s="115">
        <f t="shared" si="5"/>
        <v>0.73818975784041285</v>
      </c>
      <c r="K60" s="112">
        <f>IFERROR(VLOOKUP($B60,MMWR_TRAD_AGG_STATE_COMP[],K$1,0),"ERROR")</f>
        <v>2031</v>
      </c>
      <c r="L60" s="113">
        <f>IFERROR(VLOOKUP($B60,MMWR_TRAD_AGG_STATE_COMP[],L$1,0),"ERROR")</f>
        <v>1818</v>
      </c>
      <c r="M60" s="115">
        <f t="shared" si="6"/>
        <v>0.89512555391432791</v>
      </c>
      <c r="N60" s="112">
        <f>IFERROR(VLOOKUP($B60,MMWR_TRAD_AGG_STATE_COMP[],N$1,0),"ERROR")</f>
        <v>1059</v>
      </c>
      <c r="O60" s="113">
        <f>IFERROR(VLOOKUP($B60,MMWR_TRAD_AGG_STATE_COMP[],O$1,0),"ERROR")</f>
        <v>627</v>
      </c>
      <c r="P60" s="115">
        <f t="shared" si="7"/>
        <v>0.59206798866855526</v>
      </c>
      <c r="Q60" s="116">
        <f>IFERROR(VLOOKUP($B60,MMWR_TRAD_AGG_STATE_COMP[],Q$1,0),"ERROR")</f>
        <v>46</v>
      </c>
      <c r="R60" s="116">
        <f>IFERROR(VLOOKUP($B60,MMWR_TRAD_AGG_STATE_COMP[],R$1,0),"ERROR")</f>
        <v>156</v>
      </c>
      <c r="S60" s="116">
        <f>IFERROR(VLOOKUP($B60,MMWR_APP_STATE_COMP[],S$1,0),"ERROR")</f>
        <v>3320</v>
      </c>
      <c r="T60" s="28"/>
    </row>
    <row r="61" spans="1:20" s="124" customFormat="1" x14ac:dyDescent="0.2">
      <c r="A61" s="28"/>
      <c r="B61" s="128" t="s">
        <v>437</v>
      </c>
      <c r="C61" s="110">
        <f>IFERROR(VLOOKUP($B61,MMWR_TRAD_AGG_STATE_COMP[],C$1,0),"ERROR")</f>
        <v>2835</v>
      </c>
      <c r="D61" s="111">
        <f>IFERROR(VLOOKUP($B61,MMWR_TRAD_AGG_STATE_COMP[],D$1,0),"ERROR")</f>
        <v>287.07971781309999</v>
      </c>
      <c r="E61" s="112">
        <f>IFERROR(VLOOKUP($B61,MMWR_TRAD_AGG_STATE_COMP[],E$1,0),"ERROR")</f>
        <v>2809</v>
      </c>
      <c r="F61" s="113">
        <f>IFERROR(VLOOKUP($B61,MMWR_TRAD_AGG_STATE_COMP[],F$1,0),"ERROR")</f>
        <v>999</v>
      </c>
      <c r="G61" s="114">
        <f t="shared" si="4"/>
        <v>0.3556425774296903</v>
      </c>
      <c r="H61" s="112">
        <f>IFERROR(VLOOKUP($B61,MMWR_TRAD_AGG_STATE_COMP[],H$1,0),"ERROR")</f>
        <v>4811</v>
      </c>
      <c r="I61" s="113">
        <f>IFERROR(VLOOKUP($B61,MMWR_TRAD_AGG_STATE_COMP[],I$1,0),"ERROR")</f>
        <v>3163</v>
      </c>
      <c r="J61" s="115">
        <f t="shared" si="5"/>
        <v>0.65745167324880482</v>
      </c>
      <c r="K61" s="112">
        <f>IFERROR(VLOOKUP($B61,MMWR_TRAD_AGG_STATE_COMP[],K$1,0),"ERROR")</f>
        <v>719</v>
      </c>
      <c r="L61" s="113">
        <f>IFERROR(VLOOKUP($B61,MMWR_TRAD_AGG_STATE_COMP[],L$1,0),"ERROR")</f>
        <v>626</v>
      </c>
      <c r="M61" s="115">
        <f t="shared" si="6"/>
        <v>0.87065368567454793</v>
      </c>
      <c r="N61" s="112">
        <f>IFERROR(VLOOKUP($B61,MMWR_TRAD_AGG_STATE_COMP[],N$1,0),"ERROR")</f>
        <v>1880</v>
      </c>
      <c r="O61" s="113">
        <f>IFERROR(VLOOKUP($B61,MMWR_TRAD_AGG_STATE_COMP[],O$1,0),"ERROR")</f>
        <v>1281</v>
      </c>
      <c r="P61" s="115">
        <f t="shared" si="7"/>
        <v>0.68138297872340425</v>
      </c>
      <c r="Q61" s="116">
        <f>IFERROR(VLOOKUP($B61,MMWR_TRAD_AGG_STATE_COMP[],Q$1,0),"ERROR")</f>
        <v>182</v>
      </c>
      <c r="R61" s="116">
        <f>IFERROR(VLOOKUP($B61,MMWR_TRAD_AGG_STATE_COMP[],R$1,0),"ERROR")</f>
        <v>4</v>
      </c>
      <c r="S61" s="116">
        <f>IFERROR(VLOOKUP($B61,MMWR_APP_STATE_COMP[],S$1,0),"ERROR")</f>
        <v>5939</v>
      </c>
      <c r="T61" s="28"/>
    </row>
    <row r="62" spans="1:20" s="124" customFormat="1" x14ac:dyDescent="0.2">
      <c r="A62" s="28"/>
      <c r="B62" s="128" t="s">
        <v>393</v>
      </c>
      <c r="C62" s="110">
        <f>IFERROR(VLOOKUP($B62,MMWR_TRAD_AGG_STATE_COMP[],C$1,0),"ERROR")</f>
        <v>11388</v>
      </c>
      <c r="D62" s="111">
        <f>IFERROR(VLOOKUP($B62,MMWR_TRAD_AGG_STATE_COMP[],D$1,0),"ERROR")</f>
        <v>341.55022831050002</v>
      </c>
      <c r="E62" s="112">
        <f>IFERROR(VLOOKUP($B62,MMWR_TRAD_AGG_STATE_COMP[],E$1,0),"ERROR")</f>
        <v>9928</v>
      </c>
      <c r="F62" s="113">
        <f>IFERROR(VLOOKUP($B62,MMWR_TRAD_AGG_STATE_COMP[],F$1,0),"ERROR")</f>
        <v>3108</v>
      </c>
      <c r="G62" s="114">
        <f t="shared" si="4"/>
        <v>0.31305398871877516</v>
      </c>
      <c r="H62" s="112">
        <f>IFERROR(VLOOKUP($B62,MMWR_TRAD_AGG_STATE_COMP[],H$1,0),"ERROR")</f>
        <v>16285</v>
      </c>
      <c r="I62" s="113">
        <f>IFERROR(VLOOKUP($B62,MMWR_TRAD_AGG_STATE_COMP[],I$1,0),"ERROR")</f>
        <v>11385</v>
      </c>
      <c r="J62" s="115">
        <f t="shared" si="5"/>
        <v>0.69910961007061712</v>
      </c>
      <c r="K62" s="112">
        <f>IFERROR(VLOOKUP($B62,MMWR_TRAD_AGG_STATE_COMP[],K$1,0),"ERROR")</f>
        <v>1667</v>
      </c>
      <c r="L62" s="113">
        <f>IFERROR(VLOOKUP($B62,MMWR_TRAD_AGG_STATE_COMP[],L$1,0),"ERROR")</f>
        <v>1066</v>
      </c>
      <c r="M62" s="115">
        <f t="shared" si="6"/>
        <v>0.63947210557888423</v>
      </c>
      <c r="N62" s="112">
        <f>IFERROR(VLOOKUP($B62,MMWR_TRAD_AGG_STATE_COMP[],N$1,0),"ERROR")</f>
        <v>2691</v>
      </c>
      <c r="O62" s="113">
        <f>IFERROR(VLOOKUP($B62,MMWR_TRAD_AGG_STATE_COMP[],O$1,0),"ERROR")</f>
        <v>1639</v>
      </c>
      <c r="P62" s="115">
        <f t="shared" si="7"/>
        <v>0.60906726124117427</v>
      </c>
      <c r="Q62" s="116">
        <f>IFERROR(VLOOKUP($B62,MMWR_TRAD_AGG_STATE_COMP[],Q$1,0),"ERROR")</f>
        <v>375</v>
      </c>
      <c r="R62" s="116">
        <f>IFERROR(VLOOKUP($B62,MMWR_TRAD_AGG_STATE_COMP[],R$1,0),"ERROR")</f>
        <v>62</v>
      </c>
      <c r="S62" s="116">
        <f>IFERROR(VLOOKUP($B62,MMWR_APP_STATE_COMP[],S$1,0),"ERROR")</f>
        <v>11665</v>
      </c>
      <c r="T62" s="28"/>
    </row>
    <row r="63" spans="1:20" s="124" customFormat="1" x14ac:dyDescent="0.2">
      <c r="A63" s="28"/>
      <c r="B63" s="128" t="s">
        <v>394</v>
      </c>
      <c r="C63" s="110">
        <f>IFERROR(VLOOKUP($B63,MMWR_TRAD_AGG_STATE_COMP[],C$1,0),"ERROR")</f>
        <v>7374</v>
      </c>
      <c r="D63" s="111">
        <f>IFERROR(VLOOKUP($B63,MMWR_TRAD_AGG_STATE_COMP[],D$1,0),"ERROR")</f>
        <v>270.23664225660002</v>
      </c>
      <c r="E63" s="112">
        <f>IFERROR(VLOOKUP($B63,MMWR_TRAD_AGG_STATE_COMP[],E$1,0),"ERROR")</f>
        <v>9941</v>
      </c>
      <c r="F63" s="113">
        <f>IFERROR(VLOOKUP($B63,MMWR_TRAD_AGG_STATE_COMP[],F$1,0),"ERROR")</f>
        <v>2764</v>
      </c>
      <c r="G63" s="114">
        <f t="shared" si="4"/>
        <v>0.27804043858766725</v>
      </c>
      <c r="H63" s="112">
        <f>IFERROR(VLOOKUP($B63,MMWR_TRAD_AGG_STATE_COMP[],H$1,0),"ERROR")</f>
        <v>10349</v>
      </c>
      <c r="I63" s="113">
        <f>IFERROR(VLOOKUP($B63,MMWR_TRAD_AGG_STATE_COMP[],I$1,0),"ERROR")</f>
        <v>5845</v>
      </c>
      <c r="J63" s="115">
        <f t="shared" si="5"/>
        <v>0.56478886848970911</v>
      </c>
      <c r="K63" s="112">
        <f>IFERROR(VLOOKUP($B63,MMWR_TRAD_AGG_STATE_COMP[],K$1,0),"ERROR")</f>
        <v>1227</v>
      </c>
      <c r="L63" s="113">
        <f>IFERROR(VLOOKUP($B63,MMWR_TRAD_AGG_STATE_COMP[],L$1,0),"ERROR")</f>
        <v>1015</v>
      </c>
      <c r="M63" s="115">
        <f t="shared" si="6"/>
        <v>0.8272208638956805</v>
      </c>
      <c r="N63" s="112">
        <f>IFERROR(VLOOKUP($B63,MMWR_TRAD_AGG_STATE_COMP[],N$1,0),"ERROR")</f>
        <v>1685</v>
      </c>
      <c r="O63" s="113">
        <f>IFERROR(VLOOKUP($B63,MMWR_TRAD_AGG_STATE_COMP[],O$1,0),"ERROR")</f>
        <v>1000</v>
      </c>
      <c r="P63" s="115">
        <f t="shared" si="7"/>
        <v>0.59347181008902072</v>
      </c>
      <c r="Q63" s="116">
        <f>IFERROR(VLOOKUP($B63,MMWR_TRAD_AGG_STATE_COMP[],Q$1,0),"ERROR")</f>
        <v>38</v>
      </c>
      <c r="R63" s="116">
        <f>IFERROR(VLOOKUP($B63,MMWR_TRAD_AGG_STATE_COMP[],R$1,0),"ERROR")</f>
        <v>212</v>
      </c>
      <c r="S63" s="116">
        <f>IFERROR(VLOOKUP($B63,MMWR_APP_STATE_COMP[],S$1,0),"ERROR")</f>
        <v>6910</v>
      </c>
      <c r="T63" s="28"/>
    </row>
    <row r="64" spans="1:20" s="124" customFormat="1" x14ac:dyDescent="0.2">
      <c r="A64" s="28"/>
      <c r="B64" s="129" t="s">
        <v>8</v>
      </c>
      <c r="C64" s="103">
        <f>IFERROR(VLOOKUP($B64,MMWR_TRAD_AGG_ST_DISTRICT_COMP[],C$1,0),"ERROR")</f>
        <v>8993</v>
      </c>
      <c r="D64" s="104">
        <f>IFERROR(VLOOKUP($B64,MMWR_TRAD_AGG_ST_DISTRICT_COMP[],D$1,0),"ERROR")</f>
        <v>411.41788057380001</v>
      </c>
      <c r="E64" s="103">
        <f>IFERROR(VLOOKUP($B64,MMWR_TRAD_AGG_ST_DISTRICT_COMP[],E$1,0),"ERROR")</f>
        <v>4384</v>
      </c>
      <c r="F64" s="103">
        <f>IFERROR(VLOOKUP($B64,MMWR_TRAD_AGG_ST_DISTRICT_COMP[],F$1,0),"ERROR")</f>
        <v>2072</v>
      </c>
      <c r="G64" s="105">
        <f t="shared" si="4"/>
        <v>0.47262773722627738</v>
      </c>
      <c r="H64" s="103">
        <f>IFERROR(VLOOKUP($B64,MMWR_TRAD_AGG_ST_DISTRICT_COMP[],H$1,0),"ERROR")</f>
        <v>10955</v>
      </c>
      <c r="I64" s="103">
        <f>IFERROR(VLOOKUP($B64,MMWR_TRAD_AGG_ST_DISTRICT_COMP[],I$1,0),"ERROR")</f>
        <v>8160</v>
      </c>
      <c r="J64" s="106">
        <f t="shared" si="5"/>
        <v>0.74486535828388867</v>
      </c>
      <c r="K64" s="103">
        <f>IFERROR(VLOOKUP($B64,MMWR_TRAD_AGG_ST_DISTRICT_COMP[],K$1,0),"ERROR")</f>
        <v>1351</v>
      </c>
      <c r="L64" s="103">
        <f>IFERROR(VLOOKUP($B64,MMWR_TRAD_AGG_ST_DISTRICT_COMP[],L$1,0),"ERROR")</f>
        <v>1148</v>
      </c>
      <c r="M64" s="106">
        <f t="shared" si="6"/>
        <v>0.84974093264248707</v>
      </c>
      <c r="N64" s="103">
        <f>IFERROR(VLOOKUP($B64,MMWR_TRAD_AGG_ST_DISTRICT_COMP[],N$1,0),"ERROR")</f>
        <v>16103</v>
      </c>
      <c r="O64" s="103">
        <f>IFERROR(VLOOKUP($B64,MMWR_TRAD_AGG_ST_DISTRICT_COMP[],O$1,0),"ERROR")</f>
        <v>10567</v>
      </c>
      <c r="P64" s="106">
        <f t="shared" si="7"/>
        <v>0.65621312798857356</v>
      </c>
      <c r="Q64" s="103">
        <f>IFERROR(VLOOKUP($B64,MMWR_TRAD_AGG_ST_DISTRICT_COMP[],Q$1,0),"ERROR")</f>
        <v>382</v>
      </c>
      <c r="R64" s="107">
        <f>IFERROR(VLOOKUP($B64,MMWR_TRAD_AGG_ST_DISTRICT_COMP[],R$1,0),"ERROR")</f>
        <v>139</v>
      </c>
      <c r="S64" s="107">
        <f>IFERROR(VLOOKUP($B64,MMWR_APP_STATE_COMP[],S$1,0),"ERROR")</f>
        <v>365</v>
      </c>
      <c r="T64" s="28"/>
    </row>
    <row r="65" spans="1:20" s="124" customFormat="1" x14ac:dyDescent="0.2">
      <c r="A65" s="28"/>
      <c r="B65" s="28"/>
      <c r="C65" s="28"/>
      <c r="D65" s="28"/>
      <c r="E65" s="28"/>
      <c r="F65" s="28"/>
      <c r="G65" s="28"/>
      <c r="H65" s="28"/>
      <c r="I65" s="28"/>
      <c r="J65" s="28"/>
      <c r="K65" s="28"/>
      <c r="L65" s="28"/>
      <c r="M65" s="28"/>
      <c r="N65" s="28"/>
      <c r="O65" s="28"/>
      <c r="P65" s="28"/>
      <c r="Q65" s="28"/>
      <c r="R65" s="28"/>
      <c r="S65" s="28"/>
      <c r="T65" s="28"/>
    </row>
    <row r="66" spans="1:20" s="124" customFormat="1" ht="26.25" x14ac:dyDescent="0.4">
      <c r="A66" s="28"/>
      <c r="B66" s="26"/>
      <c r="C66" s="452" t="s">
        <v>497</v>
      </c>
      <c r="D66" s="453"/>
      <c r="E66" s="453"/>
      <c r="F66" s="453"/>
      <c r="G66" s="453"/>
      <c r="H66" s="453"/>
      <c r="I66" s="453"/>
      <c r="J66" s="453"/>
      <c r="K66" s="453"/>
      <c r="L66" s="453"/>
      <c r="M66" s="453"/>
      <c r="N66" s="453"/>
      <c r="O66" s="453"/>
      <c r="P66" s="453"/>
      <c r="Q66" s="453"/>
      <c r="R66" s="453"/>
      <c r="S66" s="454"/>
      <c r="T66" s="28"/>
    </row>
    <row r="67" spans="1:20" s="124" customFormat="1" x14ac:dyDescent="0.2">
      <c r="A67" s="28"/>
      <c r="B67" s="26"/>
      <c r="C67" s="460" t="s">
        <v>233</v>
      </c>
      <c r="D67" s="460"/>
      <c r="E67" s="457" t="s">
        <v>213</v>
      </c>
      <c r="F67" s="458"/>
      <c r="G67" s="459"/>
      <c r="H67" s="457" t="s">
        <v>7</v>
      </c>
      <c r="I67" s="458"/>
      <c r="J67" s="459"/>
      <c r="K67" s="457" t="s">
        <v>33</v>
      </c>
      <c r="L67" s="458"/>
      <c r="M67" s="459"/>
      <c r="N67" s="457" t="s">
        <v>8</v>
      </c>
      <c r="O67" s="458"/>
      <c r="P67" s="459"/>
      <c r="Q67" s="82" t="s">
        <v>9</v>
      </c>
      <c r="R67" s="83" t="s">
        <v>10</v>
      </c>
      <c r="S67" s="83" t="s">
        <v>11</v>
      </c>
      <c r="T67" s="28"/>
    </row>
    <row r="68" spans="1:20" s="124" customFormat="1" ht="38.25" x14ac:dyDescent="0.2">
      <c r="A68" s="28"/>
      <c r="B68" s="55"/>
      <c r="C68" s="85" t="s">
        <v>12</v>
      </c>
      <c r="D68" s="86" t="s">
        <v>140</v>
      </c>
      <c r="E68" s="87" t="s">
        <v>12</v>
      </c>
      <c r="F68" s="88" t="s">
        <v>3</v>
      </c>
      <c r="G68" s="89" t="s">
        <v>4</v>
      </c>
      <c r="H68" s="87" t="s">
        <v>12</v>
      </c>
      <c r="I68" s="88" t="s">
        <v>3</v>
      </c>
      <c r="J68" s="89" t="s">
        <v>4</v>
      </c>
      <c r="K68" s="87" t="s">
        <v>12</v>
      </c>
      <c r="L68" s="88" t="s">
        <v>3</v>
      </c>
      <c r="M68" s="89" t="s">
        <v>4</v>
      </c>
      <c r="N68" s="87" t="s">
        <v>12</v>
      </c>
      <c r="O68" s="88" t="s">
        <v>3</v>
      </c>
      <c r="P68" s="89" t="s">
        <v>4</v>
      </c>
      <c r="Q68" s="90" t="s">
        <v>12</v>
      </c>
      <c r="R68" s="90" t="s">
        <v>12</v>
      </c>
      <c r="S68" s="90" t="s">
        <v>498</v>
      </c>
      <c r="T68" s="28"/>
    </row>
    <row r="69" spans="1:20" s="124" customFormat="1" x14ac:dyDescent="0.2">
      <c r="A69" s="28"/>
      <c r="B69" s="130" t="s">
        <v>472</v>
      </c>
      <c r="C69" s="120">
        <f>IFERROR(VLOOKUP($B69,MMWR_TRAD_AGG_RO_PEN[],C$1,0),"ERROR")</f>
        <v>19289</v>
      </c>
      <c r="D69" s="121">
        <f>IFERROR(VLOOKUP($B69,MMWR_TRAD_AGG_RO_PEN[],D$1,0),"ERROR")</f>
        <v>78.3228264814</v>
      </c>
      <c r="E69" s="120">
        <f>IFERROR(VLOOKUP($B69,MMWR_TRAD_AGG_RO_PEN[],E$1,0),"ERROR")</f>
        <v>23394</v>
      </c>
      <c r="F69" s="120">
        <f>IFERROR(VLOOKUP($B69,MMWR_TRAD_AGG_RO_PEN[],F$1,0),"ERROR")</f>
        <v>2776</v>
      </c>
      <c r="G69" s="99">
        <f t="shared" ref="G69:G100" si="8">IFERROR(F69/E69,"0%")</f>
        <v>0.11866290501838078</v>
      </c>
      <c r="H69" s="120">
        <f>IFERROR(VLOOKUP($B69,MMWR_TRAD_AGG_RO_PEN[],H$1,0),"ERROR")</f>
        <v>31262</v>
      </c>
      <c r="I69" s="120">
        <f>IFERROR(VLOOKUP($B69,MMWR_TRAD_AGG_RO_PEN[],I$1,0),"ERROR")</f>
        <v>6195</v>
      </c>
      <c r="J69" s="99">
        <f t="shared" ref="J69:J100" si="9">IFERROR(I69/H69,"0%")</f>
        <v>0.19816390506045678</v>
      </c>
      <c r="K69" s="120">
        <f>IFERROR(VLOOKUP($B69,MMWR_TRAD_AGG_RO_PEN[],K$1,0),"ERROR")</f>
        <v>775</v>
      </c>
      <c r="L69" s="120">
        <f>IFERROR(VLOOKUP($B69,MMWR_TRAD_AGG_RO_PEN[],L$1,0),"ERROR")</f>
        <v>747</v>
      </c>
      <c r="M69" s="99">
        <f t="shared" ref="M69:M100" si="10">IFERROR(L69/K69,"0%")</f>
        <v>0.96387096774193548</v>
      </c>
      <c r="N69" s="120">
        <f>IFERROR(VLOOKUP($B69,MMWR_TRAD_AGG_RO_PEN[],N$1,0),"ERROR")</f>
        <v>5897</v>
      </c>
      <c r="O69" s="120">
        <f>IFERROR(VLOOKUP($B69,MMWR_TRAD_AGG_RO_PEN[],O$1,0),"ERROR")</f>
        <v>1023</v>
      </c>
      <c r="P69" s="99">
        <f t="shared" ref="P69:P100" si="11">IFERROR(O69/N69,"0%")</f>
        <v>0.17347803968119382</v>
      </c>
      <c r="Q69" s="120">
        <f>IFERROR(VLOOKUP($B69,MMWR_TRAD_AGG_RO_PEN[],Q$1,0),"ERROR")</f>
        <v>10630</v>
      </c>
      <c r="R69" s="122">
        <f>IFERROR(VLOOKUP($B69,MMWR_TRAD_AGG_RO_PEN[],R$1,0),"ERROR")</f>
        <v>4887</v>
      </c>
      <c r="S69" s="122">
        <f>S70+S86+S99+S109+S119+S127</f>
        <v>5958</v>
      </c>
      <c r="T69" s="28"/>
    </row>
    <row r="70" spans="1:20" s="124" customFormat="1" x14ac:dyDescent="0.2">
      <c r="A70" s="28"/>
      <c r="B70" s="127" t="s">
        <v>379</v>
      </c>
      <c r="C70" s="103">
        <f>IFERROR(VLOOKUP($B70,MMWR_TRAD_AGG_ST_DISTRICT_PEN[],C$1,0),"ERROR")</f>
        <v>6015</v>
      </c>
      <c r="D70" s="104">
        <f>IFERROR(VLOOKUP($B70,MMWR_TRAD_AGG_ST_DISTRICT_PEN[],D$1,0),"ERROR")</f>
        <v>92.290108063199995</v>
      </c>
      <c r="E70" s="103">
        <f>IFERROR(VLOOKUP($B70,MMWR_TRAD_AGG_ST_DISTRICT_PEN[],E$1,0),"ERROR")</f>
        <v>6540</v>
      </c>
      <c r="F70" s="103">
        <f>IFERROR(VLOOKUP($B70,MMWR_TRAD_AGG_ST_DISTRICT_PEN[],F$1,0),"ERROR")</f>
        <v>1150</v>
      </c>
      <c r="G70" s="105">
        <f t="shared" si="8"/>
        <v>0.17584097859327216</v>
      </c>
      <c r="H70" s="103">
        <f>IFERROR(VLOOKUP($B70,MMWR_TRAD_AGG_ST_DISTRICT_PEN[],H$1,0),"ERROR")</f>
        <v>9743</v>
      </c>
      <c r="I70" s="103">
        <f>IFERROR(VLOOKUP($B70,MMWR_TRAD_AGG_ST_DISTRICT_PEN[],I$1,0),"ERROR")</f>
        <v>2573</v>
      </c>
      <c r="J70" s="105">
        <f t="shared" si="9"/>
        <v>0.26408703684696705</v>
      </c>
      <c r="K70" s="103">
        <f>IFERROR(VLOOKUP($B70,MMWR_TRAD_AGG_ST_DISTRICT_PEN[],K$1,0),"ERROR")</f>
        <v>424</v>
      </c>
      <c r="L70" s="103">
        <f>IFERROR(VLOOKUP($B70,MMWR_TRAD_AGG_ST_DISTRICT_PEN[],L$1,0),"ERROR")</f>
        <v>414</v>
      </c>
      <c r="M70" s="105">
        <f t="shared" si="10"/>
        <v>0.97641509433962259</v>
      </c>
      <c r="N70" s="103">
        <f>IFERROR(VLOOKUP($B70,MMWR_TRAD_AGG_ST_DISTRICT_PEN[],N$1,0),"ERROR")</f>
        <v>3124</v>
      </c>
      <c r="O70" s="103">
        <f>IFERROR(VLOOKUP($B70,MMWR_TRAD_AGG_ST_DISTRICT_PEN[],O$1,0),"ERROR")</f>
        <v>464</v>
      </c>
      <c r="P70" s="105">
        <f t="shared" si="11"/>
        <v>0.14852752880921896</v>
      </c>
      <c r="Q70" s="103">
        <f>IFERROR(VLOOKUP($B70,MMWR_TRAD_AGG_ST_DISTRICT_PEN[],Q$1,0),"ERROR")</f>
        <v>920</v>
      </c>
      <c r="R70" s="107">
        <f>IFERROR(VLOOKUP($B70,MMWR_TRAD_AGG_ST_DISTRICT_PEN[],R$1,0),"ERROR")</f>
        <v>1898</v>
      </c>
      <c r="S70" s="107">
        <f>IFERROR(VLOOKUP($B70,MMWR_APP_STATE_PEN[],S$1,0),"ERROR")</f>
        <v>1538</v>
      </c>
      <c r="T70" s="28"/>
    </row>
    <row r="71" spans="1:20" s="124" customFormat="1" x14ac:dyDescent="0.2">
      <c r="A71" s="28"/>
      <c r="B71" s="128" t="s">
        <v>383</v>
      </c>
      <c r="C71" s="110">
        <f>IFERROR(VLOOKUP($B71,MMWR_TRAD_AGG_STATE_PEN[],C$1,0),"ERROR")</f>
        <v>136</v>
      </c>
      <c r="D71" s="111">
        <f>IFERROR(VLOOKUP($B71,MMWR_TRAD_AGG_STATE_PEN[],D$1,0),"ERROR")</f>
        <v>91.411764705899998</v>
      </c>
      <c r="E71" s="112">
        <f>IFERROR(VLOOKUP($B71,MMWR_TRAD_AGG_STATE_PEN[],E$1,0),"ERROR")</f>
        <v>245</v>
      </c>
      <c r="F71" s="113">
        <f>IFERROR(VLOOKUP($B71,MMWR_TRAD_AGG_STATE_PEN[],F$1,0),"ERROR")</f>
        <v>47</v>
      </c>
      <c r="G71" s="114">
        <f t="shared" si="8"/>
        <v>0.19183673469387755</v>
      </c>
      <c r="H71" s="112">
        <f>IFERROR(VLOOKUP($B71,MMWR_TRAD_AGG_STATE_PEN[],H$1,0),"ERROR")</f>
        <v>213</v>
      </c>
      <c r="I71" s="113">
        <f>IFERROR(VLOOKUP($B71,MMWR_TRAD_AGG_STATE_PEN[],I$1,0),"ERROR")</f>
        <v>62</v>
      </c>
      <c r="J71" s="115">
        <f t="shared" si="9"/>
        <v>0.29107981220657275</v>
      </c>
      <c r="K71" s="112">
        <f>IFERROR(VLOOKUP($B71,MMWR_TRAD_AGG_STATE_PEN[],K$1,0),"ERROR")</f>
        <v>8</v>
      </c>
      <c r="L71" s="113">
        <f>IFERROR(VLOOKUP($B71,MMWR_TRAD_AGG_STATE_PEN[],L$1,0),"ERROR")</f>
        <v>8</v>
      </c>
      <c r="M71" s="115">
        <f t="shared" si="10"/>
        <v>1</v>
      </c>
      <c r="N71" s="112">
        <f>IFERROR(VLOOKUP($B71,MMWR_TRAD_AGG_STATE_PEN[],N$1,0),"ERROR")</f>
        <v>99</v>
      </c>
      <c r="O71" s="113">
        <f>IFERROR(VLOOKUP($B71,MMWR_TRAD_AGG_STATE_PEN[],O$1,0),"ERROR")</f>
        <v>11</v>
      </c>
      <c r="P71" s="115">
        <f t="shared" si="11"/>
        <v>0.1111111111111111</v>
      </c>
      <c r="Q71" s="116">
        <f>IFERROR(VLOOKUP($B71,MMWR_TRAD_AGG_STATE_PEN[],Q$1,0),"ERROR")</f>
        <v>18</v>
      </c>
      <c r="R71" s="116">
        <f>IFERROR(VLOOKUP($B71,MMWR_TRAD_AGG_STATE_PEN[],R$1,0),"ERROR")</f>
        <v>64</v>
      </c>
      <c r="S71" s="116">
        <f>IFERROR(VLOOKUP($B71,MMWR_APP_STATE_PEN[],S$1,0),"ERROR")</f>
        <v>56</v>
      </c>
      <c r="T71" s="28"/>
    </row>
    <row r="72" spans="1:20" s="124" customFormat="1" x14ac:dyDescent="0.2">
      <c r="A72" s="28"/>
      <c r="B72" s="128" t="s">
        <v>433</v>
      </c>
      <c r="C72" s="110">
        <f>IFERROR(VLOOKUP($B72,MMWR_TRAD_AGG_STATE_PEN[],C$1,0),"ERROR")</f>
        <v>53</v>
      </c>
      <c r="D72" s="111">
        <f>IFERROR(VLOOKUP($B72,MMWR_TRAD_AGG_STATE_PEN[],D$1,0),"ERROR")</f>
        <v>88.075471698100003</v>
      </c>
      <c r="E72" s="112">
        <f>IFERROR(VLOOKUP($B72,MMWR_TRAD_AGG_STATE_PEN[],E$1,0),"ERROR")</f>
        <v>60</v>
      </c>
      <c r="F72" s="113">
        <f>IFERROR(VLOOKUP($B72,MMWR_TRAD_AGG_STATE_PEN[],F$1,0),"ERROR")</f>
        <v>13</v>
      </c>
      <c r="G72" s="114">
        <f t="shared" si="8"/>
        <v>0.21666666666666667</v>
      </c>
      <c r="H72" s="112">
        <f>IFERROR(VLOOKUP($B72,MMWR_TRAD_AGG_STATE_PEN[],H$1,0),"ERROR")</f>
        <v>79</v>
      </c>
      <c r="I72" s="113">
        <f>IFERROR(VLOOKUP($B72,MMWR_TRAD_AGG_STATE_PEN[],I$1,0),"ERROR")</f>
        <v>24</v>
      </c>
      <c r="J72" s="115">
        <f t="shared" si="9"/>
        <v>0.30379746835443039</v>
      </c>
      <c r="K72" s="112">
        <f>IFERROR(VLOOKUP($B72,MMWR_TRAD_AGG_STATE_PEN[],K$1,0),"ERROR")</f>
        <v>5</v>
      </c>
      <c r="L72" s="113">
        <f>IFERROR(VLOOKUP($B72,MMWR_TRAD_AGG_STATE_PEN[],L$1,0),"ERROR")</f>
        <v>5</v>
      </c>
      <c r="M72" s="115">
        <f t="shared" si="10"/>
        <v>1</v>
      </c>
      <c r="N72" s="112">
        <f>IFERROR(VLOOKUP($B72,MMWR_TRAD_AGG_STATE_PEN[],N$1,0),"ERROR")</f>
        <v>54</v>
      </c>
      <c r="O72" s="113">
        <f>IFERROR(VLOOKUP($B72,MMWR_TRAD_AGG_STATE_PEN[],O$1,0),"ERROR")</f>
        <v>12</v>
      </c>
      <c r="P72" s="115">
        <f t="shared" si="11"/>
        <v>0.22222222222222221</v>
      </c>
      <c r="Q72" s="116">
        <f>IFERROR(VLOOKUP($B72,MMWR_TRAD_AGG_STATE_PEN[],Q$1,0),"ERROR")</f>
        <v>9</v>
      </c>
      <c r="R72" s="116">
        <f>IFERROR(VLOOKUP($B72,MMWR_TRAD_AGG_STATE_PEN[],R$1,0),"ERROR")</f>
        <v>21</v>
      </c>
      <c r="S72" s="116">
        <f>IFERROR(VLOOKUP($B72,MMWR_APP_STATE_PEN[],S$1,0),"ERROR")</f>
        <v>18</v>
      </c>
      <c r="T72" s="28"/>
    </row>
    <row r="73" spans="1:20" s="124" customFormat="1" x14ac:dyDescent="0.2">
      <c r="A73" s="28"/>
      <c r="B73" s="128" t="s">
        <v>424</v>
      </c>
      <c r="C73" s="110">
        <f>IFERROR(VLOOKUP($B73,MMWR_TRAD_AGG_STATE_PEN[],C$1,0),"ERROR")</f>
        <v>32</v>
      </c>
      <c r="D73" s="111">
        <f>IFERROR(VLOOKUP($B73,MMWR_TRAD_AGG_STATE_PEN[],D$1,0),"ERROR")</f>
        <v>82.5625</v>
      </c>
      <c r="E73" s="112">
        <f>IFERROR(VLOOKUP($B73,MMWR_TRAD_AGG_STATE_PEN[],E$1,0),"ERROR")</f>
        <v>27</v>
      </c>
      <c r="F73" s="113">
        <f>IFERROR(VLOOKUP($B73,MMWR_TRAD_AGG_STATE_PEN[],F$1,0),"ERROR")</f>
        <v>6</v>
      </c>
      <c r="G73" s="114">
        <f t="shared" si="8"/>
        <v>0.22222222222222221</v>
      </c>
      <c r="H73" s="112">
        <f>IFERROR(VLOOKUP($B73,MMWR_TRAD_AGG_STATE_PEN[],H$1,0),"ERROR")</f>
        <v>51</v>
      </c>
      <c r="I73" s="113">
        <f>IFERROR(VLOOKUP($B73,MMWR_TRAD_AGG_STATE_PEN[],I$1,0),"ERROR")</f>
        <v>11</v>
      </c>
      <c r="J73" s="115">
        <f t="shared" si="9"/>
        <v>0.21568627450980393</v>
      </c>
      <c r="K73" s="112">
        <f>IFERROR(VLOOKUP($B73,MMWR_TRAD_AGG_STATE_PEN[],K$1,0),"ERROR")</f>
        <v>3</v>
      </c>
      <c r="L73" s="113">
        <f>IFERROR(VLOOKUP($B73,MMWR_TRAD_AGG_STATE_PEN[],L$1,0),"ERROR")</f>
        <v>3</v>
      </c>
      <c r="M73" s="115">
        <f t="shared" si="10"/>
        <v>1</v>
      </c>
      <c r="N73" s="112">
        <f>IFERROR(VLOOKUP($B73,MMWR_TRAD_AGG_STATE_PEN[],N$1,0),"ERROR")</f>
        <v>19</v>
      </c>
      <c r="O73" s="113">
        <f>IFERROR(VLOOKUP($B73,MMWR_TRAD_AGG_STATE_PEN[],O$1,0),"ERROR")</f>
        <v>2</v>
      </c>
      <c r="P73" s="115">
        <f t="shared" si="11"/>
        <v>0.10526315789473684</v>
      </c>
      <c r="Q73" s="116">
        <f>IFERROR(VLOOKUP($B73,MMWR_TRAD_AGG_STATE_PEN[],Q$1,0),"ERROR")</f>
        <v>7</v>
      </c>
      <c r="R73" s="116">
        <f>IFERROR(VLOOKUP($B73,MMWR_TRAD_AGG_STATE_PEN[],R$1,0),"ERROR")</f>
        <v>11</v>
      </c>
      <c r="S73" s="116">
        <f>IFERROR(VLOOKUP($B73,MMWR_APP_STATE_PEN[],S$1,0),"ERROR")</f>
        <v>11</v>
      </c>
      <c r="T73" s="28"/>
    </row>
    <row r="74" spans="1:20" s="124" customFormat="1" x14ac:dyDescent="0.2">
      <c r="A74" s="28"/>
      <c r="B74" s="128" t="s">
        <v>426</v>
      </c>
      <c r="C74" s="110">
        <f>IFERROR(VLOOKUP($B74,MMWR_TRAD_AGG_STATE_PEN[],C$1,0),"ERROR")</f>
        <v>101</v>
      </c>
      <c r="D74" s="111">
        <f>IFERROR(VLOOKUP($B74,MMWR_TRAD_AGG_STATE_PEN[],D$1,0),"ERROR")</f>
        <v>87.029702970299994</v>
      </c>
      <c r="E74" s="112">
        <f>IFERROR(VLOOKUP($B74,MMWR_TRAD_AGG_STATE_PEN[],E$1,0),"ERROR")</f>
        <v>65</v>
      </c>
      <c r="F74" s="113">
        <f>IFERROR(VLOOKUP($B74,MMWR_TRAD_AGG_STATE_PEN[],F$1,0),"ERROR")</f>
        <v>11</v>
      </c>
      <c r="G74" s="114">
        <f t="shared" si="8"/>
        <v>0.16923076923076924</v>
      </c>
      <c r="H74" s="112">
        <f>IFERROR(VLOOKUP($B74,MMWR_TRAD_AGG_STATE_PEN[],H$1,0),"ERROR")</f>
        <v>163</v>
      </c>
      <c r="I74" s="113">
        <f>IFERROR(VLOOKUP($B74,MMWR_TRAD_AGG_STATE_PEN[],I$1,0),"ERROR")</f>
        <v>47</v>
      </c>
      <c r="J74" s="115">
        <f t="shared" si="9"/>
        <v>0.28834355828220859</v>
      </c>
      <c r="K74" s="112">
        <f>IFERROR(VLOOKUP($B74,MMWR_TRAD_AGG_STATE_PEN[],K$1,0),"ERROR")</f>
        <v>4</v>
      </c>
      <c r="L74" s="113">
        <f>IFERROR(VLOOKUP($B74,MMWR_TRAD_AGG_STATE_PEN[],L$1,0),"ERROR")</f>
        <v>4</v>
      </c>
      <c r="M74" s="115">
        <f t="shared" si="10"/>
        <v>1</v>
      </c>
      <c r="N74" s="112">
        <f>IFERROR(VLOOKUP($B74,MMWR_TRAD_AGG_STATE_PEN[],N$1,0),"ERROR")</f>
        <v>51</v>
      </c>
      <c r="O74" s="113">
        <f>IFERROR(VLOOKUP($B74,MMWR_TRAD_AGG_STATE_PEN[],O$1,0),"ERROR")</f>
        <v>9</v>
      </c>
      <c r="P74" s="115">
        <f t="shared" si="11"/>
        <v>0.17647058823529413</v>
      </c>
      <c r="Q74" s="116">
        <f>IFERROR(VLOOKUP($B74,MMWR_TRAD_AGG_STATE_PEN[],Q$1,0),"ERROR")</f>
        <v>13</v>
      </c>
      <c r="R74" s="116">
        <f>IFERROR(VLOOKUP($B74,MMWR_TRAD_AGG_STATE_PEN[],R$1,0),"ERROR")</f>
        <v>24</v>
      </c>
      <c r="S74" s="116">
        <f>IFERROR(VLOOKUP($B74,MMWR_APP_STATE_PEN[],S$1,0),"ERROR")</f>
        <v>26</v>
      </c>
      <c r="T74" s="28"/>
    </row>
    <row r="75" spans="1:20" s="124" customFormat="1" x14ac:dyDescent="0.2">
      <c r="A75" s="28"/>
      <c r="B75" s="128" t="s">
        <v>386</v>
      </c>
      <c r="C75" s="110">
        <f>IFERROR(VLOOKUP($B75,MMWR_TRAD_AGG_STATE_PEN[],C$1,0),"ERROR")</f>
        <v>323</v>
      </c>
      <c r="D75" s="111">
        <f>IFERROR(VLOOKUP($B75,MMWR_TRAD_AGG_STATE_PEN[],D$1,0),"ERROR")</f>
        <v>94.018575851400001</v>
      </c>
      <c r="E75" s="112">
        <f>IFERROR(VLOOKUP($B75,MMWR_TRAD_AGG_STATE_PEN[],E$1,0),"ERROR")</f>
        <v>367</v>
      </c>
      <c r="F75" s="113">
        <f>IFERROR(VLOOKUP($B75,MMWR_TRAD_AGG_STATE_PEN[],F$1,0),"ERROR")</f>
        <v>52</v>
      </c>
      <c r="G75" s="114">
        <f t="shared" si="8"/>
        <v>0.14168937329700274</v>
      </c>
      <c r="H75" s="112">
        <f>IFERROR(VLOOKUP($B75,MMWR_TRAD_AGG_STATE_PEN[],H$1,0),"ERROR")</f>
        <v>511</v>
      </c>
      <c r="I75" s="113">
        <f>IFERROR(VLOOKUP($B75,MMWR_TRAD_AGG_STATE_PEN[],I$1,0),"ERROR")</f>
        <v>137</v>
      </c>
      <c r="J75" s="115">
        <f t="shared" si="9"/>
        <v>0.26810176125244617</v>
      </c>
      <c r="K75" s="112">
        <f>IFERROR(VLOOKUP($B75,MMWR_TRAD_AGG_STATE_PEN[],K$1,0),"ERROR")</f>
        <v>20</v>
      </c>
      <c r="L75" s="113">
        <f>IFERROR(VLOOKUP($B75,MMWR_TRAD_AGG_STATE_PEN[],L$1,0),"ERROR")</f>
        <v>19</v>
      </c>
      <c r="M75" s="115">
        <f t="shared" si="10"/>
        <v>0.95</v>
      </c>
      <c r="N75" s="112">
        <f>IFERROR(VLOOKUP($B75,MMWR_TRAD_AGG_STATE_PEN[],N$1,0),"ERROR")</f>
        <v>174</v>
      </c>
      <c r="O75" s="113">
        <f>IFERROR(VLOOKUP($B75,MMWR_TRAD_AGG_STATE_PEN[],O$1,0),"ERROR")</f>
        <v>31</v>
      </c>
      <c r="P75" s="115">
        <f t="shared" si="11"/>
        <v>0.17816091954022989</v>
      </c>
      <c r="Q75" s="116">
        <f>IFERROR(VLOOKUP($B75,MMWR_TRAD_AGG_STATE_PEN[],Q$1,0),"ERROR")</f>
        <v>63</v>
      </c>
      <c r="R75" s="116">
        <f>IFERROR(VLOOKUP($B75,MMWR_TRAD_AGG_STATE_PEN[],R$1,0),"ERROR")</f>
        <v>137</v>
      </c>
      <c r="S75" s="116">
        <f>IFERROR(VLOOKUP($B75,MMWR_APP_STATE_PEN[],S$1,0),"ERROR")</f>
        <v>82</v>
      </c>
      <c r="T75" s="28"/>
    </row>
    <row r="76" spans="1:20" s="124" customFormat="1" x14ac:dyDescent="0.2">
      <c r="A76" s="28"/>
      <c r="B76" s="128" t="s">
        <v>381</v>
      </c>
      <c r="C76" s="110">
        <f>IFERROR(VLOOKUP($B76,MMWR_TRAD_AGG_STATE_PEN[],C$1,0),"ERROR")</f>
        <v>306</v>
      </c>
      <c r="D76" s="111">
        <f>IFERROR(VLOOKUP($B76,MMWR_TRAD_AGG_STATE_PEN[],D$1,0),"ERROR")</f>
        <v>90.081699346400001</v>
      </c>
      <c r="E76" s="112">
        <f>IFERROR(VLOOKUP($B76,MMWR_TRAD_AGG_STATE_PEN[],E$1,0),"ERROR")</f>
        <v>344</v>
      </c>
      <c r="F76" s="113">
        <f>IFERROR(VLOOKUP($B76,MMWR_TRAD_AGG_STATE_PEN[],F$1,0),"ERROR")</f>
        <v>60</v>
      </c>
      <c r="G76" s="114">
        <f t="shared" si="8"/>
        <v>0.1744186046511628</v>
      </c>
      <c r="H76" s="112">
        <f>IFERROR(VLOOKUP($B76,MMWR_TRAD_AGG_STATE_PEN[],H$1,0),"ERROR")</f>
        <v>512</v>
      </c>
      <c r="I76" s="113">
        <f>IFERROR(VLOOKUP($B76,MMWR_TRAD_AGG_STATE_PEN[],I$1,0),"ERROR")</f>
        <v>148</v>
      </c>
      <c r="J76" s="115">
        <f t="shared" si="9"/>
        <v>0.2890625</v>
      </c>
      <c r="K76" s="112">
        <f>IFERROR(VLOOKUP($B76,MMWR_TRAD_AGG_STATE_PEN[],K$1,0),"ERROR")</f>
        <v>12</v>
      </c>
      <c r="L76" s="113">
        <f>IFERROR(VLOOKUP($B76,MMWR_TRAD_AGG_STATE_PEN[],L$1,0),"ERROR")</f>
        <v>10</v>
      </c>
      <c r="M76" s="115">
        <f t="shared" si="10"/>
        <v>0.83333333333333337</v>
      </c>
      <c r="N76" s="112">
        <f>IFERROR(VLOOKUP($B76,MMWR_TRAD_AGG_STATE_PEN[],N$1,0),"ERROR")</f>
        <v>183</v>
      </c>
      <c r="O76" s="113">
        <f>IFERROR(VLOOKUP($B76,MMWR_TRAD_AGG_STATE_PEN[],O$1,0),"ERROR")</f>
        <v>22</v>
      </c>
      <c r="P76" s="115">
        <f t="shared" si="11"/>
        <v>0.12021857923497267</v>
      </c>
      <c r="Q76" s="116">
        <f>IFERROR(VLOOKUP($B76,MMWR_TRAD_AGG_STATE_PEN[],Q$1,0),"ERROR")</f>
        <v>56</v>
      </c>
      <c r="R76" s="116">
        <f>IFERROR(VLOOKUP($B76,MMWR_TRAD_AGG_STATE_PEN[],R$1,0),"ERROR")</f>
        <v>133</v>
      </c>
      <c r="S76" s="116">
        <f>IFERROR(VLOOKUP($B76,MMWR_APP_STATE_PEN[],S$1,0),"ERROR")</f>
        <v>120</v>
      </c>
      <c r="T76" s="28"/>
    </row>
    <row r="77" spans="1:20" s="124" customFormat="1" x14ac:dyDescent="0.2">
      <c r="A77" s="28"/>
      <c r="B77" s="128" t="s">
        <v>425</v>
      </c>
      <c r="C77" s="110">
        <f>IFERROR(VLOOKUP($B77,MMWR_TRAD_AGG_STATE_PEN[],C$1,0),"ERROR")</f>
        <v>77</v>
      </c>
      <c r="D77" s="111">
        <f>IFERROR(VLOOKUP($B77,MMWR_TRAD_AGG_STATE_PEN[],D$1,0),"ERROR")</f>
        <v>97.896103896100001</v>
      </c>
      <c r="E77" s="112">
        <f>IFERROR(VLOOKUP($B77,MMWR_TRAD_AGG_STATE_PEN[],E$1,0),"ERROR")</f>
        <v>90</v>
      </c>
      <c r="F77" s="113">
        <f>IFERROR(VLOOKUP($B77,MMWR_TRAD_AGG_STATE_PEN[],F$1,0),"ERROR")</f>
        <v>12</v>
      </c>
      <c r="G77" s="114">
        <f t="shared" si="8"/>
        <v>0.13333333333333333</v>
      </c>
      <c r="H77" s="112">
        <f>IFERROR(VLOOKUP($B77,MMWR_TRAD_AGG_STATE_PEN[],H$1,0),"ERROR")</f>
        <v>117</v>
      </c>
      <c r="I77" s="113">
        <f>IFERROR(VLOOKUP($B77,MMWR_TRAD_AGG_STATE_PEN[],I$1,0),"ERROR")</f>
        <v>39</v>
      </c>
      <c r="J77" s="115">
        <f t="shared" si="9"/>
        <v>0.33333333333333331</v>
      </c>
      <c r="K77" s="112">
        <f>IFERROR(VLOOKUP($B77,MMWR_TRAD_AGG_STATE_PEN[],K$1,0),"ERROR")</f>
        <v>2</v>
      </c>
      <c r="L77" s="113">
        <f>IFERROR(VLOOKUP($B77,MMWR_TRAD_AGG_STATE_PEN[],L$1,0),"ERROR")</f>
        <v>2</v>
      </c>
      <c r="M77" s="115">
        <f t="shared" si="10"/>
        <v>1</v>
      </c>
      <c r="N77" s="112">
        <f>IFERROR(VLOOKUP($B77,MMWR_TRAD_AGG_STATE_PEN[],N$1,0),"ERROR")</f>
        <v>47</v>
      </c>
      <c r="O77" s="113">
        <f>IFERROR(VLOOKUP($B77,MMWR_TRAD_AGG_STATE_PEN[],O$1,0),"ERROR")</f>
        <v>6</v>
      </c>
      <c r="P77" s="115">
        <f t="shared" si="11"/>
        <v>0.1276595744680851</v>
      </c>
      <c r="Q77" s="116">
        <f>IFERROR(VLOOKUP($B77,MMWR_TRAD_AGG_STATE_PEN[],Q$1,0),"ERROR")</f>
        <v>15</v>
      </c>
      <c r="R77" s="116">
        <f>IFERROR(VLOOKUP($B77,MMWR_TRAD_AGG_STATE_PEN[],R$1,0),"ERROR")</f>
        <v>26</v>
      </c>
      <c r="S77" s="116">
        <f>IFERROR(VLOOKUP($B77,MMWR_APP_STATE_PEN[],S$1,0),"ERROR")</f>
        <v>22</v>
      </c>
      <c r="T77" s="28"/>
    </row>
    <row r="78" spans="1:20" s="124" customFormat="1" x14ac:dyDescent="0.2">
      <c r="A78" s="28"/>
      <c r="B78" s="128" t="s">
        <v>384</v>
      </c>
      <c r="C78" s="110">
        <f>IFERROR(VLOOKUP($B78,MMWR_TRAD_AGG_STATE_PEN[],C$1,0),"ERROR")</f>
        <v>390</v>
      </c>
      <c r="D78" s="111">
        <f>IFERROR(VLOOKUP($B78,MMWR_TRAD_AGG_STATE_PEN[],D$1,0),"ERROR")</f>
        <v>92.907692307700003</v>
      </c>
      <c r="E78" s="112">
        <f>IFERROR(VLOOKUP($B78,MMWR_TRAD_AGG_STATE_PEN[],E$1,0),"ERROR")</f>
        <v>469</v>
      </c>
      <c r="F78" s="113">
        <f>IFERROR(VLOOKUP($B78,MMWR_TRAD_AGG_STATE_PEN[],F$1,0),"ERROR")</f>
        <v>84</v>
      </c>
      <c r="G78" s="114">
        <f t="shared" si="8"/>
        <v>0.17910447761194029</v>
      </c>
      <c r="H78" s="112">
        <f>IFERROR(VLOOKUP($B78,MMWR_TRAD_AGG_STATE_PEN[],H$1,0),"ERROR")</f>
        <v>591</v>
      </c>
      <c r="I78" s="113">
        <f>IFERROR(VLOOKUP($B78,MMWR_TRAD_AGG_STATE_PEN[],I$1,0),"ERROR")</f>
        <v>172</v>
      </c>
      <c r="J78" s="115">
        <f t="shared" si="9"/>
        <v>0.29103214890016921</v>
      </c>
      <c r="K78" s="112">
        <f>IFERROR(VLOOKUP($B78,MMWR_TRAD_AGG_STATE_PEN[],K$1,0),"ERROR")</f>
        <v>16</v>
      </c>
      <c r="L78" s="113">
        <f>IFERROR(VLOOKUP($B78,MMWR_TRAD_AGG_STATE_PEN[],L$1,0),"ERROR")</f>
        <v>16</v>
      </c>
      <c r="M78" s="115">
        <f t="shared" si="10"/>
        <v>1</v>
      </c>
      <c r="N78" s="112">
        <f>IFERROR(VLOOKUP($B78,MMWR_TRAD_AGG_STATE_PEN[],N$1,0),"ERROR")</f>
        <v>232</v>
      </c>
      <c r="O78" s="113">
        <f>IFERROR(VLOOKUP($B78,MMWR_TRAD_AGG_STATE_PEN[],O$1,0),"ERROR")</f>
        <v>40</v>
      </c>
      <c r="P78" s="115">
        <f t="shared" si="11"/>
        <v>0.17241379310344829</v>
      </c>
      <c r="Q78" s="116">
        <f>IFERROR(VLOOKUP($B78,MMWR_TRAD_AGG_STATE_PEN[],Q$1,0),"ERROR")</f>
        <v>74</v>
      </c>
      <c r="R78" s="116">
        <f>IFERROR(VLOOKUP($B78,MMWR_TRAD_AGG_STATE_PEN[],R$1,0),"ERROR")</f>
        <v>165</v>
      </c>
      <c r="S78" s="116">
        <f>IFERROR(VLOOKUP($B78,MMWR_APP_STATE_PEN[],S$1,0),"ERROR")</f>
        <v>179</v>
      </c>
      <c r="T78" s="28"/>
    </row>
    <row r="79" spans="1:20" s="124" customFormat="1" x14ac:dyDescent="0.2">
      <c r="A79" s="28"/>
      <c r="B79" s="128" t="s">
        <v>63</v>
      </c>
      <c r="C79" s="110">
        <f>IFERROR(VLOOKUP($B79,MMWR_TRAD_AGG_STATE_PEN[],C$1,0),"ERROR")</f>
        <v>1014</v>
      </c>
      <c r="D79" s="111">
        <f>IFERROR(VLOOKUP($B79,MMWR_TRAD_AGG_STATE_PEN[],D$1,0),"ERROR")</f>
        <v>90.5522682446</v>
      </c>
      <c r="E79" s="112">
        <f>IFERROR(VLOOKUP($B79,MMWR_TRAD_AGG_STATE_PEN[],E$1,0),"ERROR")</f>
        <v>1375</v>
      </c>
      <c r="F79" s="113">
        <f>IFERROR(VLOOKUP($B79,MMWR_TRAD_AGG_STATE_PEN[],F$1,0),"ERROR")</f>
        <v>242</v>
      </c>
      <c r="G79" s="114">
        <f t="shared" si="8"/>
        <v>0.17599999999999999</v>
      </c>
      <c r="H79" s="112">
        <f>IFERROR(VLOOKUP($B79,MMWR_TRAD_AGG_STATE_PEN[],H$1,0),"ERROR")</f>
        <v>1712</v>
      </c>
      <c r="I79" s="113">
        <f>IFERROR(VLOOKUP($B79,MMWR_TRAD_AGG_STATE_PEN[],I$1,0),"ERROR")</f>
        <v>476</v>
      </c>
      <c r="J79" s="115">
        <f t="shared" si="9"/>
        <v>0.2780373831775701</v>
      </c>
      <c r="K79" s="112">
        <f>IFERROR(VLOOKUP($B79,MMWR_TRAD_AGG_STATE_PEN[],K$1,0),"ERROR")</f>
        <v>52</v>
      </c>
      <c r="L79" s="113">
        <f>IFERROR(VLOOKUP($B79,MMWR_TRAD_AGG_STATE_PEN[],L$1,0),"ERROR")</f>
        <v>52</v>
      </c>
      <c r="M79" s="115">
        <f t="shared" si="10"/>
        <v>1</v>
      </c>
      <c r="N79" s="112">
        <f>IFERROR(VLOOKUP($B79,MMWR_TRAD_AGG_STATE_PEN[],N$1,0),"ERROR")</f>
        <v>530</v>
      </c>
      <c r="O79" s="113">
        <f>IFERROR(VLOOKUP($B79,MMWR_TRAD_AGG_STATE_PEN[],O$1,0),"ERROR")</f>
        <v>95</v>
      </c>
      <c r="P79" s="115">
        <f t="shared" si="11"/>
        <v>0.17924528301886791</v>
      </c>
      <c r="Q79" s="116">
        <f>IFERROR(VLOOKUP($B79,MMWR_TRAD_AGG_STATE_PEN[],Q$1,0),"ERROR")</f>
        <v>127</v>
      </c>
      <c r="R79" s="116">
        <f>IFERROR(VLOOKUP($B79,MMWR_TRAD_AGG_STATE_PEN[],R$1,0),"ERROR")</f>
        <v>308</v>
      </c>
      <c r="S79" s="116">
        <f>IFERROR(VLOOKUP($B79,MMWR_APP_STATE_PEN[],S$1,0),"ERROR")</f>
        <v>260</v>
      </c>
      <c r="T79" s="28"/>
    </row>
    <row r="80" spans="1:20" s="124" customFormat="1" x14ac:dyDescent="0.2">
      <c r="A80" s="28"/>
      <c r="B80" s="128" t="s">
        <v>392</v>
      </c>
      <c r="C80" s="110">
        <f>IFERROR(VLOOKUP($B80,MMWR_TRAD_AGG_STATE_PEN[],C$1,0),"ERROR")</f>
        <v>1226</v>
      </c>
      <c r="D80" s="111">
        <f>IFERROR(VLOOKUP($B80,MMWR_TRAD_AGG_STATE_PEN[],D$1,0),"ERROR")</f>
        <v>96.346655791200007</v>
      </c>
      <c r="E80" s="112">
        <f>IFERROR(VLOOKUP($B80,MMWR_TRAD_AGG_STATE_PEN[],E$1,0),"ERROR")</f>
        <v>942</v>
      </c>
      <c r="F80" s="113">
        <f>IFERROR(VLOOKUP($B80,MMWR_TRAD_AGG_STATE_PEN[],F$1,0),"ERROR")</f>
        <v>144</v>
      </c>
      <c r="G80" s="114">
        <f t="shared" si="8"/>
        <v>0.15286624203821655</v>
      </c>
      <c r="H80" s="112">
        <f>IFERROR(VLOOKUP($B80,MMWR_TRAD_AGG_STATE_PEN[],H$1,0),"ERROR")</f>
        <v>2106</v>
      </c>
      <c r="I80" s="113">
        <f>IFERROR(VLOOKUP($B80,MMWR_TRAD_AGG_STATE_PEN[],I$1,0),"ERROR")</f>
        <v>533</v>
      </c>
      <c r="J80" s="115">
        <f t="shared" si="9"/>
        <v>0.25308641975308643</v>
      </c>
      <c r="K80" s="112">
        <f>IFERROR(VLOOKUP($B80,MMWR_TRAD_AGG_STATE_PEN[],K$1,0),"ERROR")</f>
        <v>68</v>
      </c>
      <c r="L80" s="113">
        <f>IFERROR(VLOOKUP($B80,MMWR_TRAD_AGG_STATE_PEN[],L$1,0),"ERROR")</f>
        <v>63</v>
      </c>
      <c r="M80" s="115">
        <f t="shared" si="10"/>
        <v>0.92647058823529416</v>
      </c>
      <c r="N80" s="112">
        <f>IFERROR(VLOOKUP($B80,MMWR_TRAD_AGG_STATE_PEN[],N$1,0),"ERROR")</f>
        <v>580</v>
      </c>
      <c r="O80" s="113">
        <f>IFERROR(VLOOKUP($B80,MMWR_TRAD_AGG_STATE_PEN[],O$1,0),"ERROR")</f>
        <v>86</v>
      </c>
      <c r="P80" s="115">
        <f t="shared" si="11"/>
        <v>0.14827586206896551</v>
      </c>
      <c r="Q80" s="116">
        <f>IFERROR(VLOOKUP($B80,MMWR_TRAD_AGG_STATE_PEN[],Q$1,0),"ERROR")</f>
        <v>193</v>
      </c>
      <c r="R80" s="116">
        <f>IFERROR(VLOOKUP($B80,MMWR_TRAD_AGG_STATE_PEN[],R$1,0),"ERROR")</f>
        <v>327</v>
      </c>
      <c r="S80" s="116">
        <f>IFERROR(VLOOKUP($B80,MMWR_APP_STATE_PEN[],S$1,0),"ERROR")</f>
        <v>238</v>
      </c>
      <c r="T80" s="28"/>
    </row>
    <row r="81" spans="1:20" s="124" customFormat="1" x14ac:dyDescent="0.2">
      <c r="A81" s="28"/>
      <c r="B81" s="128" t="s">
        <v>385</v>
      </c>
      <c r="C81" s="110">
        <f>IFERROR(VLOOKUP($B81,MMWR_TRAD_AGG_STATE_PEN[],C$1,0),"ERROR")</f>
        <v>1375</v>
      </c>
      <c r="D81" s="111">
        <f>IFERROR(VLOOKUP($B81,MMWR_TRAD_AGG_STATE_PEN[],D$1,0),"ERROR")</f>
        <v>88.721454545499995</v>
      </c>
      <c r="E81" s="112">
        <f>IFERROR(VLOOKUP($B81,MMWR_TRAD_AGG_STATE_PEN[],E$1,0),"ERROR")</f>
        <v>1641</v>
      </c>
      <c r="F81" s="113">
        <f>IFERROR(VLOOKUP($B81,MMWR_TRAD_AGG_STATE_PEN[],F$1,0),"ERROR")</f>
        <v>300</v>
      </c>
      <c r="G81" s="114">
        <f t="shared" si="8"/>
        <v>0.18281535648994515</v>
      </c>
      <c r="H81" s="112">
        <f>IFERROR(VLOOKUP($B81,MMWR_TRAD_AGG_STATE_PEN[],H$1,0),"ERROR")</f>
        <v>2165</v>
      </c>
      <c r="I81" s="113">
        <f>IFERROR(VLOOKUP($B81,MMWR_TRAD_AGG_STATE_PEN[],I$1,0),"ERROR")</f>
        <v>555</v>
      </c>
      <c r="J81" s="115">
        <f t="shared" si="9"/>
        <v>0.25635103926096997</v>
      </c>
      <c r="K81" s="112">
        <f>IFERROR(VLOOKUP($B81,MMWR_TRAD_AGG_STATE_PEN[],K$1,0),"ERROR")</f>
        <v>55</v>
      </c>
      <c r="L81" s="113">
        <f>IFERROR(VLOOKUP($B81,MMWR_TRAD_AGG_STATE_PEN[],L$1,0),"ERROR")</f>
        <v>55</v>
      </c>
      <c r="M81" s="115">
        <f t="shared" si="10"/>
        <v>1</v>
      </c>
      <c r="N81" s="112">
        <f>IFERROR(VLOOKUP($B81,MMWR_TRAD_AGG_STATE_PEN[],N$1,0),"ERROR")</f>
        <v>662</v>
      </c>
      <c r="O81" s="113">
        <f>IFERROR(VLOOKUP($B81,MMWR_TRAD_AGG_STATE_PEN[],O$1,0),"ERROR")</f>
        <v>84</v>
      </c>
      <c r="P81" s="115">
        <f t="shared" si="11"/>
        <v>0.12688821752265861</v>
      </c>
      <c r="Q81" s="116">
        <f>IFERROR(VLOOKUP($B81,MMWR_TRAD_AGG_STATE_PEN[],Q$1,0),"ERROR")</f>
        <v>138</v>
      </c>
      <c r="R81" s="116">
        <f>IFERROR(VLOOKUP($B81,MMWR_TRAD_AGG_STATE_PEN[],R$1,0),"ERROR")</f>
        <v>363</v>
      </c>
      <c r="S81" s="116">
        <f>IFERROR(VLOOKUP($B81,MMWR_APP_STATE_PEN[],S$1,0),"ERROR")</f>
        <v>287</v>
      </c>
      <c r="T81" s="28"/>
    </row>
    <row r="82" spans="1:20" s="124" customFormat="1" x14ac:dyDescent="0.2">
      <c r="A82" s="28"/>
      <c r="B82" s="128" t="s">
        <v>382</v>
      </c>
      <c r="C82" s="110">
        <f>IFERROR(VLOOKUP($B82,MMWR_TRAD_AGG_STATE_PEN[],C$1,0),"ERROR")</f>
        <v>52</v>
      </c>
      <c r="D82" s="111">
        <f>IFERROR(VLOOKUP($B82,MMWR_TRAD_AGG_STATE_PEN[],D$1,0),"ERROR")</f>
        <v>84.230769230799993</v>
      </c>
      <c r="E82" s="112">
        <f>IFERROR(VLOOKUP($B82,MMWR_TRAD_AGG_STATE_PEN[],E$1,0),"ERROR")</f>
        <v>110</v>
      </c>
      <c r="F82" s="113">
        <f>IFERROR(VLOOKUP($B82,MMWR_TRAD_AGG_STATE_PEN[],F$1,0),"ERROR")</f>
        <v>26</v>
      </c>
      <c r="G82" s="114">
        <f t="shared" si="8"/>
        <v>0.23636363636363636</v>
      </c>
      <c r="H82" s="112">
        <f>IFERROR(VLOOKUP($B82,MMWR_TRAD_AGG_STATE_PEN[],H$1,0),"ERROR")</f>
        <v>91</v>
      </c>
      <c r="I82" s="113">
        <f>IFERROR(VLOOKUP($B82,MMWR_TRAD_AGG_STATE_PEN[],I$1,0),"ERROR")</f>
        <v>14</v>
      </c>
      <c r="J82" s="115">
        <f t="shared" si="9"/>
        <v>0.15384615384615385</v>
      </c>
      <c r="K82" s="112">
        <f>IFERROR(VLOOKUP($B82,MMWR_TRAD_AGG_STATE_PEN[],K$1,0),"ERROR")</f>
        <v>5</v>
      </c>
      <c r="L82" s="113">
        <f>IFERROR(VLOOKUP($B82,MMWR_TRAD_AGG_STATE_PEN[],L$1,0),"ERROR")</f>
        <v>5</v>
      </c>
      <c r="M82" s="115">
        <f t="shared" si="10"/>
        <v>1</v>
      </c>
      <c r="N82" s="112">
        <f>IFERROR(VLOOKUP($B82,MMWR_TRAD_AGG_STATE_PEN[],N$1,0),"ERROR")</f>
        <v>41</v>
      </c>
      <c r="O82" s="113">
        <f>IFERROR(VLOOKUP($B82,MMWR_TRAD_AGG_STATE_PEN[],O$1,0),"ERROR")</f>
        <v>2</v>
      </c>
      <c r="P82" s="115">
        <f t="shared" si="11"/>
        <v>4.878048780487805E-2</v>
      </c>
      <c r="Q82" s="116">
        <f>IFERROR(VLOOKUP($B82,MMWR_TRAD_AGG_STATE_PEN[],Q$1,0),"ERROR")</f>
        <v>18</v>
      </c>
      <c r="R82" s="116">
        <f>IFERROR(VLOOKUP($B82,MMWR_TRAD_AGG_STATE_PEN[],R$1,0),"ERROR")</f>
        <v>24</v>
      </c>
      <c r="S82" s="116">
        <f>IFERROR(VLOOKUP($B82,MMWR_APP_STATE_PEN[],S$1,0),"ERROR")</f>
        <v>23</v>
      </c>
      <c r="T82" s="28"/>
    </row>
    <row r="83" spans="1:20" s="124" customFormat="1" x14ac:dyDescent="0.2">
      <c r="A83" s="28"/>
      <c r="B83" s="128" t="s">
        <v>427</v>
      </c>
      <c r="C83" s="110">
        <f>IFERROR(VLOOKUP($B83,MMWR_TRAD_AGG_STATE_PEN[],C$1,0),"ERROR")</f>
        <v>27</v>
      </c>
      <c r="D83" s="111">
        <f>IFERROR(VLOOKUP($B83,MMWR_TRAD_AGG_STATE_PEN[],D$1,0),"ERROR")</f>
        <v>103.3703703704</v>
      </c>
      <c r="E83" s="112">
        <f>IFERROR(VLOOKUP($B83,MMWR_TRAD_AGG_STATE_PEN[],E$1,0),"ERROR")</f>
        <v>24</v>
      </c>
      <c r="F83" s="113">
        <f>IFERROR(VLOOKUP($B83,MMWR_TRAD_AGG_STATE_PEN[],F$1,0),"ERROR")</f>
        <v>4</v>
      </c>
      <c r="G83" s="114">
        <f t="shared" si="8"/>
        <v>0.16666666666666666</v>
      </c>
      <c r="H83" s="112">
        <f>IFERROR(VLOOKUP($B83,MMWR_TRAD_AGG_STATE_PEN[],H$1,0),"ERROR")</f>
        <v>37</v>
      </c>
      <c r="I83" s="113">
        <f>IFERROR(VLOOKUP($B83,MMWR_TRAD_AGG_STATE_PEN[],I$1,0),"ERROR")</f>
        <v>14</v>
      </c>
      <c r="J83" s="115">
        <f t="shared" si="9"/>
        <v>0.3783783783783784</v>
      </c>
      <c r="K83" s="112">
        <f>IFERROR(VLOOKUP($B83,MMWR_TRAD_AGG_STATE_PEN[],K$1,0),"ERROR")</f>
        <v>2</v>
      </c>
      <c r="L83" s="113">
        <f>IFERROR(VLOOKUP($B83,MMWR_TRAD_AGG_STATE_PEN[],L$1,0),"ERROR")</f>
        <v>2</v>
      </c>
      <c r="M83" s="115">
        <f t="shared" si="10"/>
        <v>1</v>
      </c>
      <c r="N83" s="112">
        <f>IFERROR(VLOOKUP($B83,MMWR_TRAD_AGG_STATE_PEN[],N$1,0),"ERROR")</f>
        <v>16</v>
      </c>
      <c r="O83" s="113">
        <f>IFERROR(VLOOKUP($B83,MMWR_TRAD_AGG_STATE_PEN[],O$1,0),"ERROR")</f>
        <v>2</v>
      </c>
      <c r="P83" s="115">
        <f t="shared" si="11"/>
        <v>0.125</v>
      </c>
      <c r="Q83" s="116">
        <f>IFERROR(VLOOKUP($B83,MMWR_TRAD_AGG_STATE_PEN[],Q$1,0),"ERROR")</f>
        <v>8</v>
      </c>
      <c r="R83" s="116">
        <f>IFERROR(VLOOKUP($B83,MMWR_TRAD_AGG_STATE_PEN[],R$1,0),"ERROR")</f>
        <v>5</v>
      </c>
      <c r="S83" s="116">
        <f>IFERROR(VLOOKUP($B83,MMWR_APP_STATE_PEN[],S$1,0),"ERROR")</f>
        <v>5</v>
      </c>
      <c r="T83" s="28"/>
    </row>
    <row r="84" spans="1:20" s="124" customFormat="1" x14ac:dyDescent="0.2">
      <c r="A84" s="28"/>
      <c r="B84" s="128" t="s">
        <v>388</v>
      </c>
      <c r="C84" s="110">
        <f>IFERROR(VLOOKUP($B84,MMWR_TRAD_AGG_STATE_PEN[],C$1,0),"ERROR")</f>
        <v>671</v>
      </c>
      <c r="D84" s="111">
        <f>IFERROR(VLOOKUP($B84,MMWR_TRAD_AGG_STATE_PEN[],D$1,0),"ERROR")</f>
        <v>93.898658718299998</v>
      </c>
      <c r="E84" s="112">
        <f>IFERROR(VLOOKUP($B84,MMWR_TRAD_AGG_STATE_PEN[],E$1,0),"ERROR")</f>
        <v>594</v>
      </c>
      <c r="F84" s="113">
        <f>IFERROR(VLOOKUP($B84,MMWR_TRAD_AGG_STATE_PEN[],F$1,0),"ERROR")</f>
        <v>113</v>
      </c>
      <c r="G84" s="114">
        <f t="shared" si="8"/>
        <v>0.19023569023569023</v>
      </c>
      <c r="H84" s="112">
        <f>IFERROR(VLOOKUP($B84,MMWR_TRAD_AGG_STATE_PEN[],H$1,0),"ERROR")</f>
        <v>1066</v>
      </c>
      <c r="I84" s="113">
        <f>IFERROR(VLOOKUP($B84,MMWR_TRAD_AGG_STATE_PEN[],I$1,0),"ERROR")</f>
        <v>257</v>
      </c>
      <c r="J84" s="115">
        <f t="shared" si="9"/>
        <v>0.24108818011257035</v>
      </c>
      <c r="K84" s="112">
        <f>IFERROR(VLOOKUP($B84,MMWR_TRAD_AGG_STATE_PEN[],K$1,0),"ERROR")</f>
        <v>160</v>
      </c>
      <c r="L84" s="113">
        <f>IFERROR(VLOOKUP($B84,MMWR_TRAD_AGG_STATE_PEN[],L$1,0),"ERROR")</f>
        <v>159</v>
      </c>
      <c r="M84" s="115">
        <f t="shared" si="10"/>
        <v>0.99375000000000002</v>
      </c>
      <c r="N84" s="112">
        <f>IFERROR(VLOOKUP($B84,MMWR_TRAD_AGG_STATE_PEN[],N$1,0),"ERROR")</f>
        <v>327</v>
      </c>
      <c r="O84" s="113">
        <f>IFERROR(VLOOKUP($B84,MMWR_TRAD_AGG_STATE_PEN[],O$1,0),"ERROR")</f>
        <v>48</v>
      </c>
      <c r="P84" s="115">
        <f t="shared" si="11"/>
        <v>0.14678899082568808</v>
      </c>
      <c r="Q84" s="116">
        <f>IFERROR(VLOOKUP($B84,MMWR_TRAD_AGG_STATE_PEN[],Q$1,0),"ERROR")</f>
        <v>138</v>
      </c>
      <c r="R84" s="116">
        <f>IFERROR(VLOOKUP($B84,MMWR_TRAD_AGG_STATE_PEN[],R$1,0),"ERROR")</f>
        <v>227</v>
      </c>
      <c r="S84" s="116">
        <f>IFERROR(VLOOKUP($B84,MMWR_APP_STATE_PEN[],S$1,0),"ERROR")</f>
        <v>165</v>
      </c>
      <c r="T84" s="28"/>
    </row>
    <row r="85" spans="1:20" s="124" customFormat="1" x14ac:dyDescent="0.2">
      <c r="A85" s="28"/>
      <c r="B85" s="128" t="s">
        <v>389</v>
      </c>
      <c r="C85" s="110">
        <f>IFERROR(VLOOKUP($B85,MMWR_TRAD_AGG_STATE_PEN[],C$1,0),"ERROR")</f>
        <v>232</v>
      </c>
      <c r="D85" s="111">
        <f>IFERROR(VLOOKUP($B85,MMWR_TRAD_AGG_STATE_PEN[],D$1,0),"ERROR")</f>
        <v>98.181034482800001</v>
      </c>
      <c r="E85" s="112">
        <f>IFERROR(VLOOKUP($B85,MMWR_TRAD_AGG_STATE_PEN[],E$1,0),"ERROR")</f>
        <v>187</v>
      </c>
      <c r="F85" s="113">
        <f>IFERROR(VLOOKUP($B85,MMWR_TRAD_AGG_STATE_PEN[],F$1,0),"ERROR")</f>
        <v>36</v>
      </c>
      <c r="G85" s="114">
        <f t="shared" si="8"/>
        <v>0.19251336898395721</v>
      </c>
      <c r="H85" s="112">
        <f>IFERROR(VLOOKUP($B85,MMWR_TRAD_AGG_STATE_PEN[],H$1,0),"ERROR")</f>
        <v>329</v>
      </c>
      <c r="I85" s="113">
        <f>IFERROR(VLOOKUP($B85,MMWR_TRAD_AGG_STATE_PEN[],I$1,0),"ERROR")</f>
        <v>84</v>
      </c>
      <c r="J85" s="115">
        <f t="shared" si="9"/>
        <v>0.25531914893617019</v>
      </c>
      <c r="K85" s="112">
        <f>IFERROR(VLOOKUP($B85,MMWR_TRAD_AGG_STATE_PEN[],K$1,0),"ERROR")</f>
        <v>12</v>
      </c>
      <c r="L85" s="113">
        <f>IFERROR(VLOOKUP($B85,MMWR_TRAD_AGG_STATE_PEN[],L$1,0),"ERROR")</f>
        <v>11</v>
      </c>
      <c r="M85" s="115">
        <f t="shared" si="10"/>
        <v>0.91666666666666663</v>
      </c>
      <c r="N85" s="112">
        <f>IFERROR(VLOOKUP($B85,MMWR_TRAD_AGG_STATE_PEN[],N$1,0),"ERROR")</f>
        <v>109</v>
      </c>
      <c r="O85" s="113">
        <f>IFERROR(VLOOKUP($B85,MMWR_TRAD_AGG_STATE_PEN[],O$1,0),"ERROR")</f>
        <v>14</v>
      </c>
      <c r="P85" s="115">
        <f t="shared" si="11"/>
        <v>0.12844036697247707</v>
      </c>
      <c r="Q85" s="116">
        <f>IFERROR(VLOOKUP($B85,MMWR_TRAD_AGG_STATE_PEN[],Q$1,0),"ERROR")</f>
        <v>43</v>
      </c>
      <c r="R85" s="116">
        <f>IFERROR(VLOOKUP($B85,MMWR_TRAD_AGG_STATE_PEN[],R$1,0),"ERROR")</f>
        <v>63</v>
      </c>
      <c r="S85" s="116">
        <f>IFERROR(VLOOKUP($B85,MMWR_APP_STATE_PEN[],S$1,0),"ERROR")</f>
        <v>46</v>
      </c>
      <c r="T85" s="28"/>
    </row>
    <row r="86" spans="1:20" s="124" customFormat="1" x14ac:dyDescent="0.2">
      <c r="A86" s="28"/>
      <c r="B86" s="127" t="s">
        <v>400</v>
      </c>
      <c r="C86" s="103">
        <f>IFERROR(VLOOKUP($B86,MMWR_TRAD_AGG_ST_DISTRICT_PEN[],C$1,0),"ERROR")</f>
        <v>3195</v>
      </c>
      <c r="D86" s="104">
        <f>IFERROR(VLOOKUP($B86,MMWR_TRAD_AGG_ST_DISTRICT_PEN[],D$1,0),"ERROR")</f>
        <v>55.285446009399998</v>
      </c>
      <c r="E86" s="103">
        <f>IFERROR(VLOOKUP($B86,MMWR_TRAD_AGG_ST_DISTRICT_PEN[],E$1,0),"ERROR")</f>
        <v>4510</v>
      </c>
      <c r="F86" s="103">
        <f>IFERROR(VLOOKUP($B86,MMWR_TRAD_AGG_ST_DISTRICT_PEN[],F$1,0),"ERROR")</f>
        <v>333</v>
      </c>
      <c r="G86" s="105">
        <f t="shared" si="8"/>
        <v>7.3835920177383593E-2</v>
      </c>
      <c r="H86" s="103">
        <f>IFERROR(VLOOKUP($B86,MMWR_TRAD_AGG_ST_DISTRICT_PEN[],H$1,0),"ERROR")</f>
        <v>5036</v>
      </c>
      <c r="I86" s="103">
        <f>IFERROR(VLOOKUP($B86,MMWR_TRAD_AGG_ST_DISTRICT_PEN[],I$1,0),"ERROR")</f>
        <v>433</v>
      </c>
      <c r="J86" s="105">
        <f t="shared" si="9"/>
        <v>8.5980937251787126E-2</v>
      </c>
      <c r="K86" s="103">
        <f>IFERROR(VLOOKUP($B86,MMWR_TRAD_AGG_ST_DISTRICT_PEN[],K$1,0),"ERROR")</f>
        <v>33</v>
      </c>
      <c r="L86" s="103">
        <f>IFERROR(VLOOKUP($B86,MMWR_TRAD_AGG_ST_DISTRICT_PEN[],L$1,0),"ERROR")</f>
        <v>32</v>
      </c>
      <c r="M86" s="105">
        <f t="shared" si="10"/>
        <v>0.96969696969696972</v>
      </c>
      <c r="N86" s="103">
        <f>IFERROR(VLOOKUP($B86,MMWR_TRAD_AGG_ST_DISTRICT_PEN[],N$1,0),"ERROR")</f>
        <v>298</v>
      </c>
      <c r="O86" s="103">
        <f>IFERROR(VLOOKUP($B86,MMWR_TRAD_AGG_ST_DISTRICT_PEN[],O$1,0),"ERROR")</f>
        <v>86</v>
      </c>
      <c r="P86" s="105">
        <f t="shared" si="11"/>
        <v>0.28859060402684567</v>
      </c>
      <c r="Q86" s="103">
        <f>IFERROR(VLOOKUP($B86,MMWR_TRAD_AGG_ST_DISTRICT_PEN[],Q$1,0),"ERROR")</f>
        <v>3615</v>
      </c>
      <c r="R86" s="107">
        <f>IFERROR(VLOOKUP($B86,MMWR_TRAD_AGG_ST_DISTRICT_PEN[],R$1,0),"ERROR")</f>
        <v>442</v>
      </c>
      <c r="S86" s="107">
        <f>IFERROR(VLOOKUP($B86,MMWR_APP_STATE_PEN[],S$1,0),"ERROR")</f>
        <v>1286</v>
      </c>
      <c r="T86" s="28"/>
    </row>
    <row r="87" spans="1:20" s="124" customFormat="1" x14ac:dyDescent="0.2">
      <c r="A87" s="28"/>
      <c r="B87" s="128" t="s">
        <v>404</v>
      </c>
      <c r="C87" s="110">
        <f>IFERROR(VLOOKUP($B87,MMWR_TRAD_AGG_STATE_PEN[],C$1,0),"ERROR")</f>
        <v>441</v>
      </c>
      <c r="D87" s="111">
        <f>IFERROR(VLOOKUP($B87,MMWR_TRAD_AGG_STATE_PEN[],D$1,0),"ERROR")</f>
        <v>54.154195011299997</v>
      </c>
      <c r="E87" s="112">
        <f>IFERROR(VLOOKUP($B87,MMWR_TRAD_AGG_STATE_PEN[],E$1,0),"ERROR")</f>
        <v>584</v>
      </c>
      <c r="F87" s="113">
        <f>IFERROR(VLOOKUP($B87,MMWR_TRAD_AGG_STATE_PEN[],F$1,0),"ERROR")</f>
        <v>45</v>
      </c>
      <c r="G87" s="114">
        <f t="shared" si="8"/>
        <v>7.7054794520547948E-2</v>
      </c>
      <c r="H87" s="112">
        <f>IFERROR(VLOOKUP($B87,MMWR_TRAD_AGG_STATE_PEN[],H$1,0),"ERROR")</f>
        <v>650</v>
      </c>
      <c r="I87" s="113">
        <f>IFERROR(VLOOKUP($B87,MMWR_TRAD_AGG_STATE_PEN[],I$1,0),"ERROR")</f>
        <v>52</v>
      </c>
      <c r="J87" s="115">
        <f t="shared" si="9"/>
        <v>0.08</v>
      </c>
      <c r="K87" s="112">
        <f>IFERROR(VLOOKUP($B87,MMWR_TRAD_AGG_STATE_PEN[],K$1,0),"ERROR")</f>
        <v>5</v>
      </c>
      <c r="L87" s="113">
        <f>IFERROR(VLOOKUP($B87,MMWR_TRAD_AGG_STATE_PEN[],L$1,0),"ERROR")</f>
        <v>4</v>
      </c>
      <c r="M87" s="115">
        <f t="shared" si="10"/>
        <v>0.8</v>
      </c>
      <c r="N87" s="112">
        <f>IFERROR(VLOOKUP($B87,MMWR_TRAD_AGG_STATE_PEN[],N$1,0),"ERROR")</f>
        <v>54</v>
      </c>
      <c r="O87" s="113">
        <f>IFERROR(VLOOKUP($B87,MMWR_TRAD_AGG_STATE_PEN[],O$1,0),"ERROR")</f>
        <v>19</v>
      </c>
      <c r="P87" s="115">
        <f t="shared" si="11"/>
        <v>0.35185185185185186</v>
      </c>
      <c r="Q87" s="116">
        <f>IFERROR(VLOOKUP($B87,MMWR_TRAD_AGG_STATE_PEN[],Q$1,0),"ERROR")</f>
        <v>518</v>
      </c>
      <c r="R87" s="116">
        <f>IFERROR(VLOOKUP($B87,MMWR_TRAD_AGG_STATE_PEN[],R$1,0),"ERROR")</f>
        <v>53</v>
      </c>
      <c r="S87" s="116">
        <f>IFERROR(VLOOKUP($B87,MMWR_APP_STATE_PEN[],S$1,0),"ERROR")</f>
        <v>326</v>
      </c>
      <c r="T87" s="28"/>
    </row>
    <row r="88" spans="1:20" s="124" customFormat="1" x14ac:dyDescent="0.2">
      <c r="A88" s="28"/>
      <c r="B88" s="128" t="s">
        <v>402</v>
      </c>
      <c r="C88" s="110">
        <f>IFERROR(VLOOKUP($B88,MMWR_TRAD_AGG_STATE_PEN[],C$1,0),"ERROR")</f>
        <v>318</v>
      </c>
      <c r="D88" s="111">
        <f>IFERROR(VLOOKUP($B88,MMWR_TRAD_AGG_STATE_PEN[],D$1,0),"ERROR")</f>
        <v>59.172955974799997</v>
      </c>
      <c r="E88" s="112">
        <f>IFERROR(VLOOKUP($B88,MMWR_TRAD_AGG_STATE_PEN[],E$1,0),"ERROR")</f>
        <v>480</v>
      </c>
      <c r="F88" s="113">
        <f>IFERROR(VLOOKUP($B88,MMWR_TRAD_AGG_STATE_PEN[],F$1,0),"ERROR")</f>
        <v>38</v>
      </c>
      <c r="G88" s="114">
        <f t="shared" si="8"/>
        <v>7.9166666666666663E-2</v>
      </c>
      <c r="H88" s="112">
        <f>IFERROR(VLOOKUP($B88,MMWR_TRAD_AGG_STATE_PEN[],H$1,0),"ERROR")</f>
        <v>528</v>
      </c>
      <c r="I88" s="113">
        <f>IFERROR(VLOOKUP($B88,MMWR_TRAD_AGG_STATE_PEN[],I$1,0),"ERROR")</f>
        <v>54</v>
      </c>
      <c r="J88" s="115">
        <f t="shared" si="9"/>
        <v>0.10227272727272728</v>
      </c>
      <c r="K88" s="112">
        <f>IFERROR(VLOOKUP($B88,MMWR_TRAD_AGG_STATE_PEN[],K$1,0),"ERROR")</f>
        <v>3</v>
      </c>
      <c r="L88" s="113">
        <f>IFERROR(VLOOKUP($B88,MMWR_TRAD_AGG_STATE_PEN[],L$1,0),"ERROR")</f>
        <v>3</v>
      </c>
      <c r="M88" s="115">
        <f t="shared" si="10"/>
        <v>1</v>
      </c>
      <c r="N88" s="112">
        <f>IFERROR(VLOOKUP($B88,MMWR_TRAD_AGG_STATE_PEN[],N$1,0),"ERROR")</f>
        <v>41</v>
      </c>
      <c r="O88" s="113">
        <f>IFERROR(VLOOKUP($B88,MMWR_TRAD_AGG_STATE_PEN[],O$1,0),"ERROR")</f>
        <v>14</v>
      </c>
      <c r="P88" s="115">
        <f t="shared" si="11"/>
        <v>0.34146341463414637</v>
      </c>
      <c r="Q88" s="116">
        <f>IFERROR(VLOOKUP($B88,MMWR_TRAD_AGG_STATE_PEN[],Q$1,0),"ERROR")</f>
        <v>340</v>
      </c>
      <c r="R88" s="116">
        <f>IFERROR(VLOOKUP($B88,MMWR_TRAD_AGG_STATE_PEN[],R$1,0),"ERROR")</f>
        <v>39</v>
      </c>
      <c r="S88" s="116">
        <f>IFERROR(VLOOKUP($B88,MMWR_APP_STATE_PEN[],S$1,0),"ERROR")</f>
        <v>120</v>
      </c>
      <c r="T88" s="28"/>
    </row>
    <row r="89" spans="1:20" s="124" customFormat="1" x14ac:dyDescent="0.2">
      <c r="A89" s="28"/>
      <c r="B89" s="128" t="s">
        <v>409</v>
      </c>
      <c r="C89" s="110">
        <f>IFERROR(VLOOKUP($B89,MMWR_TRAD_AGG_STATE_PEN[],C$1,0),"ERROR")</f>
        <v>108</v>
      </c>
      <c r="D89" s="111">
        <f>IFERROR(VLOOKUP($B89,MMWR_TRAD_AGG_STATE_PEN[],D$1,0),"ERROR")</f>
        <v>46.25</v>
      </c>
      <c r="E89" s="112">
        <f>IFERROR(VLOOKUP($B89,MMWR_TRAD_AGG_STATE_PEN[],E$1,0),"ERROR")</f>
        <v>300</v>
      </c>
      <c r="F89" s="113">
        <f>IFERROR(VLOOKUP($B89,MMWR_TRAD_AGG_STATE_PEN[],F$1,0),"ERROR")</f>
        <v>8</v>
      </c>
      <c r="G89" s="114">
        <f t="shared" si="8"/>
        <v>2.6666666666666668E-2</v>
      </c>
      <c r="H89" s="112">
        <f>IFERROR(VLOOKUP($B89,MMWR_TRAD_AGG_STATE_PEN[],H$1,0),"ERROR")</f>
        <v>186</v>
      </c>
      <c r="I89" s="113">
        <f>IFERROR(VLOOKUP($B89,MMWR_TRAD_AGG_STATE_PEN[],I$1,0),"ERROR")</f>
        <v>7</v>
      </c>
      <c r="J89" s="115">
        <f t="shared" si="9"/>
        <v>3.7634408602150539E-2</v>
      </c>
      <c r="K89" s="112">
        <f>IFERROR(VLOOKUP($B89,MMWR_TRAD_AGG_STATE_PEN[],K$1,0),"ERROR")</f>
        <v>1</v>
      </c>
      <c r="L89" s="113">
        <f>IFERROR(VLOOKUP($B89,MMWR_TRAD_AGG_STATE_PEN[],L$1,0),"ERROR")</f>
        <v>1</v>
      </c>
      <c r="M89" s="115">
        <f t="shared" si="10"/>
        <v>1</v>
      </c>
      <c r="N89" s="112">
        <f>IFERROR(VLOOKUP($B89,MMWR_TRAD_AGG_STATE_PEN[],N$1,0),"ERROR")</f>
        <v>2</v>
      </c>
      <c r="O89" s="113">
        <f>IFERROR(VLOOKUP($B89,MMWR_TRAD_AGG_STATE_PEN[],O$1,0),"ERROR")</f>
        <v>1</v>
      </c>
      <c r="P89" s="115">
        <f t="shared" si="11"/>
        <v>0.5</v>
      </c>
      <c r="Q89" s="116">
        <f>IFERROR(VLOOKUP($B89,MMWR_TRAD_AGG_STATE_PEN[],Q$1,0),"ERROR")</f>
        <v>185</v>
      </c>
      <c r="R89" s="116">
        <f>IFERROR(VLOOKUP($B89,MMWR_TRAD_AGG_STATE_PEN[],R$1,0),"ERROR")</f>
        <v>26</v>
      </c>
      <c r="S89" s="116">
        <f>IFERROR(VLOOKUP($B89,MMWR_APP_STATE_PEN[],S$1,0),"ERROR")</f>
        <v>35</v>
      </c>
      <c r="T89" s="28"/>
    </row>
    <row r="90" spans="1:20" s="124" customFormat="1" x14ac:dyDescent="0.2">
      <c r="A90" s="28"/>
      <c r="B90" s="128" t="s">
        <v>432</v>
      </c>
      <c r="C90" s="110">
        <f>IFERROR(VLOOKUP($B90,MMWR_TRAD_AGG_STATE_PEN[],C$1,0),"ERROR")</f>
        <v>92</v>
      </c>
      <c r="D90" s="111">
        <f>IFERROR(VLOOKUP($B90,MMWR_TRAD_AGG_STATE_PEN[],D$1,0),"ERROR")</f>
        <v>43.195652173900001</v>
      </c>
      <c r="E90" s="112">
        <f>IFERROR(VLOOKUP($B90,MMWR_TRAD_AGG_STATE_PEN[],E$1,0),"ERROR")</f>
        <v>236</v>
      </c>
      <c r="F90" s="113">
        <f>IFERROR(VLOOKUP($B90,MMWR_TRAD_AGG_STATE_PEN[],F$1,0),"ERROR")</f>
        <v>14</v>
      </c>
      <c r="G90" s="114">
        <f t="shared" si="8"/>
        <v>5.9322033898305086E-2</v>
      </c>
      <c r="H90" s="112">
        <f>IFERROR(VLOOKUP($B90,MMWR_TRAD_AGG_STATE_PEN[],H$1,0),"ERROR")</f>
        <v>167</v>
      </c>
      <c r="I90" s="113">
        <f>IFERROR(VLOOKUP($B90,MMWR_TRAD_AGG_STATE_PEN[],I$1,0),"ERROR")</f>
        <v>8</v>
      </c>
      <c r="J90" s="115">
        <f t="shared" si="9"/>
        <v>4.790419161676647E-2</v>
      </c>
      <c r="K90" s="112">
        <f>IFERROR(VLOOKUP($B90,MMWR_TRAD_AGG_STATE_PEN[],K$1,0),"ERROR")</f>
        <v>2</v>
      </c>
      <c r="L90" s="113">
        <f>IFERROR(VLOOKUP($B90,MMWR_TRAD_AGG_STATE_PEN[],L$1,0),"ERROR")</f>
        <v>2</v>
      </c>
      <c r="M90" s="115">
        <f t="shared" si="10"/>
        <v>1</v>
      </c>
      <c r="N90" s="112">
        <f>IFERROR(VLOOKUP($B90,MMWR_TRAD_AGG_STATE_PEN[],N$1,0),"ERROR")</f>
        <v>7</v>
      </c>
      <c r="O90" s="113">
        <f>IFERROR(VLOOKUP($B90,MMWR_TRAD_AGG_STATE_PEN[],O$1,0),"ERROR")</f>
        <v>2</v>
      </c>
      <c r="P90" s="115">
        <f t="shared" si="11"/>
        <v>0.2857142857142857</v>
      </c>
      <c r="Q90" s="116">
        <f>IFERROR(VLOOKUP($B90,MMWR_TRAD_AGG_STATE_PEN[],Q$1,0),"ERROR")</f>
        <v>114</v>
      </c>
      <c r="R90" s="116">
        <f>IFERROR(VLOOKUP($B90,MMWR_TRAD_AGG_STATE_PEN[],R$1,0),"ERROR")</f>
        <v>41</v>
      </c>
      <c r="S90" s="116">
        <f>IFERROR(VLOOKUP($B90,MMWR_APP_STATE_PEN[],S$1,0),"ERROR")</f>
        <v>23</v>
      </c>
      <c r="T90" s="28"/>
    </row>
    <row r="91" spans="1:20" s="124" customFormat="1" x14ac:dyDescent="0.2">
      <c r="A91" s="28"/>
      <c r="B91" s="128" t="s">
        <v>405</v>
      </c>
      <c r="C91" s="110">
        <f>IFERROR(VLOOKUP($B91,MMWR_TRAD_AGG_STATE_PEN[],C$1,0),"ERROR")</f>
        <v>567</v>
      </c>
      <c r="D91" s="111">
        <f>IFERROR(VLOOKUP($B91,MMWR_TRAD_AGG_STATE_PEN[],D$1,0),"ERROR")</f>
        <v>57.181657848299999</v>
      </c>
      <c r="E91" s="112">
        <f>IFERROR(VLOOKUP($B91,MMWR_TRAD_AGG_STATE_PEN[],E$1,0),"ERROR")</f>
        <v>795</v>
      </c>
      <c r="F91" s="113">
        <f>IFERROR(VLOOKUP($B91,MMWR_TRAD_AGG_STATE_PEN[],F$1,0),"ERROR")</f>
        <v>76</v>
      </c>
      <c r="G91" s="114">
        <f t="shared" si="8"/>
        <v>9.5597484276729566E-2</v>
      </c>
      <c r="H91" s="112">
        <f>IFERROR(VLOOKUP($B91,MMWR_TRAD_AGG_STATE_PEN[],H$1,0),"ERROR")</f>
        <v>895</v>
      </c>
      <c r="I91" s="113">
        <f>IFERROR(VLOOKUP($B91,MMWR_TRAD_AGG_STATE_PEN[],I$1,0),"ERROR")</f>
        <v>90</v>
      </c>
      <c r="J91" s="115">
        <f t="shared" si="9"/>
        <v>0.1005586592178771</v>
      </c>
      <c r="K91" s="112">
        <f>IFERROR(VLOOKUP($B91,MMWR_TRAD_AGG_STATE_PEN[],K$1,0),"ERROR")</f>
        <v>5</v>
      </c>
      <c r="L91" s="113">
        <f>IFERROR(VLOOKUP($B91,MMWR_TRAD_AGG_STATE_PEN[],L$1,0),"ERROR")</f>
        <v>5</v>
      </c>
      <c r="M91" s="115">
        <f t="shared" si="10"/>
        <v>1</v>
      </c>
      <c r="N91" s="112">
        <f>IFERROR(VLOOKUP($B91,MMWR_TRAD_AGG_STATE_PEN[],N$1,0),"ERROR")</f>
        <v>57</v>
      </c>
      <c r="O91" s="113">
        <f>IFERROR(VLOOKUP($B91,MMWR_TRAD_AGG_STATE_PEN[],O$1,0),"ERROR")</f>
        <v>11</v>
      </c>
      <c r="P91" s="115">
        <f t="shared" si="11"/>
        <v>0.19298245614035087</v>
      </c>
      <c r="Q91" s="116">
        <f>IFERROR(VLOOKUP($B91,MMWR_TRAD_AGG_STATE_PEN[],Q$1,0),"ERROR")</f>
        <v>490</v>
      </c>
      <c r="R91" s="116">
        <f>IFERROR(VLOOKUP($B91,MMWR_TRAD_AGG_STATE_PEN[],R$1,0),"ERROR")</f>
        <v>67</v>
      </c>
      <c r="S91" s="116">
        <f>IFERROR(VLOOKUP($B91,MMWR_APP_STATE_PEN[],S$1,0),"ERROR")</f>
        <v>229</v>
      </c>
      <c r="T91" s="28"/>
    </row>
    <row r="92" spans="1:20" s="124" customFormat="1" x14ac:dyDescent="0.2">
      <c r="A92" s="28"/>
      <c r="B92" s="128" t="s">
        <v>411</v>
      </c>
      <c r="C92" s="110">
        <f>IFERROR(VLOOKUP($B92,MMWR_TRAD_AGG_STATE_PEN[],C$1,0),"ERROR")</f>
        <v>132</v>
      </c>
      <c r="D92" s="111">
        <f>IFERROR(VLOOKUP($B92,MMWR_TRAD_AGG_STATE_PEN[],D$1,0),"ERROR")</f>
        <v>33.212121212100001</v>
      </c>
      <c r="E92" s="112">
        <f>IFERROR(VLOOKUP($B92,MMWR_TRAD_AGG_STATE_PEN[],E$1,0),"ERROR")</f>
        <v>299</v>
      </c>
      <c r="F92" s="113">
        <f>IFERROR(VLOOKUP($B92,MMWR_TRAD_AGG_STATE_PEN[],F$1,0),"ERROR")</f>
        <v>13</v>
      </c>
      <c r="G92" s="114">
        <f t="shared" si="8"/>
        <v>4.3478260869565216E-2</v>
      </c>
      <c r="H92" s="112">
        <f>IFERROR(VLOOKUP($B92,MMWR_TRAD_AGG_STATE_PEN[],H$1,0),"ERROR")</f>
        <v>223</v>
      </c>
      <c r="I92" s="113">
        <f>IFERROR(VLOOKUP($B92,MMWR_TRAD_AGG_STATE_PEN[],I$1,0),"ERROR")</f>
        <v>0</v>
      </c>
      <c r="J92" s="115">
        <f t="shared" si="9"/>
        <v>0</v>
      </c>
      <c r="K92" s="112">
        <f>IFERROR(VLOOKUP($B92,MMWR_TRAD_AGG_STATE_PEN[],K$1,0),"ERROR")</f>
        <v>1</v>
      </c>
      <c r="L92" s="113">
        <f>IFERROR(VLOOKUP($B92,MMWR_TRAD_AGG_STATE_PEN[],L$1,0),"ERROR")</f>
        <v>1</v>
      </c>
      <c r="M92" s="115">
        <f t="shared" si="10"/>
        <v>1</v>
      </c>
      <c r="N92" s="112">
        <f>IFERROR(VLOOKUP($B92,MMWR_TRAD_AGG_STATE_PEN[],N$1,0),"ERROR")</f>
        <v>8</v>
      </c>
      <c r="O92" s="113">
        <f>IFERROR(VLOOKUP($B92,MMWR_TRAD_AGG_STATE_PEN[],O$1,0),"ERROR")</f>
        <v>2</v>
      </c>
      <c r="P92" s="115">
        <f t="shared" si="11"/>
        <v>0.25</v>
      </c>
      <c r="Q92" s="116">
        <f>IFERROR(VLOOKUP($B92,MMWR_TRAD_AGG_STATE_PEN[],Q$1,0),"ERROR")</f>
        <v>424</v>
      </c>
      <c r="R92" s="116">
        <f>IFERROR(VLOOKUP($B92,MMWR_TRAD_AGG_STATE_PEN[],R$1,0),"ERROR")</f>
        <v>41</v>
      </c>
      <c r="S92" s="116">
        <f>IFERROR(VLOOKUP($B92,MMWR_APP_STATE_PEN[],S$1,0),"ERROR")</f>
        <v>33</v>
      </c>
      <c r="T92" s="28"/>
    </row>
    <row r="93" spans="1:20" s="124" customFormat="1" x14ac:dyDescent="0.2">
      <c r="A93" s="28"/>
      <c r="B93" s="128" t="s">
        <v>407</v>
      </c>
      <c r="C93" s="110">
        <f>IFERROR(VLOOKUP($B93,MMWR_TRAD_AGG_STATE_PEN[],C$1,0),"ERROR")</f>
        <v>456</v>
      </c>
      <c r="D93" s="111">
        <f>IFERROR(VLOOKUP($B93,MMWR_TRAD_AGG_STATE_PEN[],D$1,0),"ERROR")</f>
        <v>55.857456140399997</v>
      </c>
      <c r="E93" s="112">
        <f>IFERROR(VLOOKUP($B93,MMWR_TRAD_AGG_STATE_PEN[],E$1,0),"ERROR")</f>
        <v>432</v>
      </c>
      <c r="F93" s="113">
        <f>IFERROR(VLOOKUP($B93,MMWR_TRAD_AGG_STATE_PEN[],F$1,0),"ERROR")</f>
        <v>33</v>
      </c>
      <c r="G93" s="114">
        <f t="shared" si="8"/>
        <v>7.6388888888888895E-2</v>
      </c>
      <c r="H93" s="112">
        <f>IFERROR(VLOOKUP($B93,MMWR_TRAD_AGG_STATE_PEN[],H$1,0),"ERROR")</f>
        <v>710</v>
      </c>
      <c r="I93" s="113">
        <f>IFERROR(VLOOKUP($B93,MMWR_TRAD_AGG_STATE_PEN[],I$1,0),"ERROR")</f>
        <v>63</v>
      </c>
      <c r="J93" s="115">
        <f t="shared" si="9"/>
        <v>8.873239436619719E-2</v>
      </c>
      <c r="K93" s="112">
        <f>IFERROR(VLOOKUP($B93,MMWR_TRAD_AGG_STATE_PEN[],K$1,0),"ERROR")</f>
        <v>2</v>
      </c>
      <c r="L93" s="113">
        <f>IFERROR(VLOOKUP($B93,MMWR_TRAD_AGG_STATE_PEN[],L$1,0),"ERROR")</f>
        <v>2</v>
      </c>
      <c r="M93" s="115">
        <f t="shared" si="10"/>
        <v>1</v>
      </c>
      <c r="N93" s="112">
        <f>IFERROR(VLOOKUP($B93,MMWR_TRAD_AGG_STATE_PEN[],N$1,0),"ERROR")</f>
        <v>42</v>
      </c>
      <c r="O93" s="113">
        <f>IFERROR(VLOOKUP($B93,MMWR_TRAD_AGG_STATE_PEN[],O$1,0),"ERROR")</f>
        <v>16</v>
      </c>
      <c r="P93" s="115">
        <f t="shared" si="11"/>
        <v>0.38095238095238093</v>
      </c>
      <c r="Q93" s="116">
        <f>IFERROR(VLOOKUP($B93,MMWR_TRAD_AGG_STATE_PEN[],Q$1,0),"ERROR")</f>
        <v>423</v>
      </c>
      <c r="R93" s="116">
        <f>IFERROR(VLOOKUP($B93,MMWR_TRAD_AGG_STATE_PEN[],R$1,0),"ERROR")</f>
        <v>49</v>
      </c>
      <c r="S93" s="116">
        <f>IFERROR(VLOOKUP($B93,MMWR_APP_STATE_PEN[],S$1,0),"ERROR")</f>
        <v>185</v>
      </c>
      <c r="T93" s="28"/>
    </row>
    <row r="94" spans="1:20" s="124" customFormat="1" x14ac:dyDescent="0.2">
      <c r="A94" s="28"/>
      <c r="B94" s="128" t="s">
        <v>410</v>
      </c>
      <c r="C94" s="110">
        <f>IFERROR(VLOOKUP($B94,MMWR_TRAD_AGG_STATE_PEN[],C$1,0),"ERROR")</f>
        <v>56</v>
      </c>
      <c r="D94" s="111">
        <f>IFERROR(VLOOKUP($B94,MMWR_TRAD_AGG_STATE_PEN[],D$1,0),"ERROR")</f>
        <v>35.607142857100001</v>
      </c>
      <c r="E94" s="112">
        <f>IFERROR(VLOOKUP($B94,MMWR_TRAD_AGG_STATE_PEN[],E$1,0),"ERROR")</f>
        <v>97</v>
      </c>
      <c r="F94" s="113">
        <f>IFERROR(VLOOKUP($B94,MMWR_TRAD_AGG_STATE_PEN[],F$1,0),"ERROR")</f>
        <v>2</v>
      </c>
      <c r="G94" s="114">
        <f t="shared" si="8"/>
        <v>2.0618556701030927E-2</v>
      </c>
      <c r="H94" s="112">
        <f>IFERROR(VLOOKUP($B94,MMWR_TRAD_AGG_STATE_PEN[],H$1,0),"ERROR")</f>
        <v>77</v>
      </c>
      <c r="I94" s="113">
        <f>IFERROR(VLOOKUP($B94,MMWR_TRAD_AGG_STATE_PEN[],I$1,0),"ERROR")</f>
        <v>1</v>
      </c>
      <c r="J94" s="115">
        <f t="shared" si="9"/>
        <v>1.2987012987012988E-2</v>
      </c>
      <c r="K94" s="112">
        <f>IFERROR(VLOOKUP($B94,MMWR_TRAD_AGG_STATE_PEN[],K$1,0),"ERROR")</f>
        <v>0</v>
      </c>
      <c r="L94" s="113">
        <f>IFERROR(VLOOKUP($B94,MMWR_TRAD_AGG_STATE_PEN[],L$1,0),"ERROR")</f>
        <v>0</v>
      </c>
      <c r="M94" s="115" t="str">
        <f t="shared" si="10"/>
        <v>0%</v>
      </c>
      <c r="N94" s="112">
        <f>IFERROR(VLOOKUP($B94,MMWR_TRAD_AGG_STATE_PEN[],N$1,0),"ERROR")</f>
        <v>3</v>
      </c>
      <c r="O94" s="113">
        <f>IFERROR(VLOOKUP($B94,MMWR_TRAD_AGG_STATE_PEN[],O$1,0),"ERROR")</f>
        <v>1</v>
      </c>
      <c r="P94" s="115">
        <f t="shared" si="11"/>
        <v>0.33333333333333331</v>
      </c>
      <c r="Q94" s="116">
        <f>IFERROR(VLOOKUP($B94,MMWR_TRAD_AGG_STATE_PEN[],Q$1,0),"ERROR")</f>
        <v>137</v>
      </c>
      <c r="R94" s="116">
        <f>IFERROR(VLOOKUP($B94,MMWR_TRAD_AGG_STATE_PEN[],R$1,0),"ERROR")</f>
        <v>24</v>
      </c>
      <c r="S94" s="116">
        <f>IFERROR(VLOOKUP($B94,MMWR_APP_STATE_PEN[],S$1,0),"ERROR")</f>
        <v>34</v>
      </c>
      <c r="T94" s="28"/>
    </row>
    <row r="95" spans="1:20" s="124" customFormat="1" x14ac:dyDescent="0.2">
      <c r="A95" s="28"/>
      <c r="B95" s="128" t="s">
        <v>429</v>
      </c>
      <c r="C95" s="110">
        <f>IFERROR(VLOOKUP($B95,MMWR_TRAD_AGG_STATE_PEN[],C$1,0),"ERROR")</f>
        <v>26</v>
      </c>
      <c r="D95" s="111">
        <f>IFERROR(VLOOKUP($B95,MMWR_TRAD_AGG_STATE_PEN[],D$1,0),"ERROR")</f>
        <v>35.5</v>
      </c>
      <c r="E95" s="112">
        <f>IFERROR(VLOOKUP($B95,MMWR_TRAD_AGG_STATE_PEN[],E$1,0),"ERROR")</f>
        <v>27</v>
      </c>
      <c r="F95" s="113">
        <f>IFERROR(VLOOKUP($B95,MMWR_TRAD_AGG_STATE_PEN[],F$1,0),"ERROR")</f>
        <v>0</v>
      </c>
      <c r="G95" s="114">
        <f t="shared" si="8"/>
        <v>0</v>
      </c>
      <c r="H95" s="112">
        <f>IFERROR(VLOOKUP($B95,MMWR_TRAD_AGG_STATE_PEN[],H$1,0),"ERROR")</f>
        <v>37</v>
      </c>
      <c r="I95" s="113">
        <f>IFERROR(VLOOKUP($B95,MMWR_TRAD_AGG_STATE_PEN[],I$1,0),"ERROR")</f>
        <v>0</v>
      </c>
      <c r="J95" s="115">
        <f t="shared" si="9"/>
        <v>0</v>
      </c>
      <c r="K95" s="112">
        <f>IFERROR(VLOOKUP($B95,MMWR_TRAD_AGG_STATE_PEN[],K$1,0),"ERROR")</f>
        <v>1</v>
      </c>
      <c r="L95" s="113">
        <f>IFERROR(VLOOKUP($B95,MMWR_TRAD_AGG_STATE_PEN[],L$1,0),"ERROR")</f>
        <v>1</v>
      </c>
      <c r="M95" s="115">
        <f t="shared" si="10"/>
        <v>1</v>
      </c>
      <c r="N95" s="112">
        <f>IFERROR(VLOOKUP($B95,MMWR_TRAD_AGG_STATE_PEN[],N$1,0),"ERROR")</f>
        <v>0</v>
      </c>
      <c r="O95" s="113">
        <f>IFERROR(VLOOKUP($B95,MMWR_TRAD_AGG_STATE_PEN[],O$1,0),"ERROR")</f>
        <v>0</v>
      </c>
      <c r="P95" s="115" t="str">
        <f t="shared" si="11"/>
        <v>0%</v>
      </c>
      <c r="Q95" s="116">
        <f>IFERROR(VLOOKUP($B95,MMWR_TRAD_AGG_STATE_PEN[],Q$1,0),"ERROR")</f>
        <v>36</v>
      </c>
      <c r="R95" s="116">
        <f>IFERROR(VLOOKUP($B95,MMWR_TRAD_AGG_STATE_PEN[],R$1,0),"ERROR")</f>
        <v>6</v>
      </c>
      <c r="S95" s="116">
        <f>IFERROR(VLOOKUP($B95,MMWR_APP_STATE_PEN[],S$1,0),"ERROR")</f>
        <v>4</v>
      </c>
      <c r="T95" s="28"/>
    </row>
    <row r="96" spans="1:20" s="124" customFormat="1" x14ac:dyDescent="0.2">
      <c r="A96" s="28"/>
      <c r="B96" s="128" t="s">
        <v>401</v>
      </c>
      <c r="C96" s="110">
        <f>IFERROR(VLOOKUP($B96,MMWR_TRAD_AGG_STATE_PEN[],C$1,0),"ERROR")</f>
        <v>665</v>
      </c>
      <c r="D96" s="111">
        <f>IFERROR(VLOOKUP($B96,MMWR_TRAD_AGG_STATE_PEN[],D$1,0),"ERROR")</f>
        <v>63.007518797000003</v>
      </c>
      <c r="E96" s="112">
        <f>IFERROR(VLOOKUP($B96,MMWR_TRAD_AGG_STATE_PEN[],E$1,0),"ERROR")</f>
        <v>933</v>
      </c>
      <c r="F96" s="113">
        <f>IFERROR(VLOOKUP($B96,MMWR_TRAD_AGG_STATE_PEN[],F$1,0),"ERROR")</f>
        <v>84</v>
      </c>
      <c r="G96" s="114">
        <f t="shared" si="8"/>
        <v>9.0032154340836015E-2</v>
      </c>
      <c r="H96" s="112">
        <f>IFERROR(VLOOKUP($B96,MMWR_TRAD_AGG_STATE_PEN[],H$1,0),"ERROR")</f>
        <v>1083</v>
      </c>
      <c r="I96" s="113">
        <f>IFERROR(VLOOKUP($B96,MMWR_TRAD_AGG_STATE_PEN[],I$1,0),"ERROR")</f>
        <v>127</v>
      </c>
      <c r="J96" s="115">
        <f t="shared" si="9"/>
        <v>0.1172668513388735</v>
      </c>
      <c r="K96" s="112">
        <f>IFERROR(VLOOKUP($B96,MMWR_TRAD_AGG_STATE_PEN[],K$1,0),"ERROR")</f>
        <v>11</v>
      </c>
      <c r="L96" s="113">
        <f>IFERROR(VLOOKUP($B96,MMWR_TRAD_AGG_STATE_PEN[],L$1,0),"ERROR")</f>
        <v>11</v>
      </c>
      <c r="M96" s="115">
        <f t="shared" si="10"/>
        <v>1</v>
      </c>
      <c r="N96" s="112">
        <f>IFERROR(VLOOKUP($B96,MMWR_TRAD_AGG_STATE_PEN[],N$1,0),"ERROR")</f>
        <v>63</v>
      </c>
      <c r="O96" s="113">
        <f>IFERROR(VLOOKUP($B96,MMWR_TRAD_AGG_STATE_PEN[],O$1,0),"ERROR")</f>
        <v>16</v>
      </c>
      <c r="P96" s="115">
        <f t="shared" si="11"/>
        <v>0.25396825396825395</v>
      </c>
      <c r="Q96" s="116">
        <f>IFERROR(VLOOKUP($B96,MMWR_TRAD_AGG_STATE_PEN[],Q$1,0),"ERROR")</f>
        <v>525</v>
      </c>
      <c r="R96" s="116">
        <f>IFERROR(VLOOKUP($B96,MMWR_TRAD_AGG_STATE_PEN[],R$1,0),"ERROR")</f>
        <v>69</v>
      </c>
      <c r="S96" s="116">
        <f>IFERROR(VLOOKUP($B96,MMWR_APP_STATE_PEN[],S$1,0),"ERROR")</f>
        <v>221</v>
      </c>
      <c r="T96" s="28"/>
    </row>
    <row r="97" spans="1:20" s="124" customFormat="1" x14ac:dyDescent="0.2">
      <c r="A97" s="28"/>
      <c r="B97" s="128" t="s">
        <v>430</v>
      </c>
      <c r="C97" s="110">
        <f>IFERROR(VLOOKUP($B97,MMWR_TRAD_AGG_STATE_PEN[],C$1,0),"ERROR")</f>
        <v>41</v>
      </c>
      <c r="D97" s="111">
        <f>IFERROR(VLOOKUP($B97,MMWR_TRAD_AGG_STATE_PEN[],D$1,0),"ERROR")</f>
        <v>41.975609756099999</v>
      </c>
      <c r="E97" s="112">
        <f>IFERROR(VLOOKUP($B97,MMWR_TRAD_AGG_STATE_PEN[],E$1,0),"ERROR")</f>
        <v>54</v>
      </c>
      <c r="F97" s="113">
        <f>IFERROR(VLOOKUP($B97,MMWR_TRAD_AGG_STATE_PEN[],F$1,0),"ERROR")</f>
        <v>2</v>
      </c>
      <c r="G97" s="114">
        <f t="shared" si="8"/>
        <v>3.7037037037037035E-2</v>
      </c>
      <c r="H97" s="112">
        <f>IFERROR(VLOOKUP($B97,MMWR_TRAD_AGG_STATE_PEN[],H$1,0),"ERROR")</f>
        <v>54</v>
      </c>
      <c r="I97" s="113">
        <f>IFERROR(VLOOKUP($B97,MMWR_TRAD_AGG_STATE_PEN[],I$1,0),"ERROR")</f>
        <v>0</v>
      </c>
      <c r="J97" s="115">
        <f t="shared" si="9"/>
        <v>0</v>
      </c>
      <c r="K97" s="112">
        <f>IFERROR(VLOOKUP($B97,MMWR_TRAD_AGG_STATE_PEN[],K$1,0),"ERROR")</f>
        <v>0</v>
      </c>
      <c r="L97" s="113">
        <f>IFERROR(VLOOKUP($B97,MMWR_TRAD_AGG_STATE_PEN[],L$1,0),"ERROR")</f>
        <v>0</v>
      </c>
      <c r="M97" s="115" t="str">
        <f t="shared" si="10"/>
        <v>0%</v>
      </c>
      <c r="N97" s="112">
        <f>IFERROR(VLOOKUP($B97,MMWR_TRAD_AGG_STATE_PEN[],N$1,0),"ERROR")</f>
        <v>2</v>
      </c>
      <c r="O97" s="113">
        <f>IFERROR(VLOOKUP($B97,MMWR_TRAD_AGG_STATE_PEN[],O$1,0),"ERROR")</f>
        <v>0</v>
      </c>
      <c r="P97" s="115">
        <f t="shared" si="11"/>
        <v>0</v>
      </c>
      <c r="Q97" s="116">
        <f>IFERROR(VLOOKUP($B97,MMWR_TRAD_AGG_STATE_PEN[],Q$1,0),"ERROR")</f>
        <v>98</v>
      </c>
      <c r="R97" s="116">
        <f>IFERROR(VLOOKUP($B97,MMWR_TRAD_AGG_STATE_PEN[],R$1,0),"ERROR")</f>
        <v>4</v>
      </c>
      <c r="S97" s="116">
        <f>IFERROR(VLOOKUP($B97,MMWR_APP_STATE_PEN[],S$1,0),"ERROR")</f>
        <v>10</v>
      </c>
      <c r="T97" s="28"/>
    </row>
    <row r="98" spans="1:20" s="124" customFormat="1" x14ac:dyDescent="0.2">
      <c r="A98" s="28"/>
      <c r="B98" s="128" t="s">
        <v>406</v>
      </c>
      <c r="C98" s="110">
        <f>IFERROR(VLOOKUP($B98,MMWR_TRAD_AGG_STATE_PEN[],C$1,0),"ERROR")</f>
        <v>293</v>
      </c>
      <c r="D98" s="111">
        <f>IFERROR(VLOOKUP($B98,MMWR_TRAD_AGG_STATE_PEN[],D$1,0),"ERROR")</f>
        <v>55.133105802000003</v>
      </c>
      <c r="E98" s="112">
        <f>IFERROR(VLOOKUP($B98,MMWR_TRAD_AGG_STATE_PEN[],E$1,0),"ERROR")</f>
        <v>273</v>
      </c>
      <c r="F98" s="113">
        <f>IFERROR(VLOOKUP($B98,MMWR_TRAD_AGG_STATE_PEN[],F$1,0),"ERROR")</f>
        <v>18</v>
      </c>
      <c r="G98" s="114">
        <f t="shared" si="8"/>
        <v>6.5934065934065936E-2</v>
      </c>
      <c r="H98" s="112">
        <f>IFERROR(VLOOKUP($B98,MMWR_TRAD_AGG_STATE_PEN[],H$1,0),"ERROR")</f>
        <v>426</v>
      </c>
      <c r="I98" s="113">
        <f>IFERROR(VLOOKUP($B98,MMWR_TRAD_AGG_STATE_PEN[],I$1,0),"ERROR")</f>
        <v>31</v>
      </c>
      <c r="J98" s="115">
        <f t="shared" si="9"/>
        <v>7.2769953051643188E-2</v>
      </c>
      <c r="K98" s="112">
        <f>IFERROR(VLOOKUP($B98,MMWR_TRAD_AGG_STATE_PEN[],K$1,0),"ERROR")</f>
        <v>2</v>
      </c>
      <c r="L98" s="113">
        <f>IFERROR(VLOOKUP($B98,MMWR_TRAD_AGG_STATE_PEN[],L$1,0),"ERROR")</f>
        <v>2</v>
      </c>
      <c r="M98" s="115">
        <f t="shared" si="10"/>
        <v>1</v>
      </c>
      <c r="N98" s="112">
        <f>IFERROR(VLOOKUP($B98,MMWR_TRAD_AGG_STATE_PEN[],N$1,0),"ERROR")</f>
        <v>19</v>
      </c>
      <c r="O98" s="113">
        <f>IFERROR(VLOOKUP($B98,MMWR_TRAD_AGG_STATE_PEN[],O$1,0),"ERROR")</f>
        <v>4</v>
      </c>
      <c r="P98" s="115">
        <f t="shared" si="11"/>
        <v>0.21052631578947367</v>
      </c>
      <c r="Q98" s="116">
        <f>IFERROR(VLOOKUP($B98,MMWR_TRAD_AGG_STATE_PEN[],Q$1,0),"ERROR")</f>
        <v>325</v>
      </c>
      <c r="R98" s="116">
        <f>IFERROR(VLOOKUP($B98,MMWR_TRAD_AGG_STATE_PEN[],R$1,0),"ERROR")</f>
        <v>23</v>
      </c>
      <c r="S98" s="116">
        <f>IFERROR(VLOOKUP($B98,MMWR_APP_STATE_PEN[],S$1,0),"ERROR")</f>
        <v>66</v>
      </c>
      <c r="T98" s="28"/>
    </row>
    <row r="99" spans="1:20" s="124" customFormat="1" x14ac:dyDescent="0.2">
      <c r="A99" s="28"/>
      <c r="B99" s="127" t="s">
        <v>395</v>
      </c>
      <c r="C99" s="103">
        <f>IFERROR(VLOOKUP($B99,MMWR_TRAD_AGG_ST_DISTRICT_PEN[],C$1,0),"ERROR")</f>
        <v>1733</v>
      </c>
      <c r="D99" s="104">
        <f>IFERROR(VLOOKUP($B99,MMWR_TRAD_AGG_ST_DISTRICT_PEN[],D$1,0),"ERROR")</f>
        <v>54.559723023700002</v>
      </c>
      <c r="E99" s="103">
        <f>IFERROR(VLOOKUP($B99,MMWR_TRAD_AGG_ST_DISTRICT_PEN[],E$1,0),"ERROR")</f>
        <v>2926</v>
      </c>
      <c r="F99" s="103">
        <f>IFERROR(VLOOKUP($B99,MMWR_TRAD_AGG_ST_DISTRICT_PEN[],F$1,0),"ERROR")</f>
        <v>155</v>
      </c>
      <c r="G99" s="105">
        <f t="shared" si="8"/>
        <v>5.2973342447026658E-2</v>
      </c>
      <c r="H99" s="103">
        <f>IFERROR(VLOOKUP($B99,MMWR_TRAD_AGG_ST_DISTRICT_PEN[],H$1,0),"ERROR")</f>
        <v>3007</v>
      </c>
      <c r="I99" s="103">
        <f>IFERROR(VLOOKUP($B99,MMWR_TRAD_AGG_ST_DISTRICT_PEN[],I$1,0),"ERROR")</f>
        <v>263</v>
      </c>
      <c r="J99" s="105">
        <f t="shared" si="9"/>
        <v>8.7462587296308611E-2</v>
      </c>
      <c r="K99" s="103">
        <f>IFERROR(VLOOKUP($B99,MMWR_TRAD_AGG_ST_DISTRICT_PEN[],K$1,0),"ERROR")</f>
        <v>33</v>
      </c>
      <c r="L99" s="103">
        <f>IFERROR(VLOOKUP($B99,MMWR_TRAD_AGG_ST_DISTRICT_PEN[],L$1,0),"ERROR")</f>
        <v>32</v>
      </c>
      <c r="M99" s="105">
        <f t="shared" si="10"/>
        <v>0.96969696969696972</v>
      </c>
      <c r="N99" s="103">
        <f>IFERROR(VLOOKUP($B99,MMWR_TRAD_AGG_ST_DISTRICT_PEN[],N$1,0),"ERROR")</f>
        <v>181</v>
      </c>
      <c r="O99" s="103">
        <f>IFERROR(VLOOKUP($B99,MMWR_TRAD_AGG_ST_DISTRICT_PEN[],O$1,0),"ERROR")</f>
        <v>66</v>
      </c>
      <c r="P99" s="105">
        <f t="shared" si="11"/>
        <v>0.36464088397790057</v>
      </c>
      <c r="Q99" s="103">
        <f>IFERROR(VLOOKUP($B99,MMWR_TRAD_AGG_ST_DISTRICT_PEN[],Q$1,0),"ERROR")</f>
        <v>2307</v>
      </c>
      <c r="R99" s="107">
        <f>IFERROR(VLOOKUP($B99,MMWR_TRAD_AGG_ST_DISTRICT_PEN[],R$1,0),"ERROR")</f>
        <v>502</v>
      </c>
      <c r="S99" s="107">
        <f>IFERROR(VLOOKUP($B99,MMWR_APP_STATE_PEN[],S$1,0),"ERROR")</f>
        <v>893</v>
      </c>
      <c r="T99" s="28"/>
    </row>
    <row r="100" spans="1:20" s="124" customFormat="1" x14ac:dyDescent="0.2">
      <c r="A100" s="28"/>
      <c r="B100" s="128" t="s">
        <v>421</v>
      </c>
      <c r="C100" s="110">
        <f>IFERROR(VLOOKUP($B100,MMWR_TRAD_AGG_STATE_PEN[],C$1,0),"ERROR")</f>
        <v>214</v>
      </c>
      <c r="D100" s="111">
        <f>IFERROR(VLOOKUP($B100,MMWR_TRAD_AGG_STATE_PEN[],D$1,0),"ERROR")</f>
        <v>65.929906542099999</v>
      </c>
      <c r="E100" s="112">
        <f>IFERROR(VLOOKUP($B100,MMWR_TRAD_AGG_STATE_PEN[],E$1,0),"ERROR")</f>
        <v>196</v>
      </c>
      <c r="F100" s="113">
        <f>IFERROR(VLOOKUP($B100,MMWR_TRAD_AGG_STATE_PEN[],F$1,0),"ERROR")</f>
        <v>20</v>
      </c>
      <c r="G100" s="114">
        <f t="shared" si="8"/>
        <v>0.10204081632653061</v>
      </c>
      <c r="H100" s="112">
        <f>IFERROR(VLOOKUP($B100,MMWR_TRAD_AGG_STATE_PEN[],H$1,0),"ERROR")</f>
        <v>334</v>
      </c>
      <c r="I100" s="113">
        <f>IFERROR(VLOOKUP($B100,MMWR_TRAD_AGG_STATE_PEN[],I$1,0),"ERROR")</f>
        <v>44</v>
      </c>
      <c r="J100" s="115">
        <f t="shared" si="9"/>
        <v>0.1317365269461078</v>
      </c>
      <c r="K100" s="112">
        <f>IFERROR(VLOOKUP($B100,MMWR_TRAD_AGG_STATE_PEN[],K$1,0),"ERROR")</f>
        <v>7</v>
      </c>
      <c r="L100" s="113">
        <f>IFERROR(VLOOKUP($B100,MMWR_TRAD_AGG_STATE_PEN[],L$1,0),"ERROR")</f>
        <v>7</v>
      </c>
      <c r="M100" s="115">
        <f t="shared" si="10"/>
        <v>1</v>
      </c>
      <c r="N100" s="112">
        <f>IFERROR(VLOOKUP($B100,MMWR_TRAD_AGG_STATE_PEN[],N$1,0),"ERROR")</f>
        <v>25</v>
      </c>
      <c r="O100" s="113">
        <f>IFERROR(VLOOKUP($B100,MMWR_TRAD_AGG_STATE_PEN[],O$1,0),"ERROR")</f>
        <v>4</v>
      </c>
      <c r="P100" s="115">
        <f t="shared" si="11"/>
        <v>0.16</v>
      </c>
      <c r="Q100" s="116">
        <f>IFERROR(VLOOKUP($B100,MMWR_TRAD_AGG_STATE_PEN[],Q$1,0),"ERROR")</f>
        <v>268</v>
      </c>
      <c r="R100" s="116">
        <f>IFERROR(VLOOKUP($B100,MMWR_TRAD_AGG_STATE_PEN[],R$1,0),"ERROR")</f>
        <v>21</v>
      </c>
      <c r="S100" s="116">
        <f>IFERROR(VLOOKUP($B100,MMWR_APP_STATE_PEN[],S$1,0),"ERROR")</f>
        <v>119</v>
      </c>
      <c r="T100" s="28"/>
    </row>
    <row r="101" spans="1:20" s="124" customFormat="1" x14ac:dyDescent="0.2">
      <c r="A101" s="28"/>
      <c r="B101" s="128" t="s">
        <v>413</v>
      </c>
      <c r="C101" s="110">
        <f>IFERROR(VLOOKUP($B101,MMWR_TRAD_AGG_STATE_PEN[],C$1,0),"ERROR")</f>
        <v>102</v>
      </c>
      <c r="D101" s="111">
        <f>IFERROR(VLOOKUP($B101,MMWR_TRAD_AGG_STATE_PEN[],D$1,0),"ERROR")</f>
        <v>53.1568627451</v>
      </c>
      <c r="E101" s="112">
        <f>IFERROR(VLOOKUP($B101,MMWR_TRAD_AGG_STATE_PEN[],E$1,0),"ERROR")</f>
        <v>217</v>
      </c>
      <c r="F101" s="113">
        <f>IFERROR(VLOOKUP($B101,MMWR_TRAD_AGG_STATE_PEN[],F$1,0),"ERROR")</f>
        <v>11</v>
      </c>
      <c r="G101" s="114">
        <f t="shared" ref="G101:G127" si="12">IFERROR(F101/E101,"0%")</f>
        <v>5.0691244239631339E-2</v>
      </c>
      <c r="H101" s="112">
        <f>IFERROR(VLOOKUP($B101,MMWR_TRAD_AGG_STATE_PEN[],H$1,0),"ERROR")</f>
        <v>198</v>
      </c>
      <c r="I101" s="113">
        <f>IFERROR(VLOOKUP($B101,MMWR_TRAD_AGG_STATE_PEN[],I$1,0),"ERROR")</f>
        <v>19</v>
      </c>
      <c r="J101" s="115">
        <f t="shared" ref="J101:J127" si="13">IFERROR(I101/H101,"0%")</f>
        <v>9.5959595959595953E-2</v>
      </c>
      <c r="K101" s="112">
        <f>IFERROR(VLOOKUP($B101,MMWR_TRAD_AGG_STATE_PEN[],K$1,0),"ERROR")</f>
        <v>3</v>
      </c>
      <c r="L101" s="113">
        <f>IFERROR(VLOOKUP($B101,MMWR_TRAD_AGG_STATE_PEN[],L$1,0),"ERROR")</f>
        <v>3</v>
      </c>
      <c r="M101" s="115">
        <f t="shared" ref="M101:M127" si="14">IFERROR(L101/K101,"0%")</f>
        <v>1</v>
      </c>
      <c r="N101" s="112">
        <f>IFERROR(VLOOKUP($B101,MMWR_TRAD_AGG_STATE_PEN[],N$1,0),"ERROR")</f>
        <v>18</v>
      </c>
      <c r="O101" s="113">
        <f>IFERROR(VLOOKUP($B101,MMWR_TRAD_AGG_STATE_PEN[],O$1,0),"ERROR")</f>
        <v>8</v>
      </c>
      <c r="P101" s="115">
        <f t="shared" ref="P101:P127" si="15">IFERROR(O101/N101,"0%")</f>
        <v>0.44444444444444442</v>
      </c>
      <c r="Q101" s="116">
        <f>IFERROR(VLOOKUP($B101,MMWR_TRAD_AGG_STATE_PEN[],Q$1,0),"ERROR")</f>
        <v>222</v>
      </c>
      <c r="R101" s="116">
        <f>IFERROR(VLOOKUP($B101,MMWR_TRAD_AGG_STATE_PEN[],R$1,0),"ERROR")</f>
        <v>48</v>
      </c>
      <c r="S101" s="116">
        <f>IFERROR(VLOOKUP($B101,MMWR_APP_STATE_PEN[],S$1,0),"ERROR")</f>
        <v>56</v>
      </c>
      <c r="T101" s="28"/>
    </row>
    <row r="102" spans="1:20" s="124" customFormat="1" x14ac:dyDescent="0.2">
      <c r="A102" s="28"/>
      <c r="B102" s="128" t="s">
        <v>397</v>
      </c>
      <c r="C102" s="110">
        <f>IFERROR(VLOOKUP($B102,MMWR_TRAD_AGG_STATE_PEN[],C$1,0),"ERROR")</f>
        <v>366</v>
      </c>
      <c r="D102" s="111">
        <f>IFERROR(VLOOKUP($B102,MMWR_TRAD_AGG_STATE_PEN[],D$1,0),"ERROR")</f>
        <v>58.437158469899998</v>
      </c>
      <c r="E102" s="112">
        <f>IFERROR(VLOOKUP($B102,MMWR_TRAD_AGG_STATE_PEN[],E$1,0),"ERROR")</f>
        <v>335</v>
      </c>
      <c r="F102" s="113">
        <f>IFERROR(VLOOKUP($B102,MMWR_TRAD_AGG_STATE_PEN[],F$1,0),"ERROR")</f>
        <v>24</v>
      </c>
      <c r="G102" s="114">
        <f t="shared" si="12"/>
        <v>7.1641791044776124E-2</v>
      </c>
      <c r="H102" s="112">
        <f>IFERROR(VLOOKUP($B102,MMWR_TRAD_AGG_STATE_PEN[],H$1,0),"ERROR")</f>
        <v>555</v>
      </c>
      <c r="I102" s="113">
        <f>IFERROR(VLOOKUP($B102,MMWR_TRAD_AGG_STATE_PEN[],I$1,0),"ERROR")</f>
        <v>61</v>
      </c>
      <c r="J102" s="115">
        <f t="shared" si="13"/>
        <v>0.10990990990990991</v>
      </c>
      <c r="K102" s="112">
        <f>IFERROR(VLOOKUP($B102,MMWR_TRAD_AGG_STATE_PEN[],K$1,0),"ERROR")</f>
        <v>3</v>
      </c>
      <c r="L102" s="113">
        <f>IFERROR(VLOOKUP($B102,MMWR_TRAD_AGG_STATE_PEN[],L$1,0),"ERROR")</f>
        <v>3</v>
      </c>
      <c r="M102" s="115">
        <f t="shared" si="14"/>
        <v>1</v>
      </c>
      <c r="N102" s="112">
        <f>IFERROR(VLOOKUP($B102,MMWR_TRAD_AGG_STATE_PEN[],N$1,0),"ERROR")</f>
        <v>27</v>
      </c>
      <c r="O102" s="113">
        <f>IFERROR(VLOOKUP($B102,MMWR_TRAD_AGG_STATE_PEN[],O$1,0),"ERROR")</f>
        <v>9</v>
      </c>
      <c r="P102" s="115">
        <f t="shared" si="15"/>
        <v>0.33333333333333331</v>
      </c>
      <c r="Q102" s="116">
        <f>IFERROR(VLOOKUP($B102,MMWR_TRAD_AGG_STATE_PEN[],Q$1,0),"ERROR")</f>
        <v>233</v>
      </c>
      <c r="R102" s="116">
        <f>IFERROR(VLOOKUP($B102,MMWR_TRAD_AGG_STATE_PEN[],R$1,0),"ERROR")</f>
        <v>34</v>
      </c>
      <c r="S102" s="116">
        <f>IFERROR(VLOOKUP($B102,MMWR_APP_STATE_PEN[],S$1,0),"ERROR")</f>
        <v>160</v>
      </c>
      <c r="T102" s="28"/>
    </row>
    <row r="103" spans="1:20" s="124" customFormat="1" x14ac:dyDescent="0.2">
      <c r="A103" s="28"/>
      <c r="B103" s="128" t="s">
        <v>399</v>
      </c>
      <c r="C103" s="110">
        <f>IFERROR(VLOOKUP($B103,MMWR_TRAD_AGG_STATE_PEN[],C$1,0),"ERROR")</f>
        <v>249</v>
      </c>
      <c r="D103" s="111">
        <f>IFERROR(VLOOKUP($B103,MMWR_TRAD_AGG_STATE_PEN[],D$1,0),"ERROR")</f>
        <v>66.357429718899994</v>
      </c>
      <c r="E103" s="112">
        <f>IFERROR(VLOOKUP($B103,MMWR_TRAD_AGG_STATE_PEN[],E$1,0),"ERROR")</f>
        <v>210</v>
      </c>
      <c r="F103" s="113">
        <f>IFERROR(VLOOKUP($B103,MMWR_TRAD_AGG_STATE_PEN[],F$1,0),"ERROR")</f>
        <v>15</v>
      </c>
      <c r="G103" s="114">
        <f t="shared" si="12"/>
        <v>7.1428571428571425E-2</v>
      </c>
      <c r="H103" s="112">
        <f>IFERROR(VLOOKUP($B103,MMWR_TRAD_AGG_STATE_PEN[],H$1,0),"ERROR")</f>
        <v>358</v>
      </c>
      <c r="I103" s="113">
        <f>IFERROR(VLOOKUP($B103,MMWR_TRAD_AGG_STATE_PEN[],I$1,0),"ERROR")</f>
        <v>34</v>
      </c>
      <c r="J103" s="115">
        <f t="shared" si="13"/>
        <v>9.4972067039106142E-2</v>
      </c>
      <c r="K103" s="112">
        <f>IFERROR(VLOOKUP($B103,MMWR_TRAD_AGG_STATE_PEN[],K$1,0),"ERROR")</f>
        <v>6</v>
      </c>
      <c r="L103" s="113">
        <f>IFERROR(VLOOKUP($B103,MMWR_TRAD_AGG_STATE_PEN[],L$1,0),"ERROR")</f>
        <v>6</v>
      </c>
      <c r="M103" s="115">
        <f t="shared" si="14"/>
        <v>1</v>
      </c>
      <c r="N103" s="112">
        <f>IFERROR(VLOOKUP($B103,MMWR_TRAD_AGG_STATE_PEN[],N$1,0),"ERROR")</f>
        <v>35</v>
      </c>
      <c r="O103" s="113">
        <f>IFERROR(VLOOKUP($B103,MMWR_TRAD_AGG_STATE_PEN[],O$1,0),"ERROR")</f>
        <v>4</v>
      </c>
      <c r="P103" s="115">
        <f t="shared" si="15"/>
        <v>0.11428571428571428</v>
      </c>
      <c r="Q103" s="116">
        <f>IFERROR(VLOOKUP($B103,MMWR_TRAD_AGG_STATE_PEN[],Q$1,0),"ERROR")</f>
        <v>211</v>
      </c>
      <c r="R103" s="116">
        <f>IFERROR(VLOOKUP($B103,MMWR_TRAD_AGG_STATE_PEN[],R$1,0),"ERROR")</f>
        <v>23</v>
      </c>
      <c r="S103" s="116">
        <f>IFERROR(VLOOKUP($B103,MMWR_APP_STATE_PEN[],S$1,0),"ERROR")</f>
        <v>111</v>
      </c>
      <c r="T103" s="28"/>
    </row>
    <row r="104" spans="1:20" s="124" customFormat="1" x14ac:dyDescent="0.2">
      <c r="A104" s="28"/>
      <c r="B104" s="128" t="s">
        <v>428</v>
      </c>
      <c r="C104" s="110">
        <f>IFERROR(VLOOKUP($B104,MMWR_TRAD_AGG_STATE_PEN[],C$1,0),"ERROR")</f>
        <v>25</v>
      </c>
      <c r="D104" s="111">
        <f>IFERROR(VLOOKUP($B104,MMWR_TRAD_AGG_STATE_PEN[],D$1,0),"ERROR")</f>
        <v>42.44</v>
      </c>
      <c r="E104" s="112">
        <f>IFERROR(VLOOKUP($B104,MMWR_TRAD_AGG_STATE_PEN[],E$1,0),"ERROR")</f>
        <v>73</v>
      </c>
      <c r="F104" s="113">
        <f>IFERROR(VLOOKUP($B104,MMWR_TRAD_AGG_STATE_PEN[],F$1,0),"ERROR")</f>
        <v>3</v>
      </c>
      <c r="G104" s="114">
        <f t="shared" si="12"/>
        <v>4.1095890410958902E-2</v>
      </c>
      <c r="H104" s="112">
        <f>IFERROR(VLOOKUP($B104,MMWR_TRAD_AGG_STATE_PEN[],H$1,0),"ERROR")</f>
        <v>54</v>
      </c>
      <c r="I104" s="113">
        <f>IFERROR(VLOOKUP($B104,MMWR_TRAD_AGG_STATE_PEN[],I$1,0),"ERROR")</f>
        <v>4</v>
      </c>
      <c r="J104" s="115">
        <f t="shared" si="13"/>
        <v>7.407407407407407E-2</v>
      </c>
      <c r="K104" s="112">
        <f>IFERROR(VLOOKUP($B104,MMWR_TRAD_AGG_STATE_PEN[],K$1,0),"ERROR")</f>
        <v>0</v>
      </c>
      <c r="L104" s="113">
        <f>IFERROR(VLOOKUP($B104,MMWR_TRAD_AGG_STATE_PEN[],L$1,0),"ERROR")</f>
        <v>0</v>
      </c>
      <c r="M104" s="115" t="str">
        <f t="shared" si="14"/>
        <v>0%</v>
      </c>
      <c r="N104" s="112">
        <f>IFERROR(VLOOKUP($B104,MMWR_TRAD_AGG_STATE_PEN[],N$1,0),"ERROR")</f>
        <v>0</v>
      </c>
      <c r="O104" s="113">
        <f>IFERROR(VLOOKUP($B104,MMWR_TRAD_AGG_STATE_PEN[],O$1,0),"ERROR")</f>
        <v>0</v>
      </c>
      <c r="P104" s="115" t="str">
        <f t="shared" si="15"/>
        <v>0%</v>
      </c>
      <c r="Q104" s="116">
        <f>IFERROR(VLOOKUP($B104,MMWR_TRAD_AGG_STATE_PEN[],Q$1,0),"ERROR")</f>
        <v>63</v>
      </c>
      <c r="R104" s="116">
        <f>IFERROR(VLOOKUP($B104,MMWR_TRAD_AGG_STATE_PEN[],R$1,0),"ERROR")</f>
        <v>6</v>
      </c>
      <c r="S104" s="116">
        <f>IFERROR(VLOOKUP($B104,MMWR_APP_STATE_PEN[],S$1,0),"ERROR")</f>
        <v>4</v>
      </c>
      <c r="T104" s="28"/>
    </row>
    <row r="105" spans="1:20" s="124" customFormat="1" x14ac:dyDescent="0.2">
      <c r="A105" s="28"/>
      <c r="B105" s="128" t="s">
        <v>422</v>
      </c>
      <c r="C105" s="110">
        <f>IFERROR(VLOOKUP($B105,MMWR_TRAD_AGG_STATE_PEN[],C$1,0),"ERROR")</f>
        <v>139</v>
      </c>
      <c r="D105" s="111">
        <f>IFERROR(VLOOKUP($B105,MMWR_TRAD_AGG_STATE_PEN[],D$1,0),"ERROR")</f>
        <v>42.187050359700002</v>
      </c>
      <c r="E105" s="112">
        <f>IFERROR(VLOOKUP($B105,MMWR_TRAD_AGG_STATE_PEN[],E$1,0),"ERROR")</f>
        <v>269</v>
      </c>
      <c r="F105" s="113">
        <f>IFERROR(VLOOKUP($B105,MMWR_TRAD_AGG_STATE_PEN[],F$1,0),"ERROR")</f>
        <v>9</v>
      </c>
      <c r="G105" s="114">
        <f t="shared" si="12"/>
        <v>3.3457249070631967E-2</v>
      </c>
      <c r="H105" s="112">
        <f>IFERROR(VLOOKUP($B105,MMWR_TRAD_AGG_STATE_PEN[],H$1,0),"ERROR")</f>
        <v>245</v>
      </c>
      <c r="I105" s="113">
        <f>IFERROR(VLOOKUP($B105,MMWR_TRAD_AGG_STATE_PEN[],I$1,0),"ERROR")</f>
        <v>6</v>
      </c>
      <c r="J105" s="115">
        <f t="shared" si="13"/>
        <v>2.4489795918367346E-2</v>
      </c>
      <c r="K105" s="112">
        <f>IFERROR(VLOOKUP($B105,MMWR_TRAD_AGG_STATE_PEN[],K$1,0),"ERROR")</f>
        <v>2</v>
      </c>
      <c r="L105" s="113">
        <f>IFERROR(VLOOKUP($B105,MMWR_TRAD_AGG_STATE_PEN[],L$1,0),"ERROR")</f>
        <v>2</v>
      </c>
      <c r="M105" s="115">
        <f t="shared" si="14"/>
        <v>1</v>
      </c>
      <c r="N105" s="112">
        <f>IFERROR(VLOOKUP($B105,MMWR_TRAD_AGG_STATE_PEN[],N$1,0),"ERROR")</f>
        <v>11</v>
      </c>
      <c r="O105" s="113">
        <f>IFERROR(VLOOKUP($B105,MMWR_TRAD_AGG_STATE_PEN[],O$1,0),"ERROR")</f>
        <v>4</v>
      </c>
      <c r="P105" s="115">
        <f t="shared" si="15"/>
        <v>0.36363636363636365</v>
      </c>
      <c r="Q105" s="116">
        <f>IFERROR(VLOOKUP($B105,MMWR_TRAD_AGG_STATE_PEN[],Q$1,0),"ERROR")</f>
        <v>331</v>
      </c>
      <c r="R105" s="116">
        <f>IFERROR(VLOOKUP($B105,MMWR_TRAD_AGG_STATE_PEN[],R$1,0),"ERROR")</f>
        <v>61</v>
      </c>
      <c r="S105" s="116">
        <f>IFERROR(VLOOKUP($B105,MMWR_APP_STATE_PEN[],S$1,0),"ERROR")</f>
        <v>70</v>
      </c>
      <c r="T105" s="28"/>
    </row>
    <row r="106" spans="1:20" s="124" customFormat="1" x14ac:dyDescent="0.2">
      <c r="A106" s="28"/>
      <c r="B106" s="128" t="s">
        <v>420</v>
      </c>
      <c r="C106" s="110">
        <f>IFERROR(VLOOKUP($B106,MMWR_TRAD_AGG_STATE_PEN[],C$1,0),"ERROR")</f>
        <v>580</v>
      </c>
      <c r="D106" s="111">
        <f>IFERROR(VLOOKUP($B106,MMWR_TRAD_AGG_STATE_PEN[],D$1,0),"ERROR")</f>
        <v>47.546551724099999</v>
      </c>
      <c r="E106" s="112">
        <f>IFERROR(VLOOKUP($B106,MMWR_TRAD_AGG_STATE_PEN[],E$1,0),"ERROR")</f>
        <v>1439</v>
      </c>
      <c r="F106" s="113">
        <f>IFERROR(VLOOKUP($B106,MMWR_TRAD_AGG_STATE_PEN[],F$1,0),"ERROR")</f>
        <v>60</v>
      </c>
      <c r="G106" s="114">
        <f t="shared" si="12"/>
        <v>4.1695621959694229E-2</v>
      </c>
      <c r="H106" s="112">
        <f>IFERROR(VLOOKUP($B106,MMWR_TRAD_AGG_STATE_PEN[],H$1,0),"ERROR")</f>
        <v>1139</v>
      </c>
      <c r="I106" s="113">
        <f>IFERROR(VLOOKUP($B106,MMWR_TRAD_AGG_STATE_PEN[],I$1,0),"ERROR")</f>
        <v>86</v>
      </c>
      <c r="J106" s="115">
        <f t="shared" si="13"/>
        <v>7.5504828797190518E-2</v>
      </c>
      <c r="K106" s="112">
        <f>IFERROR(VLOOKUP($B106,MMWR_TRAD_AGG_STATE_PEN[],K$1,0),"ERROR")</f>
        <v>12</v>
      </c>
      <c r="L106" s="113">
        <f>IFERROR(VLOOKUP($B106,MMWR_TRAD_AGG_STATE_PEN[],L$1,0),"ERROR")</f>
        <v>11</v>
      </c>
      <c r="M106" s="115">
        <f t="shared" si="14"/>
        <v>0.91666666666666663</v>
      </c>
      <c r="N106" s="112">
        <f>IFERROR(VLOOKUP($B106,MMWR_TRAD_AGG_STATE_PEN[],N$1,0),"ERROR")</f>
        <v>60</v>
      </c>
      <c r="O106" s="113">
        <f>IFERROR(VLOOKUP($B106,MMWR_TRAD_AGG_STATE_PEN[],O$1,0),"ERROR")</f>
        <v>33</v>
      </c>
      <c r="P106" s="115">
        <f t="shared" si="15"/>
        <v>0.55000000000000004</v>
      </c>
      <c r="Q106" s="116">
        <f>IFERROR(VLOOKUP($B106,MMWR_TRAD_AGG_STATE_PEN[],Q$1,0),"ERROR")</f>
        <v>870</v>
      </c>
      <c r="R106" s="116">
        <f>IFERROR(VLOOKUP($B106,MMWR_TRAD_AGG_STATE_PEN[],R$1,0),"ERROR")</f>
        <v>286</v>
      </c>
      <c r="S106" s="116">
        <f>IFERROR(VLOOKUP($B106,MMWR_APP_STATE_PEN[],S$1,0),"ERROR")</f>
        <v>345</v>
      </c>
      <c r="T106" s="28"/>
    </row>
    <row r="107" spans="1:20" s="124" customFormat="1" x14ac:dyDescent="0.2">
      <c r="A107" s="28"/>
      <c r="B107" s="128" t="s">
        <v>416</v>
      </c>
      <c r="C107" s="110">
        <f>IFERROR(VLOOKUP($B107,MMWR_TRAD_AGG_STATE_PEN[],C$1,0),"ERROR")</f>
        <v>45</v>
      </c>
      <c r="D107" s="111">
        <f>IFERROR(VLOOKUP($B107,MMWR_TRAD_AGG_STATE_PEN[],D$1,0),"ERROR")</f>
        <v>46.0222222222</v>
      </c>
      <c r="E107" s="112">
        <f>IFERROR(VLOOKUP($B107,MMWR_TRAD_AGG_STATE_PEN[],E$1,0),"ERROR")</f>
        <v>151</v>
      </c>
      <c r="F107" s="113">
        <f>IFERROR(VLOOKUP($B107,MMWR_TRAD_AGG_STATE_PEN[],F$1,0),"ERROR")</f>
        <v>12</v>
      </c>
      <c r="G107" s="114">
        <f t="shared" si="12"/>
        <v>7.9470198675496692E-2</v>
      </c>
      <c r="H107" s="112">
        <f>IFERROR(VLOOKUP($B107,MMWR_TRAD_AGG_STATE_PEN[],H$1,0),"ERROR")</f>
        <v>95</v>
      </c>
      <c r="I107" s="113">
        <f>IFERROR(VLOOKUP($B107,MMWR_TRAD_AGG_STATE_PEN[],I$1,0),"ERROR")</f>
        <v>4</v>
      </c>
      <c r="J107" s="115">
        <f t="shared" si="13"/>
        <v>4.2105263157894736E-2</v>
      </c>
      <c r="K107" s="112">
        <f>IFERROR(VLOOKUP($B107,MMWR_TRAD_AGG_STATE_PEN[],K$1,0),"ERROR")</f>
        <v>0</v>
      </c>
      <c r="L107" s="113">
        <f>IFERROR(VLOOKUP($B107,MMWR_TRAD_AGG_STATE_PEN[],L$1,0),"ERROR")</f>
        <v>0</v>
      </c>
      <c r="M107" s="115" t="str">
        <f t="shared" si="14"/>
        <v>0%</v>
      </c>
      <c r="N107" s="112">
        <f>IFERROR(VLOOKUP($B107,MMWR_TRAD_AGG_STATE_PEN[],N$1,0),"ERROR")</f>
        <v>4</v>
      </c>
      <c r="O107" s="113">
        <f>IFERROR(VLOOKUP($B107,MMWR_TRAD_AGG_STATE_PEN[],O$1,0),"ERROR")</f>
        <v>4</v>
      </c>
      <c r="P107" s="115">
        <f t="shared" si="15"/>
        <v>1</v>
      </c>
      <c r="Q107" s="116">
        <f>IFERROR(VLOOKUP($B107,MMWR_TRAD_AGG_STATE_PEN[],Q$1,0),"ERROR")</f>
        <v>82</v>
      </c>
      <c r="R107" s="116">
        <f>IFERROR(VLOOKUP($B107,MMWR_TRAD_AGG_STATE_PEN[],R$1,0),"ERROR")</f>
        <v>20</v>
      </c>
      <c r="S107" s="116">
        <f>IFERROR(VLOOKUP($B107,MMWR_APP_STATE_PEN[],S$1,0),"ERROR")</f>
        <v>21</v>
      </c>
      <c r="T107" s="28"/>
    </row>
    <row r="108" spans="1:20" s="124" customFormat="1" x14ac:dyDescent="0.2">
      <c r="A108" s="28"/>
      <c r="B108" s="128" t="s">
        <v>431</v>
      </c>
      <c r="C108" s="110">
        <f>IFERROR(VLOOKUP($B108,MMWR_TRAD_AGG_STATE_PEN[],C$1,0),"ERROR")</f>
        <v>13</v>
      </c>
      <c r="D108" s="111">
        <f>IFERROR(VLOOKUP($B108,MMWR_TRAD_AGG_STATE_PEN[],D$1,0),"ERROR")</f>
        <v>41.307692307700002</v>
      </c>
      <c r="E108" s="112">
        <f>IFERROR(VLOOKUP($B108,MMWR_TRAD_AGG_STATE_PEN[],E$1,0),"ERROR")</f>
        <v>36</v>
      </c>
      <c r="F108" s="113">
        <f>IFERROR(VLOOKUP($B108,MMWR_TRAD_AGG_STATE_PEN[],F$1,0),"ERROR")</f>
        <v>1</v>
      </c>
      <c r="G108" s="114">
        <f t="shared" si="12"/>
        <v>2.7777777777777776E-2</v>
      </c>
      <c r="H108" s="112">
        <f>IFERROR(VLOOKUP($B108,MMWR_TRAD_AGG_STATE_PEN[],H$1,0),"ERROR")</f>
        <v>29</v>
      </c>
      <c r="I108" s="113">
        <f>IFERROR(VLOOKUP($B108,MMWR_TRAD_AGG_STATE_PEN[],I$1,0),"ERROR")</f>
        <v>5</v>
      </c>
      <c r="J108" s="115">
        <f t="shared" si="13"/>
        <v>0.17241379310344829</v>
      </c>
      <c r="K108" s="112">
        <f>IFERROR(VLOOKUP($B108,MMWR_TRAD_AGG_STATE_PEN[],K$1,0),"ERROR")</f>
        <v>0</v>
      </c>
      <c r="L108" s="113">
        <f>IFERROR(VLOOKUP($B108,MMWR_TRAD_AGG_STATE_PEN[],L$1,0),"ERROR")</f>
        <v>0</v>
      </c>
      <c r="M108" s="115" t="str">
        <f t="shared" si="14"/>
        <v>0%</v>
      </c>
      <c r="N108" s="112">
        <f>IFERROR(VLOOKUP($B108,MMWR_TRAD_AGG_STATE_PEN[],N$1,0),"ERROR")</f>
        <v>1</v>
      </c>
      <c r="O108" s="113">
        <f>IFERROR(VLOOKUP($B108,MMWR_TRAD_AGG_STATE_PEN[],O$1,0),"ERROR")</f>
        <v>0</v>
      </c>
      <c r="P108" s="115">
        <f t="shared" si="15"/>
        <v>0</v>
      </c>
      <c r="Q108" s="116">
        <f>IFERROR(VLOOKUP($B108,MMWR_TRAD_AGG_STATE_PEN[],Q$1,0),"ERROR")</f>
        <v>27</v>
      </c>
      <c r="R108" s="116">
        <f>IFERROR(VLOOKUP($B108,MMWR_TRAD_AGG_STATE_PEN[],R$1,0),"ERROR")</f>
        <v>3</v>
      </c>
      <c r="S108" s="116">
        <f>IFERROR(VLOOKUP($B108,MMWR_APP_STATE_PEN[],S$1,0),"ERROR")</f>
        <v>7</v>
      </c>
      <c r="T108" s="28"/>
    </row>
    <row r="109" spans="1:20" s="124" customFormat="1" x14ac:dyDescent="0.2">
      <c r="A109" s="28"/>
      <c r="B109" s="127" t="s">
        <v>414</v>
      </c>
      <c r="C109" s="103">
        <f>IFERROR(VLOOKUP($B109,MMWR_TRAD_AGG_ST_DISTRICT_PEN[],C$1,0),"ERROR")</f>
        <v>1399</v>
      </c>
      <c r="D109" s="104">
        <f>IFERROR(VLOOKUP($B109,MMWR_TRAD_AGG_ST_DISTRICT_PEN[],D$1,0),"ERROR")</f>
        <v>50.094353109399997</v>
      </c>
      <c r="E109" s="103">
        <f>IFERROR(VLOOKUP($B109,MMWR_TRAD_AGG_ST_DISTRICT_PEN[],E$1,0),"ERROR")</f>
        <v>3606</v>
      </c>
      <c r="F109" s="103">
        <f>IFERROR(VLOOKUP($B109,MMWR_TRAD_AGG_ST_DISTRICT_PEN[],F$1,0),"ERROR")</f>
        <v>151</v>
      </c>
      <c r="G109" s="105">
        <f t="shared" si="12"/>
        <v>4.1874653355518578E-2</v>
      </c>
      <c r="H109" s="103">
        <f>IFERROR(VLOOKUP($B109,MMWR_TRAD_AGG_ST_DISTRICT_PEN[],H$1,0),"ERROR")</f>
        <v>2423</v>
      </c>
      <c r="I109" s="103">
        <f>IFERROR(VLOOKUP($B109,MMWR_TRAD_AGG_ST_DISTRICT_PEN[],I$1,0),"ERROR")</f>
        <v>216</v>
      </c>
      <c r="J109" s="105">
        <f t="shared" si="13"/>
        <v>8.9145687164671888E-2</v>
      </c>
      <c r="K109" s="103">
        <f>IFERROR(VLOOKUP($B109,MMWR_TRAD_AGG_ST_DISTRICT_PEN[],K$1,0),"ERROR")</f>
        <v>28</v>
      </c>
      <c r="L109" s="103">
        <f>IFERROR(VLOOKUP($B109,MMWR_TRAD_AGG_ST_DISTRICT_PEN[],L$1,0),"ERROR")</f>
        <v>26</v>
      </c>
      <c r="M109" s="105">
        <f t="shared" si="14"/>
        <v>0.9285714285714286</v>
      </c>
      <c r="N109" s="103">
        <f>IFERROR(VLOOKUP($B109,MMWR_TRAD_AGG_ST_DISTRICT_PEN[],N$1,0),"ERROR")</f>
        <v>136</v>
      </c>
      <c r="O109" s="103">
        <f>IFERROR(VLOOKUP($B109,MMWR_TRAD_AGG_ST_DISTRICT_PEN[],O$1,0),"ERROR")</f>
        <v>64</v>
      </c>
      <c r="P109" s="105">
        <f t="shared" si="15"/>
        <v>0.47058823529411764</v>
      </c>
      <c r="Q109" s="103">
        <f>IFERROR(VLOOKUP($B109,MMWR_TRAD_AGG_ST_DISTRICT_PEN[],Q$1,0),"ERROR")</f>
        <v>2013</v>
      </c>
      <c r="R109" s="107">
        <f>IFERROR(VLOOKUP($B109,MMWR_TRAD_AGG_ST_DISTRICT_PEN[],R$1,0),"ERROR")</f>
        <v>643</v>
      </c>
      <c r="S109" s="107">
        <f>IFERROR(VLOOKUP($B109,MMWR_APP_STATE_PEN[],S$1,0),"ERROR")</f>
        <v>620</v>
      </c>
      <c r="T109" s="28"/>
    </row>
    <row r="110" spans="1:20" s="124" customFormat="1" x14ac:dyDescent="0.2">
      <c r="A110" s="28"/>
      <c r="B110" s="128" t="s">
        <v>434</v>
      </c>
      <c r="C110" s="110">
        <f>IFERROR(VLOOKUP($B110,MMWR_TRAD_AGG_STATE_PEN[],C$1,0),"ERROR")</f>
        <v>5</v>
      </c>
      <c r="D110" s="111">
        <f>IFERROR(VLOOKUP($B110,MMWR_TRAD_AGG_STATE_PEN[],D$1,0),"ERROR")</f>
        <v>55.6</v>
      </c>
      <c r="E110" s="112">
        <f>IFERROR(VLOOKUP($B110,MMWR_TRAD_AGG_STATE_PEN[],E$1,0),"ERROR")</f>
        <v>8</v>
      </c>
      <c r="F110" s="113">
        <f>IFERROR(VLOOKUP($B110,MMWR_TRAD_AGG_STATE_PEN[],F$1,0),"ERROR")</f>
        <v>0</v>
      </c>
      <c r="G110" s="114">
        <f t="shared" si="12"/>
        <v>0</v>
      </c>
      <c r="H110" s="112">
        <f>IFERROR(VLOOKUP($B110,MMWR_TRAD_AGG_STATE_PEN[],H$1,0),"ERROR")</f>
        <v>20</v>
      </c>
      <c r="I110" s="113">
        <f>IFERROR(VLOOKUP($B110,MMWR_TRAD_AGG_STATE_PEN[],I$1,0),"ERROR")</f>
        <v>3</v>
      </c>
      <c r="J110" s="115">
        <f t="shared" si="13"/>
        <v>0.15</v>
      </c>
      <c r="K110" s="112">
        <f>IFERROR(VLOOKUP($B110,MMWR_TRAD_AGG_STATE_PEN[],K$1,0),"ERROR")</f>
        <v>0</v>
      </c>
      <c r="L110" s="113">
        <f>IFERROR(VLOOKUP($B110,MMWR_TRAD_AGG_STATE_PEN[],L$1,0),"ERROR")</f>
        <v>0</v>
      </c>
      <c r="M110" s="115" t="str">
        <f t="shared" si="14"/>
        <v>0%</v>
      </c>
      <c r="N110" s="112">
        <f>IFERROR(VLOOKUP($B110,MMWR_TRAD_AGG_STATE_PEN[],N$1,0),"ERROR")</f>
        <v>1</v>
      </c>
      <c r="O110" s="113">
        <f>IFERROR(VLOOKUP($B110,MMWR_TRAD_AGG_STATE_PEN[],O$1,0),"ERROR")</f>
        <v>1</v>
      </c>
      <c r="P110" s="115">
        <f t="shared" si="15"/>
        <v>1</v>
      </c>
      <c r="Q110" s="116">
        <f>IFERROR(VLOOKUP($B110,MMWR_TRAD_AGG_STATE_PEN[],Q$1,0),"ERROR")</f>
        <v>17</v>
      </c>
      <c r="R110" s="116">
        <f>IFERROR(VLOOKUP($B110,MMWR_TRAD_AGG_STATE_PEN[],R$1,0),"ERROR")</f>
        <v>8</v>
      </c>
      <c r="S110" s="116">
        <f>IFERROR(VLOOKUP($B110,MMWR_APP_STATE_PEN[],S$1,0),"ERROR")</f>
        <v>5</v>
      </c>
      <c r="T110" s="28"/>
    </row>
    <row r="111" spans="1:20" s="124" customFormat="1" x14ac:dyDescent="0.2">
      <c r="A111" s="28"/>
      <c r="B111" s="128" t="s">
        <v>436</v>
      </c>
      <c r="C111" s="110">
        <f>IFERROR(VLOOKUP($B111,MMWR_TRAD_AGG_STATE_PEN[],C$1,0),"ERROR")</f>
        <v>173</v>
      </c>
      <c r="D111" s="111">
        <f>IFERROR(VLOOKUP($B111,MMWR_TRAD_AGG_STATE_PEN[],D$1,0),"ERROR")</f>
        <v>46.502890173399997</v>
      </c>
      <c r="E111" s="112">
        <f>IFERROR(VLOOKUP($B111,MMWR_TRAD_AGG_STATE_PEN[],E$1,0),"ERROR")</f>
        <v>455</v>
      </c>
      <c r="F111" s="113">
        <f>IFERROR(VLOOKUP($B111,MMWR_TRAD_AGG_STATE_PEN[],F$1,0),"ERROR")</f>
        <v>24</v>
      </c>
      <c r="G111" s="114">
        <f t="shared" si="12"/>
        <v>5.2747252747252747E-2</v>
      </c>
      <c r="H111" s="112">
        <f>IFERROR(VLOOKUP($B111,MMWR_TRAD_AGG_STATE_PEN[],H$1,0),"ERROR")</f>
        <v>281</v>
      </c>
      <c r="I111" s="113">
        <f>IFERROR(VLOOKUP($B111,MMWR_TRAD_AGG_STATE_PEN[],I$1,0),"ERROR")</f>
        <v>21</v>
      </c>
      <c r="J111" s="115">
        <f t="shared" si="13"/>
        <v>7.4733096085409248E-2</v>
      </c>
      <c r="K111" s="112">
        <f>IFERROR(VLOOKUP($B111,MMWR_TRAD_AGG_STATE_PEN[],K$1,0),"ERROR")</f>
        <v>3</v>
      </c>
      <c r="L111" s="113">
        <f>IFERROR(VLOOKUP($B111,MMWR_TRAD_AGG_STATE_PEN[],L$1,0),"ERROR")</f>
        <v>3</v>
      </c>
      <c r="M111" s="115">
        <f t="shared" si="14"/>
        <v>1</v>
      </c>
      <c r="N111" s="112">
        <f>IFERROR(VLOOKUP($B111,MMWR_TRAD_AGG_STATE_PEN[],N$1,0),"ERROR")</f>
        <v>10</v>
      </c>
      <c r="O111" s="113">
        <f>IFERROR(VLOOKUP($B111,MMWR_TRAD_AGG_STATE_PEN[],O$1,0),"ERROR")</f>
        <v>3</v>
      </c>
      <c r="P111" s="115">
        <f t="shared" si="15"/>
        <v>0.3</v>
      </c>
      <c r="Q111" s="116">
        <f>IFERROR(VLOOKUP($B111,MMWR_TRAD_AGG_STATE_PEN[],Q$1,0),"ERROR")</f>
        <v>266</v>
      </c>
      <c r="R111" s="116">
        <f>IFERROR(VLOOKUP($B111,MMWR_TRAD_AGG_STATE_PEN[],R$1,0),"ERROR")</f>
        <v>70</v>
      </c>
      <c r="S111" s="116">
        <f>IFERROR(VLOOKUP($B111,MMWR_APP_STATE_PEN[],S$1,0),"ERROR")</f>
        <v>82</v>
      </c>
      <c r="T111" s="28"/>
    </row>
    <row r="112" spans="1:20" s="124" customFormat="1" x14ac:dyDescent="0.2">
      <c r="A112" s="28"/>
      <c r="B112" s="128" t="s">
        <v>417</v>
      </c>
      <c r="C112" s="110">
        <f>IFERROR(VLOOKUP($B112,MMWR_TRAD_AGG_STATE_PEN[],C$1,0),"ERROR")</f>
        <v>766</v>
      </c>
      <c r="D112" s="111">
        <f>IFERROR(VLOOKUP($B112,MMWR_TRAD_AGG_STATE_PEN[],D$1,0),"ERROR")</f>
        <v>51.4046997389</v>
      </c>
      <c r="E112" s="112">
        <f>IFERROR(VLOOKUP($B112,MMWR_TRAD_AGG_STATE_PEN[],E$1,0),"ERROR")</f>
        <v>1943</v>
      </c>
      <c r="F112" s="113">
        <f>IFERROR(VLOOKUP($B112,MMWR_TRAD_AGG_STATE_PEN[],F$1,0),"ERROR")</f>
        <v>73</v>
      </c>
      <c r="G112" s="114">
        <f t="shared" si="12"/>
        <v>3.7570766855378281E-2</v>
      </c>
      <c r="H112" s="112">
        <f>IFERROR(VLOOKUP($B112,MMWR_TRAD_AGG_STATE_PEN[],H$1,0),"ERROR")</f>
        <v>1289</v>
      </c>
      <c r="I112" s="113">
        <f>IFERROR(VLOOKUP($B112,MMWR_TRAD_AGG_STATE_PEN[],I$1,0),"ERROR")</f>
        <v>121</v>
      </c>
      <c r="J112" s="115">
        <f t="shared" si="13"/>
        <v>9.3871217998448414E-2</v>
      </c>
      <c r="K112" s="112">
        <f>IFERROR(VLOOKUP($B112,MMWR_TRAD_AGG_STATE_PEN[],K$1,0),"ERROR")</f>
        <v>18</v>
      </c>
      <c r="L112" s="113">
        <f>IFERROR(VLOOKUP($B112,MMWR_TRAD_AGG_STATE_PEN[],L$1,0),"ERROR")</f>
        <v>17</v>
      </c>
      <c r="M112" s="115">
        <f t="shared" si="14"/>
        <v>0.94444444444444442</v>
      </c>
      <c r="N112" s="112">
        <f>IFERROR(VLOOKUP($B112,MMWR_TRAD_AGG_STATE_PEN[],N$1,0),"ERROR")</f>
        <v>68</v>
      </c>
      <c r="O112" s="113">
        <f>IFERROR(VLOOKUP($B112,MMWR_TRAD_AGG_STATE_PEN[],O$1,0),"ERROR")</f>
        <v>35</v>
      </c>
      <c r="P112" s="115">
        <f t="shared" si="15"/>
        <v>0.51470588235294112</v>
      </c>
      <c r="Q112" s="116">
        <f>IFERROR(VLOOKUP($B112,MMWR_TRAD_AGG_STATE_PEN[],Q$1,0),"ERROR")</f>
        <v>858</v>
      </c>
      <c r="R112" s="116">
        <f>IFERROR(VLOOKUP($B112,MMWR_TRAD_AGG_STATE_PEN[],R$1,0),"ERROR")</f>
        <v>346</v>
      </c>
      <c r="S112" s="116">
        <f>IFERROR(VLOOKUP($B112,MMWR_APP_STATE_PEN[],S$1,0),"ERROR")</f>
        <v>315</v>
      </c>
      <c r="T112" s="28"/>
    </row>
    <row r="113" spans="1:20" s="124" customFormat="1" x14ac:dyDescent="0.2">
      <c r="A113" s="28"/>
      <c r="B113" s="128" t="s">
        <v>438</v>
      </c>
      <c r="C113" s="110">
        <f>IFERROR(VLOOKUP($B113,MMWR_TRAD_AGG_STATE_PEN[],C$1,0),"ERROR")</f>
        <v>11</v>
      </c>
      <c r="D113" s="111">
        <f>IFERROR(VLOOKUP($B113,MMWR_TRAD_AGG_STATE_PEN[],D$1,0),"ERROR")</f>
        <v>53.272727272700003</v>
      </c>
      <c r="E113" s="112">
        <f>IFERROR(VLOOKUP($B113,MMWR_TRAD_AGG_STATE_PEN[],E$1,0),"ERROR")</f>
        <v>32</v>
      </c>
      <c r="F113" s="113">
        <f>IFERROR(VLOOKUP($B113,MMWR_TRAD_AGG_STATE_PEN[],F$1,0),"ERROR")</f>
        <v>0</v>
      </c>
      <c r="G113" s="114">
        <f t="shared" si="12"/>
        <v>0</v>
      </c>
      <c r="H113" s="112">
        <f>IFERROR(VLOOKUP($B113,MMWR_TRAD_AGG_STATE_PEN[],H$1,0),"ERROR")</f>
        <v>19</v>
      </c>
      <c r="I113" s="113">
        <f>IFERROR(VLOOKUP($B113,MMWR_TRAD_AGG_STATE_PEN[],I$1,0),"ERROR")</f>
        <v>2</v>
      </c>
      <c r="J113" s="115">
        <f t="shared" si="13"/>
        <v>0.10526315789473684</v>
      </c>
      <c r="K113" s="112">
        <f>IFERROR(VLOOKUP($B113,MMWR_TRAD_AGG_STATE_PEN[],K$1,0),"ERROR")</f>
        <v>3</v>
      </c>
      <c r="L113" s="113">
        <f>IFERROR(VLOOKUP($B113,MMWR_TRAD_AGG_STATE_PEN[],L$1,0),"ERROR")</f>
        <v>2</v>
      </c>
      <c r="M113" s="115">
        <f t="shared" si="14"/>
        <v>0.66666666666666663</v>
      </c>
      <c r="N113" s="112">
        <f>IFERROR(VLOOKUP($B113,MMWR_TRAD_AGG_STATE_PEN[],N$1,0),"ERROR")</f>
        <v>1</v>
      </c>
      <c r="O113" s="113">
        <f>IFERROR(VLOOKUP($B113,MMWR_TRAD_AGG_STATE_PEN[],O$1,0),"ERROR")</f>
        <v>0</v>
      </c>
      <c r="P113" s="115">
        <f t="shared" si="15"/>
        <v>0</v>
      </c>
      <c r="Q113" s="116">
        <f>IFERROR(VLOOKUP($B113,MMWR_TRAD_AGG_STATE_PEN[],Q$1,0),"ERROR")</f>
        <v>38</v>
      </c>
      <c r="R113" s="116">
        <f>IFERROR(VLOOKUP($B113,MMWR_TRAD_AGG_STATE_PEN[],R$1,0),"ERROR")</f>
        <v>8</v>
      </c>
      <c r="S113" s="116">
        <f>IFERROR(VLOOKUP($B113,MMWR_APP_STATE_PEN[],S$1,0),"ERROR")</f>
        <v>14</v>
      </c>
      <c r="T113" s="28"/>
    </row>
    <row r="114" spans="1:20" s="124" customFormat="1" x14ac:dyDescent="0.2">
      <c r="A114" s="28"/>
      <c r="B114" s="128" t="s">
        <v>418</v>
      </c>
      <c r="C114" s="110">
        <f>IFERROR(VLOOKUP($B114,MMWR_TRAD_AGG_STATE_PEN[],C$1,0),"ERROR")</f>
        <v>38</v>
      </c>
      <c r="D114" s="111">
        <f>IFERROR(VLOOKUP($B114,MMWR_TRAD_AGG_STATE_PEN[],D$1,0),"ERROR")</f>
        <v>47.921052631599999</v>
      </c>
      <c r="E114" s="112">
        <f>IFERROR(VLOOKUP($B114,MMWR_TRAD_AGG_STATE_PEN[],E$1,0),"ERROR")</f>
        <v>125</v>
      </c>
      <c r="F114" s="113">
        <f>IFERROR(VLOOKUP($B114,MMWR_TRAD_AGG_STATE_PEN[],F$1,0),"ERROR")</f>
        <v>9</v>
      </c>
      <c r="G114" s="114">
        <f t="shared" si="12"/>
        <v>7.1999999999999995E-2</v>
      </c>
      <c r="H114" s="112">
        <f>IFERROR(VLOOKUP($B114,MMWR_TRAD_AGG_STATE_PEN[],H$1,0),"ERROR")</f>
        <v>65</v>
      </c>
      <c r="I114" s="113">
        <f>IFERROR(VLOOKUP($B114,MMWR_TRAD_AGG_STATE_PEN[],I$1,0),"ERROR")</f>
        <v>2</v>
      </c>
      <c r="J114" s="115">
        <f t="shared" si="13"/>
        <v>3.0769230769230771E-2</v>
      </c>
      <c r="K114" s="112">
        <f>IFERROR(VLOOKUP($B114,MMWR_TRAD_AGG_STATE_PEN[],K$1,0),"ERROR")</f>
        <v>1</v>
      </c>
      <c r="L114" s="113">
        <f>IFERROR(VLOOKUP($B114,MMWR_TRAD_AGG_STATE_PEN[],L$1,0),"ERROR")</f>
        <v>1</v>
      </c>
      <c r="M114" s="115">
        <f t="shared" si="14"/>
        <v>1</v>
      </c>
      <c r="N114" s="112">
        <f>IFERROR(VLOOKUP($B114,MMWR_TRAD_AGG_STATE_PEN[],N$1,0),"ERROR")</f>
        <v>0</v>
      </c>
      <c r="O114" s="113">
        <f>IFERROR(VLOOKUP($B114,MMWR_TRAD_AGG_STATE_PEN[],O$1,0),"ERROR")</f>
        <v>0</v>
      </c>
      <c r="P114" s="115" t="str">
        <f t="shared" si="15"/>
        <v>0%</v>
      </c>
      <c r="Q114" s="116">
        <f>IFERROR(VLOOKUP($B114,MMWR_TRAD_AGG_STATE_PEN[],Q$1,0),"ERROR")</f>
        <v>67</v>
      </c>
      <c r="R114" s="116">
        <f>IFERROR(VLOOKUP($B114,MMWR_TRAD_AGG_STATE_PEN[],R$1,0),"ERROR")</f>
        <v>15</v>
      </c>
      <c r="S114" s="116">
        <f>IFERROR(VLOOKUP($B114,MMWR_APP_STATE_PEN[],S$1,0),"ERROR")</f>
        <v>12</v>
      </c>
      <c r="T114" s="28"/>
    </row>
    <row r="115" spans="1:20" s="124" customFormat="1" x14ac:dyDescent="0.2">
      <c r="A115" s="28"/>
      <c r="B115" s="128" t="s">
        <v>423</v>
      </c>
      <c r="C115" s="110">
        <f>IFERROR(VLOOKUP($B115,MMWR_TRAD_AGG_STATE_PEN[],C$1,0),"ERROR")</f>
        <v>87</v>
      </c>
      <c r="D115" s="111">
        <f>IFERROR(VLOOKUP($B115,MMWR_TRAD_AGG_STATE_PEN[],D$1,0),"ERROR")</f>
        <v>58.183908045999999</v>
      </c>
      <c r="E115" s="112">
        <f>IFERROR(VLOOKUP($B115,MMWR_TRAD_AGG_STATE_PEN[],E$1,0),"ERROR")</f>
        <v>185</v>
      </c>
      <c r="F115" s="113">
        <f>IFERROR(VLOOKUP($B115,MMWR_TRAD_AGG_STATE_PEN[],F$1,0),"ERROR")</f>
        <v>7</v>
      </c>
      <c r="G115" s="114">
        <f t="shared" si="12"/>
        <v>3.783783783783784E-2</v>
      </c>
      <c r="H115" s="112">
        <f>IFERROR(VLOOKUP($B115,MMWR_TRAD_AGG_STATE_PEN[],H$1,0),"ERROR")</f>
        <v>143</v>
      </c>
      <c r="I115" s="113">
        <f>IFERROR(VLOOKUP($B115,MMWR_TRAD_AGG_STATE_PEN[],I$1,0),"ERROR")</f>
        <v>13</v>
      </c>
      <c r="J115" s="115">
        <f t="shared" si="13"/>
        <v>9.0909090909090912E-2</v>
      </c>
      <c r="K115" s="112">
        <f>IFERROR(VLOOKUP($B115,MMWR_TRAD_AGG_STATE_PEN[],K$1,0),"ERROR")</f>
        <v>0</v>
      </c>
      <c r="L115" s="113">
        <f>IFERROR(VLOOKUP($B115,MMWR_TRAD_AGG_STATE_PEN[],L$1,0),"ERROR")</f>
        <v>0</v>
      </c>
      <c r="M115" s="115" t="str">
        <f t="shared" si="14"/>
        <v>0%</v>
      </c>
      <c r="N115" s="112">
        <f>IFERROR(VLOOKUP($B115,MMWR_TRAD_AGG_STATE_PEN[],N$1,0),"ERROR")</f>
        <v>9</v>
      </c>
      <c r="O115" s="113">
        <f>IFERROR(VLOOKUP($B115,MMWR_TRAD_AGG_STATE_PEN[],O$1,0),"ERROR")</f>
        <v>5</v>
      </c>
      <c r="P115" s="115">
        <f t="shared" si="15"/>
        <v>0.55555555555555558</v>
      </c>
      <c r="Q115" s="116">
        <f>IFERROR(VLOOKUP($B115,MMWR_TRAD_AGG_STATE_PEN[],Q$1,0),"ERROR")</f>
        <v>113</v>
      </c>
      <c r="R115" s="116">
        <f>IFERROR(VLOOKUP($B115,MMWR_TRAD_AGG_STATE_PEN[],R$1,0),"ERROR")</f>
        <v>41</v>
      </c>
      <c r="S115" s="116">
        <f>IFERROR(VLOOKUP($B115,MMWR_APP_STATE_PEN[],S$1,0),"ERROR")</f>
        <v>53</v>
      </c>
      <c r="T115" s="28"/>
    </row>
    <row r="116" spans="1:20" s="124" customFormat="1" x14ac:dyDescent="0.2">
      <c r="A116" s="28"/>
      <c r="B116" s="128" t="s">
        <v>415</v>
      </c>
      <c r="C116" s="110">
        <f>IFERROR(VLOOKUP($B116,MMWR_TRAD_AGG_STATE_PEN[],C$1,0),"ERROR")</f>
        <v>43</v>
      </c>
      <c r="D116" s="111">
        <f>IFERROR(VLOOKUP($B116,MMWR_TRAD_AGG_STATE_PEN[],D$1,0),"ERROR")</f>
        <v>56.744186046499998</v>
      </c>
      <c r="E116" s="112">
        <f>IFERROR(VLOOKUP($B116,MMWR_TRAD_AGG_STATE_PEN[],E$1,0),"ERROR")</f>
        <v>135</v>
      </c>
      <c r="F116" s="113">
        <f>IFERROR(VLOOKUP($B116,MMWR_TRAD_AGG_STATE_PEN[],F$1,0),"ERROR")</f>
        <v>5</v>
      </c>
      <c r="G116" s="114">
        <f t="shared" si="12"/>
        <v>3.7037037037037035E-2</v>
      </c>
      <c r="H116" s="112">
        <f>IFERROR(VLOOKUP($B116,MMWR_TRAD_AGG_STATE_PEN[],H$1,0),"ERROR")</f>
        <v>91</v>
      </c>
      <c r="I116" s="113">
        <f>IFERROR(VLOOKUP($B116,MMWR_TRAD_AGG_STATE_PEN[],I$1,0),"ERROR")</f>
        <v>10</v>
      </c>
      <c r="J116" s="115">
        <f t="shared" si="13"/>
        <v>0.10989010989010989</v>
      </c>
      <c r="K116" s="112">
        <f>IFERROR(VLOOKUP($B116,MMWR_TRAD_AGG_STATE_PEN[],K$1,0),"ERROR")</f>
        <v>0</v>
      </c>
      <c r="L116" s="113">
        <f>IFERROR(VLOOKUP($B116,MMWR_TRAD_AGG_STATE_PEN[],L$1,0),"ERROR")</f>
        <v>0</v>
      </c>
      <c r="M116" s="115" t="str">
        <f t="shared" si="14"/>
        <v>0%</v>
      </c>
      <c r="N116" s="112">
        <f>IFERROR(VLOOKUP($B116,MMWR_TRAD_AGG_STATE_PEN[],N$1,0),"ERROR")</f>
        <v>8</v>
      </c>
      <c r="O116" s="113">
        <f>IFERROR(VLOOKUP($B116,MMWR_TRAD_AGG_STATE_PEN[],O$1,0),"ERROR")</f>
        <v>2</v>
      </c>
      <c r="P116" s="115">
        <f t="shared" si="15"/>
        <v>0.25</v>
      </c>
      <c r="Q116" s="116">
        <f>IFERROR(VLOOKUP($B116,MMWR_TRAD_AGG_STATE_PEN[],Q$1,0),"ERROR")</f>
        <v>167</v>
      </c>
      <c r="R116" s="116">
        <f>IFERROR(VLOOKUP($B116,MMWR_TRAD_AGG_STATE_PEN[],R$1,0),"ERROR")</f>
        <v>19</v>
      </c>
      <c r="S116" s="116">
        <f>IFERROR(VLOOKUP($B116,MMWR_APP_STATE_PEN[],S$1,0),"ERROR")</f>
        <v>26</v>
      </c>
      <c r="T116" s="28"/>
    </row>
    <row r="117" spans="1:20" s="124" customFormat="1" x14ac:dyDescent="0.2">
      <c r="A117" s="28"/>
      <c r="B117" s="128" t="s">
        <v>419</v>
      </c>
      <c r="C117" s="110">
        <f>IFERROR(VLOOKUP($B117,MMWR_TRAD_AGG_STATE_PEN[],C$1,0),"ERROR")</f>
        <v>132</v>
      </c>
      <c r="D117" s="111">
        <f>IFERROR(VLOOKUP($B117,MMWR_TRAD_AGG_STATE_PEN[],D$1,0),"ERROR")</f>
        <v>45.25</v>
      </c>
      <c r="E117" s="112">
        <f>IFERROR(VLOOKUP($B117,MMWR_TRAD_AGG_STATE_PEN[],E$1,0),"ERROR")</f>
        <v>265</v>
      </c>
      <c r="F117" s="113">
        <f>IFERROR(VLOOKUP($B117,MMWR_TRAD_AGG_STATE_PEN[],F$1,0),"ERROR")</f>
        <v>9</v>
      </c>
      <c r="G117" s="114">
        <f t="shared" si="12"/>
        <v>3.3962264150943396E-2</v>
      </c>
      <c r="H117" s="112">
        <f>IFERROR(VLOOKUP($B117,MMWR_TRAD_AGG_STATE_PEN[],H$1,0),"ERROR")</f>
        <v>212</v>
      </c>
      <c r="I117" s="113">
        <f>IFERROR(VLOOKUP($B117,MMWR_TRAD_AGG_STATE_PEN[],I$1,0),"ERROR")</f>
        <v>11</v>
      </c>
      <c r="J117" s="115">
        <f t="shared" si="13"/>
        <v>5.1886792452830191E-2</v>
      </c>
      <c r="K117" s="112">
        <f>IFERROR(VLOOKUP($B117,MMWR_TRAD_AGG_STATE_PEN[],K$1,0),"ERROR")</f>
        <v>2</v>
      </c>
      <c r="L117" s="113">
        <f>IFERROR(VLOOKUP($B117,MMWR_TRAD_AGG_STATE_PEN[],L$1,0),"ERROR")</f>
        <v>2</v>
      </c>
      <c r="M117" s="115">
        <f t="shared" si="14"/>
        <v>1</v>
      </c>
      <c r="N117" s="112">
        <f>IFERROR(VLOOKUP($B117,MMWR_TRAD_AGG_STATE_PEN[],N$1,0),"ERROR")</f>
        <v>12</v>
      </c>
      <c r="O117" s="113">
        <f>IFERROR(VLOOKUP($B117,MMWR_TRAD_AGG_STATE_PEN[],O$1,0),"ERROR")</f>
        <v>8</v>
      </c>
      <c r="P117" s="115">
        <f t="shared" si="15"/>
        <v>0.66666666666666663</v>
      </c>
      <c r="Q117" s="116">
        <f>IFERROR(VLOOKUP($B117,MMWR_TRAD_AGG_STATE_PEN[],Q$1,0),"ERROR")</f>
        <v>208</v>
      </c>
      <c r="R117" s="116">
        <f>IFERROR(VLOOKUP($B117,MMWR_TRAD_AGG_STATE_PEN[],R$1,0),"ERROR")</f>
        <v>54</v>
      </c>
      <c r="S117" s="116">
        <f>IFERROR(VLOOKUP($B117,MMWR_APP_STATE_PEN[],S$1,0),"ERROR")</f>
        <v>39</v>
      </c>
      <c r="T117" s="28"/>
    </row>
    <row r="118" spans="1:20" s="124" customFormat="1" x14ac:dyDescent="0.2">
      <c r="A118" s="28"/>
      <c r="B118" s="128" t="s">
        <v>83</v>
      </c>
      <c r="C118" s="110">
        <f>IFERROR(VLOOKUP($B118,MMWR_TRAD_AGG_STATE_PEN[],C$1,0),"ERROR")</f>
        <v>144</v>
      </c>
      <c r="D118" s="111">
        <f>IFERROR(VLOOKUP($B118,MMWR_TRAD_AGG_STATE_PEN[],D$1,0),"ERROR")</f>
        <v>45.145833333299997</v>
      </c>
      <c r="E118" s="112">
        <f>IFERROR(VLOOKUP($B118,MMWR_TRAD_AGG_STATE_PEN[],E$1,0),"ERROR")</f>
        <v>458</v>
      </c>
      <c r="F118" s="113">
        <f>IFERROR(VLOOKUP($B118,MMWR_TRAD_AGG_STATE_PEN[],F$1,0),"ERROR")</f>
        <v>24</v>
      </c>
      <c r="G118" s="114">
        <f t="shared" si="12"/>
        <v>5.2401746724890827E-2</v>
      </c>
      <c r="H118" s="112">
        <f>IFERROR(VLOOKUP($B118,MMWR_TRAD_AGG_STATE_PEN[],H$1,0),"ERROR")</f>
        <v>303</v>
      </c>
      <c r="I118" s="113">
        <f>IFERROR(VLOOKUP($B118,MMWR_TRAD_AGG_STATE_PEN[],I$1,0),"ERROR")</f>
        <v>33</v>
      </c>
      <c r="J118" s="115">
        <f t="shared" si="13"/>
        <v>0.10891089108910891</v>
      </c>
      <c r="K118" s="112">
        <f>IFERROR(VLOOKUP($B118,MMWR_TRAD_AGG_STATE_PEN[],K$1,0),"ERROR")</f>
        <v>1</v>
      </c>
      <c r="L118" s="113">
        <f>IFERROR(VLOOKUP($B118,MMWR_TRAD_AGG_STATE_PEN[],L$1,0),"ERROR")</f>
        <v>1</v>
      </c>
      <c r="M118" s="115">
        <f t="shared" si="14"/>
        <v>1</v>
      </c>
      <c r="N118" s="112">
        <f>IFERROR(VLOOKUP($B118,MMWR_TRAD_AGG_STATE_PEN[],N$1,0),"ERROR")</f>
        <v>27</v>
      </c>
      <c r="O118" s="113">
        <f>IFERROR(VLOOKUP($B118,MMWR_TRAD_AGG_STATE_PEN[],O$1,0),"ERROR")</f>
        <v>10</v>
      </c>
      <c r="P118" s="115">
        <f t="shared" si="15"/>
        <v>0.37037037037037035</v>
      </c>
      <c r="Q118" s="116">
        <f>IFERROR(VLOOKUP($B118,MMWR_TRAD_AGG_STATE_PEN[],Q$1,0),"ERROR")</f>
        <v>279</v>
      </c>
      <c r="R118" s="116">
        <f>IFERROR(VLOOKUP($B118,MMWR_TRAD_AGG_STATE_PEN[],R$1,0),"ERROR")</f>
        <v>82</v>
      </c>
      <c r="S118" s="116">
        <f>IFERROR(VLOOKUP($B118,MMWR_APP_STATE_PEN[],S$1,0),"ERROR")</f>
        <v>74</v>
      </c>
      <c r="T118" s="28"/>
    </row>
    <row r="119" spans="1:20" s="124" customFormat="1" x14ac:dyDescent="0.2">
      <c r="A119" s="28"/>
      <c r="B119" s="127" t="s">
        <v>390</v>
      </c>
      <c r="C119" s="103">
        <f>IFERROR(VLOOKUP($B119,MMWR_TRAD_AGG_ST_DISTRICT_PEN[],C$1,0),"ERROR")</f>
        <v>6740</v>
      </c>
      <c r="D119" s="104">
        <f>IFERROR(VLOOKUP($B119,MMWR_TRAD_AGG_ST_DISTRICT_PEN[],D$1,0),"ERROR")</f>
        <v>88.644362017800006</v>
      </c>
      <c r="E119" s="103">
        <f>IFERROR(VLOOKUP($B119,MMWR_TRAD_AGG_ST_DISTRICT_PEN[],E$1,0),"ERROR")</f>
        <v>5630</v>
      </c>
      <c r="F119" s="103">
        <f>IFERROR(VLOOKUP($B119,MMWR_TRAD_AGG_ST_DISTRICT_PEN[],F$1,0),"ERROR")</f>
        <v>922</v>
      </c>
      <c r="G119" s="105">
        <f t="shared" si="12"/>
        <v>0.16376554174067495</v>
      </c>
      <c r="H119" s="103">
        <f>IFERROR(VLOOKUP($B119,MMWR_TRAD_AGG_ST_DISTRICT_PEN[],H$1,0),"ERROR")</f>
        <v>10576</v>
      </c>
      <c r="I119" s="103">
        <f>IFERROR(VLOOKUP($B119,MMWR_TRAD_AGG_ST_DISTRICT_PEN[],I$1,0),"ERROR")</f>
        <v>2539</v>
      </c>
      <c r="J119" s="105">
        <f t="shared" si="13"/>
        <v>0.24007186081694401</v>
      </c>
      <c r="K119" s="103">
        <f>IFERROR(VLOOKUP($B119,MMWR_TRAD_AGG_ST_DISTRICT_PEN[],K$1,0),"ERROR")</f>
        <v>233</v>
      </c>
      <c r="L119" s="103">
        <f>IFERROR(VLOOKUP($B119,MMWR_TRAD_AGG_ST_DISTRICT_PEN[],L$1,0),"ERROR")</f>
        <v>220</v>
      </c>
      <c r="M119" s="105">
        <f t="shared" si="14"/>
        <v>0.94420600858369097</v>
      </c>
      <c r="N119" s="103">
        <f>IFERROR(VLOOKUP($B119,MMWR_TRAD_AGG_ST_DISTRICT_PEN[],N$1,0),"ERROR")</f>
        <v>2009</v>
      </c>
      <c r="O119" s="103">
        <f>IFERROR(VLOOKUP($B119,MMWR_TRAD_AGG_ST_DISTRICT_PEN[],O$1,0),"ERROR")</f>
        <v>320</v>
      </c>
      <c r="P119" s="105">
        <f t="shared" si="15"/>
        <v>0.15928322548531607</v>
      </c>
      <c r="Q119" s="103">
        <f>IFERROR(VLOOKUP($B119,MMWR_TRAD_AGG_ST_DISTRICT_PEN[],Q$1,0),"ERROR")</f>
        <v>1721</v>
      </c>
      <c r="R119" s="107">
        <f>IFERROR(VLOOKUP($B119,MMWR_TRAD_AGG_ST_DISTRICT_PEN[],R$1,0),"ERROR")</f>
        <v>1384</v>
      </c>
      <c r="S119" s="107">
        <f>IFERROR(VLOOKUP($B119,MMWR_APP_STATE_PEN[],S$1,0),"ERROR")</f>
        <v>1618</v>
      </c>
      <c r="T119" s="28"/>
    </row>
    <row r="120" spans="1:20" s="124" customFormat="1" x14ac:dyDescent="0.2">
      <c r="A120" s="28"/>
      <c r="B120" s="128" t="s">
        <v>398</v>
      </c>
      <c r="C120" s="110">
        <f>IFERROR(VLOOKUP($B120,MMWR_TRAD_AGG_STATE_PEN[],C$1,0),"ERROR")</f>
        <v>683</v>
      </c>
      <c r="D120" s="111">
        <f>IFERROR(VLOOKUP($B120,MMWR_TRAD_AGG_STATE_PEN[],D$1,0),"ERROR")</f>
        <v>65.467057100999995</v>
      </c>
      <c r="E120" s="112">
        <f>IFERROR(VLOOKUP($B120,MMWR_TRAD_AGG_STATE_PEN[],E$1,0),"ERROR")</f>
        <v>571</v>
      </c>
      <c r="F120" s="113">
        <f>IFERROR(VLOOKUP($B120,MMWR_TRAD_AGG_STATE_PEN[],F$1,0),"ERROR")</f>
        <v>30</v>
      </c>
      <c r="G120" s="114">
        <f t="shared" si="12"/>
        <v>5.2539404553415062E-2</v>
      </c>
      <c r="H120" s="112">
        <f>IFERROR(VLOOKUP($B120,MMWR_TRAD_AGG_STATE_PEN[],H$1,0),"ERROR")</f>
        <v>1057</v>
      </c>
      <c r="I120" s="113">
        <f>IFERROR(VLOOKUP($B120,MMWR_TRAD_AGG_STATE_PEN[],I$1,0),"ERROR")</f>
        <v>125</v>
      </c>
      <c r="J120" s="115">
        <f t="shared" si="13"/>
        <v>0.11825922421948912</v>
      </c>
      <c r="K120" s="112">
        <f>IFERROR(VLOOKUP($B120,MMWR_TRAD_AGG_STATE_PEN[],K$1,0),"ERROR")</f>
        <v>9</v>
      </c>
      <c r="L120" s="113">
        <f>IFERROR(VLOOKUP($B120,MMWR_TRAD_AGG_STATE_PEN[],L$1,0),"ERROR")</f>
        <v>8</v>
      </c>
      <c r="M120" s="115">
        <f t="shared" si="14"/>
        <v>0.88888888888888884</v>
      </c>
      <c r="N120" s="112">
        <f>IFERROR(VLOOKUP($B120,MMWR_TRAD_AGG_STATE_PEN[],N$1,0),"ERROR")</f>
        <v>68</v>
      </c>
      <c r="O120" s="113">
        <f>IFERROR(VLOOKUP($B120,MMWR_TRAD_AGG_STATE_PEN[],O$1,0),"ERROR")</f>
        <v>23</v>
      </c>
      <c r="P120" s="115">
        <f t="shared" si="15"/>
        <v>0.33823529411764708</v>
      </c>
      <c r="Q120" s="116">
        <f>IFERROR(VLOOKUP($B120,MMWR_TRAD_AGG_STATE_PEN[],Q$1,0),"ERROR")</f>
        <v>343</v>
      </c>
      <c r="R120" s="116">
        <f>IFERROR(VLOOKUP($B120,MMWR_TRAD_AGG_STATE_PEN[],R$1,0),"ERROR")</f>
        <v>53</v>
      </c>
      <c r="S120" s="116">
        <f>IFERROR(VLOOKUP($B120,MMWR_APP_STATE_PEN[],S$1,0),"ERROR")</f>
        <v>178</v>
      </c>
      <c r="T120" s="28"/>
    </row>
    <row r="121" spans="1:20" s="124" customFormat="1" x14ac:dyDescent="0.2">
      <c r="A121" s="28"/>
      <c r="B121" s="128" t="s">
        <v>435</v>
      </c>
      <c r="C121" s="110">
        <f>IFERROR(VLOOKUP($B121,MMWR_TRAD_AGG_STATE_PEN[],C$1,0),"ERROR")</f>
        <v>2158</v>
      </c>
      <c r="D121" s="111">
        <f>IFERROR(VLOOKUP($B121,MMWR_TRAD_AGG_STATE_PEN[],D$1,0),"ERROR")</f>
        <v>91.527803521799996</v>
      </c>
      <c r="E121" s="112">
        <f>IFERROR(VLOOKUP($B121,MMWR_TRAD_AGG_STATE_PEN[],E$1,0),"ERROR")</f>
        <v>2219</v>
      </c>
      <c r="F121" s="113">
        <f>IFERROR(VLOOKUP($B121,MMWR_TRAD_AGG_STATE_PEN[],F$1,0),"ERROR")</f>
        <v>459</v>
      </c>
      <c r="G121" s="114">
        <f t="shared" si="12"/>
        <v>0.20684993240198288</v>
      </c>
      <c r="H121" s="112">
        <f>IFERROR(VLOOKUP($B121,MMWR_TRAD_AGG_STATE_PEN[],H$1,0),"ERROR")</f>
        <v>3418</v>
      </c>
      <c r="I121" s="113">
        <f>IFERROR(VLOOKUP($B121,MMWR_TRAD_AGG_STATE_PEN[],I$1,0),"ERROR")</f>
        <v>896</v>
      </c>
      <c r="J121" s="115">
        <f t="shared" si="13"/>
        <v>0.26214160327677005</v>
      </c>
      <c r="K121" s="112">
        <f>IFERROR(VLOOKUP($B121,MMWR_TRAD_AGG_STATE_PEN[],K$1,0),"ERROR")</f>
        <v>106</v>
      </c>
      <c r="L121" s="113">
        <f>IFERROR(VLOOKUP($B121,MMWR_TRAD_AGG_STATE_PEN[],L$1,0),"ERROR")</f>
        <v>104</v>
      </c>
      <c r="M121" s="115">
        <f t="shared" si="14"/>
        <v>0.98113207547169812</v>
      </c>
      <c r="N121" s="112">
        <f>IFERROR(VLOOKUP($B121,MMWR_TRAD_AGG_STATE_PEN[],N$1,0),"ERROR")</f>
        <v>876</v>
      </c>
      <c r="O121" s="113">
        <f>IFERROR(VLOOKUP($B121,MMWR_TRAD_AGG_STATE_PEN[],O$1,0),"ERROR")</f>
        <v>123</v>
      </c>
      <c r="P121" s="115">
        <f t="shared" si="15"/>
        <v>0.1404109589041096</v>
      </c>
      <c r="Q121" s="116">
        <f>IFERROR(VLOOKUP($B121,MMWR_TRAD_AGG_STATE_PEN[],Q$1,0),"ERROR")</f>
        <v>289</v>
      </c>
      <c r="R121" s="116">
        <f>IFERROR(VLOOKUP($B121,MMWR_TRAD_AGG_STATE_PEN[],R$1,0),"ERROR")</f>
        <v>557</v>
      </c>
      <c r="S121" s="116">
        <f>IFERROR(VLOOKUP($B121,MMWR_APP_STATE_PEN[],S$1,0),"ERROR")</f>
        <v>496</v>
      </c>
      <c r="T121" s="28"/>
    </row>
    <row r="122" spans="1:20" s="124" customFormat="1" x14ac:dyDescent="0.2">
      <c r="A122" s="28"/>
      <c r="B122" s="128" t="s">
        <v>391</v>
      </c>
      <c r="C122" s="110">
        <f>IFERROR(VLOOKUP($B122,MMWR_TRAD_AGG_STATE_PEN[],C$1,0),"ERROR")</f>
        <v>1098</v>
      </c>
      <c r="D122" s="111">
        <f>IFERROR(VLOOKUP($B122,MMWR_TRAD_AGG_STATE_PEN[],D$1,0),"ERROR")</f>
        <v>100.8551912568</v>
      </c>
      <c r="E122" s="112">
        <f>IFERROR(VLOOKUP($B122,MMWR_TRAD_AGG_STATE_PEN[],E$1,0),"ERROR")</f>
        <v>1020</v>
      </c>
      <c r="F122" s="113">
        <f>IFERROR(VLOOKUP($B122,MMWR_TRAD_AGG_STATE_PEN[],F$1,0),"ERROR")</f>
        <v>198</v>
      </c>
      <c r="G122" s="114">
        <f t="shared" si="12"/>
        <v>0.19411764705882353</v>
      </c>
      <c r="H122" s="112">
        <f>IFERROR(VLOOKUP($B122,MMWR_TRAD_AGG_STATE_PEN[],H$1,0),"ERROR")</f>
        <v>1716</v>
      </c>
      <c r="I122" s="113">
        <f>IFERROR(VLOOKUP($B122,MMWR_TRAD_AGG_STATE_PEN[],I$1,0),"ERROR")</f>
        <v>503</v>
      </c>
      <c r="J122" s="115">
        <f t="shared" si="13"/>
        <v>0.29312354312354311</v>
      </c>
      <c r="K122" s="112">
        <f>IFERROR(VLOOKUP($B122,MMWR_TRAD_AGG_STATE_PEN[],K$1,0),"ERROR")</f>
        <v>63</v>
      </c>
      <c r="L122" s="113">
        <f>IFERROR(VLOOKUP($B122,MMWR_TRAD_AGG_STATE_PEN[],L$1,0),"ERROR")</f>
        <v>62</v>
      </c>
      <c r="M122" s="115">
        <f t="shared" si="14"/>
        <v>0.98412698412698407</v>
      </c>
      <c r="N122" s="112">
        <f>IFERROR(VLOOKUP($B122,MMWR_TRAD_AGG_STATE_PEN[],N$1,0),"ERROR")</f>
        <v>496</v>
      </c>
      <c r="O122" s="113">
        <f>IFERROR(VLOOKUP($B122,MMWR_TRAD_AGG_STATE_PEN[],O$1,0),"ERROR")</f>
        <v>81</v>
      </c>
      <c r="P122" s="115">
        <f t="shared" si="15"/>
        <v>0.16330645161290322</v>
      </c>
      <c r="Q122" s="116">
        <f>IFERROR(VLOOKUP($B122,MMWR_TRAD_AGG_STATE_PEN[],Q$1,0),"ERROR")</f>
        <v>180</v>
      </c>
      <c r="R122" s="116">
        <f>IFERROR(VLOOKUP($B122,MMWR_TRAD_AGG_STATE_PEN[],R$1,0),"ERROR")</f>
        <v>371</v>
      </c>
      <c r="S122" s="116">
        <f>IFERROR(VLOOKUP($B122,MMWR_APP_STATE_PEN[],S$1,0),"ERROR")</f>
        <v>344</v>
      </c>
      <c r="T122" s="28"/>
    </row>
    <row r="123" spans="1:20" s="124" customFormat="1" x14ac:dyDescent="0.2">
      <c r="A123" s="28"/>
      <c r="B123" s="128" t="s">
        <v>403</v>
      </c>
      <c r="C123" s="110">
        <f>IFERROR(VLOOKUP($B123,MMWR_TRAD_AGG_STATE_PEN[],C$1,0),"ERROR")</f>
        <v>275</v>
      </c>
      <c r="D123" s="111">
        <f>IFERROR(VLOOKUP($B123,MMWR_TRAD_AGG_STATE_PEN[],D$1,0),"ERROR")</f>
        <v>70.541818181799997</v>
      </c>
      <c r="E123" s="112">
        <f>IFERROR(VLOOKUP($B123,MMWR_TRAD_AGG_STATE_PEN[],E$1,0),"ERROR")</f>
        <v>251</v>
      </c>
      <c r="F123" s="113">
        <f>IFERROR(VLOOKUP($B123,MMWR_TRAD_AGG_STATE_PEN[],F$1,0),"ERROR")</f>
        <v>18</v>
      </c>
      <c r="G123" s="114">
        <f t="shared" si="12"/>
        <v>7.1713147410358571E-2</v>
      </c>
      <c r="H123" s="112">
        <f>IFERROR(VLOOKUP($B123,MMWR_TRAD_AGG_STATE_PEN[],H$1,0),"ERROR")</f>
        <v>438</v>
      </c>
      <c r="I123" s="113">
        <f>IFERROR(VLOOKUP($B123,MMWR_TRAD_AGG_STATE_PEN[],I$1,0),"ERROR")</f>
        <v>58</v>
      </c>
      <c r="J123" s="115">
        <f t="shared" si="13"/>
        <v>0.13242009132420091</v>
      </c>
      <c r="K123" s="112">
        <f>IFERROR(VLOOKUP($B123,MMWR_TRAD_AGG_STATE_PEN[],K$1,0),"ERROR")</f>
        <v>3</v>
      </c>
      <c r="L123" s="113">
        <f>IFERROR(VLOOKUP($B123,MMWR_TRAD_AGG_STATE_PEN[],L$1,0),"ERROR")</f>
        <v>3</v>
      </c>
      <c r="M123" s="115">
        <f t="shared" si="14"/>
        <v>1</v>
      </c>
      <c r="N123" s="112">
        <f>IFERROR(VLOOKUP($B123,MMWR_TRAD_AGG_STATE_PEN[],N$1,0),"ERROR")</f>
        <v>45</v>
      </c>
      <c r="O123" s="113">
        <f>IFERROR(VLOOKUP($B123,MMWR_TRAD_AGG_STATE_PEN[],O$1,0),"ERROR")</f>
        <v>6</v>
      </c>
      <c r="P123" s="115">
        <f t="shared" si="15"/>
        <v>0.13333333333333333</v>
      </c>
      <c r="Q123" s="116">
        <f>IFERROR(VLOOKUP($B123,MMWR_TRAD_AGG_STATE_PEN[],Q$1,0),"ERROR")</f>
        <v>334</v>
      </c>
      <c r="R123" s="116">
        <f>IFERROR(VLOOKUP($B123,MMWR_TRAD_AGG_STATE_PEN[],R$1,0),"ERROR")</f>
        <v>31</v>
      </c>
      <c r="S123" s="116">
        <f>IFERROR(VLOOKUP($B123,MMWR_APP_STATE_PEN[],S$1,0),"ERROR")</f>
        <v>119</v>
      </c>
      <c r="T123" s="28"/>
    </row>
    <row r="124" spans="1:20" s="124" customFormat="1" x14ac:dyDescent="0.2">
      <c r="A124" s="28"/>
      <c r="B124" s="128" t="s">
        <v>437</v>
      </c>
      <c r="C124" s="110">
        <f>IFERROR(VLOOKUP($B124,MMWR_TRAD_AGG_STATE_PEN[],C$1,0),"ERROR")</f>
        <v>1280</v>
      </c>
      <c r="D124" s="111">
        <f>IFERROR(VLOOKUP($B124,MMWR_TRAD_AGG_STATE_PEN[],D$1,0),"ERROR")</f>
        <v>98.164843750000003</v>
      </c>
      <c r="E124" s="112">
        <f>IFERROR(VLOOKUP($B124,MMWR_TRAD_AGG_STATE_PEN[],E$1,0),"ERROR")</f>
        <v>423</v>
      </c>
      <c r="F124" s="113">
        <f>IFERROR(VLOOKUP($B124,MMWR_TRAD_AGG_STATE_PEN[],F$1,0),"ERROR")</f>
        <v>84</v>
      </c>
      <c r="G124" s="114">
        <f t="shared" si="12"/>
        <v>0.19858156028368795</v>
      </c>
      <c r="H124" s="112">
        <f>IFERROR(VLOOKUP($B124,MMWR_TRAD_AGG_STATE_PEN[],H$1,0),"ERROR")</f>
        <v>1995</v>
      </c>
      <c r="I124" s="113">
        <f>IFERROR(VLOOKUP($B124,MMWR_TRAD_AGG_STATE_PEN[],I$1,0),"ERROR")</f>
        <v>531</v>
      </c>
      <c r="J124" s="115">
        <f t="shared" si="13"/>
        <v>0.2661654135338346</v>
      </c>
      <c r="K124" s="112">
        <f>IFERROR(VLOOKUP($B124,MMWR_TRAD_AGG_STATE_PEN[],K$1,0),"ERROR")</f>
        <v>22</v>
      </c>
      <c r="L124" s="113">
        <f>IFERROR(VLOOKUP($B124,MMWR_TRAD_AGG_STATE_PEN[],L$1,0),"ERROR")</f>
        <v>15</v>
      </c>
      <c r="M124" s="115">
        <f t="shared" si="14"/>
        <v>0.68181818181818177</v>
      </c>
      <c r="N124" s="112">
        <f>IFERROR(VLOOKUP($B124,MMWR_TRAD_AGG_STATE_PEN[],N$1,0),"ERROR")</f>
        <v>186</v>
      </c>
      <c r="O124" s="113">
        <f>IFERROR(VLOOKUP($B124,MMWR_TRAD_AGG_STATE_PEN[],O$1,0),"ERROR")</f>
        <v>32</v>
      </c>
      <c r="P124" s="115">
        <f t="shared" si="15"/>
        <v>0.17204301075268819</v>
      </c>
      <c r="Q124" s="116">
        <f>IFERROR(VLOOKUP($B124,MMWR_TRAD_AGG_STATE_PEN[],Q$1,0),"ERROR")</f>
        <v>80</v>
      </c>
      <c r="R124" s="116">
        <f>IFERROR(VLOOKUP($B124,MMWR_TRAD_AGG_STATE_PEN[],R$1,0),"ERROR")</f>
        <v>101</v>
      </c>
      <c r="S124" s="116">
        <f>IFERROR(VLOOKUP($B124,MMWR_APP_STATE_PEN[],S$1,0),"ERROR")</f>
        <v>112</v>
      </c>
      <c r="T124" s="28"/>
    </row>
    <row r="125" spans="1:20" s="124" customFormat="1" x14ac:dyDescent="0.2">
      <c r="A125" s="28"/>
      <c r="B125" s="128" t="s">
        <v>393</v>
      </c>
      <c r="C125" s="110">
        <f>IFERROR(VLOOKUP($B125,MMWR_TRAD_AGG_STATE_PEN[],C$1,0),"ERROR")</f>
        <v>730</v>
      </c>
      <c r="D125" s="111">
        <f>IFERROR(VLOOKUP($B125,MMWR_TRAD_AGG_STATE_PEN[],D$1,0),"ERROR")</f>
        <v>93.576712328799999</v>
      </c>
      <c r="E125" s="112">
        <f>IFERROR(VLOOKUP($B125,MMWR_TRAD_AGG_STATE_PEN[],E$1,0),"ERROR")</f>
        <v>626</v>
      </c>
      <c r="F125" s="113">
        <f>IFERROR(VLOOKUP($B125,MMWR_TRAD_AGG_STATE_PEN[],F$1,0),"ERROR")</f>
        <v>107</v>
      </c>
      <c r="G125" s="114">
        <f t="shared" si="12"/>
        <v>0.17092651757188498</v>
      </c>
      <c r="H125" s="112">
        <f>IFERROR(VLOOKUP($B125,MMWR_TRAD_AGG_STATE_PEN[],H$1,0),"ERROR")</f>
        <v>1174</v>
      </c>
      <c r="I125" s="113">
        <f>IFERROR(VLOOKUP($B125,MMWR_TRAD_AGG_STATE_PEN[],I$1,0),"ERROR")</f>
        <v>339</v>
      </c>
      <c r="J125" s="115">
        <f t="shared" si="13"/>
        <v>0.28875638841567292</v>
      </c>
      <c r="K125" s="112">
        <f>IFERROR(VLOOKUP($B125,MMWR_TRAD_AGG_STATE_PEN[],K$1,0),"ERROR")</f>
        <v>22</v>
      </c>
      <c r="L125" s="113">
        <f>IFERROR(VLOOKUP($B125,MMWR_TRAD_AGG_STATE_PEN[],L$1,0),"ERROR")</f>
        <v>20</v>
      </c>
      <c r="M125" s="115">
        <f t="shared" si="14"/>
        <v>0.90909090909090906</v>
      </c>
      <c r="N125" s="112">
        <f>IFERROR(VLOOKUP($B125,MMWR_TRAD_AGG_STATE_PEN[],N$1,0),"ERROR")</f>
        <v>295</v>
      </c>
      <c r="O125" s="113">
        <f>IFERROR(VLOOKUP($B125,MMWR_TRAD_AGG_STATE_PEN[],O$1,0),"ERROR")</f>
        <v>42</v>
      </c>
      <c r="P125" s="115">
        <f t="shared" si="15"/>
        <v>0.14237288135593221</v>
      </c>
      <c r="Q125" s="116">
        <f>IFERROR(VLOOKUP($B125,MMWR_TRAD_AGG_STATE_PEN[],Q$1,0),"ERROR")</f>
        <v>119</v>
      </c>
      <c r="R125" s="116">
        <f>IFERROR(VLOOKUP($B125,MMWR_TRAD_AGG_STATE_PEN[],R$1,0),"ERROR")</f>
        <v>221</v>
      </c>
      <c r="S125" s="116">
        <f>IFERROR(VLOOKUP($B125,MMWR_APP_STATE_PEN[],S$1,0),"ERROR")</f>
        <v>151</v>
      </c>
      <c r="T125" s="28"/>
    </row>
    <row r="126" spans="1:20" s="124" customFormat="1" x14ac:dyDescent="0.2">
      <c r="A126" s="28"/>
      <c r="B126" s="128" t="s">
        <v>394</v>
      </c>
      <c r="C126" s="110">
        <f>IFERROR(VLOOKUP($B126,MMWR_TRAD_AGG_STATE_PEN[],C$1,0),"ERROR")</f>
        <v>516</v>
      </c>
      <c r="D126" s="111">
        <f>IFERROR(VLOOKUP($B126,MMWR_TRAD_AGG_STATE_PEN[],D$1,0),"ERROR")</f>
        <v>60.333333333299997</v>
      </c>
      <c r="E126" s="112">
        <f>IFERROR(VLOOKUP($B126,MMWR_TRAD_AGG_STATE_PEN[],E$1,0),"ERROR")</f>
        <v>520</v>
      </c>
      <c r="F126" s="113">
        <f>IFERROR(VLOOKUP($B126,MMWR_TRAD_AGG_STATE_PEN[],F$1,0),"ERROR")</f>
        <v>26</v>
      </c>
      <c r="G126" s="114">
        <f t="shared" si="12"/>
        <v>0.05</v>
      </c>
      <c r="H126" s="112">
        <f>IFERROR(VLOOKUP($B126,MMWR_TRAD_AGG_STATE_PEN[],H$1,0),"ERROR")</f>
        <v>778</v>
      </c>
      <c r="I126" s="113">
        <f>IFERROR(VLOOKUP($B126,MMWR_TRAD_AGG_STATE_PEN[],I$1,0),"ERROR")</f>
        <v>87</v>
      </c>
      <c r="J126" s="115">
        <f t="shared" si="13"/>
        <v>0.11182519280205655</v>
      </c>
      <c r="K126" s="112">
        <f>IFERROR(VLOOKUP($B126,MMWR_TRAD_AGG_STATE_PEN[],K$1,0),"ERROR")</f>
        <v>8</v>
      </c>
      <c r="L126" s="113">
        <f>IFERROR(VLOOKUP($B126,MMWR_TRAD_AGG_STATE_PEN[],L$1,0),"ERROR")</f>
        <v>8</v>
      </c>
      <c r="M126" s="115">
        <f t="shared" si="14"/>
        <v>1</v>
      </c>
      <c r="N126" s="112">
        <f>IFERROR(VLOOKUP($B126,MMWR_TRAD_AGG_STATE_PEN[],N$1,0),"ERROR")</f>
        <v>43</v>
      </c>
      <c r="O126" s="113">
        <f>IFERROR(VLOOKUP($B126,MMWR_TRAD_AGG_STATE_PEN[],O$1,0),"ERROR")</f>
        <v>13</v>
      </c>
      <c r="P126" s="115">
        <f t="shared" si="15"/>
        <v>0.30232558139534882</v>
      </c>
      <c r="Q126" s="116">
        <f>IFERROR(VLOOKUP($B126,MMWR_TRAD_AGG_STATE_PEN[],Q$1,0),"ERROR")</f>
        <v>376</v>
      </c>
      <c r="R126" s="116">
        <f>IFERROR(VLOOKUP($B126,MMWR_TRAD_AGG_STATE_PEN[],R$1,0),"ERROR")</f>
        <v>50</v>
      </c>
      <c r="S126" s="116">
        <f>IFERROR(VLOOKUP($B126,MMWR_APP_STATE_PEN[],S$1,0),"ERROR")</f>
        <v>218</v>
      </c>
      <c r="T126" s="28"/>
    </row>
    <row r="127" spans="1:20" s="124" customFormat="1" x14ac:dyDescent="0.2">
      <c r="A127" s="28"/>
      <c r="B127" s="129" t="s">
        <v>8</v>
      </c>
      <c r="C127" s="103">
        <f>IFERROR(VLOOKUP($B127,MMWR_TRAD_AGG_ST_DISTRICT_PEN[],C$1,0),"ERROR")</f>
        <v>207</v>
      </c>
      <c r="D127" s="104">
        <f>IFERROR(VLOOKUP($B127,MMWR_TRAD_AGG_ST_DISTRICT_PEN[],D$1,0),"ERROR")</f>
        <v>81.690821256000007</v>
      </c>
      <c r="E127" s="103">
        <f>IFERROR(VLOOKUP($B127,MMWR_TRAD_AGG_ST_DISTRICT_PEN[],E$1,0),"ERROR")</f>
        <v>182</v>
      </c>
      <c r="F127" s="103">
        <f>IFERROR(VLOOKUP($B127,MMWR_TRAD_AGG_ST_DISTRICT_PEN[],F$1,0),"ERROR")</f>
        <v>65</v>
      </c>
      <c r="G127" s="105">
        <f t="shared" si="12"/>
        <v>0.35714285714285715</v>
      </c>
      <c r="H127" s="103">
        <f>IFERROR(VLOOKUP($B127,MMWR_TRAD_AGG_ST_DISTRICT_PEN[],H$1,0),"ERROR")</f>
        <v>477</v>
      </c>
      <c r="I127" s="103">
        <f>IFERROR(VLOOKUP($B127,MMWR_TRAD_AGG_ST_DISTRICT_PEN[],I$1,0),"ERROR")</f>
        <v>171</v>
      </c>
      <c r="J127" s="105">
        <f t="shared" si="13"/>
        <v>0.35849056603773582</v>
      </c>
      <c r="K127" s="103">
        <f>IFERROR(VLOOKUP($B127,MMWR_TRAD_AGG_ST_DISTRICT_PEN[],K$1,0),"ERROR")</f>
        <v>24</v>
      </c>
      <c r="L127" s="103">
        <f>IFERROR(VLOOKUP($B127,MMWR_TRAD_AGG_ST_DISTRICT_PEN[],L$1,0),"ERROR")</f>
        <v>23</v>
      </c>
      <c r="M127" s="105">
        <f t="shared" si="14"/>
        <v>0.95833333333333337</v>
      </c>
      <c r="N127" s="103">
        <f>IFERROR(VLOOKUP($B127,MMWR_TRAD_AGG_ST_DISTRICT_PEN[],N$1,0),"ERROR")</f>
        <v>149</v>
      </c>
      <c r="O127" s="103">
        <f>IFERROR(VLOOKUP($B127,MMWR_TRAD_AGG_ST_DISTRICT_PEN[],O$1,0),"ERROR")</f>
        <v>23</v>
      </c>
      <c r="P127" s="105">
        <f t="shared" si="15"/>
        <v>0.15436241610738255</v>
      </c>
      <c r="Q127" s="103">
        <f>IFERROR(VLOOKUP($B127,MMWR_TRAD_AGG_ST_DISTRICT_PEN[],Q$1,0),"ERROR")</f>
        <v>54</v>
      </c>
      <c r="R127" s="107">
        <f>IFERROR(VLOOKUP($B127,MMWR_TRAD_AGG_ST_DISTRICT_PEN[],R$1,0),"ERROR")</f>
        <v>18</v>
      </c>
      <c r="S127" s="107">
        <f>IFERROR(VLOOKUP($B127,MMWR_APP_STATE_PEN[],S$1,0),"ERROR")</f>
        <v>3</v>
      </c>
      <c r="T127" s="28"/>
    </row>
    <row r="128" spans="1:20" x14ac:dyDescent="0.2">
      <c r="B128" s="26"/>
      <c r="C128" s="26"/>
      <c r="D128" s="26"/>
      <c r="E128" s="76"/>
      <c r="F128" s="76"/>
      <c r="G128" s="76"/>
      <c r="H128" s="76"/>
      <c r="I128" s="76"/>
      <c r="J128" s="76"/>
      <c r="K128" s="76"/>
      <c r="L128" s="76"/>
      <c r="M128" s="76"/>
      <c r="N128" s="76"/>
      <c r="O128" s="76"/>
      <c r="P128" s="76"/>
      <c r="Q128" s="76"/>
      <c r="R128" s="76"/>
      <c r="S128" s="76"/>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8" priority="1">
      <formula>IF(A1="ERROR",TRUE,FALSE)</formula>
    </cfRule>
    <cfRule type="expression" dxfId="17"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670</v>
      </c>
      <c r="C2" t="s">
        <v>466</v>
      </c>
      <c r="D2" t="s">
        <v>468</v>
      </c>
      <c r="F2" t="s">
        <v>669</v>
      </c>
      <c r="G2" t="s">
        <v>315</v>
      </c>
      <c r="H2" t="s">
        <v>139</v>
      </c>
      <c r="I2" t="s">
        <v>222</v>
      </c>
      <c r="J2" t="s">
        <v>223</v>
      </c>
      <c r="K2" t="s">
        <v>224</v>
      </c>
      <c r="L2" t="s">
        <v>225</v>
      </c>
      <c r="M2" t="s">
        <v>226</v>
      </c>
      <c r="N2" t="s">
        <v>227</v>
      </c>
      <c r="O2" t="s">
        <v>228</v>
      </c>
      <c r="P2" t="s">
        <v>229</v>
      </c>
      <c r="Q2" t="s">
        <v>230</v>
      </c>
      <c r="R2" t="s">
        <v>231</v>
      </c>
      <c r="T2" t="s">
        <v>668</v>
      </c>
      <c r="U2" t="s">
        <v>315</v>
      </c>
      <c r="V2" t="s">
        <v>139</v>
      </c>
      <c r="W2" t="s">
        <v>222</v>
      </c>
      <c r="X2" t="s">
        <v>469</v>
      </c>
      <c r="Y2" t="s">
        <v>224</v>
      </c>
      <c r="Z2" t="s">
        <v>225</v>
      </c>
      <c r="AA2" t="s">
        <v>226</v>
      </c>
      <c r="AB2" t="s">
        <v>470</v>
      </c>
      <c r="AC2" t="s">
        <v>228</v>
      </c>
      <c r="AD2" t="s">
        <v>229</v>
      </c>
      <c r="AE2" t="s">
        <v>230</v>
      </c>
      <c r="AF2" t="s">
        <v>231</v>
      </c>
      <c r="AH2" t="s">
        <v>667</v>
      </c>
      <c r="AI2" t="s">
        <v>315</v>
      </c>
      <c r="AJ2" t="s">
        <v>139</v>
      </c>
      <c r="AK2" t="s">
        <v>222</v>
      </c>
      <c r="AL2" t="s">
        <v>223</v>
      </c>
      <c r="AM2" t="s">
        <v>224</v>
      </c>
      <c r="AN2" t="s">
        <v>225</v>
      </c>
      <c r="AO2" t="s">
        <v>226</v>
      </c>
      <c r="AP2" t="s">
        <v>227</v>
      </c>
      <c r="AQ2" t="s">
        <v>228</v>
      </c>
      <c r="AR2" t="s">
        <v>229</v>
      </c>
      <c r="AS2" t="s">
        <v>230</v>
      </c>
      <c r="AT2" t="s">
        <v>231</v>
      </c>
      <c r="AV2" t="s">
        <v>666</v>
      </c>
      <c r="AW2" t="s">
        <v>315</v>
      </c>
      <c r="AX2" t="s">
        <v>139</v>
      </c>
      <c r="AY2" t="s">
        <v>222</v>
      </c>
      <c r="AZ2" t="s">
        <v>469</v>
      </c>
      <c r="BA2" t="s">
        <v>224</v>
      </c>
      <c r="BB2" t="s">
        <v>225</v>
      </c>
      <c r="BC2" t="s">
        <v>226</v>
      </c>
      <c r="BD2" t="s">
        <v>470</v>
      </c>
      <c r="BE2" t="s">
        <v>228</v>
      </c>
      <c r="BF2" t="s">
        <v>229</v>
      </c>
      <c r="BG2" t="s">
        <v>230</v>
      </c>
      <c r="BH2" t="s">
        <v>231</v>
      </c>
      <c r="BJ2" t="s">
        <v>728</v>
      </c>
      <c r="BK2" t="s">
        <v>747</v>
      </c>
      <c r="BL2" t="s">
        <v>716</v>
      </c>
      <c r="BM2" t="s">
        <v>717</v>
      </c>
      <c r="BN2" t="s">
        <v>718</v>
      </c>
      <c r="BO2" t="s">
        <v>719</v>
      </c>
      <c r="BP2" t="s">
        <v>720</v>
      </c>
      <c r="BQ2" t="s">
        <v>729</v>
      </c>
      <c r="BR2" t="s">
        <v>730</v>
      </c>
      <c r="BS2" t="s">
        <v>721</v>
      </c>
      <c r="BT2" t="s">
        <v>722</v>
      </c>
      <c r="BU2" t="s">
        <v>723</v>
      </c>
      <c r="BV2" t="s">
        <v>724</v>
      </c>
      <c r="BW2" t="s">
        <v>725</v>
      </c>
      <c r="BX2" t="s">
        <v>726</v>
      </c>
      <c r="BY2" t="s">
        <v>727</v>
      </c>
      <c r="CA2" t="s">
        <v>1054</v>
      </c>
      <c r="CB2" t="s">
        <v>752</v>
      </c>
      <c r="CC2" t="s">
        <v>753</v>
      </c>
      <c r="CD2" t="s">
        <v>731</v>
      </c>
      <c r="CE2" t="s">
        <v>732</v>
      </c>
      <c r="CF2" t="s">
        <v>733</v>
      </c>
      <c r="CG2" t="s">
        <v>734</v>
      </c>
      <c r="CH2" t="s">
        <v>735</v>
      </c>
      <c r="CI2" t="s">
        <v>736</v>
      </c>
      <c r="CJ2" t="s">
        <v>737</v>
      </c>
      <c r="CL2" t="s">
        <v>1055</v>
      </c>
      <c r="CM2" t="s">
        <v>752</v>
      </c>
      <c r="CN2" t="s">
        <v>753</v>
      </c>
      <c r="CO2" t="s">
        <v>731</v>
      </c>
      <c r="CP2" t="s">
        <v>732</v>
      </c>
      <c r="CQ2" t="s">
        <v>733</v>
      </c>
      <c r="CR2" t="s">
        <v>734</v>
      </c>
      <c r="CS2" t="s">
        <v>735</v>
      </c>
      <c r="CT2" t="s">
        <v>736</v>
      </c>
      <c r="CU2" t="s">
        <v>737</v>
      </c>
      <c r="CW2" t="s">
        <v>1056</v>
      </c>
      <c r="CX2" t="s">
        <v>752</v>
      </c>
      <c r="CY2" t="s">
        <v>753</v>
      </c>
      <c r="CZ2" t="s">
        <v>731</v>
      </c>
      <c r="DA2" t="s">
        <v>732</v>
      </c>
      <c r="DB2" t="s">
        <v>733</v>
      </c>
      <c r="DC2" t="s">
        <v>734</v>
      </c>
      <c r="DD2" t="s">
        <v>735</v>
      </c>
      <c r="DE2" t="s">
        <v>736</v>
      </c>
      <c r="DF2" t="s">
        <v>737</v>
      </c>
      <c r="DH2" t="s">
        <v>1057</v>
      </c>
      <c r="DI2" t="s">
        <v>752</v>
      </c>
      <c r="DJ2" t="s">
        <v>753</v>
      </c>
      <c r="DK2" t="s">
        <v>731</v>
      </c>
      <c r="DL2" t="s">
        <v>732</v>
      </c>
      <c r="DM2" t="s">
        <v>733</v>
      </c>
      <c r="DN2" t="s">
        <v>734</v>
      </c>
      <c r="DO2" t="s">
        <v>735</v>
      </c>
      <c r="DP2" t="s">
        <v>736</v>
      </c>
      <c r="DQ2" t="s">
        <v>737</v>
      </c>
    </row>
    <row r="3" spans="2:121" x14ac:dyDescent="0.2">
      <c r="C3">
        <v>325436</v>
      </c>
      <c r="D3">
        <v>248531</v>
      </c>
      <c r="F3" t="s">
        <v>34</v>
      </c>
      <c r="G3">
        <v>1413</v>
      </c>
      <c r="H3">
        <v>142.30856334040001</v>
      </c>
      <c r="I3">
        <v>3035</v>
      </c>
      <c r="J3">
        <v>1032</v>
      </c>
      <c r="K3">
        <v>2072</v>
      </c>
      <c r="L3">
        <v>761</v>
      </c>
      <c r="M3">
        <v>186</v>
      </c>
      <c r="N3">
        <v>98</v>
      </c>
      <c r="O3">
        <v>434</v>
      </c>
      <c r="P3">
        <v>264</v>
      </c>
      <c r="Q3">
        <v>0</v>
      </c>
      <c r="R3">
        <v>17</v>
      </c>
      <c r="T3" t="s">
        <v>217</v>
      </c>
      <c r="U3">
        <v>5027</v>
      </c>
      <c r="V3">
        <v>60.276904714499999</v>
      </c>
      <c r="W3">
        <v>5571</v>
      </c>
      <c r="X3">
        <v>454</v>
      </c>
      <c r="Y3">
        <v>7854</v>
      </c>
      <c r="Z3">
        <v>645</v>
      </c>
      <c r="AA3">
        <v>34</v>
      </c>
      <c r="AB3">
        <v>33</v>
      </c>
      <c r="AC3">
        <v>435</v>
      </c>
      <c r="AD3">
        <v>83</v>
      </c>
      <c r="AE3">
        <v>4370</v>
      </c>
      <c r="AF3">
        <v>473</v>
      </c>
      <c r="AH3" t="s">
        <v>398</v>
      </c>
      <c r="AI3">
        <v>14493</v>
      </c>
      <c r="AJ3">
        <v>366.7990064169</v>
      </c>
      <c r="AK3">
        <v>8708</v>
      </c>
      <c r="AL3">
        <v>3084</v>
      </c>
      <c r="AM3">
        <v>16965</v>
      </c>
      <c r="AN3">
        <v>12189</v>
      </c>
      <c r="AO3">
        <v>4358</v>
      </c>
      <c r="AP3">
        <v>3979</v>
      </c>
      <c r="AQ3">
        <v>3235</v>
      </c>
      <c r="AR3">
        <v>2234</v>
      </c>
      <c r="AS3">
        <v>21</v>
      </c>
      <c r="AT3">
        <v>344</v>
      </c>
      <c r="AV3" t="s">
        <v>423</v>
      </c>
      <c r="AW3">
        <v>87</v>
      </c>
      <c r="AX3">
        <v>58.183908045999999</v>
      </c>
      <c r="AY3">
        <v>185</v>
      </c>
      <c r="AZ3">
        <v>7</v>
      </c>
      <c r="BA3">
        <v>143</v>
      </c>
      <c r="BB3">
        <v>13</v>
      </c>
      <c r="BC3">
        <v>0</v>
      </c>
      <c r="BE3">
        <v>9</v>
      </c>
      <c r="BF3">
        <v>5</v>
      </c>
      <c r="BG3">
        <v>113</v>
      </c>
      <c r="BH3">
        <v>41</v>
      </c>
      <c r="BJ3" t="s">
        <v>745</v>
      </c>
      <c r="BK3" t="s">
        <v>748</v>
      </c>
      <c r="BL3">
        <v>344036</v>
      </c>
      <c r="BM3">
        <v>115232</v>
      </c>
      <c r="BN3">
        <v>121.27516597100001</v>
      </c>
      <c r="BO3">
        <v>939270</v>
      </c>
      <c r="BP3">
        <v>53325</v>
      </c>
      <c r="BQ3">
        <v>190.61078390669999</v>
      </c>
      <c r="BR3">
        <v>163.5784528833</v>
      </c>
      <c r="BS3">
        <v>344036</v>
      </c>
      <c r="BT3">
        <v>115232</v>
      </c>
      <c r="BU3">
        <v>121.27516597100001</v>
      </c>
      <c r="BV3">
        <v>939269</v>
      </c>
      <c r="BW3">
        <v>53325</v>
      </c>
      <c r="BX3">
        <v>190.61052797439999</v>
      </c>
      <c r="BY3">
        <v>163.5784528833</v>
      </c>
      <c r="CA3" t="s">
        <v>1060</v>
      </c>
      <c r="CB3" t="s">
        <v>748</v>
      </c>
      <c r="CC3" t="s">
        <v>934</v>
      </c>
      <c r="CD3">
        <v>8632</v>
      </c>
      <c r="CE3">
        <v>1266</v>
      </c>
      <c r="CF3">
        <v>72.964434661699997</v>
      </c>
      <c r="CG3">
        <v>20664</v>
      </c>
      <c r="CH3">
        <v>1151</v>
      </c>
      <c r="CI3">
        <v>153.47439992260001</v>
      </c>
      <c r="CJ3">
        <v>140.3119026933</v>
      </c>
      <c r="CL3" t="s">
        <v>1060</v>
      </c>
      <c r="CM3" t="s">
        <v>748</v>
      </c>
      <c r="CN3" t="s">
        <v>934</v>
      </c>
      <c r="CO3">
        <v>8632</v>
      </c>
      <c r="CP3">
        <v>1266</v>
      </c>
      <c r="CQ3">
        <v>72.964434661699997</v>
      </c>
      <c r="CR3">
        <v>20664</v>
      </c>
      <c r="CS3">
        <v>1151</v>
      </c>
      <c r="CT3">
        <v>153.47439992260001</v>
      </c>
      <c r="CU3">
        <v>140.3119026933</v>
      </c>
      <c r="CW3" t="s">
        <v>1060</v>
      </c>
      <c r="CX3" t="s">
        <v>748</v>
      </c>
      <c r="CY3" t="s">
        <v>934</v>
      </c>
      <c r="CZ3">
        <v>8632</v>
      </c>
      <c r="DA3">
        <v>1266</v>
      </c>
      <c r="DB3">
        <v>72.964434661699997</v>
      </c>
      <c r="DC3">
        <v>20664</v>
      </c>
      <c r="DD3">
        <v>1151</v>
      </c>
      <c r="DE3">
        <v>153.47439992260001</v>
      </c>
      <c r="DF3">
        <v>140.3119026933</v>
      </c>
      <c r="DH3" t="s">
        <v>1060</v>
      </c>
      <c r="DI3" t="s">
        <v>748</v>
      </c>
      <c r="DJ3" t="s">
        <v>934</v>
      </c>
      <c r="DK3">
        <v>8632</v>
      </c>
      <c r="DL3">
        <v>1266</v>
      </c>
      <c r="DM3">
        <v>72.964434661699997</v>
      </c>
      <c r="DN3">
        <v>20664</v>
      </c>
      <c r="DO3">
        <v>1151</v>
      </c>
      <c r="DP3">
        <v>153.47439992260001</v>
      </c>
      <c r="DQ3">
        <v>140.3119026933</v>
      </c>
    </row>
    <row r="4" spans="2:121" x14ac:dyDescent="0.2">
      <c r="B4" t="s">
        <v>113</v>
      </c>
      <c r="C4">
        <v>103067</v>
      </c>
      <c r="D4">
        <v>72476</v>
      </c>
      <c r="F4" t="s">
        <v>80</v>
      </c>
      <c r="G4">
        <v>15408</v>
      </c>
      <c r="H4">
        <v>308.7788811007</v>
      </c>
      <c r="I4">
        <v>24504</v>
      </c>
      <c r="J4">
        <v>9601</v>
      </c>
      <c r="K4">
        <v>19376</v>
      </c>
      <c r="L4">
        <v>11910</v>
      </c>
      <c r="M4">
        <v>2277</v>
      </c>
      <c r="N4">
        <v>1597</v>
      </c>
      <c r="O4">
        <v>9839</v>
      </c>
      <c r="P4">
        <v>6425</v>
      </c>
      <c r="Q4">
        <v>7</v>
      </c>
      <c r="R4">
        <v>231</v>
      </c>
      <c r="T4" t="s">
        <v>232</v>
      </c>
      <c r="U4">
        <v>0</v>
      </c>
      <c r="W4">
        <v>239</v>
      </c>
      <c r="X4">
        <v>91</v>
      </c>
      <c r="Y4">
        <v>975</v>
      </c>
      <c r="Z4">
        <v>801</v>
      </c>
      <c r="AA4">
        <v>276</v>
      </c>
      <c r="AB4">
        <v>267</v>
      </c>
      <c r="AC4">
        <v>301</v>
      </c>
      <c r="AD4">
        <v>253</v>
      </c>
      <c r="AE4">
        <v>110</v>
      </c>
      <c r="AF4">
        <v>0</v>
      </c>
      <c r="AH4" t="s">
        <v>434</v>
      </c>
      <c r="AI4">
        <v>2354</v>
      </c>
      <c r="AJ4">
        <v>476.16057774000001</v>
      </c>
      <c r="AK4">
        <v>1087</v>
      </c>
      <c r="AL4">
        <v>209</v>
      </c>
      <c r="AM4">
        <v>3078</v>
      </c>
      <c r="AN4">
        <v>2172</v>
      </c>
      <c r="AO4">
        <v>1581</v>
      </c>
      <c r="AP4">
        <v>1427</v>
      </c>
      <c r="AQ4">
        <v>254</v>
      </c>
      <c r="AR4">
        <v>169</v>
      </c>
      <c r="AS4">
        <v>0</v>
      </c>
      <c r="AT4">
        <v>2</v>
      </c>
      <c r="AV4" t="s">
        <v>437</v>
      </c>
      <c r="AW4">
        <v>1280</v>
      </c>
      <c r="AX4">
        <v>98.164843750000003</v>
      </c>
      <c r="AY4">
        <v>423</v>
      </c>
      <c r="AZ4">
        <v>84</v>
      </c>
      <c r="BA4">
        <v>1995</v>
      </c>
      <c r="BB4">
        <v>531</v>
      </c>
      <c r="BC4">
        <v>22</v>
      </c>
      <c r="BD4">
        <v>15</v>
      </c>
      <c r="BE4">
        <v>186</v>
      </c>
      <c r="BF4">
        <v>32</v>
      </c>
      <c r="BG4">
        <v>80</v>
      </c>
      <c r="BH4">
        <v>101</v>
      </c>
      <c r="BJ4" t="s">
        <v>654</v>
      </c>
      <c r="BK4" t="s">
        <v>395</v>
      </c>
      <c r="BL4">
        <v>916</v>
      </c>
      <c r="BM4">
        <v>211</v>
      </c>
      <c r="BN4">
        <v>92.274017467199997</v>
      </c>
      <c r="BO4">
        <v>2397</v>
      </c>
      <c r="BP4">
        <v>115</v>
      </c>
      <c r="BQ4">
        <v>133.45264914480001</v>
      </c>
      <c r="BR4">
        <v>135.48695652169999</v>
      </c>
      <c r="BS4">
        <v>1087</v>
      </c>
      <c r="BT4">
        <v>288</v>
      </c>
      <c r="BU4">
        <v>101.2539098436</v>
      </c>
      <c r="BV4">
        <v>2804</v>
      </c>
      <c r="BW4">
        <v>147</v>
      </c>
      <c r="BX4">
        <v>152.0620542083</v>
      </c>
      <c r="BY4">
        <v>149.85034013609999</v>
      </c>
      <c r="CA4" t="s">
        <v>1059</v>
      </c>
      <c r="CB4" t="s">
        <v>748</v>
      </c>
      <c r="CC4" t="s">
        <v>934</v>
      </c>
      <c r="CD4">
        <v>344036</v>
      </c>
      <c r="CE4">
        <v>115232</v>
      </c>
      <c r="CF4">
        <v>121.27516597100001</v>
      </c>
      <c r="CG4">
        <v>939269</v>
      </c>
      <c r="CH4">
        <v>53325</v>
      </c>
      <c r="CI4">
        <v>190.61052797439999</v>
      </c>
      <c r="CJ4">
        <v>163.5784528833</v>
      </c>
      <c r="CL4" t="s">
        <v>1059</v>
      </c>
      <c r="CM4" t="s">
        <v>748</v>
      </c>
      <c r="CN4" t="s">
        <v>934</v>
      </c>
      <c r="CO4">
        <v>344036</v>
      </c>
      <c r="CP4">
        <v>115232</v>
      </c>
      <c r="CQ4">
        <v>121.27516597100001</v>
      </c>
      <c r="CR4">
        <v>939269</v>
      </c>
      <c r="CS4">
        <v>53325</v>
      </c>
      <c r="CT4">
        <v>190.61052797439999</v>
      </c>
      <c r="CU4">
        <v>163.5784528833</v>
      </c>
      <c r="CW4" t="s">
        <v>1059</v>
      </c>
      <c r="CX4" t="s">
        <v>748</v>
      </c>
      <c r="CY4" t="s">
        <v>934</v>
      </c>
      <c r="CZ4">
        <v>344036</v>
      </c>
      <c r="DA4">
        <v>115232</v>
      </c>
      <c r="DB4">
        <v>121.27516597100001</v>
      </c>
      <c r="DC4">
        <v>939269</v>
      </c>
      <c r="DD4">
        <v>53325</v>
      </c>
      <c r="DE4">
        <v>190.61052797439999</v>
      </c>
      <c r="DF4">
        <v>163.5784528833</v>
      </c>
      <c r="DH4" t="s">
        <v>1059</v>
      </c>
      <c r="DI4" t="s">
        <v>748</v>
      </c>
      <c r="DJ4" t="s">
        <v>934</v>
      </c>
      <c r="DK4">
        <v>344036</v>
      </c>
      <c r="DL4">
        <v>115232</v>
      </c>
      <c r="DM4">
        <v>121.27516597100001</v>
      </c>
      <c r="DN4">
        <v>939269</v>
      </c>
      <c r="DO4">
        <v>53325</v>
      </c>
      <c r="DP4">
        <v>190.61052797439999</v>
      </c>
      <c r="DQ4">
        <v>163.5784528833</v>
      </c>
    </row>
    <row r="5" spans="2:121" x14ac:dyDescent="0.2">
      <c r="B5" t="s">
        <v>101</v>
      </c>
      <c r="C5">
        <v>143368</v>
      </c>
      <c r="D5">
        <v>92071</v>
      </c>
      <c r="F5" t="s">
        <v>54</v>
      </c>
      <c r="G5">
        <v>4960</v>
      </c>
      <c r="H5">
        <v>322.39233870970003</v>
      </c>
      <c r="I5">
        <v>3379</v>
      </c>
      <c r="J5">
        <v>904</v>
      </c>
      <c r="K5">
        <v>8086</v>
      </c>
      <c r="L5">
        <v>4014</v>
      </c>
      <c r="M5">
        <v>3437</v>
      </c>
      <c r="N5">
        <v>2163</v>
      </c>
      <c r="O5">
        <v>8844</v>
      </c>
      <c r="P5">
        <v>7938</v>
      </c>
      <c r="Q5">
        <v>0</v>
      </c>
      <c r="R5">
        <v>164</v>
      </c>
      <c r="T5" t="s">
        <v>218</v>
      </c>
      <c r="U5">
        <v>11624</v>
      </c>
      <c r="V5">
        <v>93.815984170700006</v>
      </c>
      <c r="W5">
        <v>10774</v>
      </c>
      <c r="X5">
        <v>1947</v>
      </c>
      <c r="Y5">
        <v>17998</v>
      </c>
      <c r="Z5">
        <v>4695</v>
      </c>
      <c r="AA5">
        <v>455</v>
      </c>
      <c r="AB5">
        <v>439</v>
      </c>
      <c r="AC5">
        <v>5072</v>
      </c>
      <c r="AD5">
        <v>660</v>
      </c>
      <c r="AE5">
        <v>1515</v>
      </c>
      <c r="AF5">
        <v>3212</v>
      </c>
      <c r="AH5" t="s">
        <v>436</v>
      </c>
      <c r="AI5">
        <v>8125</v>
      </c>
      <c r="AJ5">
        <v>301.4987076923</v>
      </c>
      <c r="AK5">
        <v>6583</v>
      </c>
      <c r="AL5">
        <v>2014</v>
      </c>
      <c r="AM5">
        <v>10365</v>
      </c>
      <c r="AN5">
        <v>6220</v>
      </c>
      <c r="AO5">
        <v>606</v>
      </c>
      <c r="AP5">
        <v>480</v>
      </c>
      <c r="AQ5">
        <v>3311</v>
      </c>
      <c r="AR5">
        <v>2530</v>
      </c>
      <c r="AS5">
        <v>6</v>
      </c>
      <c r="AT5">
        <v>74</v>
      </c>
      <c r="AV5" t="s">
        <v>410</v>
      </c>
      <c r="AW5">
        <v>56</v>
      </c>
      <c r="AX5">
        <v>35.607142857100001</v>
      </c>
      <c r="AY5">
        <v>97</v>
      </c>
      <c r="AZ5">
        <v>2</v>
      </c>
      <c r="BA5">
        <v>77</v>
      </c>
      <c r="BB5">
        <v>1</v>
      </c>
      <c r="BC5">
        <v>0</v>
      </c>
      <c r="BE5">
        <v>3</v>
      </c>
      <c r="BF5">
        <v>1</v>
      </c>
      <c r="BG5">
        <v>137</v>
      </c>
      <c r="BH5">
        <v>24</v>
      </c>
      <c r="BJ5" t="s">
        <v>395</v>
      </c>
      <c r="BK5" t="s">
        <v>395</v>
      </c>
      <c r="BL5">
        <v>68659</v>
      </c>
      <c r="BM5">
        <v>23408</v>
      </c>
      <c r="BN5">
        <v>124.1456182001</v>
      </c>
      <c r="BO5">
        <v>168885</v>
      </c>
      <c r="BP5">
        <v>10353</v>
      </c>
      <c r="BQ5">
        <v>195.1861977085</v>
      </c>
      <c r="BR5">
        <v>173.78315464120001</v>
      </c>
      <c r="BS5">
        <v>69933</v>
      </c>
      <c r="BT5">
        <v>23084</v>
      </c>
      <c r="BU5">
        <v>121.1722219839</v>
      </c>
      <c r="BV5">
        <v>170484</v>
      </c>
      <c r="BW5">
        <v>10717</v>
      </c>
      <c r="BX5">
        <v>196.32261678520001</v>
      </c>
      <c r="BY5">
        <v>168.87384529249999</v>
      </c>
      <c r="CA5" t="s">
        <v>1061</v>
      </c>
      <c r="CB5" t="s">
        <v>748</v>
      </c>
      <c r="CC5" t="s">
        <v>934</v>
      </c>
      <c r="CD5">
        <v>18335</v>
      </c>
      <c r="CE5">
        <v>1888</v>
      </c>
      <c r="CF5">
        <v>62.930188164699999</v>
      </c>
      <c r="CG5">
        <v>122040</v>
      </c>
      <c r="CH5">
        <v>6337</v>
      </c>
      <c r="CI5">
        <v>64.531202884300001</v>
      </c>
      <c r="CJ5">
        <v>66.252011993099998</v>
      </c>
      <c r="CL5" t="s">
        <v>1061</v>
      </c>
      <c r="CM5" t="s">
        <v>748</v>
      </c>
      <c r="CN5" t="s">
        <v>934</v>
      </c>
      <c r="CO5">
        <v>18335</v>
      </c>
      <c r="CP5">
        <v>1888</v>
      </c>
      <c r="CQ5">
        <v>62.930188164699999</v>
      </c>
      <c r="CR5">
        <v>122040</v>
      </c>
      <c r="CS5">
        <v>6337</v>
      </c>
      <c r="CT5">
        <v>64.531202884300001</v>
      </c>
      <c r="CU5">
        <v>66.252011993099998</v>
      </c>
      <c r="CW5" t="s">
        <v>1061</v>
      </c>
      <c r="CX5" t="s">
        <v>748</v>
      </c>
      <c r="CY5" t="s">
        <v>934</v>
      </c>
      <c r="CZ5">
        <v>18335</v>
      </c>
      <c r="DA5">
        <v>1888</v>
      </c>
      <c r="DB5">
        <v>62.930188164699999</v>
      </c>
      <c r="DC5">
        <v>122040</v>
      </c>
      <c r="DD5">
        <v>6337</v>
      </c>
      <c r="DE5">
        <v>64.531202884300001</v>
      </c>
      <c r="DF5">
        <v>66.252011993099998</v>
      </c>
      <c r="DH5" t="s">
        <v>1061</v>
      </c>
      <c r="DI5" t="s">
        <v>748</v>
      </c>
      <c r="DJ5" t="s">
        <v>934</v>
      </c>
      <c r="DK5">
        <v>18335</v>
      </c>
      <c r="DL5">
        <v>1888</v>
      </c>
      <c r="DM5">
        <v>62.930188164699999</v>
      </c>
      <c r="DN5">
        <v>122040</v>
      </c>
      <c r="DO5">
        <v>6337</v>
      </c>
      <c r="DP5">
        <v>64.531202884300001</v>
      </c>
      <c r="DQ5">
        <v>66.252011993099998</v>
      </c>
    </row>
    <row r="6" spans="2:121" x14ac:dyDescent="0.2">
      <c r="B6" t="s">
        <v>93</v>
      </c>
      <c r="C6">
        <v>6317</v>
      </c>
      <c r="D6">
        <v>1062</v>
      </c>
      <c r="F6" t="s">
        <v>187</v>
      </c>
      <c r="G6">
        <v>931</v>
      </c>
      <c r="H6">
        <v>175.4693877551</v>
      </c>
      <c r="I6">
        <v>835</v>
      </c>
      <c r="J6">
        <v>95</v>
      </c>
      <c r="K6">
        <v>1337</v>
      </c>
      <c r="L6">
        <v>438</v>
      </c>
      <c r="M6">
        <v>323</v>
      </c>
      <c r="N6">
        <v>188</v>
      </c>
      <c r="O6">
        <v>83</v>
      </c>
      <c r="P6">
        <v>32</v>
      </c>
      <c r="Q6">
        <v>0</v>
      </c>
      <c r="R6">
        <v>4</v>
      </c>
      <c r="T6" t="s">
        <v>220</v>
      </c>
      <c r="U6">
        <v>2638</v>
      </c>
      <c r="V6">
        <v>44.442759666400001</v>
      </c>
      <c r="W6">
        <v>6810</v>
      </c>
      <c r="X6">
        <v>284</v>
      </c>
      <c r="Y6">
        <v>4435</v>
      </c>
      <c r="Z6">
        <v>54</v>
      </c>
      <c r="AA6">
        <v>10</v>
      </c>
      <c r="AB6">
        <v>8</v>
      </c>
      <c r="AC6">
        <v>89</v>
      </c>
      <c r="AD6">
        <v>27</v>
      </c>
      <c r="AE6">
        <v>4635</v>
      </c>
      <c r="AF6">
        <v>1202</v>
      </c>
      <c r="AH6" t="s">
        <v>421</v>
      </c>
      <c r="AI6">
        <v>5710</v>
      </c>
      <c r="AJ6">
        <v>328.44150612959999</v>
      </c>
      <c r="AK6">
        <v>3562</v>
      </c>
      <c r="AL6">
        <v>938</v>
      </c>
      <c r="AM6">
        <v>8066</v>
      </c>
      <c r="AN6">
        <v>4584</v>
      </c>
      <c r="AO6">
        <v>2486</v>
      </c>
      <c r="AP6">
        <v>1550</v>
      </c>
      <c r="AQ6">
        <v>6398</v>
      </c>
      <c r="AR6">
        <v>5460</v>
      </c>
      <c r="AS6">
        <v>7</v>
      </c>
      <c r="AT6">
        <v>158</v>
      </c>
      <c r="AV6" t="s">
        <v>430</v>
      </c>
      <c r="AW6">
        <v>41</v>
      </c>
      <c r="AX6">
        <v>41.975609756099999</v>
      </c>
      <c r="AY6">
        <v>54</v>
      </c>
      <c r="AZ6">
        <v>2</v>
      </c>
      <c r="BA6">
        <v>54</v>
      </c>
      <c r="BC6">
        <v>0</v>
      </c>
      <c r="BE6">
        <v>2</v>
      </c>
      <c r="BG6">
        <v>98</v>
      </c>
      <c r="BH6">
        <v>4</v>
      </c>
      <c r="BJ6" t="s">
        <v>601</v>
      </c>
      <c r="BK6" t="s">
        <v>395</v>
      </c>
      <c r="BL6">
        <v>7319</v>
      </c>
      <c r="BM6">
        <v>2909</v>
      </c>
      <c r="BN6">
        <v>135.53381609510001</v>
      </c>
      <c r="BO6">
        <v>16543</v>
      </c>
      <c r="BP6">
        <v>871</v>
      </c>
      <c r="BQ6">
        <v>206.020371154</v>
      </c>
      <c r="BR6">
        <v>187.24225028699999</v>
      </c>
      <c r="BS6">
        <v>7551</v>
      </c>
      <c r="BT6">
        <v>2647</v>
      </c>
      <c r="BU6">
        <v>127.2003708118</v>
      </c>
      <c r="BV6">
        <v>16274</v>
      </c>
      <c r="BW6">
        <v>819</v>
      </c>
      <c r="BX6">
        <v>205.75291876610001</v>
      </c>
      <c r="BY6">
        <v>177.26862026859999</v>
      </c>
      <c r="CA6" t="s">
        <v>1062</v>
      </c>
      <c r="CB6" t="s">
        <v>748</v>
      </c>
      <c r="CC6" t="s">
        <v>934</v>
      </c>
      <c r="CD6">
        <v>8367</v>
      </c>
      <c r="CE6">
        <v>1324</v>
      </c>
      <c r="CF6">
        <v>73.192183578300003</v>
      </c>
      <c r="CG6">
        <v>20417</v>
      </c>
      <c r="CH6">
        <v>1019</v>
      </c>
      <c r="CI6">
        <v>134.99833472110001</v>
      </c>
      <c r="CJ6">
        <v>130.2551521099</v>
      </c>
      <c r="CL6" t="s">
        <v>1062</v>
      </c>
      <c r="CM6" t="s">
        <v>748</v>
      </c>
      <c r="CN6" t="s">
        <v>934</v>
      </c>
      <c r="CO6">
        <v>8367</v>
      </c>
      <c r="CP6">
        <v>1324</v>
      </c>
      <c r="CQ6">
        <v>73.192183578300003</v>
      </c>
      <c r="CR6">
        <v>20417</v>
      </c>
      <c r="CS6">
        <v>1019</v>
      </c>
      <c r="CT6">
        <v>134.99833472110001</v>
      </c>
      <c r="CU6">
        <v>130.2551521099</v>
      </c>
      <c r="CW6" t="s">
        <v>1062</v>
      </c>
      <c r="CX6" t="s">
        <v>748</v>
      </c>
      <c r="CY6" t="s">
        <v>934</v>
      </c>
      <c r="CZ6">
        <v>8367</v>
      </c>
      <c r="DA6">
        <v>1324</v>
      </c>
      <c r="DB6">
        <v>73.192183578300003</v>
      </c>
      <c r="DC6">
        <v>20417</v>
      </c>
      <c r="DD6">
        <v>1019</v>
      </c>
      <c r="DE6">
        <v>134.99833472110001</v>
      </c>
      <c r="DF6">
        <v>130.2551521099</v>
      </c>
      <c r="DH6" t="s">
        <v>1062</v>
      </c>
      <c r="DI6" t="s">
        <v>748</v>
      </c>
      <c r="DJ6" t="s">
        <v>934</v>
      </c>
      <c r="DK6">
        <v>8367</v>
      </c>
      <c r="DL6">
        <v>1324</v>
      </c>
      <c r="DM6">
        <v>73.192183578300003</v>
      </c>
      <c r="DN6">
        <v>20417</v>
      </c>
      <c r="DO6">
        <v>1019</v>
      </c>
      <c r="DP6">
        <v>134.99833472110001</v>
      </c>
      <c r="DQ6">
        <v>130.2551521099</v>
      </c>
    </row>
    <row r="7" spans="2:121" x14ac:dyDescent="0.2">
      <c r="B7" t="s">
        <v>94</v>
      </c>
      <c r="C7">
        <v>264</v>
      </c>
      <c r="D7">
        <v>40</v>
      </c>
      <c r="F7" t="s">
        <v>61</v>
      </c>
      <c r="G7">
        <v>5158</v>
      </c>
      <c r="H7">
        <v>231.25184179909999</v>
      </c>
      <c r="I7">
        <v>9181</v>
      </c>
      <c r="J7">
        <v>2549</v>
      </c>
      <c r="K7">
        <v>8240</v>
      </c>
      <c r="L7">
        <v>4201</v>
      </c>
      <c r="M7">
        <v>1566</v>
      </c>
      <c r="N7">
        <v>1332</v>
      </c>
      <c r="O7">
        <v>1615</v>
      </c>
      <c r="P7">
        <v>1314</v>
      </c>
      <c r="Q7">
        <v>5</v>
      </c>
      <c r="R7">
        <v>206</v>
      </c>
      <c r="T7" t="s">
        <v>472</v>
      </c>
      <c r="U7">
        <v>19289</v>
      </c>
      <c r="V7">
        <v>78.3228264814</v>
      </c>
      <c r="W7">
        <v>23394</v>
      </c>
      <c r="X7">
        <v>2776</v>
      </c>
      <c r="Y7">
        <v>31262</v>
      </c>
      <c r="Z7">
        <v>6195</v>
      </c>
      <c r="AA7">
        <v>775</v>
      </c>
      <c r="AB7">
        <v>747</v>
      </c>
      <c r="AC7">
        <v>5897</v>
      </c>
      <c r="AD7">
        <v>1023</v>
      </c>
      <c r="AE7">
        <v>10630</v>
      </c>
      <c r="AF7">
        <v>4887</v>
      </c>
      <c r="AH7" t="s">
        <v>417</v>
      </c>
      <c r="AI7">
        <v>32695</v>
      </c>
      <c r="AJ7">
        <v>369.4097262578</v>
      </c>
      <c r="AK7">
        <v>33672</v>
      </c>
      <c r="AL7">
        <v>10877</v>
      </c>
      <c r="AM7">
        <v>45502</v>
      </c>
      <c r="AN7">
        <v>30116</v>
      </c>
      <c r="AO7">
        <v>6275</v>
      </c>
      <c r="AP7">
        <v>5054</v>
      </c>
      <c r="AQ7">
        <v>11597</v>
      </c>
      <c r="AR7">
        <v>8063</v>
      </c>
      <c r="AS7">
        <v>48</v>
      </c>
      <c r="AT7">
        <v>164</v>
      </c>
      <c r="AV7" t="s">
        <v>398</v>
      </c>
      <c r="AW7">
        <v>683</v>
      </c>
      <c r="AX7">
        <v>65.467057100999995</v>
      </c>
      <c r="AY7">
        <v>571</v>
      </c>
      <c r="AZ7">
        <v>30</v>
      </c>
      <c r="BA7">
        <v>1057</v>
      </c>
      <c r="BB7">
        <v>125</v>
      </c>
      <c r="BC7">
        <v>9</v>
      </c>
      <c r="BD7">
        <v>8</v>
      </c>
      <c r="BE7">
        <v>68</v>
      </c>
      <c r="BF7">
        <v>23</v>
      </c>
      <c r="BG7">
        <v>343</v>
      </c>
      <c r="BH7">
        <v>53</v>
      </c>
      <c r="BJ7" t="s">
        <v>648</v>
      </c>
      <c r="BK7" t="s">
        <v>395</v>
      </c>
      <c r="BL7">
        <v>880</v>
      </c>
      <c r="BM7">
        <v>95</v>
      </c>
      <c r="BN7">
        <v>69.781818181800006</v>
      </c>
      <c r="BO7">
        <v>2810</v>
      </c>
      <c r="BP7">
        <v>204</v>
      </c>
      <c r="BQ7">
        <v>104.8409252669</v>
      </c>
      <c r="BR7">
        <v>115.862745098</v>
      </c>
      <c r="BS7">
        <v>1806</v>
      </c>
      <c r="BT7">
        <v>602</v>
      </c>
      <c r="BU7">
        <v>131.22425249170001</v>
      </c>
      <c r="BV7">
        <v>5119</v>
      </c>
      <c r="BW7">
        <v>330</v>
      </c>
      <c r="BX7">
        <v>169.64387575699999</v>
      </c>
      <c r="BY7">
        <v>197.60909090909999</v>
      </c>
      <c r="CA7" t="s">
        <v>421</v>
      </c>
      <c r="CB7" t="s">
        <v>784</v>
      </c>
      <c r="CC7" t="s">
        <v>1017</v>
      </c>
      <c r="CD7">
        <v>3684</v>
      </c>
      <c r="CE7">
        <v>910</v>
      </c>
      <c r="CF7">
        <v>97.121335504900003</v>
      </c>
      <c r="CG7">
        <v>11326</v>
      </c>
      <c r="CH7">
        <v>596</v>
      </c>
      <c r="CI7">
        <v>169.291806463</v>
      </c>
      <c r="CJ7">
        <v>147.78859060400001</v>
      </c>
      <c r="CL7" t="s">
        <v>421</v>
      </c>
      <c r="CM7" t="s">
        <v>765</v>
      </c>
      <c r="CN7" t="s">
        <v>764</v>
      </c>
      <c r="CO7">
        <v>208</v>
      </c>
      <c r="CP7">
        <v>23</v>
      </c>
      <c r="CQ7">
        <v>59.860576923099998</v>
      </c>
      <c r="CR7">
        <v>1620</v>
      </c>
      <c r="CS7">
        <v>70</v>
      </c>
      <c r="CT7">
        <v>49.390123456799998</v>
      </c>
      <c r="CU7">
        <v>45.142857142899999</v>
      </c>
      <c r="CW7" t="s">
        <v>421</v>
      </c>
      <c r="CX7" t="s">
        <v>775</v>
      </c>
      <c r="CY7" t="s">
        <v>774</v>
      </c>
      <c r="CZ7">
        <v>32</v>
      </c>
      <c r="DA7">
        <v>5</v>
      </c>
      <c r="DB7">
        <v>64.15625</v>
      </c>
      <c r="DC7">
        <v>119</v>
      </c>
      <c r="DD7">
        <v>6</v>
      </c>
      <c r="DE7">
        <v>138.07563025210001</v>
      </c>
      <c r="DF7">
        <v>123.8333333333</v>
      </c>
      <c r="DH7" t="s">
        <v>421</v>
      </c>
      <c r="DI7" t="s">
        <v>755</v>
      </c>
      <c r="DJ7" t="s">
        <v>754</v>
      </c>
      <c r="DK7">
        <v>32</v>
      </c>
      <c r="DL7">
        <v>4</v>
      </c>
      <c r="DM7">
        <v>65.96875</v>
      </c>
      <c r="DN7">
        <v>101</v>
      </c>
      <c r="DO7">
        <v>2</v>
      </c>
      <c r="DP7">
        <v>146.8811881188</v>
      </c>
      <c r="DQ7">
        <v>162</v>
      </c>
    </row>
    <row r="8" spans="2:121" x14ac:dyDescent="0.2">
      <c r="B8" t="s">
        <v>103</v>
      </c>
      <c r="C8">
        <v>247</v>
      </c>
      <c r="D8">
        <v>172</v>
      </c>
      <c r="F8" t="s">
        <v>27</v>
      </c>
      <c r="G8">
        <v>2936</v>
      </c>
      <c r="H8">
        <v>156.35899182559999</v>
      </c>
      <c r="I8">
        <v>6917</v>
      </c>
      <c r="J8">
        <v>1926</v>
      </c>
      <c r="K8">
        <v>9088</v>
      </c>
      <c r="L8">
        <v>2926</v>
      </c>
      <c r="M8">
        <v>1159</v>
      </c>
      <c r="N8">
        <v>506</v>
      </c>
      <c r="O8">
        <v>444</v>
      </c>
      <c r="P8">
        <v>194</v>
      </c>
      <c r="Q8">
        <v>0</v>
      </c>
      <c r="R8">
        <v>67</v>
      </c>
      <c r="AH8" t="s">
        <v>413</v>
      </c>
      <c r="AI8">
        <v>8292</v>
      </c>
      <c r="AJ8">
        <v>400.74710564399999</v>
      </c>
      <c r="AK8">
        <v>7873</v>
      </c>
      <c r="AL8">
        <v>2994</v>
      </c>
      <c r="AM8">
        <v>11023</v>
      </c>
      <c r="AN8">
        <v>7231</v>
      </c>
      <c r="AO8">
        <v>2030</v>
      </c>
      <c r="AP8">
        <v>1727</v>
      </c>
      <c r="AQ8">
        <v>4900</v>
      </c>
      <c r="AR8">
        <v>3200</v>
      </c>
      <c r="AS8">
        <v>7</v>
      </c>
      <c r="AT8">
        <v>60</v>
      </c>
      <c r="AV8" t="s">
        <v>419</v>
      </c>
      <c r="AW8">
        <v>132</v>
      </c>
      <c r="AX8">
        <v>45.25</v>
      </c>
      <c r="AY8">
        <v>265</v>
      </c>
      <c r="AZ8">
        <v>9</v>
      </c>
      <c r="BA8">
        <v>212</v>
      </c>
      <c r="BB8">
        <v>11</v>
      </c>
      <c r="BC8">
        <v>2</v>
      </c>
      <c r="BD8">
        <v>2</v>
      </c>
      <c r="BE8">
        <v>12</v>
      </c>
      <c r="BF8">
        <v>8</v>
      </c>
      <c r="BG8">
        <v>208</v>
      </c>
      <c r="BH8">
        <v>54</v>
      </c>
      <c r="BJ8" t="s">
        <v>636</v>
      </c>
      <c r="BK8" t="s">
        <v>395</v>
      </c>
      <c r="BL8">
        <v>18230</v>
      </c>
      <c r="BM8">
        <v>6616</v>
      </c>
      <c r="BN8">
        <v>135.57153044430001</v>
      </c>
      <c r="BO8">
        <v>41136</v>
      </c>
      <c r="BP8">
        <v>2554</v>
      </c>
      <c r="BQ8">
        <v>215.97296771680001</v>
      </c>
      <c r="BR8">
        <v>198.01018010959999</v>
      </c>
      <c r="BS8">
        <v>14213</v>
      </c>
      <c r="BT8">
        <v>4065</v>
      </c>
      <c r="BU8">
        <v>120.51860972350001</v>
      </c>
      <c r="BV8">
        <v>29719</v>
      </c>
      <c r="BW8">
        <v>1818</v>
      </c>
      <c r="BX8">
        <v>218.63407247890001</v>
      </c>
      <c r="BY8">
        <v>182.05555555559999</v>
      </c>
      <c r="CA8" t="s">
        <v>413</v>
      </c>
      <c r="CB8" t="s">
        <v>784</v>
      </c>
      <c r="CC8" t="s">
        <v>1018</v>
      </c>
      <c r="CD8">
        <v>7536</v>
      </c>
      <c r="CE8">
        <v>2958</v>
      </c>
      <c r="CF8">
        <v>134.73341295119999</v>
      </c>
      <c r="CG8">
        <v>18028</v>
      </c>
      <c r="CH8">
        <v>982</v>
      </c>
      <c r="CI8">
        <v>192.46211448860001</v>
      </c>
      <c r="CJ8">
        <v>177.1517311609</v>
      </c>
      <c r="CL8" t="s">
        <v>413</v>
      </c>
      <c r="CM8" t="s">
        <v>765</v>
      </c>
      <c r="CN8" t="s">
        <v>766</v>
      </c>
      <c r="CO8">
        <v>295</v>
      </c>
      <c r="CP8">
        <v>24</v>
      </c>
      <c r="CQ8">
        <v>61.1661016949</v>
      </c>
      <c r="CR8">
        <v>1709</v>
      </c>
      <c r="CS8">
        <v>95</v>
      </c>
      <c r="CT8">
        <v>60.392042129899998</v>
      </c>
      <c r="CU8">
        <v>57.452631578899997</v>
      </c>
      <c r="CW8" t="s">
        <v>413</v>
      </c>
      <c r="CX8" t="s">
        <v>775</v>
      </c>
      <c r="CY8" t="s">
        <v>776</v>
      </c>
      <c r="CZ8">
        <v>253</v>
      </c>
      <c r="DA8">
        <v>41</v>
      </c>
      <c r="DB8">
        <v>72.256916996000001</v>
      </c>
      <c r="DC8">
        <v>639</v>
      </c>
      <c r="DD8">
        <v>38</v>
      </c>
      <c r="DE8">
        <v>123.3740219092</v>
      </c>
      <c r="DF8">
        <v>114.1578947368</v>
      </c>
      <c r="DH8" t="s">
        <v>413</v>
      </c>
      <c r="DI8" t="s">
        <v>755</v>
      </c>
      <c r="DJ8" t="s">
        <v>756</v>
      </c>
      <c r="DK8">
        <v>353</v>
      </c>
      <c r="DL8">
        <v>29</v>
      </c>
      <c r="DM8">
        <v>66.138810198300007</v>
      </c>
      <c r="DN8">
        <v>939</v>
      </c>
      <c r="DO8">
        <v>51</v>
      </c>
      <c r="DP8">
        <v>161.01916932910001</v>
      </c>
      <c r="DQ8">
        <v>143.0980392157</v>
      </c>
    </row>
    <row r="9" spans="2:121" x14ac:dyDescent="0.2">
      <c r="B9" t="s">
        <v>95</v>
      </c>
      <c r="C9">
        <v>19</v>
      </c>
      <c r="D9">
        <v>7</v>
      </c>
      <c r="F9" t="s">
        <v>24</v>
      </c>
      <c r="G9">
        <v>1032</v>
      </c>
      <c r="H9">
        <v>100.81589147290001</v>
      </c>
      <c r="I9">
        <v>4681</v>
      </c>
      <c r="J9">
        <v>1473</v>
      </c>
      <c r="K9">
        <v>1974</v>
      </c>
      <c r="L9">
        <v>438</v>
      </c>
      <c r="M9">
        <v>124</v>
      </c>
      <c r="N9">
        <v>42</v>
      </c>
      <c r="O9">
        <v>447</v>
      </c>
      <c r="P9">
        <v>309</v>
      </c>
      <c r="Q9">
        <v>0</v>
      </c>
      <c r="R9">
        <v>0</v>
      </c>
      <c r="AH9" t="s">
        <v>383</v>
      </c>
      <c r="AI9">
        <v>2211</v>
      </c>
      <c r="AJ9">
        <v>233.0013568521</v>
      </c>
      <c r="AK9">
        <v>2044</v>
      </c>
      <c r="AL9">
        <v>567</v>
      </c>
      <c r="AM9">
        <v>3593</v>
      </c>
      <c r="AN9">
        <v>1901</v>
      </c>
      <c r="AO9">
        <v>353</v>
      </c>
      <c r="AP9">
        <v>269</v>
      </c>
      <c r="AQ9">
        <v>735</v>
      </c>
      <c r="AR9">
        <v>487</v>
      </c>
      <c r="AS9">
        <v>154</v>
      </c>
      <c r="AT9">
        <v>3</v>
      </c>
      <c r="AV9" t="s">
        <v>427</v>
      </c>
      <c r="AW9">
        <v>27</v>
      </c>
      <c r="AX9">
        <v>103.3703703704</v>
      </c>
      <c r="AY9">
        <v>24</v>
      </c>
      <c r="AZ9">
        <v>4</v>
      </c>
      <c r="BA9">
        <v>37</v>
      </c>
      <c r="BB9">
        <v>14</v>
      </c>
      <c r="BC9">
        <v>2</v>
      </c>
      <c r="BD9">
        <v>2</v>
      </c>
      <c r="BE9">
        <v>16</v>
      </c>
      <c r="BF9">
        <v>2</v>
      </c>
      <c r="BG9">
        <v>8</v>
      </c>
      <c r="BH9">
        <v>5</v>
      </c>
      <c r="BJ9" t="s">
        <v>572</v>
      </c>
      <c r="BK9" t="s">
        <v>395</v>
      </c>
      <c r="BL9">
        <v>4376</v>
      </c>
      <c r="BM9">
        <v>2129</v>
      </c>
      <c r="BN9">
        <v>169.31809872029999</v>
      </c>
      <c r="BO9">
        <v>12793</v>
      </c>
      <c r="BP9">
        <v>796</v>
      </c>
      <c r="BQ9">
        <v>248.01281951070001</v>
      </c>
      <c r="BR9">
        <v>212.8454773869</v>
      </c>
      <c r="BS9">
        <v>4453</v>
      </c>
      <c r="BT9">
        <v>1725</v>
      </c>
      <c r="BU9">
        <v>142.42600494050001</v>
      </c>
      <c r="BV9">
        <v>11907</v>
      </c>
      <c r="BW9">
        <v>782</v>
      </c>
      <c r="BX9">
        <v>242.34273956499999</v>
      </c>
      <c r="BY9">
        <v>185.90792838869999</v>
      </c>
      <c r="CA9" t="s">
        <v>397</v>
      </c>
      <c r="CB9" t="s">
        <v>784</v>
      </c>
      <c r="CC9" t="s">
        <v>1019</v>
      </c>
      <c r="CD9">
        <v>6022</v>
      </c>
      <c r="CE9">
        <v>1925</v>
      </c>
      <c r="CF9">
        <v>113.43590169380001</v>
      </c>
      <c r="CG9">
        <v>15465</v>
      </c>
      <c r="CH9">
        <v>935</v>
      </c>
      <c r="CI9">
        <v>180.4519236987</v>
      </c>
      <c r="CJ9">
        <v>166.5711229947</v>
      </c>
      <c r="CL9" t="s">
        <v>397</v>
      </c>
      <c r="CM9" t="s">
        <v>765</v>
      </c>
      <c r="CN9" t="s">
        <v>767</v>
      </c>
      <c r="CO9">
        <v>318</v>
      </c>
      <c r="CP9">
        <v>32</v>
      </c>
      <c r="CQ9">
        <v>57.150943396199999</v>
      </c>
      <c r="CR9">
        <v>2431</v>
      </c>
      <c r="CS9">
        <v>100</v>
      </c>
      <c r="CT9">
        <v>52.539284245200001</v>
      </c>
      <c r="CU9">
        <v>41.73</v>
      </c>
      <c r="CW9" t="s">
        <v>397</v>
      </c>
      <c r="CX9" t="s">
        <v>775</v>
      </c>
      <c r="CY9" t="s">
        <v>777</v>
      </c>
      <c r="CZ9">
        <v>77</v>
      </c>
      <c r="DA9">
        <v>14</v>
      </c>
      <c r="DB9">
        <v>74.662337662300004</v>
      </c>
      <c r="DC9">
        <v>195</v>
      </c>
      <c r="DD9">
        <v>9</v>
      </c>
      <c r="DE9">
        <v>138.02564102560001</v>
      </c>
      <c r="DF9">
        <v>130.44444444440001</v>
      </c>
      <c r="DH9" t="s">
        <v>397</v>
      </c>
      <c r="DI9" t="s">
        <v>755</v>
      </c>
      <c r="DJ9" t="s">
        <v>757</v>
      </c>
      <c r="DK9">
        <v>124</v>
      </c>
      <c r="DL9">
        <v>7</v>
      </c>
      <c r="DM9">
        <v>64.177419354799994</v>
      </c>
      <c r="DN9">
        <v>410</v>
      </c>
      <c r="DO9">
        <v>28</v>
      </c>
      <c r="DP9">
        <v>159.45609756100001</v>
      </c>
      <c r="DQ9">
        <v>138.3571428571</v>
      </c>
    </row>
    <row r="10" spans="2:121" x14ac:dyDescent="0.2">
      <c r="B10" t="s">
        <v>323</v>
      </c>
      <c r="C10">
        <v>1</v>
      </c>
      <c r="D10">
        <v>1</v>
      </c>
      <c r="F10" t="s">
        <v>62</v>
      </c>
      <c r="G10">
        <v>6030</v>
      </c>
      <c r="H10">
        <v>408.99950248760001</v>
      </c>
      <c r="I10">
        <v>5637</v>
      </c>
      <c r="J10">
        <v>1839</v>
      </c>
      <c r="K10">
        <v>7296</v>
      </c>
      <c r="L10">
        <v>4906</v>
      </c>
      <c r="M10">
        <v>526</v>
      </c>
      <c r="N10">
        <v>473</v>
      </c>
      <c r="O10">
        <v>731</v>
      </c>
      <c r="P10">
        <v>419</v>
      </c>
      <c r="Q10">
        <v>2</v>
      </c>
      <c r="R10">
        <v>317</v>
      </c>
      <c r="AH10" t="s">
        <v>433</v>
      </c>
      <c r="AI10">
        <v>1089</v>
      </c>
      <c r="AJ10">
        <v>335.23875114779997</v>
      </c>
      <c r="AK10">
        <v>1022</v>
      </c>
      <c r="AL10">
        <v>382</v>
      </c>
      <c r="AM10">
        <v>1324</v>
      </c>
      <c r="AN10">
        <v>712</v>
      </c>
      <c r="AO10">
        <v>74</v>
      </c>
      <c r="AP10">
        <v>54</v>
      </c>
      <c r="AQ10">
        <v>495</v>
      </c>
      <c r="AR10">
        <v>212</v>
      </c>
      <c r="AS10">
        <v>47</v>
      </c>
      <c r="AT10">
        <v>1</v>
      </c>
      <c r="AV10" t="s">
        <v>381</v>
      </c>
      <c r="AW10">
        <v>306</v>
      </c>
      <c r="AX10">
        <v>90.081699346400001</v>
      </c>
      <c r="AY10">
        <v>344</v>
      </c>
      <c r="AZ10">
        <v>60</v>
      </c>
      <c r="BA10">
        <v>512</v>
      </c>
      <c r="BB10">
        <v>148</v>
      </c>
      <c r="BC10">
        <v>12</v>
      </c>
      <c r="BD10">
        <v>10</v>
      </c>
      <c r="BE10">
        <v>183</v>
      </c>
      <c r="BF10">
        <v>22</v>
      </c>
      <c r="BG10">
        <v>56</v>
      </c>
      <c r="BH10">
        <v>133</v>
      </c>
      <c r="BJ10" t="s">
        <v>624</v>
      </c>
      <c r="BK10" t="s">
        <v>395</v>
      </c>
      <c r="BL10">
        <v>3688</v>
      </c>
      <c r="BM10">
        <v>909</v>
      </c>
      <c r="BN10">
        <v>98.463394793899994</v>
      </c>
      <c r="BO10">
        <v>10870</v>
      </c>
      <c r="BP10">
        <v>565</v>
      </c>
      <c r="BQ10">
        <v>171.5360625575</v>
      </c>
      <c r="BR10">
        <v>151.87610619469999</v>
      </c>
      <c r="BS10">
        <v>4559</v>
      </c>
      <c r="BT10">
        <v>1465</v>
      </c>
      <c r="BU10">
        <v>111.0394823426</v>
      </c>
      <c r="BV10">
        <v>12727</v>
      </c>
      <c r="BW10">
        <v>788</v>
      </c>
      <c r="BX10">
        <v>175.84104659389999</v>
      </c>
      <c r="BY10">
        <v>157.85406091370001</v>
      </c>
      <c r="CA10" t="s">
        <v>399</v>
      </c>
      <c r="CB10" t="s">
        <v>784</v>
      </c>
      <c r="CC10" t="s">
        <v>1020</v>
      </c>
      <c r="CD10">
        <v>3925</v>
      </c>
      <c r="CE10">
        <v>1645</v>
      </c>
      <c r="CF10">
        <v>151.4270063694</v>
      </c>
      <c r="CG10">
        <v>12643</v>
      </c>
      <c r="CH10">
        <v>759</v>
      </c>
      <c r="CI10">
        <v>229.17788499560001</v>
      </c>
      <c r="CJ10">
        <v>198.85375494069999</v>
      </c>
      <c r="CL10" t="s">
        <v>399</v>
      </c>
      <c r="CM10" t="s">
        <v>765</v>
      </c>
      <c r="CN10" t="s">
        <v>768</v>
      </c>
      <c r="CO10">
        <v>264</v>
      </c>
      <c r="CP10">
        <v>26</v>
      </c>
      <c r="CQ10">
        <v>60.003787878799997</v>
      </c>
      <c r="CR10">
        <v>1734</v>
      </c>
      <c r="CS10">
        <v>73</v>
      </c>
      <c r="CT10">
        <v>59.888119953900002</v>
      </c>
      <c r="CU10">
        <v>71.424657534199994</v>
      </c>
      <c r="CW10" t="s">
        <v>399</v>
      </c>
      <c r="CX10" t="s">
        <v>775</v>
      </c>
      <c r="CY10" t="s">
        <v>778</v>
      </c>
      <c r="CZ10">
        <v>74</v>
      </c>
      <c r="DA10">
        <v>14</v>
      </c>
      <c r="DB10">
        <v>83.459459459499996</v>
      </c>
      <c r="DC10">
        <v>125</v>
      </c>
      <c r="DD10">
        <v>3</v>
      </c>
      <c r="DE10">
        <v>150.34399999999999</v>
      </c>
      <c r="DF10">
        <v>136.6666666667</v>
      </c>
      <c r="DH10" t="s">
        <v>399</v>
      </c>
      <c r="DI10" t="s">
        <v>755</v>
      </c>
      <c r="DJ10" t="s">
        <v>758</v>
      </c>
      <c r="DK10">
        <v>57</v>
      </c>
      <c r="DL10">
        <v>19</v>
      </c>
      <c r="DM10">
        <v>106.2105263158</v>
      </c>
      <c r="DN10">
        <v>191</v>
      </c>
      <c r="DO10">
        <v>12</v>
      </c>
      <c r="DP10">
        <v>128.3036649215</v>
      </c>
      <c r="DQ10">
        <v>121.1666666667</v>
      </c>
    </row>
    <row r="11" spans="2:121" x14ac:dyDescent="0.2">
      <c r="B11" t="s">
        <v>100</v>
      </c>
      <c r="C11">
        <v>187</v>
      </c>
      <c r="D11">
        <v>104</v>
      </c>
      <c r="F11" t="s">
        <v>60</v>
      </c>
      <c r="G11">
        <v>12517</v>
      </c>
      <c r="H11">
        <v>377.87936406490002</v>
      </c>
      <c r="I11">
        <v>7888</v>
      </c>
      <c r="J11">
        <v>2839</v>
      </c>
      <c r="K11">
        <v>14031</v>
      </c>
      <c r="L11">
        <v>10345</v>
      </c>
      <c r="M11">
        <v>4364</v>
      </c>
      <c r="N11">
        <v>4025</v>
      </c>
      <c r="O11">
        <v>2584</v>
      </c>
      <c r="P11">
        <v>2087</v>
      </c>
      <c r="Q11">
        <v>2</v>
      </c>
      <c r="R11">
        <v>344</v>
      </c>
      <c r="AH11" t="s">
        <v>424</v>
      </c>
      <c r="AI11">
        <v>483</v>
      </c>
      <c r="AJ11">
        <v>457.4844720497</v>
      </c>
      <c r="AK11">
        <v>567</v>
      </c>
      <c r="AL11">
        <v>205</v>
      </c>
      <c r="AM11">
        <v>660</v>
      </c>
      <c r="AN11">
        <v>453</v>
      </c>
      <c r="AO11">
        <v>97</v>
      </c>
      <c r="AP11">
        <v>79</v>
      </c>
      <c r="AQ11">
        <v>320</v>
      </c>
      <c r="AR11">
        <v>241</v>
      </c>
      <c r="AS11">
        <v>16</v>
      </c>
      <c r="AT11">
        <v>1</v>
      </c>
      <c r="AV11" t="s">
        <v>418</v>
      </c>
      <c r="AW11">
        <v>38</v>
      </c>
      <c r="AX11">
        <v>47.921052631599999</v>
      </c>
      <c r="AY11">
        <v>125</v>
      </c>
      <c r="AZ11">
        <v>9</v>
      </c>
      <c r="BA11">
        <v>65</v>
      </c>
      <c r="BB11">
        <v>2</v>
      </c>
      <c r="BC11">
        <v>1</v>
      </c>
      <c r="BD11">
        <v>1</v>
      </c>
      <c r="BE11">
        <v>0</v>
      </c>
      <c r="BG11">
        <v>67</v>
      </c>
      <c r="BH11">
        <v>15</v>
      </c>
      <c r="BJ11" t="s">
        <v>626</v>
      </c>
      <c r="BK11" t="s">
        <v>395</v>
      </c>
      <c r="BL11">
        <v>7003</v>
      </c>
      <c r="BM11">
        <v>1923</v>
      </c>
      <c r="BN11">
        <v>101.8964729402</v>
      </c>
      <c r="BO11">
        <v>18467</v>
      </c>
      <c r="BP11">
        <v>1366</v>
      </c>
      <c r="BQ11">
        <v>163.49656143390001</v>
      </c>
      <c r="BR11">
        <v>131.84040995609999</v>
      </c>
      <c r="BS11">
        <v>9463</v>
      </c>
      <c r="BT11">
        <v>3165</v>
      </c>
      <c r="BU11">
        <v>115.3692275177</v>
      </c>
      <c r="BV11">
        <v>26603</v>
      </c>
      <c r="BW11">
        <v>1972</v>
      </c>
      <c r="BX11">
        <v>179.0528135925</v>
      </c>
      <c r="BY11">
        <v>145.88640973630001</v>
      </c>
      <c r="CA11" t="s">
        <v>428</v>
      </c>
      <c r="CB11" t="s">
        <v>784</v>
      </c>
      <c r="CC11" t="s">
        <v>1021</v>
      </c>
      <c r="CD11">
        <v>934</v>
      </c>
      <c r="CE11">
        <v>120</v>
      </c>
      <c r="CF11">
        <v>77.942184154200007</v>
      </c>
      <c r="CG11">
        <v>3159</v>
      </c>
      <c r="CH11">
        <v>224</v>
      </c>
      <c r="CI11">
        <v>113.9838556505</v>
      </c>
      <c r="CJ11">
        <v>121.6116071429</v>
      </c>
      <c r="CL11" t="s">
        <v>428</v>
      </c>
      <c r="CM11" t="s">
        <v>765</v>
      </c>
      <c r="CN11" t="s">
        <v>769</v>
      </c>
      <c r="CO11">
        <v>79</v>
      </c>
      <c r="CP11">
        <v>3</v>
      </c>
      <c r="CQ11">
        <v>50.316455696200002</v>
      </c>
      <c r="CR11">
        <v>479</v>
      </c>
      <c r="CS11">
        <v>27</v>
      </c>
      <c r="CT11">
        <v>52.229645093899997</v>
      </c>
      <c r="CU11">
        <v>43.259259259300002</v>
      </c>
      <c r="CW11" t="s">
        <v>428</v>
      </c>
      <c r="CX11" t="s">
        <v>775</v>
      </c>
      <c r="CY11" t="s">
        <v>779</v>
      </c>
      <c r="CZ11">
        <v>19</v>
      </c>
      <c r="DA11">
        <v>2</v>
      </c>
      <c r="DB11">
        <v>69.368421052599999</v>
      </c>
      <c r="DC11">
        <v>70</v>
      </c>
      <c r="DD11">
        <v>4</v>
      </c>
      <c r="DE11">
        <v>136.0428571429</v>
      </c>
      <c r="DF11">
        <v>88.5</v>
      </c>
      <c r="DH11" t="s">
        <v>428</v>
      </c>
      <c r="DI11" t="s">
        <v>755</v>
      </c>
      <c r="DJ11" t="s">
        <v>759</v>
      </c>
      <c r="DK11">
        <v>4</v>
      </c>
      <c r="DL11">
        <v>1</v>
      </c>
      <c r="DM11">
        <v>78.75</v>
      </c>
      <c r="DN11">
        <v>54</v>
      </c>
      <c r="DO11">
        <v>0</v>
      </c>
      <c r="DP11">
        <v>172.14814814810001</v>
      </c>
      <c r="DQ11">
        <v>0</v>
      </c>
    </row>
    <row r="12" spans="2:121" x14ac:dyDescent="0.2">
      <c r="B12" t="s">
        <v>127</v>
      </c>
      <c r="C12">
        <v>620</v>
      </c>
      <c r="D12">
        <v>298</v>
      </c>
      <c r="F12" t="s">
        <v>36</v>
      </c>
      <c r="G12">
        <v>6997</v>
      </c>
      <c r="H12">
        <v>616.50707446050001</v>
      </c>
      <c r="I12">
        <v>5469</v>
      </c>
      <c r="J12">
        <v>2071</v>
      </c>
      <c r="K12">
        <v>8318</v>
      </c>
      <c r="L12">
        <v>6810</v>
      </c>
      <c r="M12">
        <v>1065</v>
      </c>
      <c r="N12">
        <v>938</v>
      </c>
      <c r="O12">
        <v>6200</v>
      </c>
      <c r="P12">
        <v>5366</v>
      </c>
      <c r="Q12">
        <v>31</v>
      </c>
      <c r="R12">
        <v>6</v>
      </c>
      <c r="T12" t="s">
        <v>665</v>
      </c>
      <c r="U12" t="s">
        <v>315</v>
      </c>
      <c r="V12" t="s">
        <v>139</v>
      </c>
      <c r="W12" t="s">
        <v>222</v>
      </c>
      <c r="X12" t="s">
        <v>223</v>
      </c>
      <c r="Y12" t="s">
        <v>224</v>
      </c>
      <c r="Z12" t="s">
        <v>225</v>
      </c>
      <c r="AA12" t="s">
        <v>226</v>
      </c>
      <c r="AB12" t="s">
        <v>227</v>
      </c>
      <c r="AC12" t="s">
        <v>228</v>
      </c>
      <c r="AD12" t="s">
        <v>229</v>
      </c>
      <c r="AE12" t="s">
        <v>230</v>
      </c>
      <c r="AF12" t="s">
        <v>231</v>
      </c>
      <c r="AH12" t="s">
        <v>435</v>
      </c>
      <c r="AI12">
        <v>20699</v>
      </c>
      <c r="AJ12">
        <v>328.68186868930002</v>
      </c>
      <c r="AK12">
        <v>26799</v>
      </c>
      <c r="AL12">
        <v>10494</v>
      </c>
      <c r="AM12">
        <v>28749</v>
      </c>
      <c r="AN12">
        <v>17461</v>
      </c>
      <c r="AO12">
        <v>3579</v>
      </c>
      <c r="AP12">
        <v>2492</v>
      </c>
      <c r="AQ12">
        <v>10600</v>
      </c>
      <c r="AR12">
        <v>6739</v>
      </c>
      <c r="AS12">
        <v>1111</v>
      </c>
      <c r="AT12">
        <v>249</v>
      </c>
      <c r="AV12" t="s">
        <v>397</v>
      </c>
      <c r="AW12">
        <v>366</v>
      </c>
      <c r="AX12">
        <v>58.437158469899998</v>
      </c>
      <c r="AY12">
        <v>335</v>
      </c>
      <c r="AZ12">
        <v>24</v>
      </c>
      <c r="BA12">
        <v>555</v>
      </c>
      <c r="BB12">
        <v>61</v>
      </c>
      <c r="BC12">
        <v>3</v>
      </c>
      <c r="BD12">
        <v>3</v>
      </c>
      <c r="BE12">
        <v>27</v>
      </c>
      <c r="BF12">
        <v>9</v>
      </c>
      <c r="BG12">
        <v>233</v>
      </c>
      <c r="BH12">
        <v>34</v>
      </c>
      <c r="BJ12" t="s">
        <v>568</v>
      </c>
      <c r="BK12" t="s">
        <v>395</v>
      </c>
      <c r="BL12">
        <v>5858</v>
      </c>
      <c r="BM12">
        <v>1841</v>
      </c>
      <c r="BN12">
        <v>112.0763059065</v>
      </c>
      <c r="BO12">
        <v>14094</v>
      </c>
      <c r="BP12">
        <v>873</v>
      </c>
      <c r="BQ12">
        <v>187.23052362710001</v>
      </c>
      <c r="BR12">
        <v>169.95189003440001</v>
      </c>
      <c r="BS12">
        <v>4675</v>
      </c>
      <c r="BT12">
        <v>1008</v>
      </c>
      <c r="BU12">
        <v>90.724705882400002</v>
      </c>
      <c r="BV12">
        <v>10782</v>
      </c>
      <c r="BW12">
        <v>634</v>
      </c>
      <c r="BX12">
        <v>183.24002967909999</v>
      </c>
      <c r="BY12">
        <v>150.51735015770001</v>
      </c>
      <c r="CA12" t="s">
        <v>422</v>
      </c>
      <c r="CB12" t="s">
        <v>784</v>
      </c>
      <c r="CC12" t="s">
        <v>1022</v>
      </c>
      <c r="CD12">
        <v>7166</v>
      </c>
      <c r="CE12">
        <v>1983</v>
      </c>
      <c r="CF12">
        <v>102.8813843148</v>
      </c>
      <c r="CG12">
        <v>19466</v>
      </c>
      <c r="CH12">
        <v>1420</v>
      </c>
      <c r="CI12">
        <v>159.01243193260001</v>
      </c>
      <c r="CJ12">
        <v>130.3549295775</v>
      </c>
      <c r="CL12" t="s">
        <v>422</v>
      </c>
      <c r="CM12" t="s">
        <v>765</v>
      </c>
      <c r="CN12" t="s">
        <v>770</v>
      </c>
      <c r="CO12">
        <v>414</v>
      </c>
      <c r="CP12">
        <v>25</v>
      </c>
      <c r="CQ12">
        <v>55.318840579700002</v>
      </c>
      <c r="CR12">
        <v>2414</v>
      </c>
      <c r="CS12">
        <v>139</v>
      </c>
      <c r="CT12">
        <v>60.102734051399999</v>
      </c>
      <c r="CU12">
        <v>57.546762589899998</v>
      </c>
      <c r="CW12" t="s">
        <v>422</v>
      </c>
      <c r="CX12" t="s">
        <v>775</v>
      </c>
      <c r="CY12" t="s">
        <v>780</v>
      </c>
      <c r="CZ12">
        <v>119</v>
      </c>
      <c r="DA12">
        <v>27</v>
      </c>
      <c r="DB12">
        <v>80.6638655462</v>
      </c>
      <c r="DC12">
        <v>339</v>
      </c>
      <c r="DD12">
        <v>19</v>
      </c>
      <c r="DE12">
        <v>125.7463126844</v>
      </c>
      <c r="DF12">
        <v>96.052631578900005</v>
      </c>
      <c r="DH12" t="s">
        <v>422</v>
      </c>
      <c r="DI12" t="s">
        <v>755</v>
      </c>
      <c r="DJ12" t="s">
        <v>760</v>
      </c>
      <c r="DK12">
        <v>183</v>
      </c>
      <c r="DL12">
        <v>18</v>
      </c>
      <c r="DM12">
        <v>69.781420764999993</v>
      </c>
      <c r="DN12">
        <v>630</v>
      </c>
      <c r="DO12">
        <v>43</v>
      </c>
      <c r="DP12">
        <v>161.89047619050001</v>
      </c>
      <c r="DQ12">
        <v>131.7441860465</v>
      </c>
    </row>
    <row r="13" spans="2:121" x14ac:dyDescent="0.2">
      <c r="B13" t="s">
        <v>117</v>
      </c>
      <c r="C13">
        <v>5473</v>
      </c>
      <c r="D13">
        <v>274</v>
      </c>
      <c r="F13" t="s">
        <v>37</v>
      </c>
      <c r="G13">
        <v>422</v>
      </c>
      <c r="H13">
        <v>98.587677725099994</v>
      </c>
      <c r="I13">
        <v>1510</v>
      </c>
      <c r="J13">
        <v>438</v>
      </c>
      <c r="K13">
        <v>1053</v>
      </c>
      <c r="L13">
        <v>117</v>
      </c>
      <c r="M13">
        <v>152</v>
      </c>
      <c r="N13">
        <v>62</v>
      </c>
      <c r="O13">
        <v>77</v>
      </c>
      <c r="P13">
        <v>41</v>
      </c>
      <c r="Q13">
        <v>1</v>
      </c>
      <c r="R13">
        <v>10</v>
      </c>
      <c r="T13" t="s">
        <v>395</v>
      </c>
      <c r="U13">
        <v>61675</v>
      </c>
      <c r="V13">
        <v>327.45958654240002</v>
      </c>
      <c r="W13">
        <v>70260</v>
      </c>
      <c r="X13">
        <v>24228</v>
      </c>
      <c r="Y13">
        <v>91821</v>
      </c>
      <c r="Z13">
        <v>52158</v>
      </c>
      <c r="AA13">
        <v>13517</v>
      </c>
      <c r="AB13">
        <v>9735</v>
      </c>
      <c r="AC13">
        <v>25792</v>
      </c>
      <c r="AD13">
        <v>19723</v>
      </c>
      <c r="AE13">
        <v>114</v>
      </c>
      <c r="AF13">
        <v>1251</v>
      </c>
      <c r="AH13" t="s">
        <v>391</v>
      </c>
      <c r="AI13">
        <v>16483</v>
      </c>
      <c r="AJ13">
        <v>363.71965054909998</v>
      </c>
      <c r="AK13">
        <v>16739</v>
      </c>
      <c r="AL13">
        <v>5925</v>
      </c>
      <c r="AM13">
        <v>23574</v>
      </c>
      <c r="AN13">
        <v>15431</v>
      </c>
      <c r="AO13">
        <v>5130</v>
      </c>
      <c r="AP13">
        <v>4289</v>
      </c>
      <c r="AQ13">
        <v>12841</v>
      </c>
      <c r="AR13">
        <v>8783</v>
      </c>
      <c r="AS13">
        <v>580</v>
      </c>
      <c r="AT13">
        <v>39</v>
      </c>
      <c r="AV13" t="s">
        <v>435</v>
      </c>
      <c r="AW13">
        <v>2158</v>
      </c>
      <c r="AX13">
        <v>91.527803521799996</v>
      </c>
      <c r="AY13">
        <v>2219</v>
      </c>
      <c r="AZ13">
        <v>459</v>
      </c>
      <c r="BA13">
        <v>3418</v>
      </c>
      <c r="BB13">
        <v>896</v>
      </c>
      <c r="BC13">
        <v>106</v>
      </c>
      <c r="BD13">
        <v>104</v>
      </c>
      <c r="BE13">
        <v>876</v>
      </c>
      <c r="BF13">
        <v>123</v>
      </c>
      <c r="BG13">
        <v>289</v>
      </c>
      <c r="BH13">
        <v>557</v>
      </c>
      <c r="BJ13" t="s">
        <v>605</v>
      </c>
      <c r="BK13" t="s">
        <v>395</v>
      </c>
      <c r="BL13">
        <v>2006</v>
      </c>
      <c r="BM13">
        <v>524</v>
      </c>
      <c r="BN13">
        <v>101.0797607178</v>
      </c>
      <c r="BO13">
        <v>4340</v>
      </c>
      <c r="BP13">
        <v>230</v>
      </c>
      <c r="BQ13">
        <v>146.83640553000001</v>
      </c>
      <c r="BR13">
        <v>156.9652173913</v>
      </c>
      <c r="BS13">
        <v>4599</v>
      </c>
      <c r="BT13">
        <v>2072</v>
      </c>
      <c r="BU13">
        <v>139.12785388130001</v>
      </c>
      <c r="BV13">
        <v>9441</v>
      </c>
      <c r="BW13">
        <v>697</v>
      </c>
      <c r="BX13">
        <v>179.8925961233</v>
      </c>
      <c r="BY13">
        <v>189.4892395983</v>
      </c>
      <c r="CA13" t="s">
        <v>420</v>
      </c>
      <c r="CB13" t="s">
        <v>784</v>
      </c>
      <c r="CC13" t="s">
        <v>1023</v>
      </c>
      <c r="CD13">
        <v>37579</v>
      </c>
      <c r="CE13">
        <v>13139</v>
      </c>
      <c r="CF13">
        <v>128.19681204930001</v>
      </c>
      <c r="CG13">
        <v>93666</v>
      </c>
      <c r="CH13">
        <v>5693</v>
      </c>
      <c r="CI13">
        <v>193.1255204663</v>
      </c>
      <c r="CJ13">
        <v>173.80941507110001</v>
      </c>
      <c r="CL13" t="s">
        <v>420</v>
      </c>
      <c r="CM13" t="s">
        <v>765</v>
      </c>
      <c r="CN13" t="s">
        <v>771</v>
      </c>
      <c r="CO13">
        <v>1764</v>
      </c>
      <c r="CP13">
        <v>134</v>
      </c>
      <c r="CQ13">
        <v>58.214285714299997</v>
      </c>
      <c r="CR13">
        <v>9736</v>
      </c>
      <c r="CS13">
        <v>539</v>
      </c>
      <c r="CT13">
        <v>61.485312243199999</v>
      </c>
      <c r="CU13">
        <v>67.189239332100001</v>
      </c>
      <c r="CW13" t="s">
        <v>420</v>
      </c>
      <c r="CX13" t="s">
        <v>775</v>
      </c>
      <c r="CY13" t="s">
        <v>781</v>
      </c>
      <c r="CZ13">
        <v>910</v>
      </c>
      <c r="DA13">
        <v>157</v>
      </c>
      <c r="DB13">
        <v>74.862637362599997</v>
      </c>
      <c r="DC13">
        <v>2282</v>
      </c>
      <c r="DD13">
        <v>138</v>
      </c>
      <c r="DE13">
        <v>136.62269938649999</v>
      </c>
      <c r="DF13">
        <v>131.65217391300001</v>
      </c>
      <c r="DH13" t="s">
        <v>420</v>
      </c>
      <c r="DI13" t="s">
        <v>755</v>
      </c>
      <c r="DJ13" t="s">
        <v>761</v>
      </c>
      <c r="DK13">
        <v>940</v>
      </c>
      <c r="DL13">
        <v>164</v>
      </c>
      <c r="DM13">
        <v>78.572340425500002</v>
      </c>
      <c r="DN13">
        <v>2715</v>
      </c>
      <c r="DO13">
        <v>150</v>
      </c>
      <c r="DP13">
        <v>168.72449355430001</v>
      </c>
      <c r="DQ13">
        <v>140.56</v>
      </c>
    </row>
    <row r="14" spans="2:121" x14ac:dyDescent="0.2">
      <c r="B14" t="s">
        <v>134</v>
      </c>
      <c r="C14">
        <v>892</v>
      </c>
      <c r="D14">
        <v>40</v>
      </c>
      <c r="F14" t="s">
        <v>41</v>
      </c>
      <c r="G14">
        <v>9056</v>
      </c>
      <c r="H14">
        <v>538.68937720849999</v>
      </c>
      <c r="I14">
        <v>8395</v>
      </c>
      <c r="J14">
        <v>2372</v>
      </c>
      <c r="K14">
        <v>11410</v>
      </c>
      <c r="L14">
        <v>9449</v>
      </c>
      <c r="M14">
        <v>1584</v>
      </c>
      <c r="N14">
        <v>1553</v>
      </c>
      <c r="O14">
        <v>5114</v>
      </c>
      <c r="P14">
        <v>4000</v>
      </c>
      <c r="Q14">
        <v>15</v>
      </c>
      <c r="R14">
        <v>344</v>
      </c>
      <c r="T14" t="s">
        <v>400</v>
      </c>
      <c r="U14">
        <v>51601</v>
      </c>
      <c r="V14">
        <v>348.78366698320002</v>
      </c>
      <c r="W14">
        <v>58021</v>
      </c>
      <c r="X14">
        <v>16366</v>
      </c>
      <c r="Y14">
        <v>80459</v>
      </c>
      <c r="Z14">
        <v>41321</v>
      </c>
      <c r="AA14">
        <v>9908</v>
      </c>
      <c r="AB14">
        <v>8206</v>
      </c>
      <c r="AC14">
        <v>21552</v>
      </c>
      <c r="AD14">
        <v>16643</v>
      </c>
      <c r="AE14">
        <v>189</v>
      </c>
      <c r="AF14">
        <v>1200</v>
      </c>
      <c r="AH14" t="s">
        <v>438</v>
      </c>
      <c r="AI14">
        <v>2091</v>
      </c>
      <c r="AJ14">
        <v>271.75131516020002</v>
      </c>
      <c r="AK14">
        <v>2125</v>
      </c>
      <c r="AL14">
        <v>700</v>
      </c>
      <c r="AM14">
        <v>2780</v>
      </c>
      <c r="AN14">
        <v>1582</v>
      </c>
      <c r="AO14">
        <v>376</v>
      </c>
      <c r="AP14">
        <v>331</v>
      </c>
      <c r="AQ14">
        <v>521</v>
      </c>
      <c r="AR14">
        <v>334</v>
      </c>
      <c r="AS14">
        <v>6</v>
      </c>
      <c r="AT14">
        <v>3</v>
      </c>
      <c r="AV14" t="s">
        <v>403</v>
      </c>
      <c r="AW14">
        <v>275</v>
      </c>
      <c r="AX14">
        <v>70.541818181799997</v>
      </c>
      <c r="AY14">
        <v>251</v>
      </c>
      <c r="AZ14">
        <v>18</v>
      </c>
      <c r="BA14">
        <v>438</v>
      </c>
      <c r="BB14">
        <v>58</v>
      </c>
      <c r="BC14">
        <v>3</v>
      </c>
      <c r="BD14">
        <v>3</v>
      </c>
      <c r="BE14">
        <v>45</v>
      </c>
      <c r="BF14">
        <v>6</v>
      </c>
      <c r="BG14">
        <v>334</v>
      </c>
      <c r="BH14">
        <v>31</v>
      </c>
      <c r="BJ14" t="s">
        <v>622</v>
      </c>
      <c r="BK14" t="s">
        <v>395</v>
      </c>
      <c r="BL14">
        <v>18383</v>
      </c>
      <c r="BM14">
        <v>6251</v>
      </c>
      <c r="BN14">
        <v>121.70935103079999</v>
      </c>
      <c r="BO14">
        <v>45435</v>
      </c>
      <c r="BP14">
        <v>2779</v>
      </c>
      <c r="BQ14">
        <v>192.01628700340001</v>
      </c>
      <c r="BR14">
        <v>169.6131702051</v>
      </c>
      <c r="BS14">
        <v>17527</v>
      </c>
      <c r="BT14">
        <v>6047</v>
      </c>
      <c r="BU14">
        <v>123.0834712158</v>
      </c>
      <c r="BV14">
        <v>45108</v>
      </c>
      <c r="BW14">
        <v>2730</v>
      </c>
      <c r="BX14">
        <v>194.3815066064</v>
      </c>
      <c r="BY14">
        <v>169.0340659341</v>
      </c>
      <c r="CA14" t="s">
        <v>416</v>
      </c>
      <c r="CB14" t="s">
        <v>784</v>
      </c>
      <c r="CC14" t="s">
        <v>1024</v>
      </c>
      <c r="CD14">
        <v>1894</v>
      </c>
      <c r="CE14">
        <v>547</v>
      </c>
      <c r="CF14">
        <v>106.0042238648</v>
      </c>
      <c r="CG14">
        <v>4325</v>
      </c>
      <c r="CH14">
        <v>216</v>
      </c>
      <c r="CI14">
        <v>146.85433526009999</v>
      </c>
      <c r="CJ14">
        <v>161.787037037</v>
      </c>
      <c r="CL14" t="s">
        <v>416</v>
      </c>
      <c r="CM14" t="s">
        <v>765</v>
      </c>
      <c r="CN14" t="s">
        <v>772</v>
      </c>
      <c r="CO14">
        <v>161</v>
      </c>
      <c r="CP14">
        <v>12</v>
      </c>
      <c r="CQ14">
        <v>61.031055900600002</v>
      </c>
      <c r="CR14">
        <v>970</v>
      </c>
      <c r="CS14">
        <v>52</v>
      </c>
      <c r="CT14">
        <v>65.192783505199998</v>
      </c>
      <c r="CU14">
        <v>74.538461538500002</v>
      </c>
      <c r="CW14" t="s">
        <v>416</v>
      </c>
      <c r="CX14" t="s">
        <v>775</v>
      </c>
      <c r="CY14" t="s">
        <v>782</v>
      </c>
      <c r="CZ14">
        <v>57</v>
      </c>
      <c r="DA14">
        <v>6</v>
      </c>
      <c r="DB14">
        <v>65.070175438600003</v>
      </c>
      <c r="DC14">
        <v>182</v>
      </c>
      <c r="DD14">
        <v>5</v>
      </c>
      <c r="DE14">
        <v>132.69230769230001</v>
      </c>
      <c r="DF14">
        <v>109.8</v>
      </c>
      <c r="DH14" t="s">
        <v>416</v>
      </c>
      <c r="DI14" t="s">
        <v>755</v>
      </c>
      <c r="DJ14" t="s">
        <v>762</v>
      </c>
      <c r="DK14">
        <v>50</v>
      </c>
      <c r="DL14">
        <v>7</v>
      </c>
      <c r="DM14">
        <v>72.400000000000006</v>
      </c>
      <c r="DN14">
        <v>178</v>
      </c>
      <c r="DO14">
        <v>8</v>
      </c>
      <c r="DP14">
        <v>163.13483146070001</v>
      </c>
      <c r="DQ14">
        <v>105.875</v>
      </c>
    </row>
    <row r="15" spans="2:121" x14ac:dyDescent="0.2">
      <c r="B15" t="s">
        <v>124</v>
      </c>
      <c r="C15">
        <v>9</v>
      </c>
      <c r="D15">
        <v>2</v>
      </c>
      <c r="F15" t="s">
        <v>39</v>
      </c>
      <c r="G15">
        <v>676</v>
      </c>
      <c r="H15">
        <v>217.64644970410001</v>
      </c>
      <c r="I15">
        <v>876</v>
      </c>
      <c r="J15">
        <v>206</v>
      </c>
      <c r="K15">
        <v>959</v>
      </c>
      <c r="L15">
        <v>402</v>
      </c>
      <c r="M15">
        <v>186</v>
      </c>
      <c r="N15">
        <v>155</v>
      </c>
      <c r="O15">
        <v>117</v>
      </c>
      <c r="P15">
        <v>58</v>
      </c>
      <c r="Q15">
        <v>25</v>
      </c>
      <c r="R15">
        <v>8</v>
      </c>
      <c r="T15" t="s">
        <v>379</v>
      </c>
      <c r="U15">
        <v>110144</v>
      </c>
      <c r="V15">
        <v>402.02986090939999</v>
      </c>
      <c r="W15">
        <v>82343</v>
      </c>
      <c r="X15">
        <v>26770</v>
      </c>
      <c r="Y15">
        <v>138327</v>
      </c>
      <c r="Z15">
        <v>98892</v>
      </c>
      <c r="AA15">
        <v>17980</v>
      </c>
      <c r="AB15">
        <v>13047</v>
      </c>
      <c r="AC15">
        <v>36960</v>
      </c>
      <c r="AD15">
        <v>25517</v>
      </c>
      <c r="AE15">
        <v>7265</v>
      </c>
      <c r="AF15">
        <v>105</v>
      </c>
      <c r="AH15" t="s">
        <v>418</v>
      </c>
      <c r="AI15">
        <v>1021</v>
      </c>
      <c r="AJ15">
        <v>255.96180215480001</v>
      </c>
      <c r="AK15">
        <v>1706</v>
      </c>
      <c r="AL15">
        <v>505</v>
      </c>
      <c r="AM15">
        <v>1791</v>
      </c>
      <c r="AN15">
        <v>687</v>
      </c>
      <c r="AO15">
        <v>229</v>
      </c>
      <c r="AP15">
        <v>145</v>
      </c>
      <c r="AQ15">
        <v>249</v>
      </c>
      <c r="AR15">
        <v>139</v>
      </c>
      <c r="AS15">
        <v>1</v>
      </c>
      <c r="AT15">
        <v>10</v>
      </c>
      <c r="AV15" t="s">
        <v>422</v>
      </c>
      <c r="AW15">
        <v>139</v>
      </c>
      <c r="AX15">
        <v>42.187050359700002</v>
      </c>
      <c r="AY15">
        <v>269</v>
      </c>
      <c r="AZ15">
        <v>9</v>
      </c>
      <c r="BA15">
        <v>245</v>
      </c>
      <c r="BB15">
        <v>6</v>
      </c>
      <c r="BC15">
        <v>2</v>
      </c>
      <c r="BD15">
        <v>2</v>
      </c>
      <c r="BE15">
        <v>11</v>
      </c>
      <c r="BF15">
        <v>4</v>
      </c>
      <c r="BG15">
        <v>331</v>
      </c>
      <c r="BH15">
        <v>61</v>
      </c>
      <c r="BJ15" t="s">
        <v>584</v>
      </c>
      <c r="BK15" t="s">
        <v>400</v>
      </c>
      <c r="BL15">
        <v>7343</v>
      </c>
      <c r="BM15">
        <v>2620</v>
      </c>
      <c r="BN15">
        <v>136.24540378590001</v>
      </c>
      <c r="BO15">
        <v>19574</v>
      </c>
      <c r="BP15">
        <v>873</v>
      </c>
      <c r="BQ15">
        <v>233.6799325636</v>
      </c>
      <c r="BR15">
        <v>225.52691867120001</v>
      </c>
      <c r="BS15">
        <v>5141</v>
      </c>
      <c r="BT15">
        <v>1151</v>
      </c>
      <c r="BU15">
        <v>113.5858782338</v>
      </c>
      <c r="BV15">
        <v>12619</v>
      </c>
      <c r="BW15">
        <v>466</v>
      </c>
      <c r="BX15">
        <v>253.224502734</v>
      </c>
      <c r="BY15">
        <v>218.48068669529999</v>
      </c>
      <c r="CA15" t="s">
        <v>431</v>
      </c>
      <c r="CB15" t="s">
        <v>784</v>
      </c>
      <c r="CC15" t="s">
        <v>1025</v>
      </c>
      <c r="CD15">
        <v>959</v>
      </c>
      <c r="CE15">
        <v>242</v>
      </c>
      <c r="CF15">
        <v>100.09280500520001</v>
      </c>
      <c r="CG15">
        <v>2503</v>
      </c>
      <c r="CH15">
        <v>120</v>
      </c>
      <c r="CI15">
        <v>135.2405113863</v>
      </c>
      <c r="CJ15">
        <v>139.89166666669999</v>
      </c>
      <c r="CL15" t="s">
        <v>431</v>
      </c>
      <c r="CM15" t="s">
        <v>765</v>
      </c>
      <c r="CN15" t="s">
        <v>773</v>
      </c>
      <c r="CO15">
        <v>42</v>
      </c>
      <c r="CP15">
        <v>2</v>
      </c>
      <c r="CQ15">
        <v>60.047619047600001</v>
      </c>
      <c r="CR15">
        <v>224</v>
      </c>
      <c r="CS15">
        <v>5</v>
      </c>
      <c r="CT15">
        <v>68.263392857100001</v>
      </c>
      <c r="CU15">
        <v>60.6</v>
      </c>
      <c r="CW15" t="s">
        <v>431</v>
      </c>
      <c r="CX15" t="s">
        <v>775</v>
      </c>
      <c r="CY15" t="s">
        <v>783</v>
      </c>
      <c r="CZ15">
        <v>12</v>
      </c>
      <c r="DA15">
        <v>2</v>
      </c>
      <c r="DB15">
        <v>68.583333333300004</v>
      </c>
      <c r="DC15">
        <v>30</v>
      </c>
      <c r="DD15">
        <v>0</v>
      </c>
      <c r="DE15">
        <v>130.03333333329999</v>
      </c>
      <c r="DF15">
        <v>0</v>
      </c>
      <c r="DH15" t="s">
        <v>431</v>
      </c>
      <c r="DI15" t="s">
        <v>755</v>
      </c>
      <c r="DJ15" t="s">
        <v>763</v>
      </c>
      <c r="DK15">
        <v>13</v>
      </c>
      <c r="DL15">
        <v>3</v>
      </c>
      <c r="DM15">
        <v>94.076923076900002</v>
      </c>
      <c r="DN15">
        <v>40</v>
      </c>
      <c r="DO15">
        <v>0</v>
      </c>
      <c r="DP15">
        <v>127.875</v>
      </c>
      <c r="DQ15">
        <v>0</v>
      </c>
    </row>
    <row r="16" spans="2:121" x14ac:dyDescent="0.2">
      <c r="B16" t="s">
        <v>999</v>
      </c>
      <c r="C16">
        <v>4</v>
      </c>
      <c r="F16" t="s">
        <v>64</v>
      </c>
      <c r="G16">
        <v>762</v>
      </c>
      <c r="H16">
        <v>126.8832020997</v>
      </c>
      <c r="I16">
        <v>2697</v>
      </c>
      <c r="J16">
        <v>871</v>
      </c>
      <c r="K16">
        <v>1510</v>
      </c>
      <c r="L16">
        <v>484</v>
      </c>
      <c r="M16">
        <v>335</v>
      </c>
      <c r="N16">
        <v>103</v>
      </c>
      <c r="O16">
        <v>2438</v>
      </c>
      <c r="P16">
        <v>1317</v>
      </c>
      <c r="Q16">
        <v>0</v>
      </c>
      <c r="R16">
        <v>2</v>
      </c>
      <c r="T16" t="s">
        <v>8</v>
      </c>
      <c r="U16">
        <v>51</v>
      </c>
      <c r="V16">
        <v>792.01960784309995</v>
      </c>
      <c r="W16">
        <v>1</v>
      </c>
      <c r="Y16">
        <v>54</v>
      </c>
      <c r="Z16">
        <v>54</v>
      </c>
      <c r="AA16">
        <v>1</v>
      </c>
      <c r="AB16">
        <v>1</v>
      </c>
      <c r="AC16">
        <v>16486</v>
      </c>
      <c r="AD16">
        <v>4131</v>
      </c>
      <c r="AE16">
        <v>0</v>
      </c>
      <c r="AF16">
        <v>1</v>
      </c>
      <c r="AH16" t="s">
        <v>404</v>
      </c>
      <c r="AI16">
        <v>8030</v>
      </c>
      <c r="AJ16">
        <v>467.703860523</v>
      </c>
      <c r="AK16">
        <v>7927</v>
      </c>
      <c r="AL16">
        <v>2762</v>
      </c>
      <c r="AM16">
        <v>10549</v>
      </c>
      <c r="AN16">
        <v>7363</v>
      </c>
      <c r="AO16">
        <v>1508</v>
      </c>
      <c r="AP16">
        <v>1362</v>
      </c>
      <c r="AQ16">
        <v>3090</v>
      </c>
      <c r="AR16">
        <v>2370</v>
      </c>
      <c r="AS16">
        <v>25</v>
      </c>
      <c r="AT16">
        <v>281</v>
      </c>
      <c r="AV16" t="s">
        <v>385</v>
      </c>
      <c r="AW16">
        <v>1375</v>
      </c>
      <c r="AX16">
        <v>88.721454545499995</v>
      </c>
      <c r="AY16">
        <v>1641</v>
      </c>
      <c r="AZ16">
        <v>300</v>
      </c>
      <c r="BA16">
        <v>2165</v>
      </c>
      <c r="BB16">
        <v>555</v>
      </c>
      <c r="BC16">
        <v>55</v>
      </c>
      <c r="BD16">
        <v>55</v>
      </c>
      <c r="BE16">
        <v>662</v>
      </c>
      <c r="BF16">
        <v>84</v>
      </c>
      <c r="BG16">
        <v>138</v>
      </c>
      <c r="BH16">
        <v>363</v>
      </c>
      <c r="BJ16" t="s">
        <v>576</v>
      </c>
      <c r="BK16" t="s">
        <v>400</v>
      </c>
      <c r="BL16">
        <v>8662</v>
      </c>
      <c r="BM16">
        <v>2408</v>
      </c>
      <c r="BN16">
        <v>110.5432925421</v>
      </c>
      <c r="BO16">
        <v>23954</v>
      </c>
      <c r="BP16">
        <v>1328</v>
      </c>
      <c r="BQ16">
        <v>163.99302830420001</v>
      </c>
      <c r="BR16">
        <v>134.8832831325</v>
      </c>
      <c r="BS16">
        <v>11447</v>
      </c>
      <c r="BT16">
        <v>4558</v>
      </c>
      <c r="BU16">
        <v>137.34830086490001</v>
      </c>
      <c r="BV16">
        <v>30629</v>
      </c>
      <c r="BW16">
        <v>1815</v>
      </c>
      <c r="BX16">
        <v>179.16634562019999</v>
      </c>
      <c r="BY16">
        <v>160.39944903579999</v>
      </c>
      <c r="CA16" t="s">
        <v>395</v>
      </c>
      <c r="CB16" t="s">
        <v>784</v>
      </c>
      <c r="CD16">
        <v>69699</v>
      </c>
      <c r="CE16">
        <v>23469</v>
      </c>
      <c r="CF16">
        <v>123.0279200562</v>
      </c>
      <c r="CG16">
        <v>180581</v>
      </c>
      <c r="CH16">
        <v>10945</v>
      </c>
      <c r="CI16">
        <v>186.0309168739</v>
      </c>
      <c r="CJ16">
        <v>166.4955687529</v>
      </c>
      <c r="CL16" t="s">
        <v>395</v>
      </c>
      <c r="CM16" t="s">
        <v>765</v>
      </c>
      <c r="CO16">
        <v>3545</v>
      </c>
      <c r="CP16">
        <v>281</v>
      </c>
      <c r="CQ16">
        <v>58.229901269400003</v>
      </c>
      <c r="CR16">
        <v>21317</v>
      </c>
      <c r="CS16">
        <v>1100</v>
      </c>
      <c r="CT16">
        <v>59.203734108900001</v>
      </c>
      <c r="CU16">
        <v>61.423636363599996</v>
      </c>
      <c r="CW16" t="s">
        <v>395</v>
      </c>
      <c r="CX16" t="s">
        <v>775</v>
      </c>
      <c r="CZ16">
        <v>1553</v>
      </c>
      <c r="DA16">
        <v>268</v>
      </c>
      <c r="DB16">
        <v>74.586606567900006</v>
      </c>
      <c r="DC16">
        <v>3981</v>
      </c>
      <c r="DD16">
        <v>222</v>
      </c>
      <c r="DE16">
        <v>133.87339864360001</v>
      </c>
      <c r="DF16">
        <v>124.1486486486</v>
      </c>
      <c r="DH16" t="s">
        <v>395</v>
      </c>
      <c r="DI16" t="s">
        <v>755</v>
      </c>
      <c r="DK16">
        <v>1756</v>
      </c>
      <c r="DL16">
        <v>252</v>
      </c>
      <c r="DM16">
        <v>74.747152619600001</v>
      </c>
      <c r="DN16">
        <v>5258</v>
      </c>
      <c r="DO16">
        <v>294</v>
      </c>
      <c r="DP16">
        <v>163.4541650818</v>
      </c>
      <c r="DQ16">
        <v>137.91156462590001</v>
      </c>
    </row>
    <row r="17" spans="2:121" x14ac:dyDescent="0.2">
      <c r="B17" t="s">
        <v>97</v>
      </c>
      <c r="C17">
        <v>22</v>
      </c>
      <c r="D17">
        <v>5</v>
      </c>
      <c r="F17" t="s">
        <v>73</v>
      </c>
      <c r="G17">
        <v>8319</v>
      </c>
      <c r="H17">
        <v>242.88243779300001</v>
      </c>
      <c r="I17">
        <v>5079</v>
      </c>
      <c r="J17">
        <v>943</v>
      </c>
      <c r="K17">
        <v>16301</v>
      </c>
      <c r="L17">
        <v>7614</v>
      </c>
      <c r="M17">
        <v>972</v>
      </c>
      <c r="N17">
        <v>560</v>
      </c>
      <c r="O17">
        <v>145</v>
      </c>
      <c r="P17">
        <v>66</v>
      </c>
      <c r="Q17">
        <v>0</v>
      </c>
      <c r="R17">
        <v>5</v>
      </c>
      <c r="T17" t="s">
        <v>414</v>
      </c>
      <c r="U17">
        <v>69647</v>
      </c>
      <c r="V17">
        <v>368.54078424049999</v>
      </c>
      <c r="W17">
        <v>67034</v>
      </c>
      <c r="X17">
        <v>21806</v>
      </c>
      <c r="Y17">
        <v>94936</v>
      </c>
      <c r="Z17">
        <v>60353</v>
      </c>
      <c r="AA17">
        <v>17961</v>
      </c>
      <c r="AB17">
        <v>15229</v>
      </c>
      <c r="AC17">
        <v>24701</v>
      </c>
      <c r="AD17">
        <v>18649</v>
      </c>
      <c r="AE17">
        <v>352</v>
      </c>
      <c r="AF17">
        <v>696</v>
      </c>
      <c r="AH17" t="s">
        <v>402</v>
      </c>
      <c r="AI17">
        <v>7593</v>
      </c>
      <c r="AJ17">
        <v>628.6898459107</v>
      </c>
      <c r="AK17">
        <v>5236</v>
      </c>
      <c r="AL17">
        <v>1757</v>
      </c>
      <c r="AM17">
        <v>9909</v>
      </c>
      <c r="AN17">
        <v>7413</v>
      </c>
      <c r="AO17">
        <v>1164</v>
      </c>
      <c r="AP17">
        <v>1004</v>
      </c>
      <c r="AQ17">
        <v>2226</v>
      </c>
      <c r="AR17">
        <v>1587</v>
      </c>
      <c r="AS17">
        <v>18</v>
      </c>
      <c r="AT17">
        <v>199</v>
      </c>
      <c r="AV17" t="s">
        <v>438</v>
      </c>
      <c r="AW17">
        <v>11</v>
      </c>
      <c r="AX17">
        <v>53.272727272700003</v>
      </c>
      <c r="AY17">
        <v>32</v>
      </c>
      <c r="BA17">
        <v>19</v>
      </c>
      <c r="BB17">
        <v>2</v>
      </c>
      <c r="BC17">
        <v>3</v>
      </c>
      <c r="BD17">
        <v>2</v>
      </c>
      <c r="BE17">
        <v>1</v>
      </c>
      <c r="BG17">
        <v>38</v>
      </c>
      <c r="BH17">
        <v>8</v>
      </c>
      <c r="BJ17" t="s">
        <v>593</v>
      </c>
      <c r="BK17" t="s">
        <v>400</v>
      </c>
      <c r="BL17">
        <v>2493</v>
      </c>
      <c r="BM17">
        <v>581</v>
      </c>
      <c r="BN17">
        <v>93.590052146000005</v>
      </c>
      <c r="BO17">
        <v>6739</v>
      </c>
      <c r="BP17">
        <v>371</v>
      </c>
      <c r="BQ17">
        <v>152.56165603209999</v>
      </c>
      <c r="BR17">
        <v>158.09433962259999</v>
      </c>
      <c r="BS17">
        <v>3073</v>
      </c>
      <c r="BT17">
        <v>1162</v>
      </c>
      <c r="BU17">
        <v>131.50536934589999</v>
      </c>
      <c r="BV17">
        <v>9550</v>
      </c>
      <c r="BW17">
        <v>545</v>
      </c>
      <c r="BX17">
        <v>181.3160209424</v>
      </c>
      <c r="BY17">
        <v>192.45688073389999</v>
      </c>
      <c r="CA17" t="s">
        <v>404</v>
      </c>
      <c r="CB17" t="s">
        <v>824</v>
      </c>
      <c r="CC17" t="s">
        <v>1026</v>
      </c>
      <c r="CD17">
        <v>7562</v>
      </c>
      <c r="CE17">
        <v>2717</v>
      </c>
      <c r="CF17">
        <v>135.9227717535</v>
      </c>
      <c r="CG17">
        <v>20309</v>
      </c>
      <c r="CH17">
        <v>946</v>
      </c>
      <c r="CI17">
        <v>224.37682800729999</v>
      </c>
      <c r="CJ17">
        <v>214.16067653280001</v>
      </c>
      <c r="CL17" t="s">
        <v>404</v>
      </c>
      <c r="CM17" t="s">
        <v>799</v>
      </c>
      <c r="CN17" t="s">
        <v>798</v>
      </c>
      <c r="CO17">
        <v>472</v>
      </c>
      <c r="CP17">
        <v>44</v>
      </c>
      <c r="CQ17">
        <v>56.432203389800002</v>
      </c>
      <c r="CR17">
        <v>3717</v>
      </c>
      <c r="CS17">
        <v>190</v>
      </c>
      <c r="CT17">
        <v>51.629808985700002</v>
      </c>
      <c r="CU17">
        <v>45.742105263200003</v>
      </c>
      <c r="CW17" t="s">
        <v>404</v>
      </c>
      <c r="CX17" t="s">
        <v>812</v>
      </c>
      <c r="CY17" t="s">
        <v>811</v>
      </c>
      <c r="CZ17">
        <v>195</v>
      </c>
      <c r="DA17">
        <v>38</v>
      </c>
      <c r="DB17">
        <v>77.389743589700004</v>
      </c>
      <c r="DC17">
        <v>486</v>
      </c>
      <c r="DD17">
        <v>21</v>
      </c>
      <c r="DE17">
        <v>141.05761316869999</v>
      </c>
      <c r="DF17">
        <v>141.1428571429</v>
      </c>
      <c r="DH17" t="s">
        <v>404</v>
      </c>
      <c r="DI17" t="s">
        <v>786</v>
      </c>
      <c r="DJ17" t="s">
        <v>785</v>
      </c>
      <c r="DK17">
        <v>162</v>
      </c>
      <c r="DL17">
        <v>23</v>
      </c>
      <c r="DM17">
        <v>74.277777777799997</v>
      </c>
      <c r="DN17">
        <v>447</v>
      </c>
      <c r="DO17">
        <v>24</v>
      </c>
      <c r="DP17">
        <v>149.31319910510001</v>
      </c>
      <c r="DQ17">
        <v>103.2083333333</v>
      </c>
    </row>
    <row r="18" spans="2:121" x14ac:dyDescent="0.2">
      <c r="B18" t="s">
        <v>125</v>
      </c>
      <c r="C18">
        <v>158</v>
      </c>
      <c r="D18">
        <v>146</v>
      </c>
      <c r="F18" t="s">
        <v>86</v>
      </c>
      <c r="G18">
        <v>15857</v>
      </c>
      <c r="H18">
        <v>331.42258939269999</v>
      </c>
      <c r="I18">
        <v>23781</v>
      </c>
      <c r="J18">
        <v>7631</v>
      </c>
      <c r="K18">
        <v>24136</v>
      </c>
      <c r="L18">
        <v>13768</v>
      </c>
      <c r="M18">
        <v>4698</v>
      </c>
      <c r="N18">
        <v>3837</v>
      </c>
      <c r="O18">
        <v>7401</v>
      </c>
      <c r="P18">
        <v>3943</v>
      </c>
      <c r="Q18">
        <v>0</v>
      </c>
      <c r="R18">
        <v>20</v>
      </c>
      <c r="T18" t="s">
        <v>390</v>
      </c>
      <c r="U18">
        <v>69568</v>
      </c>
      <c r="V18">
        <v>343.86355795769998</v>
      </c>
      <c r="W18">
        <v>75520</v>
      </c>
      <c r="X18">
        <v>27945</v>
      </c>
      <c r="Y18">
        <v>97424</v>
      </c>
      <c r="Z18">
        <v>63220</v>
      </c>
      <c r="AA18">
        <v>17654</v>
      </c>
      <c r="AB18">
        <v>14914</v>
      </c>
      <c r="AC18">
        <v>32194</v>
      </c>
      <c r="AD18">
        <v>22072</v>
      </c>
      <c r="AE18">
        <v>155</v>
      </c>
      <c r="AF18">
        <v>1118</v>
      </c>
      <c r="AH18" t="s">
        <v>409</v>
      </c>
      <c r="AI18">
        <v>1918</v>
      </c>
      <c r="AJ18">
        <v>168.05005213760001</v>
      </c>
      <c r="AK18">
        <v>2632</v>
      </c>
      <c r="AL18">
        <v>645</v>
      </c>
      <c r="AM18">
        <v>3494</v>
      </c>
      <c r="AN18">
        <v>1420</v>
      </c>
      <c r="AO18">
        <v>266</v>
      </c>
      <c r="AP18">
        <v>216</v>
      </c>
      <c r="AQ18">
        <v>1233</v>
      </c>
      <c r="AR18">
        <v>1044</v>
      </c>
      <c r="AS18">
        <v>0</v>
      </c>
      <c r="AT18">
        <v>11</v>
      </c>
      <c r="AV18" t="s">
        <v>409</v>
      </c>
      <c r="AW18">
        <v>108</v>
      </c>
      <c r="AX18">
        <v>46.25</v>
      </c>
      <c r="AY18">
        <v>300</v>
      </c>
      <c r="AZ18">
        <v>8</v>
      </c>
      <c r="BA18">
        <v>186</v>
      </c>
      <c r="BB18">
        <v>7</v>
      </c>
      <c r="BC18">
        <v>1</v>
      </c>
      <c r="BD18">
        <v>1</v>
      </c>
      <c r="BE18">
        <v>2</v>
      </c>
      <c r="BF18">
        <v>1</v>
      </c>
      <c r="BG18">
        <v>185</v>
      </c>
      <c r="BH18">
        <v>26</v>
      </c>
      <c r="BJ18" t="s">
        <v>586</v>
      </c>
      <c r="BK18" t="s">
        <v>400</v>
      </c>
      <c r="BL18">
        <v>8386</v>
      </c>
      <c r="BM18">
        <v>2460</v>
      </c>
      <c r="BN18">
        <v>107.8930360124</v>
      </c>
      <c r="BO18">
        <v>20028</v>
      </c>
      <c r="BP18">
        <v>1103</v>
      </c>
      <c r="BQ18">
        <v>177.68573996410001</v>
      </c>
      <c r="BR18">
        <v>157.86763372620001</v>
      </c>
      <c r="BS18">
        <v>8893</v>
      </c>
      <c r="BT18">
        <v>2832</v>
      </c>
      <c r="BU18">
        <v>112.6084560891</v>
      </c>
      <c r="BV18">
        <v>22133</v>
      </c>
      <c r="BW18">
        <v>1207</v>
      </c>
      <c r="BX18">
        <v>178.92472778199999</v>
      </c>
      <c r="BY18">
        <v>161.3993371997</v>
      </c>
      <c r="CA18" t="s">
        <v>402</v>
      </c>
      <c r="CB18" t="s">
        <v>824</v>
      </c>
      <c r="CC18" t="s">
        <v>1027</v>
      </c>
      <c r="CD18">
        <v>5304</v>
      </c>
      <c r="CE18">
        <v>1798</v>
      </c>
      <c r="CF18">
        <v>124.6346153846</v>
      </c>
      <c r="CG18">
        <v>17734</v>
      </c>
      <c r="CH18">
        <v>943</v>
      </c>
      <c r="CI18">
        <v>207.9062817187</v>
      </c>
      <c r="CJ18">
        <v>165.4199363733</v>
      </c>
      <c r="CL18" t="s">
        <v>402</v>
      </c>
      <c r="CM18" t="s">
        <v>799</v>
      </c>
      <c r="CN18" t="s">
        <v>800</v>
      </c>
      <c r="CO18">
        <v>335</v>
      </c>
      <c r="CP18">
        <v>29</v>
      </c>
      <c r="CQ18">
        <v>56.608955223899997</v>
      </c>
      <c r="CR18">
        <v>2349</v>
      </c>
      <c r="CS18">
        <v>102</v>
      </c>
      <c r="CT18">
        <v>54.085142613899997</v>
      </c>
      <c r="CU18">
        <v>46.372549019600001</v>
      </c>
      <c r="CW18" t="s">
        <v>402</v>
      </c>
      <c r="CX18" t="s">
        <v>812</v>
      </c>
      <c r="CY18" t="s">
        <v>813</v>
      </c>
      <c r="CZ18">
        <v>88</v>
      </c>
      <c r="DA18">
        <v>13</v>
      </c>
      <c r="DB18">
        <v>76.454545454500007</v>
      </c>
      <c r="DC18">
        <v>223</v>
      </c>
      <c r="DD18">
        <v>10</v>
      </c>
      <c r="DE18">
        <v>135.1479820628</v>
      </c>
      <c r="DF18">
        <v>103.8</v>
      </c>
      <c r="DH18" t="s">
        <v>402</v>
      </c>
      <c r="DI18" t="s">
        <v>786</v>
      </c>
      <c r="DJ18" t="s">
        <v>787</v>
      </c>
      <c r="DK18">
        <v>79</v>
      </c>
      <c r="DL18">
        <v>11</v>
      </c>
      <c r="DM18">
        <v>72.012658227800003</v>
      </c>
      <c r="DN18">
        <v>156</v>
      </c>
      <c r="DO18">
        <v>13</v>
      </c>
      <c r="DP18">
        <v>144.50641025639999</v>
      </c>
      <c r="DQ18">
        <v>159.4615384615</v>
      </c>
    </row>
    <row r="19" spans="2:121" x14ac:dyDescent="0.2">
      <c r="B19" t="s">
        <v>129</v>
      </c>
      <c r="C19">
        <v>42</v>
      </c>
      <c r="D19">
        <v>25</v>
      </c>
      <c r="F19" t="s">
        <v>71</v>
      </c>
      <c r="G19">
        <v>3649</v>
      </c>
      <c r="H19">
        <v>481.45026034530002</v>
      </c>
      <c r="I19">
        <v>3761</v>
      </c>
      <c r="J19">
        <v>1343</v>
      </c>
      <c r="K19">
        <v>4506</v>
      </c>
      <c r="L19">
        <v>3262</v>
      </c>
      <c r="M19">
        <v>374</v>
      </c>
      <c r="N19">
        <v>340</v>
      </c>
      <c r="O19">
        <v>1165</v>
      </c>
      <c r="P19">
        <v>767</v>
      </c>
      <c r="Q19">
        <v>0</v>
      </c>
      <c r="R19">
        <v>106</v>
      </c>
      <c r="T19" t="s">
        <v>471</v>
      </c>
      <c r="U19">
        <v>362686</v>
      </c>
      <c r="V19">
        <v>364.2403787298</v>
      </c>
      <c r="W19">
        <v>353179</v>
      </c>
      <c r="X19">
        <v>117115</v>
      </c>
      <c r="Y19">
        <v>503021</v>
      </c>
      <c r="Z19">
        <v>315998</v>
      </c>
      <c r="AA19">
        <v>77021</v>
      </c>
      <c r="AB19">
        <v>61132</v>
      </c>
      <c r="AC19">
        <v>157685</v>
      </c>
      <c r="AD19">
        <v>106735</v>
      </c>
      <c r="AE19">
        <v>8075</v>
      </c>
      <c r="AF19">
        <v>4371</v>
      </c>
      <c r="AH19" t="s">
        <v>432</v>
      </c>
      <c r="AI19">
        <v>2417</v>
      </c>
      <c r="AJ19">
        <v>209.80513032690001</v>
      </c>
      <c r="AK19">
        <v>2775</v>
      </c>
      <c r="AL19">
        <v>756</v>
      </c>
      <c r="AM19">
        <v>3682</v>
      </c>
      <c r="AN19">
        <v>1543</v>
      </c>
      <c r="AO19">
        <v>384</v>
      </c>
      <c r="AP19">
        <v>241</v>
      </c>
      <c r="AQ19">
        <v>402</v>
      </c>
      <c r="AR19">
        <v>225</v>
      </c>
      <c r="AS19">
        <v>3</v>
      </c>
      <c r="AT19">
        <v>14</v>
      </c>
      <c r="AV19" t="s">
        <v>8</v>
      </c>
      <c r="AW19">
        <v>207</v>
      </c>
      <c r="AX19">
        <v>81.690821256000007</v>
      </c>
      <c r="AY19">
        <v>182</v>
      </c>
      <c r="AZ19">
        <v>65</v>
      </c>
      <c r="BA19">
        <v>477</v>
      </c>
      <c r="BB19">
        <v>171</v>
      </c>
      <c r="BC19">
        <v>24</v>
      </c>
      <c r="BD19">
        <v>23</v>
      </c>
      <c r="BE19">
        <v>149</v>
      </c>
      <c r="BF19">
        <v>23</v>
      </c>
      <c r="BG19">
        <v>54</v>
      </c>
      <c r="BH19">
        <v>18</v>
      </c>
      <c r="BJ19" t="s">
        <v>650</v>
      </c>
      <c r="BK19" t="s">
        <v>400</v>
      </c>
      <c r="BL19">
        <v>974</v>
      </c>
      <c r="BM19">
        <v>209</v>
      </c>
      <c r="BN19">
        <v>85.138603696100006</v>
      </c>
      <c r="BO19">
        <v>2823</v>
      </c>
      <c r="BP19">
        <v>149</v>
      </c>
      <c r="BQ19">
        <v>134.53276656040001</v>
      </c>
      <c r="BR19">
        <v>126.7986577181</v>
      </c>
      <c r="BS19">
        <v>1389</v>
      </c>
      <c r="BT19">
        <v>535</v>
      </c>
      <c r="BU19">
        <v>130.93232541399999</v>
      </c>
      <c r="BV19">
        <v>3663</v>
      </c>
      <c r="BW19">
        <v>230</v>
      </c>
      <c r="BX19">
        <v>156.69396669400001</v>
      </c>
      <c r="BY19">
        <v>171.28695652170001</v>
      </c>
      <c r="CA19" t="s">
        <v>409</v>
      </c>
      <c r="CB19" t="s">
        <v>824</v>
      </c>
      <c r="CC19" t="s">
        <v>1028</v>
      </c>
      <c r="CD19">
        <v>2558</v>
      </c>
      <c r="CE19">
        <v>623</v>
      </c>
      <c r="CF19">
        <v>95.807271305699999</v>
      </c>
      <c r="CG19">
        <v>7000</v>
      </c>
      <c r="CH19">
        <v>380</v>
      </c>
      <c r="CI19">
        <v>151.59</v>
      </c>
      <c r="CJ19">
        <v>151.34210526320001</v>
      </c>
      <c r="CL19" t="s">
        <v>409</v>
      </c>
      <c r="CM19" t="s">
        <v>799</v>
      </c>
      <c r="CN19" t="s">
        <v>801</v>
      </c>
      <c r="CO19">
        <v>271</v>
      </c>
      <c r="CP19">
        <v>13</v>
      </c>
      <c r="CQ19">
        <v>51.845018450200001</v>
      </c>
      <c r="CR19">
        <v>1539</v>
      </c>
      <c r="CS19">
        <v>66</v>
      </c>
      <c r="CT19">
        <v>55.852501624399999</v>
      </c>
      <c r="CU19">
        <v>70.303030303</v>
      </c>
      <c r="CW19" t="s">
        <v>409</v>
      </c>
      <c r="CX19" t="s">
        <v>812</v>
      </c>
      <c r="CY19" t="s">
        <v>814</v>
      </c>
      <c r="CZ19">
        <v>49</v>
      </c>
      <c r="DA19">
        <v>5</v>
      </c>
      <c r="DB19">
        <v>55.020408163299997</v>
      </c>
      <c r="DC19">
        <v>116</v>
      </c>
      <c r="DD19">
        <v>5</v>
      </c>
      <c r="DE19">
        <v>121.0086206897</v>
      </c>
      <c r="DF19">
        <v>117</v>
      </c>
      <c r="DH19" t="s">
        <v>409</v>
      </c>
      <c r="DI19" t="s">
        <v>786</v>
      </c>
      <c r="DJ19" t="s">
        <v>788</v>
      </c>
      <c r="DK19">
        <v>37</v>
      </c>
      <c r="DL19">
        <v>4</v>
      </c>
      <c r="DM19">
        <v>79.540540540500004</v>
      </c>
      <c r="DN19">
        <v>73</v>
      </c>
      <c r="DO19">
        <v>3</v>
      </c>
      <c r="DP19">
        <v>156.95890410960001</v>
      </c>
      <c r="DQ19">
        <v>131.3333333333</v>
      </c>
    </row>
    <row r="20" spans="2:121" x14ac:dyDescent="0.2">
      <c r="B20" t="s">
        <v>122</v>
      </c>
      <c r="C20">
        <v>12050</v>
      </c>
      <c r="D20">
        <v>2357</v>
      </c>
      <c r="F20" t="s">
        <v>77</v>
      </c>
      <c r="G20">
        <v>794</v>
      </c>
      <c r="H20">
        <v>75.885390428199997</v>
      </c>
      <c r="I20">
        <v>881</v>
      </c>
      <c r="J20">
        <v>239</v>
      </c>
      <c r="K20">
        <v>1089</v>
      </c>
      <c r="L20">
        <v>137</v>
      </c>
      <c r="M20">
        <v>717</v>
      </c>
      <c r="N20">
        <v>107</v>
      </c>
      <c r="O20">
        <v>28</v>
      </c>
      <c r="P20">
        <v>13</v>
      </c>
      <c r="Q20">
        <v>0</v>
      </c>
      <c r="R20">
        <v>2</v>
      </c>
      <c r="AH20" t="s">
        <v>403</v>
      </c>
      <c r="AI20">
        <v>7426</v>
      </c>
      <c r="AJ20">
        <v>528.60153514679996</v>
      </c>
      <c r="AK20">
        <v>4622</v>
      </c>
      <c r="AL20">
        <v>1629</v>
      </c>
      <c r="AM20">
        <v>10076</v>
      </c>
      <c r="AN20">
        <v>7438</v>
      </c>
      <c r="AO20">
        <v>2031</v>
      </c>
      <c r="AP20">
        <v>1818</v>
      </c>
      <c r="AQ20">
        <v>1059</v>
      </c>
      <c r="AR20">
        <v>627</v>
      </c>
      <c r="AS20">
        <v>46</v>
      </c>
      <c r="AT20">
        <v>156</v>
      </c>
      <c r="AV20" t="s">
        <v>392</v>
      </c>
      <c r="AW20">
        <v>1226</v>
      </c>
      <c r="AX20">
        <v>96.346655791200007</v>
      </c>
      <c r="AY20">
        <v>942</v>
      </c>
      <c r="AZ20">
        <v>144</v>
      </c>
      <c r="BA20">
        <v>2106</v>
      </c>
      <c r="BB20">
        <v>533</v>
      </c>
      <c r="BC20">
        <v>68</v>
      </c>
      <c r="BD20">
        <v>63</v>
      </c>
      <c r="BE20">
        <v>580</v>
      </c>
      <c r="BF20">
        <v>86</v>
      </c>
      <c r="BG20">
        <v>193</v>
      </c>
      <c r="BH20">
        <v>327</v>
      </c>
      <c r="BJ20" t="s">
        <v>578</v>
      </c>
      <c r="BK20" t="s">
        <v>400</v>
      </c>
      <c r="BL20">
        <v>5192</v>
      </c>
      <c r="BM20">
        <v>1742</v>
      </c>
      <c r="BN20">
        <v>124.3233821263</v>
      </c>
      <c r="BO20">
        <v>16899</v>
      </c>
      <c r="BP20">
        <v>910</v>
      </c>
      <c r="BQ20">
        <v>215.21622581220001</v>
      </c>
      <c r="BR20">
        <v>169.6835164835</v>
      </c>
      <c r="BS20">
        <v>5312</v>
      </c>
      <c r="BT20">
        <v>1475</v>
      </c>
      <c r="BU20">
        <v>122.17432228920001</v>
      </c>
      <c r="BV20">
        <v>12846</v>
      </c>
      <c r="BW20">
        <v>806</v>
      </c>
      <c r="BX20">
        <v>218.41413669619999</v>
      </c>
      <c r="BY20">
        <v>161.26302729529999</v>
      </c>
      <c r="CA20" t="s">
        <v>432</v>
      </c>
      <c r="CB20" t="s">
        <v>824</v>
      </c>
      <c r="CC20" t="s">
        <v>1029</v>
      </c>
      <c r="CD20">
        <v>2706</v>
      </c>
      <c r="CE20">
        <v>733</v>
      </c>
      <c r="CF20">
        <v>101.92091648189999</v>
      </c>
      <c r="CG20">
        <v>7489</v>
      </c>
      <c r="CH20">
        <v>420</v>
      </c>
      <c r="CI20">
        <v>165.4534650821</v>
      </c>
      <c r="CJ20">
        <v>148.54761904759999</v>
      </c>
      <c r="CL20" t="s">
        <v>432</v>
      </c>
      <c r="CM20" t="s">
        <v>799</v>
      </c>
      <c r="CN20" t="s">
        <v>802</v>
      </c>
      <c r="CO20">
        <v>236</v>
      </c>
      <c r="CP20">
        <v>16</v>
      </c>
      <c r="CQ20">
        <v>59.546610169499999</v>
      </c>
      <c r="CR20">
        <v>1336</v>
      </c>
      <c r="CS20">
        <v>85</v>
      </c>
      <c r="CT20">
        <v>62.429640718599998</v>
      </c>
      <c r="CU20">
        <v>58.847058823499999</v>
      </c>
      <c r="CW20" t="s">
        <v>432</v>
      </c>
      <c r="CX20" t="s">
        <v>812</v>
      </c>
      <c r="CY20" t="s">
        <v>815</v>
      </c>
      <c r="CZ20">
        <v>83</v>
      </c>
      <c r="DA20">
        <v>12</v>
      </c>
      <c r="DB20">
        <v>71.445783132499997</v>
      </c>
      <c r="DC20">
        <v>227</v>
      </c>
      <c r="DD20">
        <v>11</v>
      </c>
      <c r="DE20">
        <v>127.5682819383</v>
      </c>
      <c r="DF20">
        <v>105.36363636359999</v>
      </c>
      <c r="DH20" t="s">
        <v>432</v>
      </c>
      <c r="DI20" t="s">
        <v>786</v>
      </c>
      <c r="DJ20" t="s">
        <v>789</v>
      </c>
      <c r="DK20">
        <v>130</v>
      </c>
      <c r="DL20">
        <v>15</v>
      </c>
      <c r="DM20">
        <v>66.7076923077</v>
      </c>
      <c r="DN20">
        <v>265</v>
      </c>
      <c r="DO20">
        <v>20</v>
      </c>
      <c r="DP20">
        <v>163.81886792450001</v>
      </c>
      <c r="DQ20">
        <v>128.1</v>
      </c>
    </row>
    <row r="21" spans="2:121" x14ac:dyDescent="0.2">
      <c r="B21" t="s">
        <v>324</v>
      </c>
      <c r="C21">
        <v>1</v>
      </c>
      <c r="D21">
        <v>1</v>
      </c>
      <c r="F21" t="s">
        <v>8</v>
      </c>
      <c r="G21">
        <v>51</v>
      </c>
      <c r="H21">
        <v>792.01960784309995</v>
      </c>
      <c r="I21">
        <v>1</v>
      </c>
      <c r="K21">
        <v>54</v>
      </c>
      <c r="L21">
        <v>54</v>
      </c>
      <c r="M21">
        <v>1</v>
      </c>
      <c r="N21">
        <v>1</v>
      </c>
      <c r="O21">
        <v>16486</v>
      </c>
      <c r="P21">
        <v>4131</v>
      </c>
      <c r="Q21">
        <v>0</v>
      </c>
      <c r="R21">
        <v>1</v>
      </c>
      <c r="AH21" t="s">
        <v>397</v>
      </c>
      <c r="AI21">
        <v>7175</v>
      </c>
      <c r="AJ21">
        <v>398.92501742159999</v>
      </c>
      <c r="AK21">
        <v>6098</v>
      </c>
      <c r="AL21">
        <v>1959</v>
      </c>
      <c r="AM21">
        <v>9681</v>
      </c>
      <c r="AN21">
        <v>6089</v>
      </c>
      <c r="AO21">
        <v>664</v>
      </c>
      <c r="AP21">
        <v>556</v>
      </c>
      <c r="AQ21">
        <v>1135</v>
      </c>
      <c r="AR21">
        <v>585</v>
      </c>
      <c r="AS21">
        <v>8</v>
      </c>
      <c r="AT21">
        <v>314</v>
      </c>
      <c r="AV21" t="s">
        <v>386</v>
      </c>
      <c r="AW21">
        <v>323</v>
      </c>
      <c r="AX21">
        <v>94.018575851400001</v>
      </c>
      <c r="AY21">
        <v>367</v>
      </c>
      <c r="AZ21">
        <v>52</v>
      </c>
      <c r="BA21">
        <v>511</v>
      </c>
      <c r="BB21">
        <v>137</v>
      </c>
      <c r="BC21">
        <v>20</v>
      </c>
      <c r="BD21">
        <v>19</v>
      </c>
      <c r="BE21">
        <v>174</v>
      </c>
      <c r="BF21">
        <v>31</v>
      </c>
      <c r="BG21">
        <v>63</v>
      </c>
      <c r="BH21">
        <v>137</v>
      </c>
      <c r="BJ21" t="s">
        <v>595</v>
      </c>
      <c r="BK21" t="s">
        <v>400</v>
      </c>
      <c r="BL21">
        <v>2223</v>
      </c>
      <c r="BM21">
        <v>409</v>
      </c>
      <c r="BN21">
        <v>83.673864147499998</v>
      </c>
      <c r="BO21">
        <v>5513</v>
      </c>
      <c r="BP21">
        <v>513</v>
      </c>
      <c r="BQ21">
        <v>122.86559042259999</v>
      </c>
      <c r="BR21">
        <v>128.97855750490001</v>
      </c>
      <c r="BS21">
        <v>5375</v>
      </c>
      <c r="BT21">
        <v>1689</v>
      </c>
      <c r="BU21">
        <v>116.36130232559999</v>
      </c>
      <c r="BV21">
        <v>15342</v>
      </c>
      <c r="BW21">
        <v>1373</v>
      </c>
      <c r="BX21">
        <v>177.5525355234</v>
      </c>
      <c r="BY21">
        <v>163.3925710124</v>
      </c>
      <c r="CA21" t="s">
        <v>405</v>
      </c>
      <c r="CB21" t="s">
        <v>824</v>
      </c>
      <c r="CC21" t="s">
        <v>1030</v>
      </c>
      <c r="CD21">
        <v>8324</v>
      </c>
      <c r="CE21">
        <v>2501</v>
      </c>
      <c r="CF21">
        <v>109.90761653049999</v>
      </c>
      <c r="CG21">
        <v>20518</v>
      </c>
      <c r="CH21">
        <v>1145</v>
      </c>
      <c r="CI21">
        <v>173.83370698900001</v>
      </c>
      <c r="CJ21">
        <v>154.1807860262</v>
      </c>
      <c r="CL21" t="s">
        <v>405</v>
      </c>
      <c r="CM21" t="s">
        <v>799</v>
      </c>
      <c r="CN21" t="s">
        <v>803</v>
      </c>
      <c r="CO21">
        <v>578</v>
      </c>
      <c r="CP21">
        <v>51</v>
      </c>
      <c r="CQ21">
        <v>58.192041522499999</v>
      </c>
      <c r="CR21">
        <v>4111</v>
      </c>
      <c r="CS21">
        <v>203</v>
      </c>
      <c r="CT21">
        <v>58.2695207979</v>
      </c>
      <c r="CU21">
        <v>49.320197044300002</v>
      </c>
      <c r="CW21" t="s">
        <v>405</v>
      </c>
      <c r="CX21" t="s">
        <v>812</v>
      </c>
      <c r="CY21" t="s">
        <v>816</v>
      </c>
      <c r="CZ21">
        <v>135</v>
      </c>
      <c r="DA21">
        <v>19</v>
      </c>
      <c r="DB21">
        <v>69.2962962963</v>
      </c>
      <c r="DC21">
        <v>310</v>
      </c>
      <c r="DD21">
        <v>23</v>
      </c>
      <c r="DE21">
        <v>141.25806451610001</v>
      </c>
      <c r="DF21">
        <v>143.86956521740001</v>
      </c>
      <c r="DH21" t="s">
        <v>405</v>
      </c>
      <c r="DI21" t="s">
        <v>786</v>
      </c>
      <c r="DJ21" t="s">
        <v>790</v>
      </c>
      <c r="DK21">
        <v>107</v>
      </c>
      <c r="DL21">
        <v>12</v>
      </c>
      <c r="DM21">
        <v>75.532710280399996</v>
      </c>
      <c r="DN21">
        <v>203</v>
      </c>
      <c r="DO21">
        <v>18</v>
      </c>
      <c r="DP21">
        <v>148.74384236450001</v>
      </c>
      <c r="DQ21">
        <v>138.94444444440001</v>
      </c>
    </row>
    <row r="22" spans="2:121" x14ac:dyDescent="0.2">
      <c r="B22" t="s">
        <v>115</v>
      </c>
      <c r="C22">
        <v>22103</v>
      </c>
      <c r="D22">
        <v>18949</v>
      </c>
      <c r="F22" t="s">
        <v>47</v>
      </c>
      <c r="G22">
        <v>1987</v>
      </c>
      <c r="H22">
        <v>217.1645697031</v>
      </c>
      <c r="I22">
        <v>1885</v>
      </c>
      <c r="J22">
        <v>527</v>
      </c>
      <c r="K22">
        <v>3373</v>
      </c>
      <c r="L22">
        <v>1760</v>
      </c>
      <c r="M22">
        <v>336</v>
      </c>
      <c r="N22">
        <v>270</v>
      </c>
      <c r="O22">
        <v>657</v>
      </c>
      <c r="P22">
        <v>488</v>
      </c>
      <c r="Q22">
        <v>0</v>
      </c>
      <c r="R22">
        <v>3</v>
      </c>
      <c r="AH22" t="s">
        <v>426</v>
      </c>
      <c r="AI22">
        <v>1438</v>
      </c>
      <c r="AJ22">
        <v>269.94853963840001</v>
      </c>
      <c r="AK22">
        <v>1326</v>
      </c>
      <c r="AL22">
        <v>233</v>
      </c>
      <c r="AM22">
        <v>1975</v>
      </c>
      <c r="AN22">
        <v>1065</v>
      </c>
      <c r="AO22">
        <v>740</v>
      </c>
      <c r="AP22">
        <v>493</v>
      </c>
      <c r="AQ22">
        <v>313</v>
      </c>
      <c r="AR22">
        <v>174</v>
      </c>
      <c r="AS22">
        <v>214</v>
      </c>
      <c r="AT22">
        <v>3</v>
      </c>
      <c r="AV22" t="s">
        <v>432</v>
      </c>
      <c r="AW22">
        <v>92</v>
      </c>
      <c r="AX22">
        <v>43.195652173900001</v>
      </c>
      <c r="AY22">
        <v>236</v>
      </c>
      <c r="AZ22">
        <v>14</v>
      </c>
      <c r="BA22">
        <v>167</v>
      </c>
      <c r="BB22">
        <v>8</v>
      </c>
      <c r="BC22">
        <v>2</v>
      </c>
      <c r="BD22">
        <v>2</v>
      </c>
      <c r="BE22">
        <v>7</v>
      </c>
      <c r="BF22">
        <v>2</v>
      </c>
      <c r="BG22">
        <v>114</v>
      </c>
      <c r="BH22">
        <v>41</v>
      </c>
      <c r="BJ22" t="s">
        <v>400</v>
      </c>
      <c r="BK22" t="s">
        <v>400</v>
      </c>
      <c r="BL22">
        <v>55571</v>
      </c>
      <c r="BM22">
        <v>16099</v>
      </c>
      <c r="BN22">
        <v>110.53281387769999</v>
      </c>
      <c r="BO22">
        <v>154202</v>
      </c>
      <c r="BP22">
        <v>8496</v>
      </c>
      <c r="BQ22">
        <v>178.20226067109999</v>
      </c>
      <c r="BR22">
        <v>155.1414783427</v>
      </c>
      <c r="BS22">
        <v>65944</v>
      </c>
      <c r="BT22">
        <v>22316</v>
      </c>
      <c r="BU22">
        <v>122.59984229040001</v>
      </c>
      <c r="BV22">
        <v>180803</v>
      </c>
      <c r="BW22">
        <v>10568</v>
      </c>
      <c r="BX22">
        <v>186.1567507176</v>
      </c>
      <c r="BY22">
        <v>165.28879636639999</v>
      </c>
      <c r="CA22" t="s">
        <v>411</v>
      </c>
      <c r="CB22" t="s">
        <v>824</v>
      </c>
      <c r="CC22" t="s">
        <v>1031</v>
      </c>
      <c r="CD22">
        <v>5675</v>
      </c>
      <c r="CE22">
        <v>1370</v>
      </c>
      <c r="CF22">
        <v>97.728986784100002</v>
      </c>
      <c r="CG22">
        <v>15232</v>
      </c>
      <c r="CH22">
        <v>823</v>
      </c>
      <c r="CI22">
        <v>143.03840598740001</v>
      </c>
      <c r="CJ22">
        <v>125.2296476306</v>
      </c>
      <c r="CL22" t="s">
        <v>411</v>
      </c>
      <c r="CM22" t="s">
        <v>799</v>
      </c>
      <c r="CN22" t="s">
        <v>804</v>
      </c>
      <c r="CO22">
        <v>287</v>
      </c>
      <c r="CP22">
        <v>20</v>
      </c>
      <c r="CQ22">
        <v>52.885017421599997</v>
      </c>
      <c r="CR22">
        <v>1600</v>
      </c>
      <c r="CS22">
        <v>80</v>
      </c>
      <c r="CT22">
        <v>52.153125000000003</v>
      </c>
      <c r="CU22">
        <v>55.737499999999997</v>
      </c>
      <c r="CW22" t="s">
        <v>411</v>
      </c>
      <c r="CX22" t="s">
        <v>812</v>
      </c>
      <c r="CY22" t="s">
        <v>817</v>
      </c>
      <c r="CZ22">
        <v>54</v>
      </c>
      <c r="DA22">
        <v>6</v>
      </c>
      <c r="DB22">
        <v>59.7962962963</v>
      </c>
      <c r="DC22">
        <v>161</v>
      </c>
      <c r="DD22">
        <v>5</v>
      </c>
      <c r="DE22">
        <v>129.5093167702</v>
      </c>
      <c r="DF22">
        <v>112.6</v>
      </c>
      <c r="DH22" t="s">
        <v>411</v>
      </c>
      <c r="DI22" t="s">
        <v>786</v>
      </c>
      <c r="DJ22" t="s">
        <v>791</v>
      </c>
      <c r="DK22">
        <v>18</v>
      </c>
      <c r="DL22">
        <v>1</v>
      </c>
      <c r="DM22">
        <v>42.888888888899999</v>
      </c>
      <c r="DN22">
        <v>88</v>
      </c>
      <c r="DO22">
        <v>5</v>
      </c>
      <c r="DP22">
        <v>150.3977272727</v>
      </c>
      <c r="DQ22">
        <v>120.2</v>
      </c>
    </row>
    <row r="23" spans="2:121" x14ac:dyDescent="0.2">
      <c r="B23" t="s">
        <v>116</v>
      </c>
      <c r="C23">
        <v>1652</v>
      </c>
      <c r="D23">
        <v>396</v>
      </c>
      <c r="F23" t="s">
        <v>46</v>
      </c>
      <c r="G23">
        <v>152</v>
      </c>
      <c r="H23">
        <v>77.697368421099995</v>
      </c>
      <c r="I23">
        <v>903</v>
      </c>
      <c r="J23">
        <v>209</v>
      </c>
      <c r="K23">
        <v>766</v>
      </c>
      <c r="L23">
        <v>35</v>
      </c>
      <c r="M23">
        <v>53</v>
      </c>
      <c r="N23">
        <v>13</v>
      </c>
      <c r="O23">
        <v>32</v>
      </c>
      <c r="P23">
        <v>16</v>
      </c>
      <c r="Q23">
        <v>0</v>
      </c>
      <c r="R23">
        <v>1</v>
      </c>
      <c r="AH23" t="s">
        <v>386</v>
      </c>
      <c r="AI23">
        <v>7682</v>
      </c>
      <c r="AJ23">
        <v>545.8031762562</v>
      </c>
      <c r="AK23">
        <v>6229</v>
      </c>
      <c r="AL23">
        <v>2204</v>
      </c>
      <c r="AM23">
        <v>9632</v>
      </c>
      <c r="AN23">
        <v>7193</v>
      </c>
      <c r="AO23">
        <v>1245</v>
      </c>
      <c r="AP23">
        <v>1026</v>
      </c>
      <c r="AQ23">
        <v>6572</v>
      </c>
      <c r="AR23">
        <v>5564</v>
      </c>
      <c r="AS23">
        <v>269</v>
      </c>
      <c r="AT23">
        <v>10</v>
      </c>
      <c r="AV23" t="s">
        <v>413</v>
      </c>
      <c r="AW23">
        <v>102</v>
      </c>
      <c r="AX23">
        <v>53.1568627451</v>
      </c>
      <c r="AY23">
        <v>217</v>
      </c>
      <c r="AZ23">
        <v>11</v>
      </c>
      <c r="BA23">
        <v>198</v>
      </c>
      <c r="BB23">
        <v>19</v>
      </c>
      <c r="BC23">
        <v>3</v>
      </c>
      <c r="BD23">
        <v>3</v>
      </c>
      <c r="BE23">
        <v>18</v>
      </c>
      <c r="BF23">
        <v>8</v>
      </c>
      <c r="BG23">
        <v>222</v>
      </c>
      <c r="BH23">
        <v>48</v>
      </c>
      <c r="BJ23" t="s">
        <v>588</v>
      </c>
      <c r="BK23" t="s">
        <v>400</v>
      </c>
      <c r="BL23">
        <v>4042</v>
      </c>
      <c r="BM23">
        <v>1161</v>
      </c>
      <c r="BN23">
        <v>104.8240969817</v>
      </c>
      <c r="BO23">
        <v>11755</v>
      </c>
      <c r="BP23">
        <v>528</v>
      </c>
      <c r="BQ23">
        <v>158.61318587829999</v>
      </c>
      <c r="BR23">
        <v>133.62878787880001</v>
      </c>
      <c r="BS23">
        <v>5863</v>
      </c>
      <c r="BT23">
        <v>1978</v>
      </c>
      <c r="BU23">
        <v>120.5964523282</v>
      </c>
      <c r="BV23">
        <v>14789</v>
      </c>
      <c r="BW23">
        <v>735</v>
      </c>
      <c r="BX23">
        <v>170.98390695789999</v>
      </c>
      <c r="BY23">
        <v>161.42176870750001</v>
      </c>
      <c r="CA23" t="s">
        <v>407</v>
      </c>
      <c r="CB23" t="s">
        <v>824</v>
      </c>
      <c r="CC23" t="s">
        <v>1032</v>
      </c>
      <c r="CD23">
        <v>5216</v>
      </c>
      <c r="CE23">
        <v>1542</v>
      </c>
      <c r="CF23">
        <v>109.70072852760001</v>
      </c>
      <c r="CG23">
        <v>20198</v>
      </c>
      <c r="CH23">
        <v>1124</v>
      </c>
      <c r="CI23">
        <v>175.0706505595</v>
      </c>
      <c r="CJ23">
        <v>141.32206405689999</v>
      </c>
      <c r="CL23" t="s">
        <v>407</v>
      </c>
      <c r="CM23" t="s">
        <v>799</v>
      </c>
      <c r="CN23" t="s">
        <v>805</v>
      </c>
      <c r="CO23">
        <v>357</v>
      </c>
      <c r="CP23">
        <v>36</v>
      </c>
      <c r="CQ23">
        <v>60.221288515399998</v>
      </c>
      <c r="CR23">
        <v>2733</v>
      </c>
      <c r="CS23">
        <v>107</v>
      </c>
      <c r="CT23">
        <v>53.484083424799998</v>
      </c>
      <c r="CU23">
        <v>43.093457943899999</v>
      </c>
      <c r="CW23" t="s">
        <v>407</v>
      </c>
      <c r="CX23" t="s">
        <v>812</v>
      </c>
      <c r="CY23" t="s">
        <v>818</v>
      </c>
      <c r="CZ23">
        <v>148</v>
      </c>
      <c r="DA23">
        <v>20</v>
      </c>
      <c r="DB23">
        <v>63.425675675699999</v>
      </c>
      <c r="DC23">
        <v>358</v>
      </c>
      <c r="DD23">
        <v>12</v>
      </c>
      <c r="DE23">
        <v>127.9134078212</v>
      </c>
      <c r="DF23">
        <v>150.8333333333</v>
      </c>
      <c r="DH23" t="s">
        <v>407</v>
      </c>
      <c r="DI23" t="s">
        <v>786</v>
      </c>
      <c r="DJ23" t="s">
        <v>792</v>
      </c>
      <c r="DK23">
        <v>113</v>
      </c>
      <c r="DL23">
        <v>18</v>
      </c>
      <c r="DM23">
        <v>79.345132743400001</v>
      </c>
      <c r="DN23">
        <v>396</v>
      </c>
      <c r="DO23">
        <v>24</v>
      </c>
      <c r="DP23">
        <v>167.73737373739999</v>
      </c>
      <c r="DQ23">
        <v>136.2916666667</v>
      </c>
    </row>
    <row r="24" spans="2:121" x14ac:dyDescent="0.2">
      <c r="B24" t="s">
        <v>110</v>
      </c>
      <c r="C24">
        <v>52</v>
      </c>
      <c r="D24">
        <v>51</v>
      </c>
      <c r="F24" t="s">
        <v>82</v>
      </c>
      <c r="G24">
        <v>13401</v>
      </c>
      <c r="H24">
        <v>308.009551526</v>
      </c>
      <c r="I24">
        <v>18023</v>
      </c>
      <c r="J24">
        <v>6233</v>
      </c>
      <c r="K24">
        <v>16075</v>
      </c>
      <c r="L24">
        <v>9610</v>
      </c>
      <c r="M24">
        <v>1405</v>
      </c>
      <c r="N24">
        <v>1080</v>
      </c>
      <c r="O24">
        <v>2908</v>
      </c>
      <c r="P24">
        <v>1465</v>
      </c>
      <c r="Q24">
        <v>2</v>
      </c>
      <c r="R24">
        <v>225</v>
      </c>
      <c r="T24" t="s">
        <v>664</v>
      </c>
      <c r="U24" t="s">
        <v>315</v>
      </c>
      <c r="V24" t="s">
        <v>139</v>
      </c>
      <c r="W24" t="s">
        <v>222</v>
      </c>
      <c r="X24" t="s">
        <v>223</v>
      </c>
      <c r="Y24" t="s">
        <v>224</v>
      </c>
      <c r="Z24" t="s">
        <v>225</v>
      </c>
      <c r="AA24" t="s">
        <v>226</v>
      </c>
      <c r="AB24" t="s">
        <v>227</v>
      </c>
      <c r="AC24" t="s">
        <v>228</v>
      </c>
      <c r="AD24" t="s">
        <v>229</v>
      </c>
      <c r="AE24" t="s">
        <v>230</v>
      </c>
      <c r="AF24" t="s">
        <v>231</v>
      </c>
      <c r="AH24" t="s">
        <v>381</v>
      </c>
      <c r="AI24">
        <v>5540</v>
      </c>
      <c r="AJ24">
        <v>437.41678700360001</v>
      </c>
      <c r="AK24">
        <v>4562</v>
      </c>
      <c r="AL24">
        <v>1376</v>
      </c>
      <c r="AM24">
        <v>8075</v>
      </c>
      <c r="AN24">
        <v>5057</v>
      </c>
      <c r="AO24">
        <v>2440</v>
      </c>
      <c r="AP24">
        <v>1857</v>
      </c>
      <c r="AQ24">
        <v>1308</v>
      </c>
      <c r="AR24">
        <v>1005</v>
      </c>
      <c r="AS24">
        <v>446</v>
      </c>
      <c r="AT24">
        <v>13</v>
      </c>
      <c r="AV24" t="s">
        <v>83</v>
      </c>
      <c r="AW24">
        <v>144</v>
      </c>
      <c r="AX24">
        <v>45.145833333299997</v>
      </c>
      <c r="AY24">
        <v>458</v>
      </c>
      <c r="AZ24">
        <v>24</v>
      </c>
      <c r="BA24">
        <v>303</v>
      </c>
      <c r="BB24">
        <v>33</v>
      </c>
      <c r="BC24">
        <v>1</v>
      </c>
      <c r="BD24">
        <v>1</v>
      </c>
      <c r="BE24">
        <v>27</v>
      </c>
      <c r="BF24">
        <v>10</v>
      </c>
      <c r="BG24">
        <v>279</v>
      </c>
      <c r="BH24">
        <v>82</v>
      </c>
      <c r="BJ24" t="s">
        <v>652</v>
      </c>
      <c r="BK24" t="s">
        <v>400</v>
      </c>
      <c r="BL24">
        <v>972</v>
      </c>
      <c r="BM24">
        <v>241</v>
      </c>
      <c r="BN24">
        <v>92.569958847699993</v>
      </c>
      <c r="BO24">
        <v>2914</v>
      </c>
      <c r="BP24">
        <v>171</v>
      </c>
      <c r="BQ24">
        <v>138.08442004119999</v>
      </c>
      <c r="BR24">
        <v>125.02923976610001</v>
      </c>
      <c r="BS24">
        <v>1785</v>
      </c>
      <c r="BT24">
        <v>829</v>
      </c>
      <c r="BU24">
        <v>145.9714285714</v>
      </c>
      <c r="BV24">
        <v>5123</v>
      </c>
      <c r="BW24">
        <v>287</v>
      </c>
      <c r="BX24">
        <v>175.91020886199999</v>
      </c>
      <c r="BY24">
        <v>166.2822299652</v>
      </c>
      <c r="CA24" t="s">
        <v>410</v>
      </c>
      <c r="CB24" t="s">
        <v>824</v>
      </c>
      <c r="CC24" t="s">
        <v>1033</v>
      </c>
      <c r="CD24">
        <v>2232</v>
      </c>
      <c r="CE24">
        <v>413</v>
      </c>
      <c r="CF24">
        <v>83.313620071700001</v>
      </c>
      <c r="CG24">
        <v>5833</v>
      </c>
      <c r="CH24">
        <v>529</v>
      </c>
      <c r="CI24">
        <v>122.04080233160001</v>
      </c>
      <c r="CJ24">
        <v>128.73534971640001</v>
      </c>
      <c r="CL24" t="s">
        <v>410</v>
      </c>
      <c r="CM24" t="s">
        <v>799</v>
      </c>
      <c r="CN24" t="s">
        <v>806</v>
      </c>
      <c r="CO24">
        <v>129</v>
      </c>
      <c r="CP24">
        <v>7</v>
      </c>
      <c r="CQ24">
        <v>55.759689922500002</v>
      </c>
      <c r="CR24">
        <v>614</v>
      </c>
      <c r="CS24">
        <v>31</v>
      </c>
      <c r="CT24">
        <v>59.765472312699998</v>
      </c>
      <c r="CU24">
        <v>69.451612903200001</v>
      </c>
      <c r="CW24" t="s">
        <v>410</v>
      </c>
      <c r="CX24" t="s">
        <v>812</v>
      </c>
      <c r="CY24" t="s">
        <v>819</v>
      </c>
      <c r="CZ24">
        <v>30</v>
      </c>
      <c r="DA24">
        <v>3</v>
      </c>
      <c r="DB24">
        <v>60.3</v>
      </c>
      <c r="DC24">
        <v>154</v>
      </c>
      <c r="DD24">
        <v>7</v>
      </c>
      <c r="DE24">
        <v>107.42857142859999</v>
      </c>
      <c r="DF24">
        <v>96.714285714300004</v>
      </c>
      <c r="DH24" t="s">
        <v>410</v>
      </c>
      <c r="DI24" t="s">
        <v>786</v>
      </c>
      <c r="DJ24" t="s">
        <v>793</v>
      </c>
      <c r="DK24">
        <v>59</v>
      </c>
      <c r="DL24">
        <v>9</v>
      </c>
      <c r="DM24">
        <v>68.0508474576</v>
      </c>
      <c r="DN24">
        <v>240</v>
      </c>
      <c r="DO24">
        <v>15</v>
      </c>
      <c r="DP24">
        <v>150.875</v>
      </c>
      <c r="DQ24">
        <v>129.4</v>
      </c>
    </row>
    <row r="25" spans="2:121" x14ac:dyDescent="0.2">
      <c r="B25" t="s">
        <v>108</v>
      </c>
      <c r="C25">
        <v>52</v>
      </c>
      <c r="D25">
        <v>52</v>
      </c>
      <c r="F25" t="s">
        <v>42</v>
      </c>
      <c r="G25">
        <v>11070</v>
      </c>
      <c r="H25">
        <v>304.07732610660003</v>
      </c>
      <c r="I25">
        <v>9173</v>
      </c>
      <c r="J25">
        <v>2861</v>
      </c>
      <c r="K25">
        <v>19926</v>
      </c>
      <c r="L25">
        <v>12190</v>
      </c>
      <c r="M25">
        <v>1963</v>
      </c>
      <c r="N25">
        <v>1300</v>
      </c>
      <c r="O25">
        <v>1870</v>
      </c>
      <c r="P25">
        <v>1432</v>
      </c>
      <c r="Q25">
        <v>2</v>
      </c>
      <c r="R25">
        <v>57</v>
      </c>
      <c r="T25" t="s">
        <v>395</v>
      </c>
      <c r="U25">
        <v>69312</v>
      </c>
      <c r="V25">
        <v>340.97030817170003</v>
      </c>
      <c r="W25">
        <v>71485</v>
      </c>
      <c r="X25">
        <v>24019</v>
      </c>
      <c r="Y25">
        <v>96497</v>
      </c>
      <c r="Z25">
        <v>57044</v>
      </c>
      <c r="AA25">
        <v>12861</v>
      </c>
      <c r="AB25">
        <v>9447</v>
      </c>
      <c r="AC25">
        <v>26178</v>
      </c>
      <c r="AD25">
        <v>18015</v>
      </c>
      <c r="AE25">
        <v>90</v>
      </c>
      <c r="AF25">
        <v>1203</v>
      </c>
      <c r="AH25" t="s">
        <v>405</v>
      </c>
      <c r="AI25">
        <v>3952</v>
      </c>
      <c r="AJ25">
        <v>258.45900809720001</v>
      </c>
      <c r="AK25">
        <v>8285</v>
      </c>
      <c r="AL25">
        <v>2434</v>
      </c>
      <c r="AM25">
        <v>7511</v>
      </c>
      <c r="AN25">
        <v>3563</v>
      </c>
      <c r="AO25">
        <v>943</v>
      </c>
      <c r="AP25">
        <v>770</v>
      </c>
      <c r="AQ25">
        <v>1270</v>
      </c>
      <c r="AR25">
        <v>791</v>
      </c>
      <c r="AS25">
        <v>26</v>
      </c>
      <c r="AT25">
        <v>204</v>
      </c>
      <c r="AV25" t="s">
        <v>417</v>
      </c>
      <c r="AW25">
        <v>766</v>
      </c>
      <c r="AX25">
        <v>51.4046997389</v>
      </c>
      <c r="AY25">
        <v>1943</v>
      </c>
      <c r="AZ25">
        <v>73</v>
      </c>
      <c r="BA25">
        <v>1289</v>
      </c>
      <c r="BB25">
        <v>121</v>
      </c>
      <c r="BC25">
        <v>18</v>
      </c>
      <c r="BD25">
        <v>17</v>
      </c>
      <c r="BE25">
        <v>68</v>
      </c>
      <c r="BF25">
        <v>35</v>
      </c>
      <c r="BG25">
        <v>858</v>
      </c>
      <c r="BH25">
        <v>346</v>
      </c>
      <c r="BJ25" t="s">
        <v>591</v>
      </c>
      <c r="BK25" t="s">
        <v>400</v>
      </c>
      <c r="BL25">
        <v>5018</v>
      </c>
      <c r="BM25">
        <v>1469</v>
      </c>
      <c r="BN25">
        <v>107.8993622957</v>
      </c>
      <c r="BO25">
        <v>18910</v>
      </c>
      <c r="BP25">
        <v>1080</v>
      </c>
      <c r="BQ25">
        <v>180.67207826550001</v>
      </c>
      <c r="BR25">
        <v>146.10740740739999</v>
      </c>
      <c r="BS25">
        <v>5008</v>
      </c>
      <c r="BT25">
        <v>1514</v>
      </c>
      <c r="BU25">
        <v>109.77895367409999</v>
      </c>
      <c r="BV25">
        <v>19714</v>
      </c>
      <c r="BW25">
        <v>1096</v>
      </c>
      <c r="BX25">
        <v>182.5693415847</v>
      </c>
      <c r="BY25">
        <v>146.3558394161</v>
      </c>
      <c r="CA25" t="s">
        <v>429</v>
      </c>
      <c r="CB25" t="s">
        <v>824</v>
      </c>
      <c r="CC25" t="s">
        <v>1034</v>
      </c>
      <c r="CD25">
        <v>724</v>
      </c>
      <c r="CE25">
        <v>170</v>
      </c>
      <c r="CF25">
        <v>87.722375690600003</v>
      </c>
      <c r="CG25">
        <v>2199</v>
      </c>
      <c r="CH25">
        <v>116</v>
      </c>
      <c r="CI25">
        <v>133.96680309230001</v>
      </c>
      <c r="CJ25">
        <v>129.06896551720001</v>
      </c>
      <c r="CL25" t="s">
        <v>429</v>
      </c>
      <c r="CM25" t="s">
        <v>799</v>
      </c>
      <c r="CN25" t="s">
        <v>807</v>
      </c>
      <c r="CO25">
        <v>39</v>
      </c>
      <c r="CP25">
        <v>3</v>
      </c>
      <c r="CQ25">
        <v>53.794871794899997</v>
      </c>
      <c r="CR25">
        <v>193</v>
      </c>
      <c r="CS25">
        <v>7</v>
      </c>
      <c r="CT25">
        <v>49.549222797900001</v>
      </c>
      <c r="CU25">
        <v>55.857142857100001</v>
      </c>
      <c r="CW25" t="s">
        <v>429</v>
      </c>
      <c r="CX25" t="s">
        <v>812</v>
      </c>
      <c r="CY25" t="s">
        <v>820</v>
      </c>
      <c r="CZ25">
        <v>17</v>
      </c>
      <c r="DA25">
        <v>2</v>
      </c>
      <c r="DB25">
        <v>47.823529411800003</v>
      </c>
      <c r="DC25">
        <v>36</v>
      </c>
      <c r="DD25">
        <v>1</v>
      </c>
      <c r="DE25">
        <v>127.9166666667</v>
      </c>
      <c r="DF25">
        <v>7</v>
      </c>
      <c r="DH25" t="s">
        <v>429</v>
      </c>
      <c r="DI25" t="s">
        <v>786</v>
      </c>
      <c r="DJ25" t="s">
        <v>794</v>
      </c>
      <c r="DK25">
        <v>7</v>
      </c>
      <c r="DL25">
        <v>2</v>
      </c>
      <c r="DM25">
        <v>89.142857142899999</v>
      </c>
      <c r="DN25">
        <v>23</v>
      </c>
      <c r="DO25">
        <v>0</v>
      </c>
      <c r="DP25">
        <v>182.73913043479999</v>
      </c>
      <c r="DQ25">
        <v>0</v>
      </c>
    </row>
    <row r="26" spans="2:121" x14ac:dyDescent="0.2">
      <c r="B26" t="s">
        <v>99</v>
      </c>
      <c r="C26">
        <v>123394</v>
      </c>
      <c r="D26">
        <v>54336</v>
      </c>
      <c r="F26" t="s">
        <v>38</v>
      </c>
      <c r="G26">
        <v>4938</v>
      </c>
      <c r="H26">
        <v>481.38375860669998</v>
      </c>
      <c r="I26">
        <v>3600</v>
      </c>
      <c r="J26">
        <v>1113</v>
      </c>
      <c r="K26">
        <v>6458</v>
      </c>
      <c r="L26">
        <v>4531</v>
      </c>
      <c r="M26">
        <v>2108</v>
      </c>
      <c r="N26">
        <v>1934</v>
      </c>
      <c r="O26">
        <v>858</v>
      </c>
      <c r="P26">
        <v>740</v>
      </c>
      <c r="Q26">
        <v>2</v>
      </c>
      <c r="R26">
        <v>10</v>
      </c>
      <c r="T26" t="s">
        <v>400</v>
      </c>
      <c r="U26">
        <v>51464</v>
      </c>
      <c r="V26">
        <v>375.69506839730002</v>
      </c>
      <c r="W26">
        <v>54247</v>
      </c>
      <c r="X26">
        <v>15974</v>
      </c>
      <c r="Y26">
        <v>76316</v>
      </c>
      <c r="Z26">
        <v>44047</v>
      </c>
      <c r="AA26">
        <v>10187</v>
      </c>
      <c r="AB26">
        <v>8354</v>
      </c>
      <c r="AC26">
        <v>21267</v>
      </c>
      <c r="AD26">
        <v>15003</v>
      </c>
      <c r="AE26">
        <v>148</v>
      </c>
      <c r="AF26">
        <v>1202</v>
      </c>
      <c r="AH26" t="s">
        <v>411</v>
      </c>
      <c r="AI26">
        <v>2884</v>
      </c>
      <c r="AJ26">
        <v>129.80305131759999</v>
      </c>
      <c r="AK26">
        <v>5509</v>
      </c>
      <c r="AL26">
        <v>1382</v>
      </c>
      <c r="AM26">
        <v>6137</v>
      </c>
      <c r="AN26">
        <v>1401</v>
      </c>
      <c r="AO26">
        <v>374</v>
      </c>
      <c r="AP26">
        <v>268</v>
      </c>
      <c r="AQ26">
        <v>1113</v>
      </c>
      <c r="AR26">
        <v>402</v>
      </c>
      <c r="AS26">
        <v>5</v>
      </c>
      <c r="AT26">
        <v>3</v>
      </c>
      <c r="AV26" t="s">
        <v>407</v>
      </c>
      <c r="AW26">
        <v>456</v>
      </c>
      <c r="AX26">
        <v>55.857456140399997</v>
      </c>
      <c r="AY26">
        <v>432</v>
      </c>
      <c r="AZ26">
        <v>33</v>
      </c>
      <c r="BA26">
        <v>710</v>
      </c>
      <c r="BB26">
        <v>63</v>
      </c>
      <c r="BC26">
        <v>2</v>
      </c>
      <c r="BD26">
        <v>2</v>
      </c>
      <c r="BE26">
        <v>42</v>
      </c>
      <c r="BF26">
        <v>16</v>
      </c>
      <c r="BG26">
        <v>423</v>
      </c>
      <c r="BH26">
        <v>49</v>
      </c>
      <c r="BJ26" t="s">
        <v>597</v>
      </c>
      <c r="BK26" t="s">
        <v>400</v>
      </c>
      <c r="BL26">
        <v>7569</v>
      </c>
      <c r="BM26">
        <v>2080</v>
      </c>
      <c r="BN26">
        <v>106.3041352887</v>
      </c>
      <c r="BO26">
        <v>18601</v>
      </c>
      <c r="BP26">
        <v>1110</v>
      </c>
      <c r="BQ26">
        <v>152.8488790925</v>
      </c>
      <c r="BR26">
        <v>143.9027027027</v>
      </c>
      <c r="BS26">
        <v>10075</v>
      </c>
      <c r="BT26">
        <v>3892</v>
      </c>
      <c r="BU26">
        <v>127.8347394541</v>
      </c>
      <c r="BV26">
        <v>28033</v>
      </c>
      <c r="BW26">
        <v>1652</v>
      </c>
      <c r="BX26">
        <v>178.46573681020001</v>
      </c>
      <c r="BY26">
        <v>166.3535108959</v>
      </c>
      <c r="CA26" t="s">
        <v>401</v>
      </c>
      <c r="CB26" t="s">
        <v>824</v>
      </c>
      <c r="CC26" t="s">
        <v>1035</v>
      </c>
      <c r="CD26">
        <v>8305</v>
      </c>
      <c r="CE26">
        <v>2541</v>
      </c>
      <c r="CF26">
        <v>115.8804334738</v>
      </c>
      <c r="CG26">
        <v>25312</v>
      </c>
      <c r="CH26">
        <v>1413</v>
      </c>
      <c r="CI26">
        <v>161.73119469029999</v>
      </c>
      <c r="CJ26">
        <v>135.4798301486</v>
      </c>
      <c r="CL26" t="s">
        <v>401</v>
      </c>
      <c r="CM26" t="s">
        <v>799</v>
      </c>
      <c r="CN26" t="s">
        <v>808</v>
      </c>
      <c r="CO26">
        <v>666</v>
      </c>
      <c r="CP26">
        <v>70</v>
      </c>
      <c r="CQ26">
        <v>57.534534534499997</v>
      </c>
      <c r="CR26">
        <v>4665</v>
      </c>
      <c r="CS26">
        <v>205</v>
      </c>
      <c r="CT26">
        <v>57.6745980707</v>
      </c>
      <c r="CU26">
        <v>47.5317073171</v>
      </c>
      <c r="CW26" t="s">
        <v>401</v>
      </c>
      <c r="CX26" t="s">
        <v>812</v>
      </c>
      <c r="CY26" t="s">
        <v>821</v>
      </c>
      <c r="CZ26">
        <v>177</v>
      </c>
      <c r="DA26">
        <v>22</v>
      </c>
      <c r="DB26">
        <v>66.711864406800004</v>
      </c>
      <c r="DC26">
        <v>429</v>
      </c>
      <c r="DD26">
        <v>19</v>
      </c>
      <c r="DE26">
        <v>135.06526806529999</v>
      </c>
      <c r="DF26">
        <v>121.57894736839999</v>
      </c>
      <c r="DH26" t="s">
        <v>401</v>
      </c>
      <c r="DI26" t="s">
        <v>786</v>
      </c>
      <c r="DJ26" t="s">
        <v>795</v>
      </c>
      <c r="DK26">
        <v>120</v>
      </c>
      <c r="DL26">
        <v>18</v>
      </c>
      <c r="DM26">
        <v>80.991666666699999</v>
      </c>
      <c r="DN26">
        <v>299</v>
      </c>
      <c r="DO26">
        <v>5</v>
      </c>
      <c r="DP26">
        <v>146.35451505020001</v>
      </c>
      <c r="DQ26">
        <v>134.19999999999999</v>
      </c>
    </row>
    <row r="27" spans="2:121" x14ac:dyDescent="0.2">
      <c r="B27" t="s">
        <v>112</v>
      </c>
      <c r="C27">
        <v>24060</v>
      </c>
      <c r="D27">
        <v>9635</v>
      </c>
      <c r="F27" t="s">
        <v>58</v>
      </c>
      <c r="G27">
        <v>688</v>
      </c>
      <c r="H27">
        <v>157.3183139535</v>
      </c>
      <c r="I27">
        <v>1109</v>
      </c>
      <c r="J27">
        <v>438</v>
      </c>
      <c r="K27">
        <v>901</v>
      </c>
      <c r="L27">
        <v>380</v>
      </c>
      <c r="M27">
        <v>182</v>
      </c>
      <c r="N27">
        <v>133</v>
      </c>
      <c r="O27">
        <v>569</v>
      </c>
      <c r="P27">
        <v>424</v>
      </c>
      <c r="Q27">
        <v>348</v>
      </c>
      <c r="R27">
        <v>127</v>
      </c>
      <c r="T27" t="s">
        <v>379</v>
      </c>
      <c r="U27">
        <v>73593</v>
      </c>
      <c r="V27">
        <v>377.14006766950001</v>
      </c>
      <c r="W27">
        <v>76944</v>
      </c>
      <c r="X27">
        <v>25378</v>
      </c>
      <c r="Y27">
        <v>102016</v>
      </c>
      <c r="Z27">
        <v>64227</v>
      </c>
      <c r="AA27">
        <v>16856</v>
      </c>
      <c r="AB27">
        <v>12504</v>
      </c>
      <c r="AC27">
        <v>34568</v>
      </c>
      <c r="AD27">
        <v>22736</v>
      </c>
      <c r="AE27">
        <v>5022</v>
      </c>
      <c r="AF27">
        <v>166</v>
      </c>
      <c r="AH27" t="s">
        <v>399</v>
      </c>
      <c r="AI27">
        <v>5150</v>
      </c>
      <c r="AJ27">
        <v>368.43553398059998</v>
      </c>
      <c r="AK27">
        <v>4056</v>
      </c>
      <c r="AL27">
        <v>1664</v>
      </c>
      <c r="AM27">
        <v>6936</v>
      </c>
      <c r="AN27">
        <v>4914</v>
      </c>
      <c r="AO27">
        <v>877</v>
      </c>
      <c r="AP27">
        <v>758</v>
      </c>
      <c r="AQ27">
        <v>2365</v>
      </c>
      <c r="AR27">
        <v>1894</v>
      </c>
      <c r="AS27">
        <v>12</v>
      </c>
      <c r="AT27">
        <v>143</v>
      </c>
      <c r="AV27" t="s">
        <v>384</v>
      </c>
      <c r="AW27">
        <v>390</v>
      </c>
      <c r="AX27">
        <v>92.907692307700003</v>
      </c>
      <c r="AY27">
        <v>469</v>
      </c>
      <c r="AZ27">
        <v>84</v>
      </c>
      <c r="BA27">
        <v>591</v>
      </c>
      <c r="BB27">
        <v>172</v>
      </c>
      <c r="BC27">
        <v>16</v>
      </c>
      <c r="BD27">
        <v>16</v>
      </c>
      <c r="BE27">
        <v>232</v>
      </c>
      <c r="BF27">
        <v>40</v>
      </c>
      <c r="BG27">
        <v>74</v>
      </c>
      <c r="BH27">
        <v>165</v>
      </c>
      <c r="BJ27" t="s">
        <v>656</v>
      </c>
      <c r="BK27" t="s">
        <v>400</v>
      </c>
      <c r="BL27">
        <v>2697</v>
      </c>
      <c r="BM27">
        <v>719</v>
      </c>
      <c r="BN27">
        <v>100.9199110122</v>
      </c>
      <c r="BO27">
        <v>6492</v>
      </c>
      <c r="BP27">
        <v>360</v>
      </c>
      <c r="BQ27">
        <v>180.12815773259999</v>
      </c>
      <c r="BR27">
        <v>167.65555555559999</v>
      </c>
      <c r="BS27">
        <v>2583</v>
      </c>
      <c r="BT27">
        <v>701</v>
      </c>
      <c r="BU27">
        <v>101.19589624469999</v>
      </c>
      <c r="BV27">
        <v>6362</v>
      </c>
      <c r="BW27">
        <v>356</v>
      </c>
      <c r="BX27">
        <v>180.31499528449999</v>
      </c>
      <c r="BY27">
        <v>165.26685393259999</v>
      </c>
      <c r="CA27" t="s">
        <v>430</v>
      </c>
      <c r="CB27" t="s">
        <v>824</v>
      </c>
      <c r="CC27" t="s">
        <v>1036</v>
      </c>
      <c r="CD27">
        <v>998</v>
      </c>
      <c r="CE27">
        <v>250</v>
      </c>
      <c r="CF27">
        <v>94.611222444899994</v>
      </c>
      <c r="CG27">
        <v>3053</v>
      </c>
      <c r="CH27">
        <v>169</v>
      </c>
      <c r="CI27">
        <v>135.6613167376</v>
      </c>
      <c r="CJ27">
        <v>116.4970414201</v>
      </c>
      <c r="CL27" t="s">
        <v>430</v>
      </c>
      <c r="CM27" t="s">
        <v>799</v>
      </c>
      <c r="CN27" t="s">
        <v>809</v>
      </c>
      <c r="CO27">
        <v>60</v>
      </c>
      <c r="CP27">
        <v>6</v>
      </c>
      <c r="CQ27">
        <v>56</v>
      </c>
      <c r="CR27">
        <v>337</v>
      </c>
      <c r="CS27">
        <v>13</v>
      </c>
      <c r="CT27">
        <v>52.780415430300003</v>
      </c>
      <c r="CU27">
        <v>56</v>
      </c>
      <c r="CW27" t="s">
        <v>430</v>
      </c>
      <c r="CX27" t="s">
        <v>812</v>
      </c>
      <c r="CY27" t="s">
        <v>822</v>
      </c>
      <c r="CZ27">
        <v>9</v>
      </c>
      <c r="DA27">
        <v>1</v>
      </c>
      <c r="DB27">
        <v>79.333333333300004</v>
      </c>
      <c r="DC27">
        <v>40</v>
      </c>
      <c r="DD27">
        <v>2</v>
      </c>
      <c r="DE27">
        <v>126.85</v>
      </c>
      <c r="DF27">
        <v>129</v>
      </c>
      <c r="DH27" t="s">
        <v>430</v>
      </c>
      <c r="DI27" t="s">
        <v>786</v>
      </c>
      <c r="DJ27" t="s">
        <v>796</v>
      </c>
      <c r="DK27">
        <v>8</v>
      </c>
      <c r="DL27">
        <v>0</v>
      </c>
      <c r="DM27">
        <v>39.25</v>
      </c>
      <c r="DN27">
        <v>24</v>
      </c>
      <c r="DO27">
        <v>1</v>
      </c>
      <c r="DP27">
        <v>158.375</v>
      </c>
      <c r="DQ27">
        <v>124</v>
      </c>
    </row>
    <row r="28" spans="2:121" x14ac:dyDescent="0.2">
      <c r="B28" t="s">
        <v>20</v>
      </c>
      <c r="C28">
        <v>348</v>
      </c>
      <c r="D28">
        <v>216</v>
      </c>
      <c r="F28" t="s">
        <v>72</v>
      </c>
      <c r="G28">
        <v>13661</v>
      </c>
      <c r="H28">
        <v>411.1143400922</v>
      </c>
      <c r="I28">
        <v>11399</v>
      </c>
      <c r="J28">
        <v>3446</v>
      </c>
      <c r="K28">
        <v>16339</v>
      </c>
      <c r="L28">
        <v>10965</v>
      </c>
      <c r="M28">
        <v>2722</v>
      </c>
      <c r="N28">
        <v>2299</v>
      </c>
      <c r="O28">
        <v>5144</v>
      </c>
      <c r="P28">
        <v>4352</v>
      </c>
      <c r="Q28">
        <v>6</v>
      </c>
      <c r="R28">
        <v>23</v>
      </c>
      <c r="T28" t="s">
        <v>8</v>
      </c>
      <c r="U28">
        <v>8993</v>
      </c>
      <c r="V28">
        <v>411.41788057380001</v>
      </c>
      <c r="W28">
        <v>4384</v>
      </c>
      <c r="X28">
        <v>2072</v>
      </c>
      <c r="Y28">
        <v>10955</v>
      </c>
      <c r="Z28">
        <v>8160</v>
      </c>
      <c r="AA28">
        <v>1351</v>
      </c>
      <c r="AB28">
        <v>1148</v>
      </c>
      <c r="AC28">
        <v>16103</v>
      </c>
      <c r="AD28">
        <v>10567</v>
      </c>
      <c r="AE28">
        <v>382</v>
      </c>
      <c r="AF28">
        <v>139</v>
      </c>
      <c r="AH28" t="s">
        <v>407</v>
      </c>
      <c r="AI28">
        <v>5981</v>
      </c>
      <c r="AJ28">
        <v>279.39959872930001</v>
      </c>
      <c r="AK28">
        <v>5432</v>
      </c>
      <c r="AL28">
        <v>1580</v>
      </c>
      <c r="AM28">
        <v>8970</v>
      </c>
      <c r="AN28">
        <v>5458</v>
      </c>
      <c r="AO28">
        <v>2228</v>
      </c>
      <c r="AP28">
        <v>2059</v>
      </c>
      <c r="AQ28">
        <v>6076</v>
      </c>
      <c r="AR28">
        <v>4560</v>
      </c>
      <c r="AS28">
        <v>15</v>
      </c>
      <c r="AT28">
        <v>120</v>
      </c>
      <c r="AV28" t="s">
        <v>391</v>
      </c>
      <c r="AW28">
        <v>1098</v>
      </c>
      <c r="AX28">
        <v>100.8551912568</v>
      </c>
      <c r="AY28">
        <v>1020</v>
      </c>
      <c r="AZ28">
        <v>198</v>
      </c>
      <c r="BA28">
        <v>1716</v>
      </c>
      <c r="BB28">
        <v>503</v>
      </c>
      <c r="BC28">
        <v>63</v>
      </c>
      <c r="BD28">
        <v>62</v>
      </c>
      <c r="BE28">
        <v>496</v>
      </c>
      <c r="BF28">
        <v>81</v>
      </c>
      <c r="BG28">
        <v>180</v>
      </c>
      <c r="BH28">
        <v>371</v>
      </c>
      <c r="BJ28" t="s">
        <v>550</v>
      </c>
      <c r="BK28" t="s">
        <v>379</v>
      </c>
      <c r="BL28">
        <v>5386</v>
      </c>
      <c r="BM28">
        <v>2074</v>
      </c>
      <c r="BN28">
        <v>144.82807278129999</v>
      </c>
      <c r="BO28">
        <v>15702</v>
      </c>
      <c r="BP28">
        <v>1053</v>
      </c>
      <c r="BQ28">
        <v>257.79836963439999</v>
      </c>
      <c r="BR28">
        <v>200.69230769230001</v>
      </c>
      <c r="BS28">
        <v>2269</v>
      </c>
      <c r="BT28">
        <v>415</v>
      </c>
      <c r="BU28">
        <v>90.4204495372</v>
      </c>
      <c r="BV28">
        <v>4783</v>
      </c>
      <c r="BW28">
        <v>423</v>
      </c>
      <c r="BX28">
        <v>254.4963412084</v>
      </c>
      <c r="BY28">
        <v>145.75177304959999</v>
      </c>
      <c r="CA28" t="s">
        <v>406</v>
      </c>
      <c r="CB28" t="s">
        <v>824</v>
      </c>
      <c r="CC28" t="s">
        <v>1037</v>
      </c>
      <c r="CD28">
        <v>4000</v>
      </c>
      <c r="CE28">
        <v>1173</v>
      </c>
      <c r="CF28">
        <v>106.34925</v>
      </c>
      <c r="CG28">
        <v>12113</v>
      </c>
      <c r="CH28">
        <v>536</v>
      </c>
      <c r="CI28">
        <v>159.20812350369999</v>
      </c>
      <c r="CJ28">
        <v>134.54664179100001</v>
      </c>
      <c r="CL28" t="s">
        <v>406</v>
      </c>
      <c r="CM28" t="s">
        <v>799</v>
      </c>
      <c r="CN28" t="s">
        <v>810</v>
      </c>
      <c r="CO28">
        <v>223</v>
      </c>
      <c r="CP28">
        <v>16</v>
      </c>
      <c r="CQ28">
        <v>48.408071748899999</v>
      </c>
      <c r="CR28">
        <v>1869</v>
      </c>
      <c r="CS28">
        <v>93</v>
      </c>
      <c r="CT28">
        <v>42.661316211900001</v>
      </c>
      <c r="CU28">
        <v>44.666666666700003</v>
      </c>
      <c r="CW28" t="s">
        <v>406</v>
      </c>
      <c r="CX28" t="s">
        <v>812</v>
      </c>
      <c r="CY28" t="s">
        <v>823</v>
      </c>
      <c r="CZ28">
        <v>94</v>
      </c>
      <c r="DA28">
        <v>13</v>
      </c>
      <c r="DB28">
        <v>68.468085106399997</v>
      </c>
      <c r="DC28">
        <v>192</v>
      </c>
      <c r="DD28">
        <v>11</v>
      </c>
      <c r="DE28">
        <v>126.2239583333</v>
      </c>
      <c r="DF28">
        <v>146.9090909091</v>
      </c>
      <c r="DH28" t="s">
        <v>406</v>
      </c>
      <c r="DI28" t="s">
        <v>786</v>
      </c>
      <c r="DJ28" t="s">
        <v>797</v>
      </c>
      <c r="DK28">
        <v>54</v>
      </c>
      <c r="DL28">
        <v>9</v>
      </c>
      <c r="DM28">
        <v>82.555555555599994</v>
      </c>
      <c r="DN28">
        <v>143</v>
      </c>
      <c r="DO28">
        <v>1</v>
      </c>
      <c r="DP28">
        <v>157.9440559441</v>
      </c>
      <c r="DQ28">
        <v>124</v>
      </c>
    </row>
    <row r="29" spans="2:121" x14ac:dyDescent="0.2">
      <c r="B29" t="s">
        <v>91</v>
      </c>
      <c r="C29">
        <v>92506</v>
      </c>
      <c r="D29">
        <v>33923</v>
      </c>
      <c r="F29" t="s">
        <v>44</v>
      </c>
      <c r="G29">
        <v>1502</v>
      </c>
      <c r="H29">
        <v>128.05193075899999</v>
      </c>
      <c r="I29">
        <v>2401</v>
      </c>
      <c r="J29">
        <v>582</v>
      </c>
      <c r="K29">
        <v>2621</v>
      </c>
      <c r="L29">
        <v>856</v>
      </c>
      <c r="M29">
        <v>205</v>
      </c>
      <c r="N29">
        <v>169</v>
      </c>
      <c r="O29">
        <v>2821</v>
      </c>
      <c r="P29">
        <v>2693</v>
      </c>
      <c r="Q29">
        <v>0</v>
      </c>
      <c r="R29">
        <v>10</v>
      </c>
      <c r="T29" t="s">
        <v>414</v>
      </c>
      <c r="U29">
        <v>78626</v>
      </c>
      <c r="V29">
        <v>368.14630020599998</v>
      </c>
      <c r="W29">
        <v>66573</v>
      </c>
      <c r="X29">
        <v>21669</v>
      </c>
      <c r="Y29">
        <v>106428</v>
      </c>
      <c r="Z29">
        <v>69608</v>
      </c>
      <c r="AA29">
        <v>17055</v>
      </c>
      <c r="AB29">
        <v>14394</v>
      </c>
      <c r="AC29">
        <v>25578</v>
      </c>
      <c r="AD29">
        <v>18111</v>
      </c>
      <c r="AE29">
        <v>80</v>
      </c>
      <c r="AF29">
        <v>595</v>
      </c>
      <c r="AH29" t="s">
        <v>428</v>
      </c>
      <c r="AI29">
        <v>1286</v>
      </c>
      <c r="AJ29">
        <v>223.3888024883</v>
      </c>
      <c r="AK29">
        <v>940</v>
      </c>
      <c r="AL29">
        <v>130</v>
      </c>
      <c r="AM29">
        <v>1834</v>
      </c>
      <c r="AN29">
        <v>809</v>
      </c>
      <c r="AO29">
        <v>376</v>
      </c>
      <c r="AP29">
        <v>241</v>
      </c>
      <c r="AQ29">
        <v>192</v>
      </c>
      <c r="AR29">
        <v>97</v>
      </c>
      <c r="AS29">
        <v>1</v>
      </c>
      <c r="AT29">
        <v>7</v>
      </c>
      <c r="AV29" t="s">
        <v>428</v>
      </c>
      <c r="AW29">
        <v>25</v>
      </c>
      <c r="AX29">
        <v>42.44</v>
      </c>
      <c r="AY29">
        <v>73</v>
      </c>
      <c r="AZ29">
        <v>3</v>
      </c>
      <c r="BA29">
        <v>54</v>
      </c>
      <c r="BB29">
        <v>4</v>
      </c>
      <c r="BC29">
        <v>0</v>
      </c>
      <c r="BE29">
        <v>0</v>
      </c>
      <c r="BG29">
        <v>63</v>
      </c>
      <c r="BH29">
        <v>6</v>
      </c>
      <c r="BJ29" t="s">
        <v>529</v>
      </c>
      <c r="BK29" t="s">
        <v>379</v>
      </c>
      <c r="BL29">
        <v>3777</v>
      </c>
      <c r="BM29">
        <v>1115</v>
      </c>
      <c r="BN29">
        <v>117.49139528729999</v>
      </c>
      <c r="BO29">
        <v>9704</v>
      </c>
      <c r="BP29">
        <v>501</v>
      </c>
      <c r="BQ29">
        <v>221.57491755980001</v>
      </c>
      <c r="BR29">
        <v>195.0538922156</v>
      </c>
      <c r="BS29">
        <v>3398</v>
      </c>
      <c r="BT29">
        <v>976</v>
      </c>
      <c r="BU29">
        <v>99.786050618000004</v>
      </c>
      <c r="BV29">
        <v>8121</v>
      </c>
      <c r="BW29">
        <v>459</v>
      </c>
      <c r="BX29">
        <v>208.06747937450001</v>
      </c>
      <c r="BY29">
        <v>165.1764705882</v>
      </c>
      <c r="CA29" t="s">
        <v>400</v>
      </c>
      <c r="CB29" t="s">
        <v>824</v>
      </c>
      <c r="CD29">
        <v>53604</v>
      </c>
      <c r="CE29">
        <v>15831</v>
      </c>
      <c r="CF29">
        <v>111.6173793001</v>
      </c>
      <c r="CG29">
        <v>156990</v>
      </c>
      <c r="CH29">
        <v>8544</v>
      </c>
      <c r="CI29">
        <v>173.6958213899</v>
      </c>
      <c r="CJ29">
        <v>150.1925327715</v>
      </c>
      <c r="CL29" t="s">
        <v>400</v>
      </c>
      <c r="CM29" t="s">
        <v>799</v>
      </c>
      <c r="CO29">
        <v>3653</v>
      </c>
      <c r="CP29">
        <v>311</v>
      </c>
      <c r="CQ29">
        <v>56.331508349300002</v>
      </c>
      <c r="CR29">
        <v>25063</v>
      </c>
      <c r="CS29">
        <v>1182</v>
      </c>
      <c r="CT29">
        <v>54.674699756599999</v>
      </c>
      <c r="CU29">
        <v>50.181895093100003</v>
      </c>
      <c r="CW29" t="s">
        <v>400</v>
      </c>
      <c r="CX29" t="s">
        <v>812</v>
      </c>
      <c r="CZ29">
        <v>1079</v>
      </c>
      <c r="DA29">
        <v>154</v>
      </c>
      <c r="DB29">
        <v>68.578313253000005</v>
      </c>
      <c r="DC29">
        <v>2732</v>
      </c>
      <c r="DD29">
        <v>127</v>
      </c>
      <c r="DE29">
        <v>131.96266471449999</v>
      </c>
      <c r="DF29">
        <v>128.31496062990001</v>
      </c>
      <c r="DH29" t="s">
        <v>400</v>
      </c>
      <c r="DI29" t="s">
        <v>786</v>
      </c>
      <c r="DK29">
        <v>894</v>
      </c>
      <c r="DL29">
        <v>122</v>
      </c>
      <c r="DM29">
        <v>74.146532438500003</v>
      </c>
      <c r="DN29">
        <v>2357</v>
      </c>
      <c r="DO29">
        <v>129</v>
      </c>
      <c r="DP29">
        <v>154.6754348748</v>
      </c>
      <c r="DQ29">
        <v>129.7596899225</v>
      </c>
    </row>
    <row r="30" spans="2:121" x14ac:dyDescent="0.2">
      <c r="B30" t="s">
        <v>120</v>
      </c>
      <c r="C30">
        <v>10611</v>
      </c>
      <c r="D30">
        <v>2305</v>
      </c>
      <c r="F30" t="s">
        <v>48</v>
      </c>
      <c r="G30">
        <v>2200</v>
      </c>
      <c r="H30">
        <v>227.2159090909</v>
      </c>
      <c r="I30">
        <v>2556</v>
      </c>
      <c r="J30">
        <v>916</v>
      </c>
      <c r="K30">
        <v>2824</v>
      </c>
      <c r="L30">
        <v>1496</v>
      </c>
      <c r="M30">
        <v>434</v>
      </c>
      <c r="N30">
        <v>379</v>
      </c>
      <c r="O30">
        <v>434</v>
      </c>
      <c r="P30">
        <v>269</v>
      </c>
      <c r="Q30">
        <v>0</v>
      </c>
      <c r="R30">
        <v>1</v>
      </c>
      <c r="T30" t="s">
        <v>390</v>
      </c>
      <c r="U30">
        <v>80698</v>
      </c>
      <c r="V30">
        <v>356.0950705098</v>
      </c>
      <c r="W30">
        <v>79546</v>
      </c>
      <c r="X30">
        <v>28003</v>
      </c>
      <c r="Y30">
        <v>110809</v>
      </c>
      <c r="Z30">
        <v>72912</v>
      </c>
      <c r="AA30">
        <v>18711</v>
      </c>
      <c r="AB30">
        <v>15285</v>
      </c>
      <c r="AC30">
        <v>33991</v>
      </c>
      <c r="AD30">
        <v>22303</v>
      </c>
      <c r="AE30">
        <v>2353</v>
      </c>
      <c r="AF30">
        <v>1066</v>
      </c>
      <c r="AH30" t="s">
        <v>410</v>
      </c>
      <c r="AI30">
        <v>1671</v>
      </c>
      <c r="AJ30">
        <v>178.80011968880001</v>
      </c>
      <c r="AK30">
        <v>2239</v>
      </c>
      <c r="AL30">
        <v>433</v>
      </c>
      <c r="AM30">
        <v>2683</v>
      </c>
      <c r="AN30">
        <v>850</v>
      </c>
      <c r="AO30">
        <v>636</v>
      </c>
      <c r="AP30">
        <v>462</v>
      </c>
      <c r="AQ30">
        <v>337</v>
      </c>
      <c r="AR30">
        <v>147</v>
      </c>
      <c r="AS30">
        <v>0</v>
      </c>
      <c r="AT30">
        <v>15</v>
      </c>
      <c r="AV30" t="s">
        <v>394</v>
      </c>
      <c r="AW30">
        <v>516</v>
      </c>
      <c r="AX30">
        <v>60.333333333299997</v>
      </c>
      <c r="AY30">
        <v>520</v>
      </c>
      <c r="AZ30">
        <v>26</v>
      </c>
      <c r="BA30">
        <v>778</v>
      </c>
      <c r="BB30">
        <v>87</v>
      </c>
      <c r="BC30">
        <v>8</v>
      </c>
      <c r="BD30">
        <v>8</v>
      </c>
      <c r="BE30">
        <v>43</v>
      </c>
      <c r="BF30">
        <v>13</v>
      </c>
      <c r="BG30">
        <v>376</v>
      </c>
      <c r="BH30">
        <v>50</v>
      </c>
      <c r="BJ30" t="s">
        <v>537</v>
      </c>
      <c r="BK30" t="s">
        <v>379</v>
      </c>
      <c r="BL30">
        <v>4864</v>
      </c>
      <c r="BM30">
        <v>1472</v>
      </c>
      <c r="BN30">
        <v>113.88096217109999</v>
      </c>
      <c r="BO30">
        <v>10636</v>
      </c>
      <c r="BP30">
        <v>558</v>
      </c>
      <c r="BQ30">
        <v>214.82596840919999</v>
      </c>
      <c r="BR30">
        <v>211.1720430108</v>
      </c>
      <c r="BS30">
        <v>4133</v>
      </c>
      <c r="BT30">
        <v>876</v>
      </c>
      <c r="BU30">
        <v>95.664408420000001</v>
      </c>
      <c r="BV30">
        <v>9271</v>
      </c>
      <c r="BW30">
        <v>396</v>
      </c>
      <c r="BX30">
        <v>214.41484198040001</v>
      </c>
      <c r="BY30">
        <v>204.75252525249999</v>
      </c>
      <c r="CA30" t="s">
        <v>383</v>
      </c>
      <c r="CB30" t="s">
        <v>873</v>
      </c>
      <c r="CC30" t="s">
        <v>1003</v>
      </c>
      <c r="CD30">
        <v>1972</v>
      </c>
      <c r="CE30">
        <v>555</v>
      </c>
      <c r="CF30">
        <v>101.5613590264</v>
      </c>
      <c r="CG30">
        <v>5430</v>
      </c>
      <c r="CH30">
        <v>262</v>
      </c>
      <c r="CI30">
        <v>153.17348066299999</v>
      </c>
      <c r="CJ30">
        <v>140.3511450382</v>
      </c>
      <c r="CL30" t="s">
        <v>383</v>
      </c>
      <c r="CM30" t="s">
        <v>842</v>
      </c>
      <c r="CN30" t="s">
        <v>841</v>
      </c>
      <c r="CO30">
        <v>91</v>
      </c>
      <c r="CP30">
        <v>17</v>
      </c>
      <c r="CQ30">
        <v>80.318681318700001</v>
      </c>
      <c r="CR30">
        <v>721</v>
      </c>
      <c r="CS30">
        <v>44</v>
      </c>
      <c r="CT30">
        <v>75.220527045799997</v>
      </c>
      <c r="CU30">
        <v>86.409090909100001</v>
      </c>
      <c r="CW30" t="s">
        <v>383</v>
      </c>
      <c r="CX30" t="s">
        <v>858</v>
      </c>
      <c r="CY30" t="s">
        <v>857</v>
      </c>
      <c r="CZ30">
        <v>49</v>
      </c>
      <c r="DA30">
        <v>4</v>
      </c>
      <c r="DB30">
        <v>66.510204081599994</v>
      </c>
      <c r="DC30">
        <v>116</v>
      </c>
      <c r="DD30">
        <v>5</v>
      </c>
      <c r="DE30">
        <v>141.4568965517</v>
      </c>
      <c r="DF30">
        <v>106.6</v>
      </c>
      <c r="DH30" t="s">
        <v>383</v>
      </c>
      <c r="DI30" t="s">
        <v>826</v>
      </c>
      <c r="DJ30" t="s">
        <v>825</v>
      </c>
      <c r="DK30">
        <v>41</v>
      </c>
      <c r="DL30">
        <v>1</v>
      </c>
      <c r="DM30">
        <v>53.731707317100003</v>
      </c>
      <c r="DN30">
        <v>58</v>
      </c>
      <c r="DO30">
        <v>2</v>
      </c>
      <c r="DP30">
        <v>116.67241379310001</v>
      </c>
      <c r="DQ30">
        <v>124.5</v>
      </c>
    </row>
    <row r="31" spans="2:121" x14ac:dyDescent="0.2">
      <c r="B31" t="s">
        <v>96</v>
      </c>
      <c r="C31">
        <v>166</v>
      </c>
      <c r="D31">
        <v>109</v>
      </c>
      <c r="F31" t="s">
        <v>76</v>
      </c>
      <c r="G31">
        <v>16199</v>
      </c>
      <c r="H31">
        <v>383.50682140869998</v>
      </c>
      <c r="I31">
        <v>8305</v>
      </c>
      <c r="J31">
        <v>2569</v>
      </c>
      <c r="K31">
        <v>21952</v>
      </c>
      <c r="L31">
        <v>15213</v>
      </c>
      <c r="M31">
        <v>4179</v>
      </c>
      <c r="N31">
        <v>3818</v>
      </c>
      <c r="O31">
        <v>6459</v>
      </c>
      <c r="P31">
        <v>5264</v>
      </c>
      <c r="Q31">
        <v>0</v>
      </c>
      <c r="R31">
        <v>145</v>
      </c>
      <c r="T31" t="s">
        <v>471</v>
      </c>
      <c r="U31">
        <v>362686</v>
      </c>
      <c r="V31">
        <v>364.2403787298</v>
      </c>
      <c r="W31">
        <v>353179</v>
      </c>
      <c r="X31">
        <v>117115</v>
      </c>
      <c r="Y31">
        <v>503021</v>
      </c>
      <c r="Z31">
        <v>315998</v>
      </c>
      <c r="AA31">
        <v>77021</v>
      </c>
      <c r="AB31">
        <v>61132</v>
      </c>
      <c r="AC31">
        <v>157685</v>
      </c>
      <c r="AD31">
        <v>106735</v>
      </c>
      <c r="AE31">
        <v>8075</v>
      </c>
      <c r="AF31">
        <v>4371</v>
      </c>
      <c r="AH31" t="s">
        <v>423</v>
      </c>
      <c r="AI31">
        <v>4457</v>
      </c>
      <c r="AJ31">
        <v>444.70069553510001</v>
      </c>
      <c r="AK31">
        <v>4120</v>
      </c>
      <c r="AL31">
        <v>1422</v>
      </c>
      <c r="AM31">
        <v>5741</v>
      </c>
      <c r="AN31">
        <v>3950</v>
      </c>
      <c r="AO31">
        <v>509</v>
      </c>
      <c r="AP31">
        <v>442</v>
      </c>
      <c r="AQ31">
        <v>1479</v>
      </c>
      <c r="AR31">
        <v>936</v>
      </c>
      <c r="AS31">
        <v>8</v>
      </c>
      <c r="AT31">
        <v>101</v>
      </c>
      <c r="AV31" t="s">
        <v>415</v>
      </c>
      <c r="AW31">
        <v>43</v>
      </c>
      <c r="AX31">
        <v>56.744186046499998</v>
      </c>
      <c r="AY31">
        <v>135</v>
      </c>
      <c r="AZ31">
        <v>5</v>
      </c>
      <c r="BA31">
        <v>91</v>
      </c>
      <c r="BB31">
        <v>10</v>
      </c>
      <c r="BC31">
        <v>0</v>
      </c>
      <c r="BE31">
        <v>8</v>
      </c>
      <c r="BF31">
        <v>2</v>
      </c>
      <c r="BG31">
        <v>167</v>
      </c>
      <c r="BH31">
        <v>19</v>
      </c>
      <c r="BJ31" t="s">
        <v>539</v>
      </c>
      <c r="BK31" t="s">
        <v>379</v>
      </c>
      <c r="BL31">
        <v>1927</v>
      </c>
      <c r="BM31">
        <v>531</v>
      </c>
      <c r="BN31">
        <v>100.0550077841</v>
      </c>
      <c r="BO31">
        <v>5125</v>
      </c>
      <c r="BP31">
        <v>244</v>
      </c>
      <c r="BQ31">
        <v>151.98985365850001</v>
      </c>
      <c r="BR31">
        <v>143.09016393440001</v>
      </c>
      <c r="BS31">
        <v>2980</v>
      </c>
      <c r="BT31">
        <v>1263</v>
      </c>
      <c r="BU31">
        <v>134.9446308725</v>
      </c>
      <c r="BV31">
        <v>7876</v>
      </c>
      <c r="BW31">
        <v>443</v>
      </c>
      <c r="BX31">
        <v>174.51104621639999</v>
      </c>
      <c r="BY31">
        <v>177.44920993229999</v>
      </c>
      <c r="CA31" t="s">
        <v>433</v>
      </c>
      <c r="CB31" t="s">
        <v>873</v>
      </c>
      <c r="CC31" t="s">
        <v>1004</v>
      </c>
      <c r="CD31">
        <v>994</v>
      </c>
      <c r="CE31">
        <v>380</v>
      </c>
      <c r="CF31">
        <v>136.9265593561</v>
      </c>
      <c r="CG31">
        <v>2623</v>
      </c>
      <c r="CH31">
        <v>120</v>
      </c>
      <c r="CI31">
        <v>220.50743423559999</v>
      </c>
      <c r="CJ31">
        <v>215.7083333333</v>
      </c>
      <c r="CL31" t="s">
        <v>433</v>
      </c>
      <c r="CM31" t="s">
        <v>842</v>
      </c>
      <c r="CN31" t="s">
        <v>843</v>
      </c>
      <c r="CO31">
        <v>28</v>
      </c>
      <c r="CP31">
        <v>5</v>
      </c>
      <c r="CQ31">
        <v>99.285714285699996</v>
      </c>
      <c r="CR31">
        <v>258</v>
      </c>
      <c r="CS31">
        <v>15</v>
      </c>
      <c r="CT31">
        <v>75.193798449599996</v>
      </c>
      <c r="CU31">
        <v>57</v>
      </c>
      <c r="CW31" t="s">
        <v>433</v>
      </c>
      <c r="CX31" t="s">
        <v>858</v>
      </c>
      <c r="CY31" t="s">
        <v>859</v>
      </c>
      <c r="CZ31">
        <v>16</v>
      </c>
      <c r="DA31">
        <v>2</v>
      </c>
      <c r="DB31">
        <v>66</v>
      </c>
      <c r="DC31">
        <v>38</v>
      </c>
      <c r="DD31">
        <v>2</v>
      </c>
      <c r="DE31">
        <v>118.92105263160001</v>
      </c>
      <c r="DF31">
        <v>124</v>
      </c>
      <c r="DH31" t="s">
        <v>433</v>
      </c>
      <c r="DI31" t="s">
        <v>826</v>
      </c>
      <c r="DJ31" t="s">
        <v>827</v>
      </c>
      <c r="DK31">
        <v>18</v>
      </c>
      <c r="DL31">
        <v>2</v>
      </c>
      <c r="DM31">
        <v>82.5</v>
      </c>
      <c r="DN31">
        <v>31</v>
      </c>
      <c r="DO31">
        <v>2</v>
      </c>
      <c r="DP31">
        <v>117.77419354840001</v>
      </c>
      <c r="DQ31">
        <v>134.5</v>
      </c>
    </row>
    <row r="32" spans="2:121" x14ac:dyDescent="0.2">
      <c r="B32" t="s">
        <v>128</v>
      </c>
      <c r="C32">
        <v>481</v>
      </c>
      <c r="D32">
        <v>17</v>
      </c>
      <c r="F32" t="s">
        <v>68</v>
      </c>
      <c r="G32">
        <v>4083</v>
      </c>
      <c r="H32">
        <v>451.26500122459998</v>
      </c>
      <c r="I32">
        <v>4729</v>
      </c>
      <c r="J32">
        <v>1756</v>
      </c>
      <c r="K32">
        <v>5579</v>
      </c>
      <c r="L32">
        <v>4147</v>
      </c>
      <c r="M32">
        <v>539</v>
      </c>
      <c r="N32">
        <v>456</v>
      </c>
      <c r="O32">
        <v>1172</v>
      </c>
      <c r="P32">
        <v>931</v>
      </c>
      <c r="Q32">
        <v>1</v>
      </c>
      <c r="R32">
        <v>4</v>
      </c>
      <c r="AH32" t="s">
        <v>425</v>
      </c>
      <c r="AI32">
        <v>2084</v>
      </c>
      <c r="AJ32">
        <v>359.16410748560003</v>
      </c>
      <c r="AK32">
        <v>1242</v>
      </c>
      <c r="AL32">
        <v>345</v>
      </c>
      <c r="AM32">
        <v>2724</v>
      </c>
      <c r="AN32">
        <v>1744</v>
      </c>
      <c r="AO32">
        <v>665</v>
      </c>
      <c r="AP32">
        <v>579</v>
      </c>
      <c r="AQ32">
        <v>168</v>
      </c>
      <c r="AR32">
        <v>89</v>
      </c>
      <c r="AS32">
        <v>94</v>
      </c>
      <c r="AT32">
        <v>3</v>
      </c>
      <c r="AV32" t="s">
        <v>425</v>
      </c>
      <c r="AW32">
        <v>77</v>
      </c>
      <c r="AX32">
        <v>97.896103896100001</v>
      </c>
      <c r="AY32">
        <v>90</v>
      </c>
      <c r="AZ32">
        <v>12</v>
      </c>
      <c r="BA32">
        <v>117</v>
      </c>
      <c r="BB32">
        <v>39</v>
      </c>
      <c r="BC32">
        <v>2</v>
      </c>
      <c r="BD32">
        <v>2</v>
      </c>
      <c r="BE32">
        <v>47</v>
      </c>
      <c r="BF32">
        <v>6</v>
      </c>
      <c r="BG32">
        <v>15</v>
      </c>
      <c r="BH32">
        <v>26</v>
      </c>
      <c r="BJ32" t="s">
        <v>554</v>
      </c>
      <c r="BK32" t="s">
        <v>379</v>
      </c>
      <c r="BL32">
        <v>2554</v>
      </c>
      <c r="BM32">
        <v>600</v>
      </c>
      <c r="BN32">
        <v>95.2689898199</v>
      </c>
      <c r="BO32">
        <v>7288</v>
      </c>
      <c r="BP32">
        <v>603</v>
      </c>
      <c r="BQ32">
        <v>146.26083973659999</v>
      </c>
      <c r="BR32">
        <v>133.6086235489</v>
      </c>
      <c r="BS32">
        <v>4654</v>
      </c>
      <c r="BT32">
        <v>1728</v>
      </c>
      <c r="BU32">
        <v>126.1607219596</v>
      </c>
      <c r="BV32">
        <v>14705</v>
      </c>
      <c r="BW32">
        <v>1122</v>
      </c>
      <c r="BX32">
        <v>181.23964637879999</v>
      </c>
      <c r="BY32">
        <v>170.19251336900001</v>
      </c>
      <c r="CA32" t="s">
        <v>424</v>
      </c>
      <c r="CB32" t="s">
        <v>873</v>
      </c>
      <c r="CC32" t="s">
        <v>1005</v>
      </c>
      <c r="CD32">
        <v>535</v>
      </c>
      <c r="CE32">
        <v>210</v>
      </c>
      <c r="CF32">
        <v>134.93644859809999</v>
      </c>
      <c r="CG32">
        <v>1279</v>
      </c>
      <c r="CH32">
        <v>70</v>
      </c>
      <c r="CI32">
        <v>217.19702892890001</v>
      </c>
      <c r="CJ32">
        <v>208.78571428570001</v>
      </c>
      <c r="CL32" t="s">
        <v>424</v>
      </c>
      <c r="CM32" t="s">
        <v>842</v>
      </c>
      <c r="CN32" t="s">
        <v>844</v>
      </c>
      <c r="CO32">
        <v>28</v>
      </c>
      <c r="CP32">
        <v>2</v>
      </c>
      <c r="CQ32">
        <v>74.464285714300004</v>
      </c>
      <c r="CR32">
        <v>149</v>
      </c>
      <c r="CS32">
        <v>12</v>
      </c>
      <c r="CT32">
        <v>87.328859060400006</v>
      </c>
      <c r="CU32">
        <v>102.8333333333</v>
      </c>
      <c r="CW32" t="s">
        <v>424</v>
      </c>
      <c r="CX32" t="s">
        <v>858</v>
      </c>
      <c r="CY32" t="s">
        <v>860</v>
      </c>
      <c r="CZ32">
        <v>14</v>
      </c>
      <c r="DA32">
        <v>0</v>
      </c>
      <c r="DB32">
        <v>49.857142857100001</v>
      </c>
      <c r="DC32">
        <v>41</v>
      </c>
      <c r="DD32">
        <v>1</v>
      </c>
      <c r="DE32">
        <v>143.0731707317</v>
      </c>
      <c r="DF32">
        <v>153</v>
      </c>
      <c r="DH32" t="s">
        <v>424</v>
      </c>
      <c r="DI32" t="s">
        <v>826</v>
      </c>
      <c r="DJ32" t="s">
        <v>828</v>
      </c>
      <c r="DK32">
        <v>19</v>
      </c>
      <c r="DL32">
        <v>2</v>
      </c>
      <c r="DM32">
        <v>62.052631578899998</v>
      </c>
      <c r="DN32">
        <v>26</v>
      </c>
      <c r="DO32">
        <v>1</v>
      </c>
      <c r="DP32">
        <v>125.26923076920001</v>
      </c>
      <c r="DQ32">
        <v>130</v>
      </c>
    </row>
    <row r="33" spans="2:121" x14ac:dyDescent="0.2">
      <c r="B33" t="s">
        <v>22</v>
      </c>
      <c r="C33">
        <v>211424</v>
      </c>
      <c r="D33">
        <v>64857</v>
      </c>
      <c r="F33" t="s">
        <v>70</v>
      </c>
      <c r="G33">
        <v>854</v>
      </c>
      <c r="H33">
        <v>137.4765807963</v>
      </c>
      <c r="I33">
        <v>2040</v>
      </c>
      <c r="J33">
        <v>462</v>
      </c>
      <c r="K33">
        <v>2823</v>
      </c>
      <c r="L33">
        <v>693</v>
      </c>
      <c r="M33">
        <v>1008</v>
      </c>
      <c r="N33">
        <v>274</v>
      </c>
      <c r="O33">
        <v>221</v>
      </c>
      <c r="P33">
        <v>131</v>
      </c>
      <c r="Q33">
        <v>0</v>
      </c>
      <c r="R33">
        <v>4</v>
      </c>
      <c r="AH33" t="s">
        <v>384</v>
      </c>
      <c r="AI33">
        <v>2538</v>
      </c>
      <c r="AJ33">
        <v>296.98226950349999</v>
      </c>
      <c r="AK33">
        <v>4427</v>
      </c>
      <c r="AL33">
        <v>1589</v>
      </c>
      <c r="AM33">
        <v>3960</v>
      </c>
      <c r="AN33">
        <v>2058</v>
      </c>
      <c r="AO33">
        <v>537</v>
      </c>
      <c r="AP33">
        <v>236</v>
      </c>
      <c r="AQ33">
        <v>2006</v>
      </c>
      <c r="AR33">
        <v>1181</v>
      </c>
      <c r="AS33">
        <v>488</v>
      </c>
      <c r="AT33">
        <v>7</v>
      </c>
      <c r="AV33" t="s">
        <v>436</v>
      </c>
      <c r="AW33">
        <v>173</v>
      </c>
      <c r="AX33">
        <v>46.502890173399997</v>
      </c>
      <c r="AY33">
        <v>455</v>
      </c>
      <c r="AZ33">
        <v>24</v>
      </c>
      <c r="BA33">
        <v>281</v>
      </c>
      <c r="BB33">
        <v>21</v>
      </c>
      <c r="BC33">
        <v>3</v>
      </c>
      <c r="BD33">
        <v>3</v>
      </c>
      <c r="BE33">
        <v>10</v>
      </c>
      <c r="BF33">
        <v>3</v>
      </c>
      <c r="BG33">
        <v>266</v>
      </c>
      <c r="BH33">
        <v>70</v>
      </c>
      <c r="BJ33" t="s">
        <v>639</v>
      </c>
      <c r="BK33" t="s">
        <v>379</v>
      </c>
      <c r="BL33">
        <v>1395</v>
      </c>
      <c r="BM33">
        <v>311</v>
      </c>
      <c r="BN33">
        <v>97.348387096799996</v>
      </c>
      <c r="BO33">
        <v>3175</v>
      </c>
      <c r="BP33">
        <v>197</v>
      </c>
      <c r="BQ33">
        <v>179.45448818899999</v>
      </c>
      <c r="BR33">
        <v>152.35025380709999</v>
      </c>
      <c r="BS33">
        <v>1595</v>
      </c>
      <c r="BT33">
        <v>467</v>
      </c>
      <c r="BU33">
        <v>117.82006269590001</v>
      </c>
      <c r="BV33">
        <v>3842</v>
      </c>
      <c r="BW33">
        <v>240</v>
      </c>
      <c r="BX33">
        <v>194.8555439875</v>
      </c>
      <c r="BY33">
        <v>183.01249999999999</v>
      </c>
      <c r="CA33" t="s">
        <v>426</v>
      </c>
      <c r="CB33" t="s">
        <v>873</v>
      </c>
      <c r="CC33" t="s">
        <v>1006</v>
      </c>
      <c r="CD33">
        <v>1460</v>
      </c>
      <c r="CE33">
        <v>228</v>
      </c>
      <c r="CF33">
        <v>82.128082191800004</v>
      </c>
      <c r="CG33">
        <v>3592</v>
      </c>
      <c r="CH33">
        <v>201</v>
      </c>
      <c r="CI33">
        <v>127.0361915367</v>
      </c>
      <c r="CJ33">
        <v>143.28855721389999</v>
      </c>
      <c r="CL33" t="s">
        <v>426</v>
      </c>
      <c r="CM33" t="s">
        <v>842</v>
      </c>
      <c r="CN33" t="s">
        <v>845</v>
      </c>
      <c r="CO33">
        <v>41</v>
      </c>
      <c r="CP33">
        <v>4</v>
      </c>
      <c r="CQ33">
        <v>58.8292682927</v>
      </c>
      <c r="CR33">
        <v>456</v>
      </c>
      <c r="CS33">
        <v>25</v>
      </c>
      <c r="CT33">
        <v>64.486842105299999</v>
      </c>
      <c r="CU33">
        <v>72.28</v>
      </c>
      <c r="CW33" t="s">
        <v>426</v>
      </c>
      <c r="CX33" t="s">
        <v>858</v>
      </c>
      <c r="CY33" t="s">
        <v>861</v>
      </c>
      <c r="CZ33">
        <v>17</v>
      </c>
      <c r="DA33">
        <v>2</v>
      </c>
      <c r="DB33">
        <v>64.647058823500004</v>
      </c>
      <c r="DC33">
        <v>58</v>
      </c>
      <c r="DD33">
        <v>2</v>
      </c>
      <c r="DE33">
        <v>129.87931034479999</v>
      </c>
      <c r="DF33">
        <v>137</v>
      </c>
      <c r="DH33" t="s">
        <v>426</v>
      </c>
      <c r="DI33" t="s">
        <v>826</v>
      </c>
      <c r="DJ33" t="s">
        <v>829</v>
      </c>
      <c r="DK33">
        <v>10</v>
      </c>
      <c r="DL33">
        <v>1</v>
      </c>
      <c r="DM33">
        <v>60.8</v>
      </c>
      <c r="DN33">
        <v>29</v>
      </c>
      <c r="DO33">
        <v>0</v>
      </c>
      <c r="DP33">
        <v>122.82758620689999</v>
      </c>
      <c r="DQ33">
        <v>0</v>
      </c>
    </row>
    <row r="34" spans="2:121" x14ac:dyDescent="0.2">
      <c r="B34" t="s">
        <v>92</v>
      </c>
      <c r="C34">
        <v>23</v>
      </c>
      <c r="F34" t="s">
        <v>40</v>
      </c>
      <c r="G34">
        <v>6728</v>
      </c>
      <c r="H34">
        <v>513.01055291319994</v>
      </c>
      <c r="I34">
        <v>7249</v>
      </c>
      <c r="J34">
        <v>2588</v>
      </c>
      <c r="K34">
        <v>8395</v>
      </c>
      <c r="L34">
        <v>6429</v>
      </c>
      <c r="M34">
        <v>1389</v>
      </c>
      <c r="N34">
        <v>1302</v>
      </c>
      <c r="O34">
        <v>2807</v>
      </c>
      <c r="P34">
        <v>2320</v>
      </c>
      <c r="Q34">
        <v>1</v>
      </c>
      <c r="R34">
        <v>289</v>
      </c>
      <c r="AH34" t="s">
        <v>415</v>
      </c>
      <c r="AI34">
        <v>2005</v>
      </c>
      <c r="AJ34">
        <v>214.2798004988</v>
      </c>
      <c r="AK34">
        <v>3273</v>
      </c>
      <c r="AL34">
        <v>1078</v>
      </c>
      <c r="AM34">
        <v>2810</v>
      </c>
      <c r="AN34">
        <v>1297</v>
      </c>
      <c r="AO34">
        <v>232</v>
      </c>
      <c r="AP34">
        <v>150</v>
      </c>
      <c r="AQ34">
        <v>644</v>
      </c>
      <c r="AR34">
        <v>336</v>
      </c>
      <c r="AS34">
        <v>3</v>
      </c>
      <c r="AT34">
        <v>17</v>
      </c>
      <c r="AV34" t="s">
        <v>382</v>
      </c>
      <c r="AW34">
        <v>52</v>
      </c>
      <c r="AX34">
        <v>84.230769230799993</v>
      </c>
      <c r="AY34">
        <v>110</v>
      </c>
      <c r="AZ34">
        <v>26</v>
      </c>
      <c r="BA34">
        <v>91</v>
      </c>
      <c r="BB34">
        <v>14</v>
      </c>
      <c r="BC34">
        <v>5</v>
      </c>
      <c r="BD34">
        <v>5</v>
      </c>
      <c r="BE34">
        <v>41</v>
      </c>
      <c r="BF34">
        <v>2</v>
      </c>
      <c r="BG34">
        <v>18</v>
      </c>
      <c r="BH34">
        <v>24</v>
      </c>
      <c r="BJ34" t="s">
        <v>535</v>
      </c>
      <c r="BK34" t="s">
        <v>379</v>
      </c>
      <c r="BL34">
        <v>4965</v>
      </c>
      <c r="BM34">
        <v>1793</v>
      </c>
      <c r="BN34">
        <v>126.04209466259999</v>
      </c>
      <c r="BO34">
        <v>13429</v>
      </c>
      <c r="BP34">
        <v>780</v>
      </c>
      <c r="BQ34">
        <v>208.01712711299999</v>
      </c>
      <c r="BR34">
        <v>178.96410256409999</v>
      </c>
      <c r="BS34">
        <v>4427</v>
      </c>
      <c r="BT34">
        <v>1250</v>
      </c>
      <c r="BU34">
        <v>102.6814998871</v>
      </c>
      <c r="BV34">
        <v>11337</v>
      </c>
      <c r="BW34">
        <v>660</v>
      </c>
      <c r="BX34">
        <v>196.51195201549999</v>
      </c>
      <c r="BY34">
        <v>155.98484848480001</v>
      </c>
      <c r="CA34" t="s">
        <v>386</v>
      </c>
      <c r="CB34" t="s">
        <v>873</v>
      </c>
      <c r="CC34" t="s">
        <v>1007</v>
      </c>
      <c r="CD34">
        <v>5793</v>
      </c>
      <c r="CE34">
        <v>2132</v>
      </c>
      <c r="CF34">
        <v>138.72466770240001</v>
      </c>
      <c r="CG34">
        <v>17105</v>
      </c>
      <c r="CH34">
        <v>1123</v>
      </c>
      <c r="CI34">
        <v>239.51160479390001</v>
      </c>
      <c r="CJ34">
        <v>190.80320569899999</v>
      </c>
      <c r="CL34" t="s">
        <v>386</v>
      </c>
      <c r="CM34" t="s">
        <v>842</v>
      </c>
      <c r="CN34" t="s">
        <v>846</v>
      </c>
      <c r="CO34">
        <v>218</v>
      </c>
      <c r="CP34">
        <v>34</v>
      </c>
      <c r="CQ34">
        <v>81.064220183499998</v>
      </c>
      <c r="CR34">
        <v>1542</v>
      </c>
      <c r="CS34">
        <v>107</v>
      </c>
      <c r="CT34">
        <v>86.5713359274</v>
      </c>
      <c r="CU34">
        <v>93.317757009299996</v>
      </c>
      <c r="CW34" t="s">
        <v>386</v>
      </c>
      <c r="CX34" t="s">
        <v>858</v>
      </c>
      <c r="CY34" t="s">
        <v>862</v>
      </c>
      <c r="CZ34">
        <v>210</v>
      </c>
      <c r="DA34">
        <v>30</v>
      </c>
      <c r="DB34">
        <v>73.161904761900004</v>
      </c>
      <c r="DC34">
        <v>451</v>
      </c>
      <c r="DD34">
        <v>16</v>
      </c>
      <c r="DE34">
        <v>144.1152993348</v>
      </c>
      <c r="DF34">
        <v>142.4375</v>
      </c>
      <c r="DH34" t="s">
        <v>386</v>
      </c>
      <c r="DI34" t="s">
        <v>826</v>
      </c>
      <c r="DJ34" t="s">
        <v>830</v>
      </c>
      <c r="DK34">
        <v>261</v>
      </c>
      <c r="DL34">
        <v>46</v>
      </c>
      <c r="DM34">
        <v>75.383141762500003</v>
      </c>
      <c r="DN34">
        <v>526</v>
      </c>
      <c r="DO34">
        <v>30</v>
      </c>
      <c r="DP34">
        <v>149.7965779468</v>
      </c>
      <c r="DQ34">
        <v>156.30000000000001</v>
      </c>
    </row>
    <row r="35" spans="2:121" x14ac:dyDescent="0.2">
      <c r="B35" t="s">
        <v>105</v>
      </c>
      <c r="C35">
        <v>731</v>
      </c>
      <c r="D35">
        <v>652</v>
      </c>
      <c r="F35" t="s">
        <v>74</v>
      </c>
      <c r="G35">
        <v>9182</v>
      </c>
      <c r="H35">
        <v>305.12045306030001</v>
      </c>
      <c r="I35">
        <v>12197</v>
      </c>
      <c r="J35">
        <v>2574</v>
      </c>
      <c r="K35">
        <v>16557</v>
      </c>
      <c r="L35">
        <v>7226</v>
      </c>
      <c r="M35">
        <v>1776</v>
      </c>
      <c r="N35">
        <v>1197</v>
      </c>
      <c r="O35">
        <v>1935</v>
      </c>
      <c r="P35">
        <v>1362</v>
      </c>
      <c r="Q35">
        <v>0</v>
      </c>
      <c r="R35">
        <v>66</v>
      </c>
      <c r="AH35" t="s">
        <v>63</v>
      </c>
      <c r="AI35">
        <v>5821</v>
      </c>
      <c r="AJ35">
        <v>255.91272977150001</v>
      </c>
      <c r="AK35">
        <v>10012</v>
      </c>
      <c r="AL35">
        <v>3393</v>
      </c>
      <c r="AM35">
        <v>9068</v>
      </c>
      <c r="AN35">
        <v>4624</v>
      </c>
      <c r="AO35">
        <v>1684</v>
      </c>
      <c r="AP35">
        <v>949</v>
      </c>
      <c r="AQ35">
        <v>1484</v>
      </c>
      <c r="AR35">
        <v>811</v>
      </c>
      <c r="AS35">
        <v>852</v>
      </c>
      <c r="AT35">
        <v>17</v>
      </c>
      <c r="AV35" t="s">
        <v>405</v>
      </c>
      <c r="AW35">
        <v>567</v>
      </c>
      <c r="AX35">
        <v>57.181657848299999</v>
      </c>
      <c r="AY35">
        <v>795</v>
      </c>
      <c r="AZ35">
        <v>76</v>
      </c>
      <c r="BA35">
        <v>895</v>
      </c>
      <c r="BB35">
        <v>90</v>
      </c>
      <c r="BC35">
        <v>5</v>
      </c>
      <c r="BD35">
        <v>5</v>
      </c>
      <c r="BE35">
        <v>57</v>
      </c>
      <c r="BF35">
        <v>11</v>
      </c>
      <c r="BG35">
        <v>490</v>
      </c>
      <c r="BH35">
        <v>67</v>
      </c>
      <c r="BJ35" t="s">
        <v>541</v>
      </c>
      <c r="BK35" t="s">
        <v>379</v>
      </c>
      <c r="BL35">
        <v>2895</v>
      </c>
      <c r="BM35">
        <v>877</v>
      </c>
      <c r="BN35">
        <v>105.6956822107</v>
      </c>
      <c r="BO35">
        <v>5863</v>
      </c>
      <c r="BP35">
        <v>395</v>
      </c>
      <c r="BQ35">
        <v>166.53402694869999</v>
      </c>
      <c r="BR35">
        <v>148.59493670890001</v>
      </c>
      <c r="BS35">
        <v>2545</v>
      </c>
      <c r="BT35">
        <v>783</v>
      </c>
      <c r="BU35">
        <v>103.04125736739999</v>
      </c>
      <c r="BV35">
        <v>6089</v>
      </c>
      <c r="BW35">
        <v>374</v>
      </c>
      <c r="BX35">
        <v>167.71965840039999</v>
      </c>
      <c r="BY35">
        <v>149.58556149730001</v>
      </c>
      <c r="CA35" t="s">
        <v>381</v>
      </c>
      <c r="CB35" t="s">
        <v>873</v>
      </c>
      <c r="CC35" t="s">
        <v>1008</v>
      </c>
      <c r="CD35">
        <v>4606</v>
      </c>
      <c r="CE35">
        <v>1346</v>
      </c>
      <c r="CF35">
        <v>114.52909248810001</v>
      </c>
      <c r="CG35">
        <v>12156</v>
      </c>
      <c r="CH35">
        <v>648</v>
      </c>
      <c r="CI35">
        <v>199.74679170780001</v>
      </c>
      <c r="CJ35">
        <v>180.4074074074</v>
      </c>
      <c r="CL35" t="s">
        <v>381</v>
      </c>
      <c r="CM35" t="s">
        <v>842</v>
      </c>
      <c r="CN35" t="s">
        <v>847</v>
      </c>
      <c r="CO35">
        <v>173</v>
      </c>
      <c r="CP35">
        <v>22</v>
      </c>
      <c r="CQ35">
        <v>73.924855491299994</v>
      </c>
      <c r="CR35">
        <v>1348</v>
      </c>
      <c r="CS35">
        <v>64</v>
      </c>
      <c r="CT35">
        <v>70.236646884300001</v>
      </c>
      <c r="CU35">
        <v>78.65625</v>
      </c>
      <c r="CW35" t="s">
        <v>381</v>
      </c>
      <c r="CX35" t="s">
        <v>858</v>
      </c>
      <c r="CY35" t="s">
        <v>863</v>
      </c>
      <c r="CZ35">
        <v>83</v>
      </c>
      <c r="DA35">
        <v>8</v>
      </c>
      <c r="DB35">
        <v>60.855421686699998</v>
      </c>
      <c r="DC35">
        <v>182</v>
      </c>
      <c r="DD35">
        <v>9</v>
      </c>
      <c r="DE35">
        <v>132.30769230769999</v>
      </c>
      <c r="DF35">
        <v>152.1111111111</v>
      </c>
      <c r="DH35" t="s">
        <v>381</v>
      </c>
      <c r="DI35" t="s">
        <v>826</v>
      </c>
      <c r="DJ35" t="s">
        <v>831</v>
      </c>
      <c r="DK35">
        <v>34</v>
      </c>
      <c r="DL35">
        <v>6</v>
      </c>
      <c r="DM35">
        <v>72.029411764700001</v>
      </c>
      <c r="DN35">
        <v>109</v>
      </c>
      <c r="DO35">
        <v>4</v>
      </c>
      <c r="DP35">
        <v>159.46788990830001</v>
      </c>
      <c r="DQ35">
        <v>70.25</v>
      </c>
    </row>
    <row r="36" spans="2:121" x14ac:dyDescent="0.2">
      <c r="B36" t="s">
        <v>98</v>
      </c>
      <c r="C36">
        <v>521</v>
      </c>
      <c r="D36">
        <v>419</v>
      </c>
      <c r="F36" t="s">
        <v>85</v>
      </c>
      <c r="G36">
        <v>845</v>
      </c>
      <c r="H36">
        <v>306.6792899408</v>
      </c>
      <c r="I36">
        <v>855</v>
      </c>
      <c r="J36">
        <v>301</v>
      </c>
      <c r="K36">
        <v>934</v>
      </c>
      <c r="L36">
        <v>427</v>
      </c>
      <c r="M36">
        <v>14</v>
      </c>
      <c r="N36">
        <v>12</v>
      </c>
      <c r="O36">
        <v>396</v>
      </c>
      <c r="P36">
        <v>158</v>
      </c>
      <c r="Q36">
        <v>0</v>
      </c>
      <c r="R36">
        <v>0</v>
      </c>
      <c r="T36" t="s">
        <v>663</v>
      </c>
      <c r="U36" t="s">
        <v>315</v>
      </c>
      <c r="V36" t="s">
        <v>139</v>
      </c>
      <c r="W36" t="s">
        <v>222</v>
      </c>
      <c r="X36" t="s">
        <v>469</v>
      </c>
      <c r="Y36" t="s">
        <v>224</v>
      </c>
      <c r="Z36" t="s">
        <v>225</v>
      </c>
      <c r="AA36" t="s">
        <v>226</v>
      </c>
      <c r="AB36" t="s">
        <v>470</v>
      </c>
      <c r="AC36" t="s">
        <v>228</v>
      </c>
      <c r="AD36" t="s">
        <v>229</v>
      </c>
      <c r="AE36" t="s">
        <v>230</v>
      </c>
      <c r="AF36" t="s">
        <v>231</v>
      </c>
      <c r="AH36" t="s">
        <v>392</v>
      </c>
      <c r="AI36">
        <v>15894</v>
      </c>
      <c r="AJ36">
        <v>347.33849251290002</v>
      </c>
      <c r="AK36">
        <v>18976</v>
      </c>
      <c r="AL36">
        <v>6683</v>
      </c>
      <c r="AM36">
        <v>21528</v>
      </c>
      <c r="AN36">
        <v>13907</v>
      </c>
      <c r="AO36">
        <v>4214</v>
      </c>
      <c r="AP36">
        <v>3395</v>
      </c>
      <c r="AQ36">
        <v>8108</v>
      </c>
      <c r="AR36">
        <v>4338</v>
      </c>
      <c r="AS36">
        <v>718</v>
      </c>
      <c r="AT36">
        <v>40</v>
      </c>
      <c r="AV36" t="s">
        <v>393</v>
      </c>
      <c r="AW36">
        <v>730</v>
      </c>
      <c r="AX36">
        <v>93.576712328799999</v>
      </c>
      <c r="AY36">
        <v>626</v>
      </c>
      <c r="AZ36">
        <v>107</v>
      </c>
      <c r="BA36">
        <v>1174</v>
      </c>
      <c r="BB36">
        <v>339</v>
      </c>
      <c r="BC36">
        <v>22</v>
      </c>
      <c r="BD36">
        <v>20</v>
      </c>
      <c r="BE36">
        <v>295</v>
      </c>
      <c r="BF36">
        <v>42</v>
      </c>
      <c r="BG36">
        <v>119</v>
      </c>
      <c r="BH36">
        <v>221</v>
      </c>
      <c r="BJ36" t="s">
        <v>379</v>
      </c>
      <c r="BK36" t="s">
        <v>379</v>
      </c>
      <c r="BL36">
        <v>74994</v>
      </c>
      <c r="BM36">
        <v>25122</v>
      </c>
      <c r="BN36">
        <v>122.1863615756</v>
      </c>
      <c r="BO36">
        <v>207537</v>
      </c>
      <c r="BP36">
        <v>11619</v>
      </c>
      <c r="BQ36">
        <v>196.5260507765</v>
      </c>
      <c r="BR36">
        <v>168.82597469660001</v>
      </c>
      <c r="BS36">
        <v>74792</v>
      </c>
      <c r="BT36">
        <v>25337</v>
      </c>
      <c r="BU36">
        <v>121.324580169</v>
      </c>
      <c r="BV36">
        <v>205123</v>
      </c>
      <c r="BW36">
        <v>11669</v>
      </c>
      <c r="BX36">
        <v>193.72769509029999</v>
      </c>
      <c r="BY36">
        <v>168.5094695347</v>
      </c>
      <c r="CA36" t="s">
        <v>425</v>
      </c>
      <c r="CB36" t="s">
        <v>873</v>
      </c>
      <c r="CC36" t="s">
        <v>1009</v>
      </c>
      <c r="CD36">
        <v>1355</v>
      </c>
      <c r="CE36">
        <v>345</v>
      </c>
      <c r="CF36">
        <v>102.08044280439999</v>
      </c>
      <c r="CG36">
        <v>3301</v>
      </c>
      <c r="CH36">
        <v>184</v>
      </c>
      <c r="CI36">
        <v>176.90184792490001</v>
      </c>
      <c r="CJ36">
        <v>147.78260869569999</v>
      </c>
      <c r="CL36" t="s">
        <v>425</v>
      </c>
      <c r="CM36" t="s">
        <v>842</v>
      </c>
      <c r="CN36" t="s">
        <v>848</v>
      </c>
      <c r="CO36">
        <v>56</v>
      </c>
      <c r="CP36">
        <v>3</v>
      </c>
      <c r="CQ36">
        <v>62.142857142899999</v>
      </c>
      <c r="CR36">
        <v>385</v>
      </c>
      <c r="CS36">
        <v>26</v>
      </c>
      <c r="CT36">
        <v>73.945454545499999</v>
      </c>
      <c r="CU36">
        <v>65.576923076900002</v>
      </c>
      <c r="CW36" t="s">
        <v>425</v>
      </c>
      <c r="CX36" t="s">
        <v>858</v>
      </c>
      <c r="CY36" t="s">
        <v>864</v>
      </c>
      <c r="CZ36">
        <v>18</v>
      </c>
      <c r="DA36">
        <v>1</v>
      </c>
      <c r="DB36">
        <v>70.777777777799997</v>
      </c>
      <c r="DC36">
        <v>53</v>
      </c>
      <c r="DD36">
        <v>3</v>
      </c>
      <c r="DE36">
        <v>124.49056603770001</v>
      </c>
      <c r="DF36">
        <v>224.6666666667</v>
      </c>
      <c r="DH36" t="s">
        <v>425</v>
      </c>
      <c r="DI36" t="s">
        <v>826</v>
      </c>
      <c r="DJ36" t="s">
        <v>832</v>
      </c>
      <c r="DK36">
        <v>15</v>
      </c>
      <c r="DL36">
        <v>2</v>
      </c>
      <c r="DM36">
        <v>77.866666666699999</v>
      </c>
      <c r="DN36">
        <v>23</v>
      </c>
      <c r="DO36">
        <v>0</v>
      </c>
      <c r="DP36">
        <v>159.0434782609</v>
      </c>
      <c r="DQ36">
        <v>0</v>
      </c>
    </row>
    <row r="37" spans="2:121" x14ac:dyDescent="0.2">
      <c r="B37" t="s">
        <v>121</v>
      </c>
      <c r="C37">
        <v>3758</v>
      </c>
      <c r="D37">
        <v>746</v>
      </c>
      <c r="F37" t="s">
        <v>50</v>
      </c>
      <c r="G37">
        <v>2296</v>
      </c>
      <c r="H37">
        <v>219.31533101049999</v>
      </c>
      <c r="I37">
        <v>2348</v>
      </c>
      <c r="J37">
        <v>590</v>
      </c>
      <c r="K37">
        <v>3551</v>
      </c>
      <c r="L37">
        <v>1862</v>
      </c>
      <c r="M37">
        <v>248</v>
      </c>
      <c r="N37">
        <v>226</v>
      </c>
      <c r="O37">
        <v>1056</v>
      </c>
      <c r="P37">
        <v>789</v>
      </c>
      <c r="Q37">
        <v>2</v>
      </c>
      <c r="R37">
        <v>17</v>
      </c>
      <c r="T37" t="s">
        <v>400</v>
      </c>
      <c r="U37">
        <v>3195</v>
      </c>
      <c r="V37">
        <v>55.285446009399998</v>
      </c>
      <c r="W37">
        <v>4510</v>
      </c>
      <c r="X37">
        <v>333</v>
      </c>
      <c r="Y37">
        <v>5036</v>
      </c>
      <c r="Z37">
        <v>433</v>
      </c>
      <c r="AA37">
        <v>33</v>
      </c>
      <c r="AB37">
        <v>32</v>
      </c>
      <c r="AC37">
        <v>298</v>
      </c>
      <c r="AD37">
        <v>86</v>
      </c>
      <c r="AE37">
        <v>3615</v>
      </c>
      <c r="AF37">
        <v>442</v>
      </c>
      <c r="AH37" t="s">
        <v>429</v>
      </c>
      <c r="AI37">
        <v>245</v>
      </c>
      <c r="AJ37">
        <v>227.28979591839999</v>
      </c>
      <c r="AK37">
        <v>702</v>
      </c>
      <c r="AL37">
        <v>176</v>
      </c>
      <c r="AM37">
        <v>786</v>
      </c>
      <c r="AN37">
        <v>159</v>
      </c>
      <c r="AO37">
        <v>69</v>
      </c>
      <c r="AP37">
        <v>45</v>
      </c>
      <c r="AQ37">
        <v>92</v>
      </c>
      <c r="AR37">
        <v>37</v>
      </c>
      <c r="AS37">
        <v>0</v>
      </c>
      <c r="AT37">
        <v>1</v>
      </c>
      <c r="AV37" t="s">
        <v>401</v>
      </c>
      <c r="AW37">
        <v>665</v>
      </c>
      <c r="AX37">
        <v>63.007518797000003</v>
      </c>
      <c r="AY37">
        <v>933</v>
      </c>
      <c r="AZ37">
        <v>84</v>
      </c>
      <c r="BA37">
        <v>1083</v>
      </c>
      <c r="BB37">
        <v>127</v>
      </c>
      <c r="BC37">
        <v>11</v>
      </c>
      <c r="BD37">
        <v>11</v>
      </c>
      <c r="BE37">
        <v>63</v>
      </c>
      <c r="BF37">
        <v>16</v>
      </c>
      <c r="BG37">
        <v>525</v>
      </c>
      <c r="BH37">
        <v>69</v>
      </c>
      <c r="BJ37" t="s">
        <v>543</v>
      </c>
      <c r="BK37" t="s">
        <v>379</v>
      </c>
      <c r="BL37">
        <v>7800</v>
      </c>
      <c r="BM37">
        <v>3214</v>
      </c>
      <c r="BN37">
        <v>141.79179487179999</v>
      </c>
      <c r="BO37">
        <v>23746</v>
      </c>
      <c r="BP37">
        <v>1122</v>
      </c>
      <c r="BQ37">
        <v>233.89033942559999</v>
      </c>
      <c r="BR37">
        <v>186.20320855610001</v>
      </c>
      <c r="BS37">
        <v>8205</v>
      </c>
      <c r="BT37">
        <v>3478</v>
      </c>
      <c r="BU37">
        <v>143.05496648389999</v>
      </c>
      <c r="BV37">
        <v>24261</v>
      </c>
      <c r="BW37">
        <v>1190</v>
      </c>
      <c r="BX37">
        <v>232.26148963360001</v>
      </c>
      <c r="BY37">
        <v>186.3672268908</v>
      </c>
      <c r="CA37" t="s">
        <v>384</v>
      </c>
      <c r="CB37" t="s">
        <v>873</v>
      </c>
      <c r="CC37" t="s">
        <v>1010</v>
      </c>
      <c r="CD37">
        <v>4433</v>
      </c>
      <c r="CE37">
        <v>1561</v>
      </c>
      <c r="CF37">
        <v>121.91021881339999</v>
      </c>
      <c r="CG37">
        <v>10964</v>
      </c>
      <c r="CH37">
        <v>622</v>
      </c>
      <c r="CI37">
        <v>194.36227654140001</v>
      </c>
      <c r="CJ37">
        <v>170.2636655949</v>
      </c>
      <c r="CL37" t="s">
        <v>384</v>
      </c>
      <c r="CM37" t="s">
        <v>842</v>
      </c>
      <c r="CN37" t="s">
        <v>849</v>
      </c>
      <c r="CO37">
        <v>219</v>
      </c>
      <c r="CP37">
        <v>39</v>
      </c>
      <c r="CQ37">
        <v>72.205479452099993</v>
      </c>
      <c r="CR37">
        <v>1709</v>
      </c>
      <c r="CS37">
        <v>98</v>
      </c>
      <c r="CT37">
        <v>78.533060269200007</v>
      </c>
      <c r="CU37">
        <v>74.091836734699996</v>
      </c>
      <c r="CW37" t="s">
        <v>384</v>
      </c>
      <c r="CX37" t="s">
        <v>858</v>
      </c>
      <c r="CY37" t="s">
        <v>865</v>
      </c>
      <c r="CZ37">
        <v>83</v>
      </c>
      <c r="DA37">
        <v>9</v>
      </c>
      <c r="DB37">
        <v>72.253012048200006</v>
      </c>
      <c r="DC37">
        <v>179</v>
      </c>
      <c r="DD37">
        <v>9</v>
      </c>
      <c r="DE37">
        <v>140.12849162009999</v>
      </c>
      <c r="DF37">
        <v>146.1111111111</v>
      </c>
      <c r="DH37" t="s">
        <v>384</v>
      </c>
      <c r="DI37" t="s">
        <v>826</v>
      </c>
      <c r="DJ37" t="s">
        <v>833</v>
      </c>
      <c r="DK37">
        <v>59</v>
      </c>
      <c r="DL37">
        <v>4</v>
      </c>
      <c r="DM37">
        <v>65.203389830500001</v>
      </c>
      <c r="DN37">
        <v>153</v>
      </c>
      <c r="DO37">
        <v>5</v>
      </c>
      <c r="DP37">
        <v>144.3267973856</v>
      </c>
      <c r="DQ37">
        <v>103.6</v>
      </c>
    </row>
    <row r="38" spans="2:121" x14ac:dyDescent="0.2">
      <c r="B38" t="s">
        <v>102</v>
      </c>
      <c r="C38">
        <v>16749</v>
      </c>
      <c r="D38">
        <v>2780</v>
      </c>
      <c r="F38" t="s">
        <v>55</v>
      </c>
      <c r="G38">
        <v>7737</v>
      </c>
      <c r="H38">
        <v>415.4360863384</v>
      </c>
      <c r="I38">
        <v>10814</v>
      </c>
      <c r="J38">
        <v>4268</v>
      </c>
      <c r="K38">
        <v>9298</v>
      </c>
      <c r="L38">
        <v>6897</v>
      </c>
      <c r="M38">
        <v>1008</v>
      </c>
      <c r="N38">
        <v>906</v>
      </c>
      <c r="O38">
        <v>5332</v>
      </c>
      <c r="P38">
        <v>3756</v>
      </c>
      <c r="Q38">
        <v>3</v>
      </c>
      <c r="R38">
        <v>36</v>
      </c>
      <c r="T38" t="s">
        <v>390</v>
      </c>
      <c r="U38">
        <v>6740</v>
      </c>
      <c r="V38">
        <v>88.644362017800006</v>
      </c>
      <c r="W38">
        <v>5630</v>
      </c>
      <c r="X38">
        <v>922</v>
      </c>
      <c r="Y38">
        <v>10576</v>
      </c>
      <c r="Z38">
        <v>2539</v>
      </c>
      <c r="AA38">
        <v>233</v>
      </c>
      <c r="AB38">
        <v>220</v>
      </c>
      <c r="AC38">
        <v>2009</v>
      </c>
      <c r="AD38">
        <v>320</v>
      </c>
      <c r="AE38">
        <v>1721</v>
      </c>
      <c r="AF38">
        <v>1384</v>
      </c>
      <c r="AH38" t="s">
        <v>401</v>
      </c>
      <c r="AI38">
        <v>10381</v>
      </c>
      <c r="AJ38">
        <v>501.70224448509998</v>
      </c>
      <c r="AK38">
        <v>8538</v>
      </c>
      <c r="AL38">
        <v>2594</v>
      </c>
      <c r="AM38">
        <v>13868</v>
      </c>
      <c r="AN38">
        <v>10692</v>
      </c>
      <c r="AO38">
        <v>1631</v>
      </c>
      <c r="AP38">
        <v>1562</v>
      </c>
      <c r="AQ38">
        <v>4596</v>
      </c>
      <c r="AR38">
        <v>3489</v>
      </c>
      <c r="AS38">
        <v>47</v>
      </c>
      <c r="AT38">
        <v>345</v>
      </c>
      <c r="AV38" t="s">
        <v>406</v>
      </c>
      <c r="AW38">
        <v>293</v>
      </c>
      <c r="AX38">
        <v>55.133105802000003</v>
      </c>
      <c r="AY38">
        <v>273</v>
      </c>
      <c r="AZ38">
        <v>18</v>
      </c>
      <c r="BA38">
        <v>426</v>
      </c>
      <c r="BB38">
        <v>31</v>
      </c>
      <c r="BC38">
        <v>2</v>
      </c>
      <c r="BD38">
        <v>2</v>
      </c>
      <c r="BE38">
        <v>19</v>
      </c>
      <c r="BF38">
        <v>4</v>
      </c>
      <c r="BG38">
        <v>325</v>
      </c>
      <c r="BH38">
        <v>23</v>
      </c>
      <c r="BJ38" t="s">
        <v>546</v>
      </c>
      <c r="BK38" t="s">
        <v>379</v>
      </c>
      <c r="BL38">
        <v>4749</v>
      </c>
      <c r="BM38">
        <v>1781</v>
      </c>
      <c r="BN38">
        <v>140.4946304485</v>
      </c>
      <c r="BO38">
        <v>10821</v>
      </c>
      <c r="BP38">
        <v>509</v>
      </c>
      <c r="BQ38">
        <v>211.59513908139999</v>
      </c>
      <c r="BR38">
        <v>194.7485265226</v>
      </c>
      <c r="BS38">
        <v>4979</v>
      </c>
      <c r="BT38">
        <v>1764</v>
      </c>
      <c r="BU38">
        <v>133.9509941755</v>
      </c>
      <c r="BV38">
        <v>9411</v>
      </c>
      <c r="BW38">
        <v>480</v>
      </c>
      <c r="BX38">
        <v>207.66018489000001</v>
      </c>
      <c r="BY38">
        <v>188.43125000000001</v>
      </c>
      <c r="CA38" t="s">
        <v>63</v>
      </c>
      <c r="CB38" t="s">
        <v>873</v>
      </c>
      <c r="CC38" t="s">
        <v>535</v>
      </c>
      <c r="CD38">
        <v>9877</v>
      </c>
      <c r="CE38">
        <v>3320</v>
      </c>
      <c r="CF38">
        <v>121.7850561912</v>
      </c>
      <c r="CG38">
        <v>25877</v>
      </c>
      <c r="CH38">
        <v>1437</v>
      </c>
      <c r="CI38">
        <v>202.0425087916</v>
      </c>
      <c r="CJ38">
        <v>183.70146137789999</v>
      </c>
      <c r="CL38" t="s">
        <v>63</v>
      </c>
      <c r="CM38" t="s">
        <v>842</v>
      </c>
      <c r="CN38" t="s">
        <v>850</v>
      </c>
      <c r="CO38">
        <v>578</v>
      </c>
      <c r="CP38">
        <v>74</v>
      </c>
      <c r="CQ38">
        <v>69.671280276800005</v>
      </c>
      <c r="CR38">
        <v>4040</v>
      </c>
      <c r="CS38">
        <v>236</v>
      </c>
      <c r="CT38">
        <v>70.152475247500007</v>
      </c>
      <c r="CU38">
        <v>76.322033898300006</v>
      </c>
      <c r="CW38" t="s">
        <v>63</v>
      </c>
      <c r="CX38" t="s">
        <v>858</v>
      </c>
      <c r="CY38" t="s">
        <v>866</v>
      </c>
      <c r="CZ38">
        <v>210</v>
      </c>
      <c r="DA38">
        <v>34</v>
      </c>
      <c r="DB38">
        <v>72.761904761899999</v>
      </c>
      <c r="DC38">
        <v>445</v>
      </c>
      <c r="DD38">
        <v>26</v>
      </c>
      <c r="DE38">
        <v>136.80000000000001</v>
      </c>
      <c r="DF38">
        <v>121.30769230769999</v>
      </c>
      <c r="DH38" t="s">
        <v>63</v>
      </c>
      <c r="DI38" t="s">
        <v>826</v>
      </c>
      <c r="DJ38" t="s">
        <v>834</v>
      </c>
      <c r="DK38">
        <v>130</v>
      </c>
      <c r="DL38">
        <v>17</v>
      </c>
      <c r="DM38">
        <v>75.599999999999994</v>
      </c>
      <c r="DN38">
        <v>368</v>
      </c>
      <c r="DO38">
        <v>16</v>
      </c>
      <c r="DP38">
        <v>151.0434782609</v>
      </c>
      <c r="DQ38">
        <v>134.8125</v>
      </c>
    </row>
    <row r="39" spans="2:121" x14ac:dyDescent="0.2">
      <c r="B39" t="s">
        <v>130</v>
      </c>
      <c r="C39">
        <v>4754</v>
      </c>
      <c r="D39">
        <v>683</v>
      </c>
      <c r="F39" t="s">
        <v>63</v>
      </c>
      <c r="G39">
        <v>3444</v>
      </c>
      <c r="H39">
        <v>250.8850174216</v>
      </c>
      <c r="I39">
        <v>4796</v>
      </c>
      <c r="J39">
        <v>1783</v>
      </c>
      <c r="K39">
        <v>5202</v>
      </c>
      <c r="L39">
        <v>2885</v>
      </c>
      <c r="M39">
        <v>1468</v>
      </c>
      <c r="N39">
        <v>857</v>
      </c>
      <c r="O39">
        <v>299</v>
      </c>
      <c r="P39">
        <v>214</v>
      </c>
      <c r="Q39">
        <v>0</v>
      </c>
      <c r="R39">
        <v>11</v>
      </c>
      <c r="T39" t="s">
        <v>379</v>
      </c>
      <c r="U39">
        <v>6015</v>
      </c>
      <c r="V39">
        <v>92.290108063199995</v>
      </c>
      <c r="W39">
        <v>6540</v>
      </c>
      <c r="X39">
        <v>1150</v>
      </c>
      <c r="Y39">
        <v>9743</v>
      </c>
      <c r="Z39">
        <v>2573</v>
      </c>
      <c r="AA39">
        <v>424</v>
      </c>
      <c r="AB39">
        <v>414</v>
      </c>
      <c r="AC39">
        <v>3124</v>
      </c>
      <c r="AD39">
        <v>464</v>
      </c>
      <c r="AE39">
        <v>920</v>
      </c>
      <c r="AF39">
        <v>1898</v>
      </c>
      <c r="AH39" t="s">
        <v>422</v>
      </c>
      <c r="AI39">
        <v>5090</v>
      </c>
      <c r="AJ39">
        <v>268.84931237720002</v>
      </c>
      <c r="AK39">
        <v>7447</v>
      </c>
      <c r="AL39">
        <v>2045</v>
      </c>
      <c r="AM39">
        <v>7874</v>
      </c>
      <c r="AN39">
        <v>3520</v>
      </c>
      <c r="AO39">
        <v>1212</v>
      </c>
      <c r="AP39">
        <v>603</v>
      </c>
      <c r="AQ39">
        <v>1080</v>
      </c>
      <c r="AR39">
        <v>426</v>
      </c>
      <c r="AS39">
        <v>8</v>
      </c>
      <c r="AT39">
        <v>66</v>
      </c>
      <c r="AV39" t="s">
        <v>424</v>
      </c>
      <c r="AW39">
        <v>32</v>
      </c>
      <c r="AX39">
        <v>82.5625</v>
      </c>
      <c r="AY39">
        <v>27</v>
      </c>
      <c r="AZ39">
        <v>6</v>
      </c>
      <c r="BA39">
        <v>51</v>
      </c>
      <c r="BB39">
        <v>11</v>
      </c>
      <c r="BC39">
        <v>3</v>
      </c>
      <c r="BD39">
        <v>3</v>
      </c>
      <c r="BE39">
        <v>19</v>
      </c>
      <c r="BF39">
        <v>2</v>
      </c>
      <c r="BG39">
        <v>7</v>
      </c>
      <c r="BH39">
        <v>11</v>
      </c>
      <c r="BJ39" t="s">
        <v>531</v>
      </c>
      <c r="BK39" t="s">
        <v>379</v>
      </c>
      <c r="BL39">
        <v>2245</v>
      </c>
      <c r="BM39">
        <v>466</v>
      </c>
      <c r="BN39">
        <v>85.278841870799994</v>
      </c>
      <c r="BO39">
        <v>19360</v>
      </c>
      <c r="BP39">
        <v>978</v>
      </c>
      <c r="BQ39">
        <v>56.148657024800002</v>
      </c>
      <c r="BR39">
        <v>51.702453987699997</v>
      </c>
      <c r="BS39">
        <v>4259</v>
      </c>
      <c r="BT39">
        <v>1963</v>
      </c>
      <c r="BU39">
        <v>148.2378492604</v>
      </c>
      <c r="BV39">
        <v>24021</v>
      </c>
      <c r="BW39">
        <v>1284</v>
      </c>
      <c r="BX39">
        <v>85.711835477299999</v>
      </c>
      <c r="BY39">
        <v>102.87538940810001</v>
      </c>
      <c r="CA39" t="s">
        <v>392</v>
      </c>
      <c r="CB39" t="s">
        <v>873</v>
      </c>
      <c r="CC39" t="s">
        <v>1011</v>
      </c>
      <c r="CD39">
        <v>17885</v>
      </c>
      <c r="CE39">
        <v>6485</v>
      </c>
      <c r="CF39">
        <v>128.67089740009999</v>
      </c>
      <c r="CG39">
        <v>47428</v>
      </c>
      <c r="CH39">
        <v>2647</v>
      </c>
      <c r="CI39">
        <v>199.73193050520001</v>
      </c>
      <c r="CJ39">
        <v>173.8458632414</v>
      </c>
      <c r="CL39" t="s">
        <v>392</v>
      </c>
      <c r="CM39" t="s">
        <v>842</v>
      </c>
      <c r="CN39" t="s">
        <v>851</v>
      </c>
      <c r="CO39">
        <v>622</v>
      </c>
      <c r="CP39">
        <v>96</v>
      </c>
      <c r="CQ39">
        <v>74.704180064300004</v>
      </c>
      <c r="CR39">
        <v>4322</v>
      </c>
      <c r="CS39">
        <v>220</v>
      </c>
      <c r="CT39">
        <v>77.138824618200005</v>
      </c>
      <c r="CU39">
        <v>73.504545454500004</v>
      </c>
      <c r="CW39" t="s">
        <v>392</v>
      </c>
      <c r="CX39" t="s">
        <v>858</v>
      </c>
      <c r="CY39" t="s">
        <v>867</v>
      </c>
      <c r="CZ39">
        <v>515</v>
      </c>
      <c r="DA39">
        <v>78</v>
      </c>
      <c r="DB39">
        <v>73.920388349500001</v>
      </c>
      <c r="DC39">
        <v>1061</v>
      </c>
      <c r="DD39">
        <v>52</v>
      </c>
      <c r="DE39">
        <v>142.49010367579999</v>
      </c>
      <c r="DF39">
        <v>141.92307692310001</v>
      </c>
      <c r="DH39" t="s">
        <v>392</v>
      </c>
      <c r="DI39" t="s">
        <v>826</v>
      </c>
      <c r="DJ39" t="s">
        <v>835</v>
      </c>
      <c r="DK39">
        <v>1013</v>
      </c>
      <c r="DL39">
        <v>114</v>
      </c>
      <c r="DM39">
        <v>65.809476801599999</v>
      </c>
      <c r="DN39">
        <v>1423</v>
      </c>
      <c r="DO39">
        <v>93</v>
      </c>
      <c r="DP39">
        <v>128.51089248069999</v>
      </c>
      <c r="DQ39">
        <v>140</v>
      </c>
    </row>
    <row r="40" spans="2:121" x14ac:dyDescent="0.2">
      <c r="B40" t="s">
        <v>111</v>
      </c>
      <c r="C40">
        <v>6275</v>
      </c>
      <c r="D40">
        <v>4796</v>
      </c>
      <c r="F40" t="s">
        <v>52</v>
      </c>
      <c r="G40">
        <v>4252</v>
      </c>
      <c r="H40">
        <v>388.35324553150002</v>
      </c>
      <c r="I40">
        <v>4324</v>
      </c>
      <c r="J40">
        <v>2138</v>
      </c>
      <c r="K40">
        <v>5813</v>
      </c>
      <c r="L40">
        <v>4130</v>
      </c>
      <c r="M40">
        <v>1652</v>
      </c>
      <c r="N40">
        <v>1389</v>
      </c>
      <c r="O40">
        <v>2332</v>
      </c>
      <c r="P40">
        <v>1898</v>
      </c>
      <c r="Q40">
        <v>83</v>
      </c>
      <c r="R40">
        <v>169</v>
      </c>
      <c r="T40" t="s">
        <v>8</v>
      </c>
      <c r="U40">
        <v>207</v>
      </c>
      <c r="V40">
        <v>81.690821256000007</v>
      </c>
      <c r="W40">
        <v>182</v>
      </c>
      <c r="X40">
        <v>65</v>
      </c>
      <c r="Y40">
        <v>477</v>
      </c>
      <c r="Z40">
        <v>171</v>
      </c>
      <c r="AA40">
        <v>24</v>
      </c>
      <c r="AB40">
        <v>23</v>
      </c>
      <c r="AC40">
        <v>149</v>
      </c>
      <c r="AD40">
        <v>23</v>
      </c>
      <c r="AE40">
        <v>54</v>
      </c>
      <c r="AF40">
        <v>18</v>
      </c>
      <c r="AH40" t="s">
        <v>419</v>
      </c>
      <c r="AI40">
        <v>10045</v>
      </c>
      <c r="AJ40">
        <v>387.41712294669998</v>
      </c>
      <c r="AK40">
        <v>5761</v>
      </c>
      <c r="AL40">
        <v>2187</v>
      </c>
      <c r="AM40">
        <v>12836</v>
      </c>
      <c r="AN40">
        <v>8664</v>
      </c>
      <c r="AO40">
        <v>3550</v>
      </c>
      <c r="AP40">
        <v>3041</v>
      </c>
      <c r="AQ40">
        <v>1465</v>
      </c>
      <c r="AR40">
        <v>703</v>
      </c>
      <c r="AS40">
        <v>1</v>
      </c>
      <c r="AT40">
        <v>80</v>
      </c>
      <c r="AV40" t="s">
        <v>420</v>
      </c>
      <c r="AW40">
        <v>580</v>
      </c>
      <c r="AX40">
        <v>47.546551724099999</v>
      </c>
      <c r="AY40">
        <v>1439</v>
      </c>
      <c r="AZ40">
        <v>60</v>
      </c>
      <c r="BA40">
        <v>1139</v>
      </c>
      <c r="BB40">
        <v>86</v>
      </c>
      <c r="BC40">
        <v>12</v>
      </c>
      <c r="BD40">
        <v>11</v>
      </c>
      <c r="BE40">
        <v>60</v>
      </c>
      <c r="BF40">
        <v>33</v>
      </c>
      <c r="BG40">
        <v>870</v>
      </c>
      <c r="BH40">
        <v>286</v>
      </c>
      <c r="BJ40" t="s">
        <v>552</v>
      </c>
      <c r="BK40" t="s">
        <v>379</v>
      </c>
      <c r="BL40">
        <v>11647</v>
      </c>
      <c r="BM40">
        <v>3770</v>
      </c>
      <c r="BN40">
        <v>115.5387653473</v>
      </c>
      <c r="BO40">
        <v>30887</v>
      </c>
      <c r="BP40">
        <v>1780</v>
      </c>
      <c r="BQ40">
        <v>214.0824942532</v>
      </c>
      <c r="BR40">
        <v>177.21460674159999</v>
      </c>
      <c r="BS40">
        <v>12112</v>
      </c>
      <c r="BT40">
        <v>3901</v>
      </c>
      <c r="BU40">
        <v>112.5817371202</v>
      </c>
      <c r="BV40">
        <v>29647</v>
      </c>
      <c r="BW40">
        <v>1855</v>
      </c>
      <c r="BX40">
        <v>202.73950146729999</v>
      </c>
      <c r="BY40">
        <v>170.2991913747</v>
      </c>
      <c r="CA40" t="s">
        <v>385</v>
      </c>
      <c r="CB40" t="s">
        <v>873</v>
      </c>
      <c r="CC40" t="s">
        <v>1012</v>
      </c>
      <c r="CD40">
        <v>9526</v>
      </c>
      <c r="CE40">
        <v>3369</v>
      </c>
      <c r="CF40">
        <v>129.25288683599999</v>
      </c>
      <c r="CG40">
        <v>27243</v>
      </c>
      <c r="CH40">
        <v>1321</v>
      </c>
      <c r="CI40">
        <v>215.28238446570001</v>
      </c>
      <c r="CJ40">
        <v>173.96669190009999</v>
      </c>
      <c r="CL40" t="s">
        <v>385</v>
      </c>
      <c r="CM40" t="s">
        <v>842</v>
      </c>
      <c r="CN40" t="s">
        <v>852</v>
      </c>
      <c r="CO40">
        <v>627</v>
      </c>
      <c r="CP40">
        <v>75</v>
      </c>
      <c r="CQ40">
        <v>66.089314194599993</v>
      </c>
      <c r="CR40">
        <v>4898</v>
      </c>
      <c r="CS40">
        <v>247</v>
      </c>
      <c r="CT40">
        <v>68.706819109799994</v>
      </c>
      <c r="CU40">
        <v>72.591093117400007</v>
      </c>
      <c r="CW40" t="s">
        <v>385</v>
      </c>
      <c r="CX40" t="s">
        <v>858</v>
      </c>
      <c r="CY40" t="s">
        <v>868</v>
      </c>
      <c r="CZ40">
        <v>177</v>
      </c>
      <c r="DA40">
        <v>28</v>
      </c>
      <c r="DB40">
        <v>71.6836158192</v>
      </c>
      <c r="DC40">
        <v>408</v>
      </c>
      <c r="DD40">
        <v>14</v>
      </c>
      <c r="DE40">
        <v>132.568627451</v>
      </c>
      <c r="DF40">
        <v>151.57142857139999</v>
      </c>
      <c r="DH40" t="s">
        <v>385</v>
      </c>
      <c r="DI40" t="s">
        <v>826</v>
      </c>
      <c r="DJ40" t="s">
        <v>836</v>
      </c>
      <c r="DK40">
        <v>90</v>
      </c>
      <c r="DL40">
        <v>15</v>
      </c>
      <c r="DM40">
        <v>72.9555555556</v>
      </c>
      <c r="DN40">
        <v>277</v>
      </c>
      <c r="DO40">
        <v>15</v>
      </c>
      <c r="DP40">
        <v>153.03249097470001</v>
      </c>
      <c r="DQ40">
        <v>162.6</v>
      </c>
    </row>
    <row r="41" spans="2:121" x14ac:dyDescent="0.2">
      <c r="B41" t="s">
        <v>119</v>
      </c>
      <c r="C41">
        <v>12917</v>
      </c>
      <c r="D41">
        <v>2217</v>
      </c>
      <c r="F41" t="s">
        <v>25</v>
      </c>
      <c r="G41">
        <v>13205</v>
      </c>
      <c r="H41">
        <v>357.13070806510001</v>
      </c>
      <c r="I41">
        <v>15193</v>
      </c>
      <c r="J41">
        <v>5518</v>
      </c>
      <c r="K41">
        <v>18143</v>
      </c>
      <c r="L41">
        <v>12424</v>
      </c>
      <c r="M41">
        <v>4455</v>
      </c>
      <c r="N41">
        <v>3869</v>
      </c>
      <c r="O41">
        <v>13592</v>
      </c>
      <c r="P41">
        <v>8877</v>
      </c>
      <c r="Q41">
        <v>61</v>
      </c>
      <c r="R41">
        <v>27</v>
      </c>
      <c r="T41" t="s">
        <v>395</v>
      </c>
      <c r="U41">
        <v>1733</v>
      </c>
      <c r="V41">
        <v>54.559723023700002</v>
      </c>
      <c r="W41">
        <v>2926</v>
      </c>
      <c r="X41">
        <v>155</v>
      </c>
      <c r="Y41">
        <v>3007</v>
      </c>
      <c r="Z41">
        <v>263</v>
      </c>
      <c r="AA41">
        <v>33</v>
      </c>
      <c r="AB41">
        <v>32</v>
      </c>
      <c r="AC41">
        <v>181</v>
      </c>
      <c r="AD41">
        <v>66</v>
      </c>
      <c r="AE41">
        <v>2307</v>
      </c>
      <c r="AF41">
        <v>502</v>
      </c>
      <c r="AH41" t="s">
        <v>8</v>
      </c>
      <c r="AI41">
        <v>8993</v>
      </c>
      <c r="AJ41">
        <v>411.41788057380001</v>
      </c>
      <c r="AK41">
        <v>4384</v>
      </c>
      <c r="AL41">
        <v>2072</v>
      </c>
      <c r="AM41">
        <v>10955</v>
      </c>
      <c r="AN41">
        <v>8160</v>
      </c>
      <c r="AO41">
        <v>1351</v>
      </c>
      <c r="AP41">
        <v>1148</v>
      </c>
      <c r="AQ41">
        <v>16103</v>
      </c>
      <c r="AR41">
        <v>10567</v>
      </c>
      <c r="AS41">
        <v>382</v>
      </c>
      <c r="AT41">
        <v>139</v>
      </c>
      <c r="AV41" t="s">
        <v>421</v>
      </c>
      <c r="AW41">
        <v>214</v>
      </c>
      <c r="AX41">
        <v>65.929906542099999</v>
      </c>
      <c r="AY41">
        <v>196</v>
      </c>
      <c r="AZ41">
        <v>20</v>
      </c>
      <c r="BA41">
        <v>334</v>
      </c>
      <c r="BB41">
        <v>44</v>
      </c>
      <c r="BC41">
        <v>7</v>
      </c>
      <c r="BD41">
        <v>7</v>
      </c>
      <c r="BE41">
        <v>25</v>
      </c>
      <c r="BF41">
        <v>4</v>
      </c>
      <c r="BG41">
        <v>268</v>
      </c>
      <c r="BH41">
        <v>21</v>
      </c>
      <c r="BJ41" t="s">
        <v>644</v>
      </c>
      <c r="BK41" t="s">
        <v>379</v>
      </c>
      <c r="BL41">
        <v>1425</v>
      </c>
      <c r="BM41">
        <v>223</v>
      </c>
      <c r="BN41">
        <v>83.120701754400002</v>
      </c>
      <c r="BO41">
        <v>3538</v>
      </c>
      <c r="BP41">
        <v>200</v>
      </c>
      <c r="BQ41">
        <v>129.48021481059999</v>
      </c>
      <c r="BR41">
        <v>150.245</v>
      </c>
      <c r="BS41">
        <v>5740</v>
      </c>
      <c r="BT41">
        <v>1940</v>
      </c>
      <c r="BU41">
        <v>131.7742160279</v>
      </c>
      <c r="BV41">
        <v>15720</v>
      </c>
      <c r="BW41">
        <v>925</v>
      </c>
      <c r="BX41">
        <v>213.77188295170001</v>
      </c>
      <c r="BY41">
        <v>203.3502702703</v>
      </c>
      <c r="CA41" t="s">
        <v>382</v>
      </c>
      <c r="CB41" t="s">
        <v>873</v>
      </c>
      <c r="CC41" t="s">
        <v>1013</v>
      </c>
      <c r="CD41">
        <v>908</v>
      </c>
      <c r="CE41">
        <v>220</v>
      </c>
      <c r="CF41">
        <v>96.2588105727</v>
      </c>
      <c r="CG41">
        <v>2508</v>
      </c>
      <c r="CH41">
        <v>140</v>
      </c>
      <c r="CI41">
        <v>115.7970494418</v>
      </c>
      <c r="CJ41">
        <v>113.08571428570001</v>
      </c>
      <c r="CL41" t="s">
        <v>382</v>
      </c>
      <c r="CM41" t="s">
        <v>842</v>
      </c>
      <c r="CN41" t="s">
        <v>853</v>
      </c>
      <c r="CO41">
        <v>44</v>
      </c>
      <c r="CP41">
        <v>1</v>
      </c>
      <c r="CQ41">
        <v>55.386363636399999</v>
      </c>
      <c r="CR41">
        <v>284</v>
      </c>
      <c r="CS41">
        <v>33</v>
      </c>
      <c r="CT41">
        <v>69.845070422500001</v>
      </c>
      <c r="CU41">
        <v>65</v>
      </c>
      <c r="CW41" t="s">
        <v>382</v>
      </c>
      <c r="CX41" t="s">
        <v>858</v>
      </c>
      <c r="CY41" t="s">
        <v>869</v>
      </c>
      <c r="CZ41">
        <v>7</v>
      </c>
      <c r="DA41">
        <v>0</v>
      </c>
      <c r="DB41">
        <v>39.714285714299997</v>
      </c>
      <c r="DC41">
        <v>28</v>
      </c>
      <c r="DD41">
        <v>0</v>
      </c>
      <c r="DE41">
        <v>100.3928571429</v>
      </c>
      <c r="DF41">
        <v>0</v>
      </c>
      <c r="DH41" t="s">
        <v>382</v>
      </c>
      <c r="DI41" t="s">
        <v>826</v>
      </c>
      <c r="DJ41" t="s">
        <v>837</v>
      </c>
      <c r="DK41">
        <v>3</v>
      </c>
      <c r="DL41">
        <v>0</v>
      </c>
      <c r="DM41">
        <v>43.333333333299997</v>
      </c>
      <c r="DN41">
        <v>13</v>
      </c>
      <c r="DO41">
        <v>0</v>
      </c>
      <c r="DP41">
        <v>145.92307692310001</v>
      </c>
      <c r="DQ41">
        <v>0</v>
      </c>
    </row>
    <row r="42" spans="2:121" x14ac:dyDescent="0.2">
      <c r="B42" t="s">
        <v>118</v>
      </c>
      <c r="C42">
        <v>5004</v>
      </c>
      <c r="D42">
        <v>285</v>
      </c>
      <c r="F42" t="s">
        <v>69</v>
      </c>
      <c r="G42">
        <v>9030</v>
      </c>
      <c r="H42">
        <v>394.1574750831</v>
      </c>
      <c r="I42">
        <v>5618</v>
      </c>
      <c r="J42">
        <v>2111</v>
      </c>
      <c r="K42">
        <v>11201</v>
      </c>
      <c r="L42">
        <v>7534</v>
      </c>
      <c r="M42">
        <v>3773</v>
      </c>
      <c r="N42">
        <v>3256</v>
      </c>
      <c r="O42">
        <v>1270</v>
      </c>
      <c r="P42">
        <v>708</v>
      </c>
      <c r="Q42">
        <v>0</v>
      </c>
      <c r="R42">
        <v>76</v>
      </c>
      <c r="T42" t="s">
        <v>414</v>
      </c>
      <c r="U42">
        <v>1399</v>
      </c>
      <c r="V42">
        <v>50.094353109399997</v>
      </c>
      <c r="W42">
        <v>3606</v>
      </c>
      <c r="X42">
        <v>151</v>
      </c>
      <c r="Y42">
        <v>2423</v>
      </c>
      <c r="Z42">
        <v>216</v>
      </c>
      <c r="AA42">
        <v>28</v>
      </c>
      <c r="AB42">
        <v>26</v>
      </c>
      <c r="AC42">
        <v>136</v>
      </c>
      <c r="AD42">
        <v>64</v>
      </c>
      <c r="AE42">
        <v>2013</v>
      </c>
      <c r="AF42">
        <v>643</v>
      </c>
      <c r="AH42" t="s">
        <v>385</v>
      </c>
      <c r="AI42">
        <v>8219</v>
      </c>
      <c r="AJ42">
        <v>395.94245041980002</v>
      </c>
      <c r="AK42">
        <v>9736</v>
      </c>
      <c r="AL42">
        <v>3423</v>
      </c>
      <c r="AM42">
        <v>11903</v>
      </c>
      <c r="AN42">
        <v>7811</v>
      </c>
      <c r="AO42">
        <v>982</v>
      </c>
      <c r="AP42">
        <v>665</v>
      </c>
      <c r="AQ42">
        <v>6183</v>
      </c>
      <c r="AR42">
        <v>3467</v>
      </c>
      <c r="AS42">
        <v>780</v>
      </c>
      <c r="AT42">
        <v>11</v>
      </c>
      <c r="AV42" t="s">
        <v>63</v>
      </c>
      <c r="AW42">
        <v>1014</v>
      </c>
      <c r="AX42">
        <v>90.5522682446</v>
      </c>
      <c r="AY42">
        <v>1375</v>
      </c>
      <c r="AZ42">
        <v>242</v>
      </c>
      <c r="BA42">
        <v>1712</v>
      </c>
      <c r="BB42">
        <v>476</v>
      </c>
      <c r="BC42">
        <v>52</v>
      </c>
      <c r="BD42">
        <v>52</v>
      </c>
      <c r="BE42">
        <v>530</v>
      </c>
      <c r="BF42">
        <v>95</v>
      </c>
      <c r="BG42">
        <v>127</v>
      </c>
      <c r="BH42">
        <v>308</v>
      </c>
      <c r="BJ42" t="s">
        <v>646</v>
      </c>
      <c r="BK42" t="s">
        <v>379</v>
      </c>
      <c r="BL42">
        <v>418</v>
      </c>
      <c r="BM42">
        <v>131</v>
      </c>
      <c r="BN42">
        <v>112.6172248804</v>
      </c>
      <c r="BO42">
        <v>1231</v>
      </c>
      <c r="BP42">
        <v>46</v>
      </c>
      <c r="BQ42">
        <v>171.67343623069999</v>
      </c>
      <c r="BR42">
        <v>136.47826086960001</v>
      </c>
      <c r="BS42">
        <v>635</v>
      </c>
      <c r="BT42">
        <v>374</v>
      </c>
      <c r="BU42">
        <v>141.81889763780001</v>
      </c>
      <c r="BV42">
        <v>1871</v>
      </c>
      <c r="BW42">
        <v>90</v>
      </c>
      <c r="BX42">
        <v>192.72421165150001</v>
      </c>
      <c r="BY42">
        <v>161.5666666667</v>
      </c>
      <c r="CA42" t="s">
        <v>427</v>
      </c>
      <c r="CB42" t="s">
        <v>873</v>
      </c>
      <c r="CC42" t="s">
        <v>1014</v>
      </c>
      <c r="CD42">
        <v>445</v>
      </c>
      <c r="CE42">
        <v>120</v>
      </c>
      <c r="CF42">
        <v>102.0539325843</v>
      </c>
      <c r="CG42">
        <v>1235</v>
      </c>
      <c r="CH42">
        <v>51</v>
      </c>
      <c r="CI42">
        <v>168.2105263158</v>
      </c>
      <c r="CJ42">
        <v>161.07843137250001</v>
      </c>
      <c r="CL42" t="s">
        <v>427</v>
      </c>
      <c r="CM42" t="s">
        <v>842</v>
      </c>
      <c r="CN42" t="s">
        <v>854</v>
      </c>
      <c r="CO42">
        <v>14</v>
      </c>
      <c r="CP42">
        <v>2</v>
      </c>
      <c r="CQ42">
        <v>92.357142857100001</v>
      </c>
      <c r="CR42">
        <v>109</v>
      </c>
      <c r="CS42">
        <v>7</v>
      </c>
      <c r="CT42">
        <v>84.009174311899997</v>
      </c>
      <c r="CU42">
        <v>93</v>
      </c>
      <c r="CW42" t="s">
        <v>427</v>
      </c>
      <c r="CX42" t="s">
        <v>858</v>
      </c>
      <c r="CY42" t="s">
        <v>870</v>
      </c>
      <c r="CZ42">
        <v>2</v>
      </c>
      <c r="DA42">
        <v>0</v>
      </c>
      <c r="DB42">
        <v>32</v>
      </c>
      <c r="DC42">
        <v>21</v>
      </c>
      <c r="DD42">
        <v>1</v>
      </c>
      <c r="DE42">
        <v>138.28571428570001</v>
      </c>
      <c r="DF42">
        <v>131</v>
      </c>
      <c r="DH42" t="s">
        <v>427</v>
      </c>
      <c r="DI42" t="s">
        <v>826</v>
      </c>
      <c r="DJ42" t="s">
        <v>838</v>
      </c>
      <c r="DK42">
        <v>4</v>
      </c>
      <c r="DL42">
        <v>0</v>
      </c>
      <c r="DM42">
        <v>80.75</v>
      </c>
      <c r="DN42">
        <v>14</v>
      </c>
      <c r="DO42">
        <v>0</v>
      </c>
      <c r="DP42">
        <v>160.57142857139999</v>
      </c>
      <c r="DQ42">
        <v>0</v>
      </c>
    </row>
    <row r="43" spans="2:121" x14ac:dyDescent="0.2">
      <c r="B43" t="s">
        <v>133</v>
      </c>
      <c r="C43">
        <v>57573</v>
      </c>
      <c r="D43">
        <v>46983</v>
      </c>
      <c r="F43" t="s">
        <v>78</v>
      </c>
      <c r="G43">
        <v>4753</v>
      </c>
      <c r="H43">
        <v>272.8270565958</v>
      </c>
      <c r="I43">
        <v>4899</v>
      </c>
      <c r="J43">
        <v>1442</v>
      </c>
      <c r="K43">
        <v>7439</v>
      </c>
      <c r="L43">
        <v>4813</v>
      </c>
      <c r="M43">
        <v>2361</v>
      </c>
      <c r="N43">
        <v>2227</v>
      </c>
      <c r="O43">
        <v>5772</v>
      </c>
      <c r="P43">
        <v>4710</v>
      </c>
      <c r="Q43">
        <v>44</v>
      </c>
      <c r="R43">
        <v>116</v>
      </c>
      <c r="AH43" t="s">
        <v>437</v>
      </c>
      <c r="AI43">
        <v>2835</v>
      </c>
      <c r="AJ43">
        <v>287.07971781309999</v>
      </c>
      <c r="AK43">
        <v>2809</v>
      </c>
      <c r="AL43">
        <v>999</v>
      </c>
      <c r="AM43">
        <v>4811</v>
      </c>
      <c r="AN43">
        <v>3163</v>
      </c>
      <c r="AO43">
        <v>719</v>
      </c>
      <c r="AP43">
        <v>626</v>
      </c>
      <c r="AQ43">
        <v>1880</v>
      </c>
      <c r="AR43">
        <v>1281</v>
      </c>
      <c r="AS43">
        <v>182</v>
      </c>
      <c r="AT43">
        <v>4</v>
      </c>
      <c r="AV43" t="s">
        <v>426</v>
      </c>
      <c r="AW43">
        <v>101</v>
      </c>
      <c r="AX43">
        <v>87.029702970299994</v>
      </c>
      <c r="AY43">
        <v>65</v>
      </c>
      <c r="AZ43">
        <v>11</v>
      </c>
      <c r="BA43">
        <v>163</v>
      </c>
      <c r="BB43">
        <v>47</v>
      </c>
      <c r="BC43">
        <v>4</v>
      </c>
      <c r="BD43">
        <v>4</v>
      </c>
      <c r="BE43">
        <v>51</v>
      </c>
      <c r="BF43">
        <v>9</v>
      </c>
      <c r="BG43">
        <v>13</v>
      </c>
      <c r="BH43">
        <v>24</v>
      </c>
      <c r="BJ43" t="s">
        <v>660</v>
      </c>
      <c r="BK43" t="s">
        <v>379</v>
      </c>
      <c r="BL43">
        <v>867</v>
      </c>
      <c r="BM43">
        <v>308</v>
      </c>
      <c r="BN43">
        <v>130.92156862749999</v>
      </c>
      <c r="BO43">
        <v>2196</v>
      </c>
      <c r="BP43">
        <v>106</v>
      </c>
      <c r="BQ43">
        <v>224.48360655740001</v>
      </c>
      <c r="BR43">
        <v>230.45283018870001</v>
      </c>
      <c r="BS43">
        <v>701</v>
      </c>
      <c r="BT43">
        <v>207</v>
      </c>
      <c r="BU43">
        <v>122.8145506419</v>
      </c>
      <c r="BV43">
        <v>1741</v>
      </c>
      <c r="BW43">
        <v>75</v>
      </c>
      <c r="BX43">
        <v>229.99080987939999</v>
      </c>
      <c r="BY43">
        <v>245.5066666667</v>
      </c>
      <c r="CA43" t="s">
        <v>388</v>
      </c>
      <c r="CB43" t="s">
        <v>873</v>
      </c>
      <c r="CC43" t="s">
        <v>1015</v>
      </c>
      <c r="CD43">
        <v>12118</v>
      </c>
      <c r="CE43">
        <v>3961</v>
      </c>
      <c r="CF43">
        <v>117.164135996</v>
      </c>
      <c r="CG43">
        <v>33176</v>
      </c>
      <c r="CH43">
        <v>1914</v>
      </c>
      <c r="CI43">
        <v>203.23131179169999</v>
      </c>
      <c r="CJ43">
        <v>166.57732497390001</v>
      </c>
      <c r="CL43" t="s">
        <v>388</v>
      </c>
      <c r="CM43" t="s">
        <v>842</v>
      </c>
      <c r="CN43" t="s">
        <v>855</v>
      </c>
      <c r="CO43">
        <v>404</v>
      </c>
      <c r="CP43">
        <v>68</v>
      </c>
      <c r="CQ43">
        <v>76.0569306931</v>
      </c>
      <c r="CR43">
        <v>2698</v>
      </c>
      <c r="CS43">
        <v>151</v>
      </c>
      <c r="CT43">
        <v>82.332468495200004</v>
      </c>
      <c r="CU43">
        <v>85.841059602599998</v>
      </c>
      <c r="CW43" t="s">
        <v>388</v>
      </c>
      <c r="CX43" t="s">
        <v>858</v>
      </c>
      <c r="CY43" t="s">
        <v>871</v>
      </c>
      <c r="CZ43">
        <v>553</v>
      </c>
      <c r="DA43">
        <v>104</v>
      </c>
      <c r="DB43">
        <v>82.661844484599996</v>
      </c>
      <c r="DC43">
        <v>1234</v>
      </c>
      <c r="DD43">
        <v>67</v>
      </c>
      <c r="DE43">
        <v>149.93435980550001</v>
      </c>
      <c r="DF43">
        <v>154.2985074627</v>
      </c>
      <c r="DH43" t="s">
        <v>388</v>
      </c>
      <c r="DI43" t="s">
        <v>826</v>
      </c>
      <c r="DJ43" t="s">
        <v>839</v>
      </c>
      <c r="DK43">
        <v>780</v>
      </c>
      <c r="DL43">
        <v>131</v>
      </c>
      <c r="DM43">
        <v>73.901282051300001</v>
      </c>
      <c r="DN43">
        <v>1472</v>
      </c>
      <c r="DO43">
        <v>95</v>
      </c>
      <c r="DP43">
        <v>140.9028532609</v>
      </c>
      <c r="DQ43">
        <v>156.9368421053</v>
      </c>
    </row>
    <row r="44" spans="2:121" x14ac:dyDescent="0.2">
      <c r="B44" t="s">
        <v>132</v>
      </c>
      <c r="C44">
        <v>9258</v>
      </c>
      <c r="D44">
        <v>6061</v>
      </c>
      <c r="F44" t="s">
        <v>35</v>
      </c>
      <c r="G44">
        <v>2357</v>
      </c>
      <c r="H44">
        <v>497.40644887569999</v>
      </c>
      <c r="I44">
        <v>951</v>
      </c>
      <c r="J44">
        <v>166</v>
      </c>
      <c r="K44">
        <v>2967</v>
      </c>
      <c r="L44">
        <v>2196</v>
      </c>
      <c r="M44">
        <v>1910</v>
      </c>
      <c r="N44">
        <v>1732</v>
      </c>
      <c r="O44">
        <v>108</v>
      </c>
      <c r="P44">
        <v>89</v>
      </c>
      <c r="Q44">
        <v>0</v>
      </c>
      <c r="R44">
        <v>2</v>
      </c>
      <c r="AH44" t="s">
        <v>382</v>
      </c>
      <c r="AI44">
        <v>470</v>
      </c>
      <c r="AJ44">
        <v>227.4936170213</v>
      </c>
      <c r="AK44">
        <v>871</v>
      </c>
      <c r="AL44">
        <v>221</v>
      </c>
      <c r="AM44">
        <v>1167</v>
      </c>
      <c r="AN44">
        <v>457</v>
      </c>
      <c r="AO44">
        <v>356</v>
      </c>
      <c r="AP44">
        <v>139</v>
      </c>
      <c r="AQ44">
        <v>105</v>
      </c>
      <c r="AR44">
        <v>51</v>
      </c>
      <c r="AS44">
        <v>97</v>
      </c>
      <c r="AT44">
        <v>2</v>
      </c>
      <c r="AV44" t="s">
        <v>404</v>
      </c>
      <c r="AW44">
        <v>441</v>
      </c>
      <c r="AX44">
        <v>54.154195011299997</v>
      </c>
      <c r="AY44">
        <v>584</v>
      </c>
      <c r="AZ44">
        <v>45</v>
      </c>
      <c r="BA44">
        <v>650</v>
      </c>
      <c r="BB44">
        <v>52</v>
      </c>
      <c r="BC44">
        <v>5</v>
      </c>
      <c r="BD44">
        <v>4</v>
      </c>
      <c r="BE44">
        <v>54</v>
      </c>
      <c r="BF44">
        <v>19</v>
      </c>
      <c r="BG44">
        <v>518</v>
      </c>
      <c r="BH44">
        <v>53</v>
      </c>
      <c r="BJ44" t="s">
        <v>560</v>
      </c>
      <c r="BK44" t="s">
        <v>379</v>
      </c>
      <c r="BL44">
        <v>18080</v>
      </c>
      <c r="BM44">
        <v>6456</v>
      </c>
      <c r="BN44">
        <v>126.7953539823</v>
      </c>
      <c r="BO44">
        <v>44836</v>
      </c>
      <c r="BP44">
        <v>2547</v>
      </c>
      <c r="BQ44">
        <v>209.95354179680001</v>
      </c>
      <c r="BR44">
        <v>179.079308991</v>
      </c>
      <c r="BS44">
        <v>12160</v>
      </c>
      <c r="BT44">
        <v>3952</v>
      </c>
      <c r="BU44">
        <v>121.0768092105</v>
      </c>
      <c r="BV44">
        <v>32427</v>
      </c>
      <c r="BW44">
        <v>1653</v>
      </c>
      <c r="BX44">
        <v>216.66194837640001</v>
      </c>
      <c r="BY44">
        <v>177.9358741682</v>
      </c>
      <c r="CA44" t="s">
        <v>389</v>
      </c>
      <c r="CB44" t="s">
        <v>873</v>
      </c>
      <c r="CC44" t="s">
        <v>1016</v>
      </c>
      <c r="CD44">
        <v>2613</v>
      </c>
      <c r="CE44">
        <v>654</v>
      </c>
      <c r="CF44">
        <v>99.240719479500001</v>
      </c>
      <c r="CG44">
        <v>7630</v>
      </c>
      <c r="CH44">
        <v>626</v>
      </c>
      <c r="CI44">
        <v>150.1115334207</v>
      </c>
      <c r="CJ44">
        <v>134.78434504789999</v>
      </c>
      <c r="CL44" t="s">
        <v>389</v>
      </c>
      <c r="CM44" t="s">
        <v>842</v>
      </c>
      <c r="CN44" t="s">
        <v>856</v>
      </c>
      <c r="CO44">
        <v>112</v>
      </c>
      <c r="CP44">
        <v>22</v>
      </c>
      <c r="CQ44">
        <v>83.535714285699996</v>
      </c>
      <c r="CR44">
        <v>769</v>
      </c>
      <c r="CS44">
        <v>49</v>
      </c>
      <c r="CT44">
        <v>78.496749024699994</v>
      </c>
      <c r="CU44">
        <v>58.877551020399999</v>
      </c>
      <c r="CW44" t="s">
        <v>389</v>
      </c>
      <c r="CX44" t="s">
        <v>858</v>
      </c>
      <c r="CY44" t="s">
        <v>872</v>
      </c>
      <c r="CZ44">
        <v>13</v>
      </c>
      <c r="DA44">
        <v>1</v>
      </c>
      <c r="DB44">
        <v>62.2307692308</v>
      </c>
      <c r="DC44">
        <v>60</v>
      </c>
      <c r="DD44">
        <v>5</v>
      </c>
      <c r="DE44">
        <v>126.4166666667</v>
      </c>
      <c r="DF44">
        <v>108.8</v>
      </c>
      <c r="DH44" t="s">
        <v>389</v>
      </c>
      <c r="DI44" t="s">
        <v>826</v>
      </c>
      <c r="DJ44" t="s">
        <v>840</v>
      </c>
      <c r="DK44">
        <v>19</v>
      </c>
      <c r="DL44">
        <v>2</v>
      </c>
      <c r="DM44">
        <v>60.631578947400001</v>
      </c>
      <c r="DN44">
        <v>54</v>
      </c>
      <c r="DO44">
        <v>2</v>
      </c>
      <c r="DP44">
        <v>159.6666666667</v>
      </c>
      <c r="DQ44">
        <v>148.5</v>
      </c>
    </row>
    <row r="45" spans="2:121" x14ac:dyDescent="0.2">
      <c r="B45" t="s">
        <v>106</v>
      </c>
      <c r="C45">
        <v>191</v>
      </c>
      <c r="D45">
        <v>190</v>
      </c>
      <c r="F45" t="s">
        <v>66</v>
      </c>
      <c r="G45">
        <v>5612</v>
      </c>
      <c r="H45">
        <v>425.32234497510001</v>
      </c>
      <c r="I45">
        <v>10160</v>
      </c>
      <c r="J45">
        <v>3726</v>
      </c>
      <c r="K45">
        <v>8453</v>
      </c>
      <c r="L45">
        <v>5571</v>
      </c>
      <c r="M45">
        <v>1737</v>
      </c>
      <c r="N45">
        <v>496</v>
      </c>
      <c r="O45">
        <v>8043</v>
      </c>
      <c r="P45">
        <v>4432</v>
      </c>
      <c r="Q45">
        <v>7223</v>
      </c>
      <c r="R45">
        <v>0</v>
      </c>
      <c r="AH45" t="s">
        <v>393</v>
      </c>
      <c r="AI45">
        <v>11388</v>
      </c>
      <c r="AJ45">
        <v>341.55022831050002</v>
      </c>
      <c r="AK45">
        <v>9928</v>
      </c>
      <c r="AL45">
        <v>3108</v>
      </c>
      <c r="AM45">
        <v>16285</v>
      </c>
      <c r="AN45">
        <v>11385</v>
      </c>
      <c r="AO45">
        <v>1667</v>
      </c>
      <c r="AP45">
        <v>1066</v>
      </c>
      <c r="AQ45">
        <v>2691</v>
      </c>
      <c r="AR45">
        <v>1639</v>
      </c>
      <c r="AS45">
        <v>375</v>
      </c>
      <c r="AT45">
        <v>62</v>
      </c>
      <c r="AV45" t="s">
        <v>431</v>
      </c>
      <c r="AW45">
        <v>13</v>
      </c>
      <c r="AX45">
        <v>41.307692307700002</v>
      </c>
      <c r="AY45">
        <v>36</v>
      </c>
      <c r="AZ45">
        <v>1</v>
      </c>
      <c r="BA45">
        <v>29</v>
      </c>
      <c r="BB45">
        <v>5</v>
      </c>
      <c r="BC45">
        <v>0</v>
      </c>
      <c r="BE45">
        <v>1</v>
      </c>
      <c r="BG45">
        <v>27</v>
      </c>
      <c r="BH45">
        <v>3</v>
      </c>
      <c r="BJ45" t="s">
        <v>8</v>
      </c>
      <c r="BK45" t="s">
        <v>8</v>
      </c>
      <c r="BL45">
        <v>820</v>
      </c>
      <c r="BM45">
        <v>297</v>
      </c>
      <c r="BN45">
        <v>116.2073170732</v>
      </c>
      <c r="BO45">
        <v>723</v>
      </c>
      <c r="BP45">
        <v>78</v>
      </c>
      <c r="BQ45">
        <v>209.97786998620001</v>
      </c>
      <c r="BR45">
        <v>163.39743589739999</v>
      </c>
      <c r="BS45">
        <v>2366</v>
      </c>
      <c r="BT45">
        <v>574</v>
      </c>
      <c r="BU45">
        <v>100.26796280640001</v>
      </c>
      <c r="BV45">
        <v>5091</v>
      </c>
      <c r="BW45">
        <v>192</v>
      </c>
      <c r="BX45">
        <v>185.45550972300001</v>
      </c>
      <c r="BY45">
        <v>157.5052083333</v>
      </c>
      <c r="CA45" t="s">
        <v>379</v>
      </c>
      <c r="CB45" t="s">
        <v>873</v>
      </c>
      <c r="CD45">
        <v>74520</v>
      </c>
      <c r="CE45">
        <v>24886</v>
      </c>
      <c r="CF45">
        <v>121.92328234030001</v>
      </c>
      <c r="CG45">
        <v>201547</v>
      </c>
      <c r="CH45">
        <v>11366</v>
      </c>
      <c r="CI45">
        <v>200.13262911379999</v>
      </c>
      <c r="CJ45">
        <v>171.70112616579999</v>
      </c>
      <c r="CL45" t="s">
        <v>379</v>
      </c>
      <c r="CM45" t="s">
        <v>842</v>
      </c>
      <c r="CO45">
        <v>3255</v>
      </c>
      <c r="CP45">
        <v>464</v>
      </c>
      <c r="CQ45">
        <v>72.6043010753</v>
      </c>
      <c r="CR45">
        <v>23688</v>
      </c>
      <c r="CS45">
        <v>1334</v>
      </c>
      <c r="CT45">
        <v>74.794495103000003</v>
      </c>
      <c r="CU45">
        <v>76.790854572699999</v>
      </c>
      <c r="CW45" t="s">
        <v>379</v>
      </c>
      <c r="CX45" t="s">
        <v>858</v>
      </c>
      <c r="CZ45">
        <v>1967</v>
      </c>
      <c r="DA45">
        <v>301</v>
      </c>
      <c r="DB45">
        <v>74.579562785999997</v>
      </c>
      <c r="DC45">
        <v>4375</v>
      </c>
      <c r="DD45">
        <v>212</v>
      </c>
      <c r="DE45">
        <v>141.6112</v>
      </c>
      <c r="DF45">
        <v>143.93396226420001</v>
      </c>
      <c r="DH45" t="s">
        <v>379</v>
      </c>
      <c r="DI45" t="s">
        <v>826</v>
      </c>
      <c r="DK45">
        <v>2496</v>
      </c>
      <c r="DL45">
        <v>343</v>
      </c>
      <c r="DM45">
        <v>70.080528846199996</v>
      </c>
      <c r="DN45">
        <v>4576</v>
      </c>
      <c r="DO45">
        <v>265</v>
      </c>
      <c r="DP45">
        <v>139.89794580419999</v>
      </c>
      <c r="DQ45">
        <v>147.01132075469999</v>
      </c>
    </row>
    <row r="46" spans="2:121" x14ac:dyDescent="0.2">
      <c r="B46" t="s">
        <v>114</v>
      </c>
      <c r="C46">
        <v>528</v>
      </c>
      <c r="D46">
        <v>483</v>
      </c>
      <c r="F46" t="s">
        <v>84</v>
      </c>
      <c r="G46">
        <v>1760</v>
      </c>
      <c r="H46">
        <v>125.04829545450001</v>
      </c>
      <c r="I46">
        <v>2542</v>
      </c>
      <c r="J46">
        <v>714</v>
      </c>
      <c r="K46">
        <v>2721</v>
      </c>
      <c r="L46">
        <v>968</v>
      </c>
      <c r="M46">
        <v>274</v>
      </c>
      <c r="N46">
        <v>139</v>
      </c>
      <c r="O46">
        <v>159</v>
      </c>
      <c r="P46">
        <v>94</v>
      </c>
      <c r="Q46">
        <v>0</v>
      </c>
      <c r="R46">
        <v>10</v>
      </c>
      <c r="AH46" t="s">
        <v>430</v>
      </c>
      <c r="AI46">
        <v>917</v>
      </c>
      <c r="AJ46">
        <v>132.42420937840001</v>
      </c>
      <c r="AK46">
        <v>947</v>
      </c>
      <c r="AL46">
        <v>252</v>
      </c>
      <c r="AM46">
        <v>1362</v>
      </c>
      <c r="AN46">
        <v>303</v>
      </c>
      <c r="AO46">
        <v>666</v>
      </c>
      <c r="AP46">
        <v>112</v>
      </c>
      <c r="AQ46">
        <v>120</v>
      </c>
      <c r="AR46">
        <v>47</v>
      </c>
      <c r="AS46">
        <v>0</v>
      </c>
      <c r="AT46">
        <v>1</v>
      </c>
      <c r="AV46" t="s">
        <v>399</v>
      </c>
      <c r="AW46">
        <v>249</v>
      </c>
      <c r="AX46">
        <v>66.357429718899994</v>
      </c>
      <c r="AY46">
        <v>210</v>
      </c>
      <c r="AZ46">
        <v>15</v>
      </c>
      <c r="BA46">
        <v>358</v>
      </c>
      <c r="BB46">
        <v>34</v>
      </c>
      <c r="BC46">
        <v>6</v>
      </c>
      <c r="BD46">
        <v>6</v>
      </c>
      <c r="BE46">
        <v>35</v>
      </c>
      <c r="BF46">
        <v>4</v>
      </c>
      <c r="BG46">
        <v>211</v>
      </c>
      <c r="BH46">
        <v>23</v>
      </c>
      <c r="BJ46" t="s">
        <v>703</v>
      </c>
      <c r="BK46" t="s">
        <v>8</v>
      </c>
      <c r="BL46">
        <v>820</v>
      </c>
      <c r="BM46">
        <v>297</v>
      </c>
      <c r="BN46">
        <v>116.2073170732</v>
      </c>
      <c r="BO46">
        <v>723</v>
      </c>
      <c r="BP46">
        <v>78</v>
      </c>
      <c r="BQ46">
        <v>209.97786998620001</v>
      </c>
      <c r="BR46">
        <v>163.39743589739999</v>
      </c>
      <c r="BS46">
        <v>2366</v>
      </c>
      <c r="BT46">
        <v>574</v>
      </c>
      <c r="BU46">
        <v>100.26796280640001</v>
      </c>
      <c r="BV46">
        <v>5091</v>
      </c>
      <c r="BW46">
        <v>192</v>
      </c>
      <c r="BX46">
        <v>185.45550972300001</v>
      </c>
      <c r="BY46">
        <v>157.5052083333</v>
      </c>
      <c r="CA46" t="s">
        <v>8</v>
      </c>
      <c r="CB46" t="s">
        <v>703</v>
      </c>
      <c r="CC46" t="s">
        <v>703</v>
      </c>
      <c r="CD46">
        <v>4010</v>
      </c>
      <c r="CE46">
        <v>1882</v>
      </c>
      <c r="CF46">
        <v>159.90349127179999</v>
      </c>
      <c r="CG46">
        <v>8423</v>
      </c>
      <c r="CH46">
        <v>518</v>
      </c>
      <c r="CI46">
        <v>208.39997625550001</v>
      </c>
      <c r="CJ46">
        <v>193.32818532819999</v>
      </c>
      <c r="CL46" t="s">
        <v>8</v>
      </c>
      <c r="CM46" t="s">
        <v>875</v>
      </c>
      <c r="CN46" t="s">
        <v>875</v>
      </c>
      <c r="CO46">
        <v>196</v>
      </c>
      <c r="CP46">
        <v>47</v>
      </c>
      <c r="CQ46">
        <v>99.612244898</v>
      </c>
      <c r="CR46">
        <v>873</v>
      </c>
      <c r="CS46">
        <v>51</v>
      </c>
      <c r="CT46">
        <v>96.843069873999994</v>
      </c>
      <c r="CU46">
        <v>101.0588235294</v>
      </c>
      <c r="CW46" t="s">
        <v>8</v>
      </c>
      <c r="CX46" t="s">
        <v>876</v>
      </c>
      <c r="CY46" t="s">
        <v>876</v>
      </c>
      <c r="CZ46">
        <v>23</v>
      </c>
      <c r="DA46">
        <v>7</v>
      </c>
      <c r="DB46">
        <v>98.565217391299996</v>
      </c>
      <c r="DC46">
        <v>51</v>
      </c>
      <c r="DD46">
        <v>2</v>
      </c>
      <c r="DE46">
        <v>140.6666666667</v>
      </c>
      <c r="DF46">
        <v>124.5</v>
      </c>
      <c r="DH46" t="s">
        <v>8</v>
      </c>
      <c r="DI46" t="s">
        <v>874</v>
      </c>
      <c r="DJ46" t="s">
        <v>874</v>
      </c>
      <c r="DK46">
        <v>55</v>
      </c>
      <c r="DL46">
        <v>8</v>
      </c>
      <c r="DM46">
        <v>72.963636363600003</v>
      </c>
      <c r="DN46">
        <v>168</v>
      </c>
      <c r="DO46">
        <v>10</v>
      </c>
      <c r="DP46">
        <v>149.08928571429999</v>
      </c>
      <c r="DQ46">
        <v>106.8</v>
      </c>
    </row>
    <row r="47" spans="2:121" x14ac:dyDescent="0.2">
      <c r="B47" t="s">
        <v>123</v>
      </c>
      <c r="C47">
        <v>3950</v>
      </c>
      <c r="D47">
        <v>746</v>
      </c>
      <c r="F47" t="s">
        <v>81</v>
      </c>
      <c r="G47">
        <v>1326</v>
      </c>
      <c r="H47">
        <v>243.7677224736</v>
      </c>
      <c r="I47">
        <v>1247</v>
      </c>
      <c r="J47">
        <v>222</v>
      </c>
      <c r="K47">
        <v>2031</v>
      </c>
      <c r="L47">
        <v>1034</v>
      </c>
      <c r="M47">
        <v>774</v>
      </c>
      <c r="N47">
        <v>529</v>
      </c>
      <c r="O47">
        <v>970</v>
      </c>
      <c r="P47">
        <v>896</v>
      </c>
      <c r="Q47">
        <v>0</v>
      </c>
      <c r="R47">
        <v>1</v>
      </c>
      <c r="AH47" t="s">
        <v>394</v>
      </c>
      <c r="AI47">
        <v>7374</v>
      </c>
      <c r="AJ47">
        <v>270.23664225660002</v>
      </c>
      <c r="AK47">
        <v>9941</v>
      </c>
      <c r="AL47">
        <v>2764</v>
      </c>
      <c r="AM47">
        <v>10349</v>
      </c>
      <c r="AN47">
        <v>5845</v>
      </c>
      <c r="AO47">
        <v>1227</v>
      </c>
      <c r="AP47">
        <v>1015</v>
      </c>
      <c r="AQ47">
        <v>1685</v>
      </c>
      <c r="AR47">
        <v>1000</v>
      </c>
      <c r="AS47">
        <v>38</v>
      </c>
      <c r="AT47">
        <v>212</v>
      </c>
      <c r="AV47" t="s">
        <v>433</v>
      </c>
      <c r="AW47">
        <v>53</v>
      </c>
      <c r="AX47">
        <v>88.075471698100003</v>
      </c>
      <c r="AY47">
        <v>60</v>
      </c>
      <c r="AZ47">
        <v>13</v>
      </c>
      <c r="BA47">
        <v>79</v>
      </c>
      <c r="BB47">
        <v>24</v>
      </c>
      <c r="BC47">
        <v>5</v>
      </c>
      <c r="BD47">
        <v>5</v>
      </c>
      <c r="BE47">
        <v>54</v>
      </c>
      <c r="BF47">
        <v>12</v>
      </c>
      <c r="BG47">
        <v>9</v>
      </c>
      <c r="BH47">
        <v>21</v>
      </c>
      <c r="BJ47" t="s">
        <v>603</v>
      </c>
      <c r="BK47" t="s">
        <v>414</v>
      </c>
      <c r="BL47">
        <v>3109</v>
      </c>
      <c r="BM47">
        <v>997</v>
      </c>
      <c r="BN47">
        <v>113.3033129624</v>
      </c>
      <c r="BO47">
        <v>6962</v>
      </c>
      <c r="BP47">
        <v>419</v>
      </c>
      <c r="BQ47">
        <v>181.91683424300001</v>
      </c>
      <c r="BR47">
        <v>190.47016706439999</v>
      </c>
      <c r="BS47">
        <v>2682</v>
      </c>
      <c r="BT47">
        <v>809</v>
      </c>
      <c r="BU47">
        <v>110.7785234899</v>
      </c>
      <c r="BV47">
        <v>7057</v>
      </c>
      <c r="BW47">
        <v>398</v>
      </c>
      <c r="BX47">
        <v>184.33697038400001</v>
      </c>
      <c r="BY47">
        <v>191.07286432160001</v>
      </c>
      <c r="CA47" t="s">
        <v>8</v>
      </c>
      <c r="CB47" t="s">
        <v>703</v>
      </c>
      <c r="CC47" t="s">
        <v>703</v>
      </c>
      <c r="CD47">
        <v>4010</v>
      </c>
      <c r="CE47">
        <v>1882</v>
      </c>
      <c r="CF47">
        <v>159.90349127179999</v>
      </c>
      <c r="CG47">
        <v>8423</v>
      </c>
      <c r="CH47">
        <v>518</v>
      </c>
      <c r="CI47">
        <v>208.39997625550001</v>
      </c>
      <c r="CJ47">
        <v>193.32818532819999</v>
      </c>
      <c r="CL47" t="s">
        <v>8</v>
      </c>
      <c r="CM47" t="s">
        <v>875</v>
      </c>
      <c r="CN47" t="s">
        <v>875</v>
      </c>
      <c r="CO47">
        <v>196</v>
      </c>
      <c r="CP47">
        <v>47</v>
      </c>
      <c r="CQ47">
        <v>99.612244898</v>
      </c>
      <c r="CR47">
        <v>873</v>
      </c>
      <c r="CS47">
        <v>51</v>
      </c>
      <c r="CT47">
        <v>96.843069873999994</v>
      </c>
      <c r="CU47">
        <v>101.0588235294</v>
      </c>
      <c r="CW47" t="s">
        <v>8</v>
      </c>
      <c r="CX47" t="s">
        <v>876</v>
      </c>
      <c r="CY47" t="s">
        <v>876</v>
      </c>
      <c r="CZ47">
        <v>23</v>
      </c>
      <c r="DA47">
        <v>7</v>
      </c>
      <c r="DB47">
        <v>98.565217391299996</v>
      </c>
      <c r="DC47">
        <v>51</v>
      </c>
      <c r="DD47">
        <v>2</v>
      </c>
      <c r="DE47">
        <v>140.6666666667</v>
      </c>
      <c r="DF47">
        <v>124.5</v>
      </c>
      <c r="DH47" t="s">
        <v>8</v>
      </c>
      <c r="DI47" t="s">
        <v>874</v>
      </c>
      <c r="DJ47" t="s">
        <v>874</v>
      </c>
      <c r="DK47">
        <v>55</v>
      </c>
      <c r="DL47">
        <v>8</v>
      </c>
      <c r="DM47">
        <v>72.963636363600003</v>
      </c>
      <c r="DN47">
        <v>168</v>
      </c>
      <c r="DO47">
        <v>10</v>
      </c>
      <c r="DP47">
        <v>149.08928571429999</v>
      </c>
      <c r="DQ47">
        <v>106.8</v>
      </c>
    </row>
    <row r="48" spans="2:121" x14ac:dyDescent="0.2">
      <c r="B48" t="s">
        <v>107</v>
      </c>
      <c r="C48">
        <v>16870</v>
      </c>
      <c r="D48">
        <v>12811</v>
      </c>
      <c r="F48" t="s">
        <v>51</v>
      </c>
      <c r="G48">
        <v>9245</v>
      </c>
      <c r="H48">
        <v>528.03850730119996</v>
      </c>
      <c r="I48">
        <v>4858</v>
      </c>
      <c r="J48">
        <v>1660</v>
      </c>
      <c r="K48">
        <v>14782</v>
      </c>
      <c r="L48">
        <v>8644</v>
      </c>
      <c r="M48">
        <v>1059</v>
      </c>
      <c r="N48">
        <v>922</v>
      </c>
      <c r="O48">
        <v>1950</v>
      </c>
      <c r="P48">
        <v>1311</v>
      </c>
      <c r="Q48">
        <v>3</v>
      </c>
      <c r="R48">
        <v>207</v>
      </c>
      <c r="AH48" t="s">
        <v>420</v>
      </c>
      <c r="AI48">
        <v>33444</v>
      </c>
      <c r="AJ48">
        <v>330.35979547900001</v>
      </c>
      <c r="AK48">
        <v>38572</v>
      </c>
      <c r="AL48">
        <v>13478</v>
      </c>
      <c r="AM48">
        <v>45990</v>
      </c>
      <c r="AN48">
        <v>27296</v>
      </c>
      <c r="AO48">
        <v>4392</v>
      </c>
      <c r="AP48">
        <v>3393</v>
      </c>
      <c r="AQ48">
        <v>9703</v>
      </c>
      <c r="AR48">
        <v>6134</v>
      </c>
      <c r="AS48">
        <v>22</v>
      </c>
      <c r="AT48">
        <v>444</v>
      </c>
      <c r="AV48" t="s">
        <v>429</v>
      </c>
      <c r="AW48">
        <v>26</v>
      </c>
      <c r="AX48">
        <v>35.5</v>
      </c>
      <c r="AY48">
        <v>27</v>
      </c>
      <c r="BA48">
        <v>37</v>
      </c>
      <c r="BC48">
        <v>1</v>
      </c>
      <c r="BD48">
        <v>1</v>
      </c>
      <c r="BE48">
        <v>0</v>
      </c>
      <c r="BG48">
        <v>36</v>
      </c>
      <c r="BH48">
        <v>6</v>
      </c>
      <c r="BJ48" t="s">
        <v>662</v>
      </c>
      <c r="BK48" t="s">
        <v>414</v>
      </c>
      <c r="BL48">
        <v>1120</v>
      </c>
      <c r="BM48">
        <v>171</v>
      </c>
      <c r="BN48">
        <v>80.233035714300001</v>
      </c>
      <c r="BO48">
        <v>2646</v>
      </c>
      <c r="BP48">
        <v>72</v>
      </c>
      <c r="BQ48">
        <v>149.29138322</v>
      </c>
      <c r="BR48">
        <v>134.4166666667</v>
      </c>
      <c r="BS48">
        <v>1281</v>
      </c>
      <c r="BT48">
        <v>231</v>
      </c>
      <c r="BU48">
        <v>88.594847775199995</v>
      </c>
      <c r="BV48">
        <v>2622</v>
      </c>
      <c r="BW48">
        <v>74</v>
      </c>
      <c r="BX48">
        <v>150.9637681159</v>
      </c>
      <c r="BY48">
        <v>144.20270270270001</v>
      </c>
      <c r="CA48" t="s">
        <v>8</v>
      </c>
      <c r="CB48" t="s">
        <v>703</v>
      </c>
      <c r="CC48" t="s">
        <v>703</v>
      </c>
      <c r="CD48">
        <v>4010</v>
      </c>
      <c r="CE48">
        <v>1882</v>
      </c>
      <c r="CF48">
        <v>159.90349127179999</v>
      </c>
      <c r="CG48">
        <v>8423</v>
      </c>
      <c r="CH48">
        <v>518</v>
      </c>
      <c r="CI48">
        <v>208.39997625550001</v>
      </c>
      <c r="CJ48">
        <v>193.32818532819999</v>
      </c>
      <c r="CL48" t="s">
        <v>8</v>
      </c>
      <c r="CM48" t="s">
        <v>875</v>
      </c>
      <c r="CN48" t="s">
        <v>875</v>
      </c>
      <c r="CO48">
        <v>196</v>
      </c>
      <c r="CP48">
        <v>47</v>
      </c>
      <c r="CQ48">
        <v>99.612244898</v>
      </c>
      <c r="CR48">
        <v>873</v>
      </c>
      <c r="CS48">
        <v>51</v>
      </c>
      <c r="CT48">
        <v>96.843069873999994</v>
      </c>
      <c r="CU48">
        <v>101.0588235294</v>
      </c>
      <c r="CW48" t="s">
        <v>8</v>
      </c>
      <c r="CX48" t="s">
        <v>876</v>
      </c>
      <c r="CY48" t="s">
        <v>876</v>
      </c>
      <c r="CZ48">
        <v>23</v>
      </c>
      <c r="DA48">
        <v>7</v>
      </c>
      <c r="DB48">
        <v>98.565217391299996</v>
      </c>
      <c r="DC48">
        <v>51</v>
      </c>
      <c r="DD48">
        <v>2</v>
      </c>
      <c r="DE48">
        <v>140.6666666667</v>
      </c>
      <c r="DF48">
        <v>124.5</v>
      </c>
      <c r="DH48" t="s">
        <v>8</v>
      </c>
      <c r="DI48" t="s">
        <v>874</v>
      </c>
      <c r="DJ48" t="s">
        <v>874</v>
      </c>
      <c r="DK48">
        <v>55</v>
      </c>
      <c r="DL48">
        <v>8</v>
      </c>
      <c r="DM48">
        <v>72.963636363600003</v>
      </c>
      <c r="DN48">
        <v>168</v>
      </c>
      <c r="DO48">
        <v>10</v>
      </c>
      <c r="DP48">
        <v>149.08928571429999</v>
      </c>
      <c r="DQ48">
        <v>106.8</v>
      </c>
    </row>
    <row r="49" spans="2:121" x14ac:dyDescent="0.2">
      <c r="B49" t="s">
        <v>21</v>
      </c>
      <c r="C49">
        <v>41586</v>
      </c>
      <c r="D49">
        <v>16481</v>
      </c>
      <c r="F49" t="s">
        <v>43</v>
      </c>
      <c r="G49">
        <v>7436</v>
      </c>
      <c r="H49">
        <v>425.79505110269997</v>
      </c>
      <c r="I49">
        <v>7737</v>
      </c>
      <c r="J49">
        <v>3382</v>
      </c>
      <c r="K49">
        <v>9788</v>
      </c>
      <c r="L49">
        <v>6648</v>
      </c>
      <c r="M49">
        <v>2073</v>
      </c>
      <c r="N49">
        <v>1788</v>
      </c>
      <c r="O49">
        <v>5158</v>
      </c>
      <c r="P49">
        <v>3553</v>
      </c>
      <c r="Q49">
        <v>1</v>
      </c>
      <c r="R49">
        <v>56</v>
      </c>
      <c r="AH49" t="s">
        <v>416</v>
      </c>
      <c r="AI49">
        <v>2387</v>
      </c>
      <c r="AJ49">
        <v>322.11813992459997</v>
      </c>
      <c r="AK49">
        <v>1987</v>
      </c>
      <c r="AL49">
        <v>566</v>
      </c>
      <c r="AM49">
        <v>3953</v>
      </c>
      <c r="AN49">
        <v>2070</v>
      </c>
      <c r="AO49">
        <v>624</v>
      </c>
      <c r="AP49">
        <v>455</v>
      </c>
      <c r="AQ49">
        <v>242</v>
      </c>
      <c r="AR49">
        <v>132</v>
      </c>
      <c r="AS49">
        <v>0</v>
      </c>
      <c r="AT49">
        <v>4</v>
      </c>
      <c r="AV49" t="s">
        <v>388</v>
      </c>
      <c r="AW49">
        <v>671</v>
      </c>
      <c r="AX49">
        <v>93.898658718299998</v>
      </c>
      <c r="AY49">
        <v>594</v>
      </c>
      <c r="AZ49">
        <v>113</v>
      </c>
      <c r="BA49">
        <v>1066</v>
      </c>
      <c r="BB49">
        <v>257</v>
      </c>
      <c r="BC49">
        <v>160</v>
      </c>
      <c r="BD49">
        <v>159</v>
      </c>
      <c r="BE49">
        <v>327</v>
      </c>
      <c r="BF49">
        <v>48</v>
      </c>
      <c r="BG49">
        <v>138</v>
      </c>
      <c r="BH49">
        <v>227</v>
      </c>
      <c r="BJ49" t="s">
        <v>618</v>
      </c>
      <c r="BK49" t="s">
        <v>414</v>
      </c>
      <c r="BL49">
        <v>1563</v>
      </c>
      <c r="BM49">
        <v>454</v>
      </c>
      <c r="BN49">
        <v>99.856685860499994</v>
      </c>
      <c r="BO49">
        <v>3872</v>
      </c>
      <c r="BP49">
        <v>230</v>
      </c>
      <c r="BQ49">
        <v>146.2634297521</v>
      </c>
      <c r="BR49">
        <v>145.43913043480001</v>
      </c>
      <c r="BS49">
        <v>1916</v>
      </c>
      <c r="BT49">
        <v>760</v>
      </c>
      <c r="BU49">
        <v>124.80062630480001</v>
      </c>
      <c r="BV49">
        <v>5199</v>
      </c>
      <c r="BW49">
        <v>326</v>
      </c>
      <c r="BX49">
        <v>164.2498557415</v>
      </c>
      <c r="BY49">
        <v>176.76687116560001</v>
      </c>
      <c r="CA49" t="s">
        <v>8</v>
      </c>
      <c r="CB49" t="s">
        <v>703</v>
      </c>
      <c r="CD49">
        <v>4010</v>
      </c>
      <c r="CE49">
        <v>1882</v>
      </c>
      <c r="CF49">
        <v>159.90349127179999</v>
      </c>
      <c r="CG49">
        <v>8423</v>
      </c>
      <c r="CH49">
        <v>518</v>
      </c>
      <c r="CI49">
        <v>208.39997625550001</v>
      </c>
      <c r="CJ49">
        <v>193.32818532819999</v>
      </c>
      <c r="CL49" t="s">
        <v>8</v>
      </c>
      <c r="CM49" t="s">
        <v>875</v>
      </c>
      <c r="CO49">
        <v>196</v>
      </c>
      <c r="CP49">
        <v>47</v>
      </c>
      <c r="CQ49">
        <v>99.612244898</v>
      </c>
      <c r="CR49">
        <v>873</v>
      </c>
      <c r="CS49">
        <v>51</v>
      </c>
      <c r="CT49">
        <v>96.843069873999994</v>
      </c>
      <c r="CU49">
        <v>101.0588235294</v>
      </c>
      <c r="CW49" t="s">
        <v>8</v>
      </c>
      <c r="CX49" t="s">
        <v>876</v>
      </c>
      <c r="CZ49">
        <v>23</v>
      </c>
      <c r="DA49">
        <v>7</v>
      </c>
      <c r="DB49">
        <v>98.565217391299996</v>
      </c>
      <c r="DC49">
        <v>51</v>
      </c>
      <c r="DD49">
        <v>2</v>
      </c>
      <c r="DE49">
        <v>140.6666666667</v>
      </c>
      <c r="DF49">
        <v>124.5</v>
      </c>
      <c r="DH49" t="s">
        <v>8</v>
      </c>
      <c r="DI49" t="s">
        <v>874</v>
      </c>
      <c r="DK49">
        <v>55</v>
      </c>
      <c r="DL49">
        <v>8</v>
      </c>
      <c r="DM49">
        <v>72.963636363600003</v>
      </c>
      <c r="DN49">
        <v>168</v>
      </c>
      <c r="DO49">
        <v>10</v>
      </c>
      <c r="DP49">
        <v>149.08928571429999</v>
      </c>
      <c r="DQ49">
        <v>106.8</v>
      </c>
    </row>
    <row r="50" spans="2:121" x14ac:dyDescent="0.2">
      <c r="B50" t="s">
        <v>104</v>
      </c>
      <c r="C50">
        <v>219054</v>
      </c>
      <c r="D50">
        <v>166530</v>
      </c>
      <c r="F50" t="s">
        <v>440</v>
      </c>
      <c r="G50">
        <v>43985</v>
      </c>
      <c r="H50">
        <v>430.16250994659998</v>
      </c>
      <c r="I50">
        <v>1025</v>
      </c>
      <c r="J50">
        <v>363</v>
      </c>
      <c r="K50">
        <v>44506</v>
      </c>
      <c r="L50">
        <v>41421</v>
      </c>
      <c r="M50">
        <v>116</v>
      </c>
      <c r="N50">
        <v>111</v>
      </c>
      <c r="O50">
        <v>1459</v>
      </c>
      <c r="P50">
        <v>1316</v>
      </c>
      <c r="Q50">
        <v>0</v>
      </c>
      <c r="R50">
        <v>2</v>
      </c>
      <c r="AH50" t="s">
        <v>427</v>
      </c>
      <c r="AI50">
        <v>529</v>
      </c>
      <c r="AJ50">
        <v>322.30812854440001</v>
      </c>
      <c r="AK50">
        <v>450</v>
      </c>
      <c r="AL50">
        <v>122</v>
      </c>
      <c r="AM50">
        <v>876</v>
      </c>
      <c r="AN50">
        <v>473</v>
      </c>
      <c r="AO50">
        <v>158</v>
      </c>
      <c r="AP50">
        <v>101</v>
      </c>
      <c r="AQ50">
        <v>80</v>
      </c>
      <c r="AR50">
        <v>48</v>
      </c>
      <c r="AS50">
        <v>31</v>
      </c>
      <c r="AT50">
        <v>1</v>
      </c>
      <c r="AV50" t="s">
        <v>383</v>
      </c>
      <c r="AW50">
        <v>136</v>
      </c>
      <c r="AX50">
        <v>91.411764705899998</v>
      </c>
      <c r="AY50">
        <v>245</v>
      </c>
      <c r="AZ50">
        <v>47</v>
      </c>
      <c r="BA50">
        <v>213</v>
      </c>
      <c r="BB50">
        <v>62</v>
      </c>
      <c r="BC50">
        <v>8</v>
      </c>
      <c r="BD50">
        <v>8</v>
      </c>
      <c r="BE50">
        <v>99</v>
      </c>
      <c r="BF50">
        <v>11</v>
      </c>
      <c r="BG50">
        <v>18</v>
      </c>
      <c r="BH50">
        <v>64</v>
      </c>
      <c r="BJ50" t="s">
        <v>658</v>
      </c>
      <c r="BK50" t="s">
        <v>414</v>
      </c>
      <c r="BL50">
        <v>2602</v>
      </c>
      <c r="BM50">
        <v>912</v>
      </c>
      <c r="BN50">
        <v>118.3308993082</v>
      </c>
      <c r="BO50">
        <v>6811</v>
      </c>
      <c r="BP50">
        <v>381</v>
      </c>
      <c r="BQ50">
        <v>198.2233152254</v>
      </c>
      <c r="BR50">
        <v>160.60629921259999</v>
      </c>
      <c r="BS50">
        <v>2184</v>
      </c>
      <c r="BT50">
        <v>729</v>
      </c>
      <c r="BU50">
        <v>108.3388278388</v>
      </c>
      <c r="BV50">
        <v>5580</v>
      </c>
      <c r="BW50">
        <v>311</v>
      </c>
      <c r="BX50">
        <v>193.496953405</v>
      </c>
      <c r="BY50">
        <v>155.7845659164</v>
      </c>
      <c r="CA50" t="s">
        <v>434</v>
      </c>
      <c r="CB50" t="s">
        <v>907</v>
      </c>
      <c r="CC50" t="s">
        <v>1038</v>
      </c>
      <c r="CD50">
        <v>1162</v>
      </c>
      <c r="CE50">
        <v>203</v>
      </c>
      <c r="CF50">
        <v>85.209982788299996</v>
      </c>
      <c r="CG50">
        <v>3439</v>
      </c>
      <c r="CH50">
        <v>115</v>
      </c>
      <c r="CI50">
        <v>130.6839197441</v>
      </c>
      <c r="CJ50">
        <v>104.25217391299999</v>
      </c>
      <c r="CL50" t="s">
        <v>434</v>
      </c>
      <c r="CM50" t="s">
        <v>888</v>
      </c>
      <c r="CN50" t="s">
        <v>887</v>
      </c>
      <c r="CO50">
        <v>25</v>
      </c>
      <c r="CP50">
        <v>4</v>
      </c>
      <c r="CQ50">
        <v>79.8</v>
      </c>
      <c r="CR50">
        <v>176</v>
      </c>
      <c r="CS50">
        <v>9</v>
      </c>
      <c r="CT50">
        <v>59.039772727299997</v>
      </c>
      <c r="CU50">
        <v>76.333333333300004</v>
      </c>
      <c r="CW50" t="s">
        <v>434</v>
      </c>
      <c r="CX50" t="s">
        <v>898</v>
      </c>
      <c r="CY50" t="s">
        <v>897</v>
      </c>
      <c r="CZ50">
        <v>27</v>
      </c>
      <c r="DA50">
        <v>3</v>
      </c>
      <c r="DB50">
        <v>71.444444444400006</v>
      </c>
      <c r="DC50">
        <v>84</v>
      </c>
      <c r="DD50">
        <v>6</v>
      </c>
      <c r="DE50">
        <v>124.9166666667</v>
      </c>
      <c r="DF50">
        <v>136.6666666667</v>
      </c>
      <c r="DH50" t="s">
        <v>434</v>
      </c>
      <c r="DI50" t="s">
        <v>878</v>
      </c>
      <c r="DJ50" t="s">
        <v>877</v>
      </c>
      <c r="DK50">
        <v>46</v>
      </c>
      <c r="DL50">
        <v>5</v>
      </c>
      <c r="DM50">
        <v>64.652173912999999</v>
      </c>
      <c r="DN50">
        <v>103</v>
      </c>
      <c r="DO50">
        <v>10</v>
      </c>
      <c r="DP50">
        <v>176.75728155339999</v>
      </c>
      <c r="DQ50">
        <v>146.30000000000001</v>
      </c>
    </row>
    <row r="51" spans="2:121" x14ac:dyDescent="0.2">
      <c r="B51" t="s">
        <v>131</v>
      </c>
      <c r="C51">
        <v>18705</v>
      </c>
      <c r="D51">
        <v>2091</v>
      </c>
      <c r="F51" t="s">
        <v>56</v>
      </c>
      <c r="G51">
        <v>10017</v>
      </c>
      <c r="H51">
        <v>456.64051113110003</v>
      </c>
      <c r="I51">
        <v>6811</v>
      </c>
      <c r="J51">
        <v>3590</v>
      </c>
      <c r="K51">
        <v>13962</v>
      </c>
      <c r="L51">
        <v>9538</v>
      </c>
      <c r="M51">
        <v>2355</v>
      </c>
      <c r="N51">
        <v>2157</v>
      </c>
      <c r="O51">
        <v>1070</v>
      </c>
      <c r="P51">
        <v>712</v>
      </c>
      <c r="Q51">
        <v>78</v>
      </c>
      <c r="R51">
        <v>248</v>
      </c>
      <c r="AH51" t="s">
        <v>388</v>
      </c>
      <c r="AI51">
        <v>17218</v>
      </c>
      <c r="AJ51">
        <v>407.60384481360001</v>
      </c>
      <c r="AK51">
        <v>12952</v>
      </c>
      <c r="AL51">
        <v>3954</v>
      </c>
      <c r="AM51">
        <v>21911</v>
      </c>
      <c r="AN51">
        <v>14802</v>
      </c>
      <c r="AO51">
        <v>3001</v>
      </c>
      <c r="AP51">
        <v>2407</v>
      </c>
      <c r="AQ51">
        <v>5619</v>
      </c>
      <c r="AR51">
        <v>4323</v>
      </c>
      <c r="AS51">
        <v>571</v>
      </c>
      <c r="AT51">
        <v>36</v>
      </c>
      <c r="AV51" t="s">
        <v>416</v>
      </c>
      <c r="AW51">
        <v>45</v>
      </c>
      <c r="AX51">
        <v>46.0222222222</v>
      </c>
      <c r="AY51">
        <v>151</v>
      </c>
      <c r="AZ51">
        <v>12</v>
      </c>
      <c r="BA51">
        <v>95</v>
      </c>
      <c r="BB51">
        <v>4</v>
      </c>
      <c r="BC51">
        <v>0</v>
      </c>
      <c r="BE51">
        <v>4</v>
      </c>
      <c r="BF51">
        <v>4</v>
      </c>
      <c r="BG51">
        <v>82</v>
      </c>
      <c r="BH51">
        <v>20</v>
      </c>
      <c r="BJ51" t="s">
        <v>610</v>
      </c>
      <c r="BK51" t="s">
        <v>414</v>
      </c>
      <c r="BL51">
        <v>10735</v>
      </c>
      <c r="BM51">
        <v>4238</v>
      </c>
      <c r="BN51">
        <v>129.78723800649999</v>
      </c>
      <c r="BO51">
        <v>27203</v>
      </c>
      <c r="BP51">
        <v>1851</v>
      </c>
      <c r="BQ51">
        <v>225.69293827889999</v>
      </c>
      <c r="BR51">
        <v>178.2928146948</v>
      </c>
      <c r="BS51">
        <v>6618</v>
      </c>
      <c r="BT51">
        <v>2089</v>
      </c>
      <c r="BU51">
        <v>111.1320640677</v>
      </c>
      <c r="BV51">
        <v>18102</v>
      </c>
      <c r="BW51">
        <v>1127</v>
      </c>
      <c r="BX51">
        <v>232.19660810959999</v>
      </c>
      <c r="BY51">
        <v>164.9467613132</v>
      </c>
      <c r="CA51" t="s">
        <v>436</v>
      </c>
      <c r="CB51" t="s">
        <v>907</v>
      </c>
      <c r="CC51" t="s">
        <v>1039</v>
      </c>
      <c r="CD51">
        <v>6330</v>
      </c>
      <c r="CE51">
        <v>1988</v>
      </c>
      <c r="CF51">
        <v>108.30695102689999</v>
      </c>
      <c r="CG51">
        <v>18618</v>
      </c>
      <c r="CH51">
        <v>1080</v>
      </c>
      <c r="CI51">
        <v>169.84198087870001</v>
      </c>
      <c r="CJ51">
        <v>151.3305555556</v>
      </c>
      <c r="CL51" t="s">
        <v>436</v>
      </c>
      <c r="CM51" t="s">
        <v>888</v>
      </c>
      <c r="CN51" t="s">
        <v>889</v>
      </c>
      <c r="CO51">
        <v>517</v>
      </c>
      <c r="CP51">
        <v>46</v>
      </c>
      <c r="CQ51">
        <v>58.916827853000001</v>
      </c>
      <c r="CR51">
        <v>2996</v>
      </c>
      <c r="CS51">
        <v>155</v>
      </c>
      <c r="CT51">
        <v>69.786715620799995</v>
      </c>
      <c r="CU51">
        <v>71.012903225800002</v>
      </c>
      <c r="CW51" t="s">
        <v>436</v>
      </c>
      <c r="CX51" t="s">
        <v>898</v>
      </c>
      <c r="CY51" t="s">
        <v>899</v>
      </c>
      <c r="CZ51">
        <v>191</v>
      </c>
      <c r="DA51">
        <v>42</v>
      </c>
      <c r="DB51">
        <v>81.005235602100001</v>
      </c>
      <c r="DC51">
        <v>425</v>
      </c>
      <c r="DD51">
        <v>20</v>
      </c>
      <c r="DE51">
        <v>141.6305882353</v>
      </c>
      <c r="DF51">
        <v>164.05</v>
      </c>
      <c r="DH51" t="s">
        <v>436</v>
      </c>
      <c r="DI51" t="s">
        <v>878</v>
      </c>
      <c r="DJ51" t="s">
        <v>879</v>
      </c>
      <c r="DK51">
        <v>111</v>
      </c>
      <c r="DL51">
        <v>13</v>
      </c>
      <c r="DM51">
        <v>74.513513513500001</v>
      </c>
      <c r="DN51">
        <v>381</v>
      </c>
      <c r="DO51">
        <v>22</v>
      </c>
      <c r="DP51">
        <v>176.41469816270001</v>
      </c>
      <c r="DQ51">
        <v>139.9090909091</v>
      </c>
    </row>
    <row r="52" spans="2:121" x14ac:dyDescent="0.2">
      <c r="B52" t="s">
        <v>126</v>
      </c>
      <c r="C52">
        <v>608</v>
      </c>
      <c r="D52">
        <v>599</v>
      </c>
      <c r="F52" t="s">
        <v>75</v>
      </c>
      <c r="G52">
        <v>2193</v>
      </c>
      <c r="H52">
        <v>266.89785681709998</v>
      </c>
      <c r="I52">
        <v>2770</v>
      </c>
      <c r="J52">
        <v>987</v>
      </c>
      <c r="K52">
        <v>3746</v>
      </c>
      <c r="L52">
        <v>2612</v>
      </c>
      <c r="M52">
        <v>674</v>
      </c>
      <c r="N52">
        <v>634</v>
      </c>
      <c r="O52">
        <v>1624</v>
      </c>
      <c r="P52">
        <v>1225</v>
      </c>
      <c r="Q52">
        <v>0</v>
      </c>
      <c r="R52">
        <v>5</v>
      </c>
      <c r="AH52" t="s">
        <v>83</v>
      </c>
      <c r="AI52">
        <v>15833</v>
      </c>
      <c r="AJ52">
        <v>389.35293374600002</v>
      </c>
      <c r="AK52">
        <v>8246</v>
      </c>
      <c r="AL52">
        <v>2677</v>
      </c>
      <c r="AM52">
        <v>21525</v>
      </c>
      <c r="AN52">
        <v>14920</v>
      </c>
      <c r="AO52">
        <v>3697</v>
      </c>
      <c r="AP52">
        <v>3324</v>
      </c>
      <c r="AQ52">
        <v>6058</v>
      </c>
      <c r="AR52">
        <v>4901</v>
      </c>
      <c r="AS52">
        <v>7</v>
      </c>
      <c r="AT52">
        <v>144</v>
      </c>
      <c r="AV52" t="s">
        <v>402</v>
      </c>
      <c r="AW52">
        <v>318</v>
      </c>
      <c r="AX52">
        <v>59.172955974799997</v>
      </c>
      <c r="AY52">
        <v>480</v>
      </c>
      <c r="AZ52">
        <v>38</v>
      </c>
      <c r="BA52">
        <v>528</v>
      </c>
      <c r="BB52">
        <v>54</v>
      </c>
      <c r="BC52">
        <v>3</v>
      </c>
      <c r="BD52">
        <v>3</v>
      </c>
      <c r="BE52">
        <v>41</v>
      </c>
      <c r="BF52">
        <v>14</v>
      </c>
      <c r="BG52">
        <v>340</v>
      </c>
      <c r="BH52">
        <v>39</v>
      </c>
      <c r="BJ52" t="s">
        <v>632</v>
      </c>
      <c r="BK52" t="s">
        <v>414</v>
      </c>
      <c r="BL52">
        <v>1038</v>
      </c>
      <c r="BM52">
        <v>426</v>
      </c>
      <c r="BN52">
        <v>133.42774566470001</v>
      </c>
      <c r="BO52">
        <v>3159</v>
      </c>
      <c r="BP52">
        <v>204</v>
      </c>
      <c r="BQ52">
        <v>167.7711301045</v>
      </c>
      <c r="BR52">
        <v>169.0196078431</v>
      </c>
      <c r="BS52">
        <v>1988</v>
      </c>
      <c r="BT52">
        <v>1028</v>
      </c>
      <c r="BU52">
        <v>169.8435613682</v>
      </c>
      <c r="BV52">
        <v>6019</v>
      </c>
      <c r="BW52">
        <v>368</v>
      </c>
      <c r="BX52">
        <v>214.1940521681</v>
      </c>
      <c r="BY52">
        <v>200.11956521740001</v>
      </c>
      <c r="CA52" t="s">
        <v>417</v>
      </c>
      <c r="CB52" t="s">
        <v>907</v>
      </c>
      <c r="CC52" t="s">
        <v>1040</v>
      </c>
      <c r="CD52">
        <v>32169</v>
      </c>
      <c r="CE52">
        <v>10793</v>
      </c>
      <c r="CF52">
        <v>120.4317821505</v>
      </c>
      <c r="CG52">
        <v>85755</v>
      </c>
      <c r="CH52">
        <v>5606</v>
      </c>
      <c r="CI52">
        <v>200.49963267449999</v>
      </c>
      <c r="CJ52">
        <v>166.74777024619999</v>
      </c>
      <c r="CL52" t="s">
        <v>417</v>
      </c>
      <c r="CM52" t="s">
        <v>888</v>
      </c>
      <c r="CN52" t="s">
        <v>890</v>
      </c>
      <c r="CO52">
        <v>2107</v>
      </c>
      <c r="CP52">
        <v>127</v>
      </c>
      <c r="CQ52">
        <v>54.861414333200003</v>
      </c>
      <c r="CR52">
        <v>11821</v>
      </c>
      <c r="CS52">
        <v>647</v>
      </c>
      <c r="CT52">
        <v>63.397428305600002</v>
      </c>
      <c r="CU52">
        <v>66.440494590399993</v>
      </c>
      <c r="CW52" t="s">
        <v>417</v>
      </c>
      <c r="CX52" t="s">
        <v>898</v>
      </c>
      <c r="CY52" t="s">
        <v>900</v>
      </c>
      <c r="CZ52">
        <v>1179</v>
      </c>
      <c r="DA52">
        <v>130</v>
      </c>
      <c r="DB52">
        <v>63.890585241700002</v>
      </c>
      <c r="DC52">
        <v>3236</v>
      </c>
      <c r="DD52">
        <v>164</v>
      </c>
      <c r="DE52">
        <v>118.5281211372</v>
      </c>
      <c r="DF52">
        <v>108.25</v>
      </c>
      <c r="DH52" t="s">
        <v>417</v>
      </c>
      <c r="DI52" t="s">
        <v>878</v>
      </c>
      <c r="DJ52" t="s">
        <v>880</v>
      </c>
      <c r="DK52">
        <v>561</v>
      </c>
      <c r="DL52">
        <v>85</v>
      </c>
      <c r="DM52">
        <v>68.893048128299995</v>
      </c>
      <c r="DN52">
        <v>1626</v>
      </c>
      <c r="DO52">
        <v>73</v>
      </c>
      <c r="DP52">
        <v>166.03690036899999</v>
      </c>
      <c r="DQ52">
        <v>150.4931506849</v>
      </c>
    </row>
    <row r="53" spans="2:121" x14ac:dyDescent="0.2">
      <c r="B53" t="s">
        <v>109</v>
      </c>
      <c r="C53">
        <v>1552</v>
      </c>
      <c r="D53">
        <v>393</v>
      </c>
      <c r="F53" t="s">
        <v>79</v>
      </c>
      <c r="G53">
        <v>5117</v>
      </c>
      <c r="H53">
        <v>142.81024037520001</v>
      </c>
      <c r="I53">
        <v>10243</v>
      </c>
      <c r="J53">
        <v>2429</v>
      </c>
      <c r="K53">
        <v>11464</v>
      </c>
      <c r="L53">
        <v>2488</v>
      </c>
      <c r="M53">
        <v>527</v>
      </c>
      <c r="N53">
        <v>394</v>
      </c>
      <c r="O53">
        <v>1404</v>
      </c>
      <c r="P53">
        <v>545</v>
      </c>
      <c r="Q53">
        <v>17</v>
      </c>
      <c r="R53">
        <v>0</v>
      </c>
      <c r="AH53" t="s">
        <v>389</v>
      </c>
      <c r="AI53">
        <v>2377</v>
      </c>
      <c r="AJ53">
        <v>246.96087505259999</v>
      </c>
      <c r="AK53">
        <v>2528</v>
      </c>
      <c r="AL53">
        <v>681</v>
      </c>
      <c r="AM53">
        <v>3620</v>
      </c>
      <c r="AN53">
        <v>1970</v>
      </c>
      <c r="AO53">
        <v>310</v>
      </c>
      <c r="AP53">
        <v>255</v>
      </c>
      <c r="AQ53">
        <v>1072</v>
      </c>
      <c r="AR53">
        <v>745</v>
      </c>
      <c r="AS53">
        <v>245</v>
      </c>
      <c r="AT53">
        <v>18</v>
      </c>
      <c r="AV53" t="s">
        <v>411</v>
      </c>
      <c r="AW53">
        <v>132</v>
      </c>
      <c r="AX53">
        <v>33.212121212100001</v>
      </c>
      <c r="AY53">
        <v>299</v>
      </c>
      <c r="AZ53">
        <v>13</v>
      </c>
      <c r="BA53">
        <v>223</v>
      </c>
      <c r="BC53">
        <v>1</v>
      </c>
      <c r="BD53">
        <v>1</v>
      </c>
      <c r="BE53">
        <v>8</v>
      </c>
      <c r="BF53">
        <v>2</v>
      </c>
      <c r="BG53">
        <v>424</v>
      </c>
      <c r="BH53">
        <v>41</v>
      </c>
      <c r="BJ53" t="s">
        <v>608</v>
      </c>
      <c r="BK53" t="s">
        <v>414</v>
      </c>
      <c r="BL53">
        <v>12067</v>
      </c>
      <c r="BM53">
        <v>4470</v>
      </c>
      <c r="BN53">
        <v>131.57131018480001</v>
      </c>
      <c r="BO53">
        <v>30211</v>
      </c>
      <c r="BP53">
        <v>2212</v>
      </c>
      <c r="BQ53">
        <v>230.794214028</v>
      </c>
      <c r="BR53">
        <v>188.78119349010001</v>
      </c>
      <c r="BS53">
        <v>6408</v>
      </c>
      <c r="BT53">
        <v>2060</v>
      </c>
      <c r="BU53">
        <v>117.893102372</v>
      </c>
      <c r="BV53">
        <v>18027</v>
      </c>
      <c r="BW53">
        <v>1088</v>
      </c>
      <c r="BX53">
        <v>239.58162755870001</v>
      </c>
      <c r="BY53">
        <v>179.7389705882</v>
      </c>
      <c r="CA53" t="s">
        <v>438</v>
      </c>
      <c r="CB53" t="s">
        <v>907</v>
      </c>
      <c r="CC53" t="s">
        <v>1041</v>
      </c>
      <c r="CD53">
        <v>2063</v>
      </c>
      <c r="CE53">
        <v>680</v>
      </c>
      <c r="CF53">
        <v>114.98448860880001</v>
      </c>
      <c r="CG53">
        <v>6492</v>
      </c>
      <c r="CH53">
        <v>373</v>
      </c>
      <c r="CI53">
        <v>168.51833025260001</v>
      </c>
      <c r="CJ53">
        <v>137.11260053620001</v>
      </c>
      <c r="CL53" t="s">
        <v>438</v>
      </c>
      <c r="CM53" t="s">
        <v>888</v>
      </c>
      <c r="CN53" t="s">
        <v>891</v>
      </c>
      <c r="CO53">
        <v>64</v>
      </c>
      <c r="CP53">
        <v>6</v>
      </c>
      <c r="CQ53">
        <v>62.3125</v>
      </c>
      <c r="CR53">
        <v>307</v>
      </c>
      <c r="CS53">
        <v>8</v>
      </c>
      <c r="CT53">
        <v>65.993485342</v>
      </c>
      <c r="CU53">
        <v>95.75</v>
      </c>
      <c r="CW53" t="s">
        <v>438</v>
      </c>
      <c r="CX53" t="s">
        <v>898</v>
      </c>
      <c r="CY53" t="s">
        <v>901</v>
      </c>
      <c r="CZ53">
        <v>31</v>
      </c>
      <c r="DA53">
        <v>5</v>
      </c>
      <c r="DB53">
        <v>68.354838709700005</v>
      </c>
      <c r="DC53">
        <v>94</v>
      </c>
      <c r="DD53">
        <v>6</v>
      </c>
      <c r="DE53">
        <v>127.1595744681</v>
      </c>
      <c r="DF53">
        <v>137.1666666667</v>
      </c>
      <c r="DH53" t="s">
        <v>438</v>
      </c>
      <c r="DI53" t="s">
        <v>878</v>
      </c>
      <c r="DJ53" t="s">
        <v>881</v>
      </c>
      <c r="DK53">
        <v>70</v>
      </c>
      <c r="DL53">
        <v>11</v>
      </c>
      <c r="DM53">
        <v>69.7</v>
      </c>
      <c r="DN53">
        <v>221</v>
      </c>
      <c r="DO53">
        <v>16</v>
      </c>
      <c r="DP53">
        <v>164.13574660629999</v>
      </c>
      <c r="DQ53">
        <v>134.875</v>
      </c>
    </row>
    <row r="54" spans="2:121" x14ac:dyDescent="0.2">
      <c r="F54" t="s">
        <v>53</v>
      </c>
      <c r="G54">
        <v>2656</v>
      </c>
      <c r="H54">
        <v>125.5542168675</v>
      </c>
      <c r="I54">
        <v>2066</v>
      </c>
      <c r="J54">
        <v>405</v>
      </c>
      <c r="K54">
        <v>4986</v>
      </c>
      <c r="L54">
        <v>1103</v>
      </c>
      <c r="M54">
        <v>583</v>
      </c>
      <c r="N54">
        <v>485</v>
      </c>
      <c r="O54">
        <v>290</v>
      </c>
      <c r="P54">
        <v>203</v>
      </c>
      <c r="Q54">
        <v>0</v>
      </c>
      <c r="R54">
        <v>15</v>
      </c>
      <c r="AH54" t="s">
        <v>406</v>
      </c>
      <c r="AI54">
        <v>5475</v>
      </c>
      <c r="AJ54">
        <v>223.7647488584</v>
      </c>
      <c r="AK54">
        <v>4025</v>
      </c>
      <c r="AL54">
        <v>1203</v>
      </c>
      <c r="AM54">
        <v>7365</v>
      </c>
      <c r="AN54">
        <v>3882</v>
      </c>
      <c r="AO54">
        <v>318</v>
      </c>
      <c r="AP54">
        <v>253</v>
      </c>
      <c r="AQ54">
        <v>712</v>
      </c>
      <c r="AR54">
        <v>304</v>
      </c>
      <c r="AS54">
        <v>9</v>
      </c>
      <c r="AT54">
        <v>8</v>
      </c>
      <c r="AV54" t="s">
        <v>434</v>
      </c>
      <c r="AW54">
        <v>5</v>
      </c>
      <c r="AX54">
        <v>55.6</v>
      </c>
      <c r="AY54">
        <v>8</v>
      </c>
      <c r="BA54">
        <v>20</v>
      </c>
      <c r="BB54">
        <v>3</v>
      </c>
      <c r="BC54">
        <v>0</v>
      </c>
      <c r="BE54">
        <v>1</v>
      </c>
      <c r="BF54">
        <v>1</v>
      </c>
      <c r="BG54">
        <v>17</v>
      </c>
      <c r="BH54">
        <v>8</v>
      </c>
      <c r="BJ54" t="s">
        <v>414</v>
      </c>
      <c r="BK54" t="s">
        <v>414</v>
      </c>
      <c r="BL54">
        <v>66632</v>
      </c>
      <c r="BM54">
        <v>21944</v>
      </c>
      <c r="BN54">
        <v>118.1949813903</v>
      </c>
      <c r="BO54">
        <v>204295</v>
      </c>
      <c r="BP54">
        <v>12470</v>
      </c>
      <c r="BQ54">
        <v>180.2991605277</v>
      </c>
      <c r="BR54">
        <v>152.4316760225</v>
      </c>
      <c r="BS54">
        <v>59032</v>
      </c>
      <c r="BT54">
        <v>18906</v>
      </c>
      <c r="BU54">
        <v>115.0140432308</v>
      </c>
      <c r="BV54">
        <v>188561</v>
      </c>
      <c r="BW54">
        <v>11111</v>
      </c>
      <c r="BX54">
        <v>177.96262747860001</v>
      </c>
      <c r="BY54">
        <v>149.08046080459999</v>
      </c>
      <c r="CA54" t="s">
        <v>418</v>
      </c>
      <c r="CB54" t="s">
        <v>907</v>
      </c>
      <c r="CC54" t="s">
        <v>1042</v>
      </c>
      <c r="CD54">
        <v>1668</v>
      </c>
      <c r="CE54">
        <v>508</v>
      </c>
      <c r="CF54">
        <v>105.278177458</v>
      </c>
      <c r="CG54">
        <v>4268</v>
      </c>
      <c r="CH54">
        <v>258</v>
      </c>
      <c r="CI54">
        <v>146.72352389880001</v>
      </c>
      <c r="CJ54">
        <v>148.68604651160001</v>
      </c>
      <c r="CL54" t="s">
        <v>418</v>
      </c>
      <c r="CM54" t="s">
        <v>888</v>
      </c>
      <c r="CN54" t="s">
        <v>892</v>
      </c>
      <c r="CO54">
        <v>128</v>
      </c>
      <c r="CP54">
        <v>10</v>
      </c>
      <c r="CQ54">
        <v>58.3046875</v>
      </c>
      <c r="CR54">
        <v>688</v>
      </c>
      <c r="CS54">
        <v>35</v>
      </c>
      <c r="CT54">
        <v>58.534883720899998</v>
      </c>
      <c r="CU54">
        <v>50.685714285700001</v>
      </c>
      <c r="CW54" t="s">
        <v>418</v>
      </c>
      <c r="CX54" t="s">
        <v>898</v>
      </c>
      <c r="CY54" t="s">
        <v>902</v>
      </c>
      <c r="CZ54">
        <v>28</v>
      </c>
      <c r="DA54">
        <v>3</v>
      </c>
      <c r="DB54">
        <v>72.357142857100001</v>
      </c>
      <c r="DC54">
        <v>106</v>
      </c>
      <c r="DD54">
        <v>6</v>
      </c>
      <c r="DE54">
        <v>129.31132075470001</v>
      </c>
      <c r="DF54">
        <v>128.8333333333</v>
      </c>
      <c r="DH54" t="s">
        <v>418</v>
      </c>
      <c r="DI54" t="s">
        <v>878</v>
      </c>
      <c r="DJ54" t="s">
        <v>882</v>
      </c>
      <c r="DK54">
        <v>39</v>
      </c>
      <c r="DL54">
        <v>5</v>
      </c>
      <c r="DM54">
        <v>58.897435897400001</v>
      </c>
      <c r="DN54">
        <v>56</v>
      </c>
      <c r="DO54">
        <v>3</v>
      </c>
      <c r="DP54">
        <v>174.82142857139999</v>
      </c>
      <c r="DQ54">
        <v>296</v>
      </c>
    </row>
    <row r="55" spans="2:121" x14ac:dyDescent="0.2">
      <c r="F55" t="s">
        <v>45</v>
      </c>
      <c r="G55">
        <v>2949</v>
      </c>
      <c r="H55">
        <v>234.58867412679999</v>
      </c>
      <c r="I55">
        <v>7937</v>
      </c>
      <c r="J55">
        <v>2312</v>
      </c>
      <c r="K55">
        <v>5542</v>
      </c>
      <c r="L55">
        <v>2597</v>
      </c>
      <c r="M55">
        <v>861</v>
      </c>
      <c r="N55">
        <v>685</v>
      </c>
      <c r="O55">
        <v>795</v>
      </c>
      <c r="P55">
        <v>576</v>
      </c>
      <c r="Q55">
        <v>2</v>
      </c>
      <c r="R55">
        <v>206</v>
      </c>
      <c r="AH55" t="s">
        <v>431</v>
      </c>
      <c r="AI55">
        <v>778</v>
      </c>
      <c r="AJ55">
        <v>259.68894601540001</v>
      </c>
      <c r="AK55">
        <v>950</v>
      </c>
      <c r="AL55">
        <v>245</v>
      </c>
      <c r="AM55">
        <v>1140</v>
      </c>
      <c r="AN55">
        <v>531</v>
      </c>
      <c r="AO55">
        <v>200</v>
      </c>
      <c r="AP55">
        <v>164</v>
      </c>
      <c r="AQ55">
        <v>163</v>
      </c>
      <c r="AR55">
        <v>87</v>
      </c>
      <c r="AS55">
        <v>25</v>
      </c>
      <c r="AT55">
        <v>7</v>
      </c>
      <c r="AV55" t="s">
        <v>389</v>
      </c>
      <c r="AW55">
        <v>232</v>
      </c>
      <c r="AX55">
        <v>98.181034482800001</v>
      </c>
      <c r="AY55">
        <v>187</v>
      </c>
      <c r="AZ55">
        <v>36</v>
      </c>
      <c r="BA55">
        <v>329</v>
      </c>
      <c r="BB55">
        <v>84</v>
      </c>
      <c r="BC55">
        <v>12</v>
      </c>
      <c r="BD55">
        <v>11</v>
      </c>
      <c r="BE55">
        <v>109</v>
      </c>
      <c r="BF55">
        <v>14</v>
      </c>
      <c r="BG55">
        <v>43</v>
      </c>
      <c r="BH55">
        <v>63</v>
      </c>
      <c r="BJ55" t="s">
        <v>612</v>
      </c>
      <c r="BK55" t="s">
        <v>414</v>
      </c>
      <c r="BL55">
        <v>5541</v>
      </c>
      <c r="BM55">
        <v>1745</v>
      </c>
      <c r="BN55">
        <v>105.5226493413</v>
      </c>
      <c r="BO55">
        <v>16290</v>
      </c>
      <c r="BP55">
        <v>906</v>
      </c>
      <c r="BQ55">
        <v>173.84278698590001</v>
      </c>
      <c r="BR55">
        <v>157.72075055190001</v>
      </c>
      <c r="BS55">
        <v>8443</v>
      </c>
      <c r="BT55">
        <v>3163</v>
      </c>
      <c r="BU55">
        <v>118.69880374269999</v>
      </c>
      <c r="BV55">
        <v>23178</v>
      </c>
      <c r="BW55">
        <v>1480</v>
      </c>
      <c r="BX55">
        <v>189.1771938908</v>
      </c>
      <c r="BY55">
        <v>176.53986486490001</v>
      </c>
      <c r="CA55" t="s">
        <v>423</v>
      </c>
      <c r="CB55" t="s">
        <v>907</v>
      </c>
      <c r="CC55" t="s">
        <v>1043</v>
      </c>
      <c r="CD55">
        <v>4213</v>
      </c>
      <c r="CE55">
        <v>1549</v>
      </c>
      <c r="CF55">
        <v>133.3553287444</v>
      </c>
      <c r="CG55">
        <v>10500</v>
      </c>
      <c r="CH55">
        <v>655</v>
      </c>
      <c r="CI55">
        <v>234.00609523809999</v>
      </c>
      <c r="CJ55">
        <v>199.706870229</v>
      </c>
      <c r="CL55" t="s">
        <v>423</v>
      </c>
      <c r="CM55" t="s">
        <v>888</v>
      </c>
      <c r="CN55" t="s">
        <v>893</v>
      </c>
      <c r="CO55">
        <v>218</v>
      </c>
      <c r="CP55">
        <v>15</v>
      </c>
      <c r="CQ55">
        <v>59.967889908300002</v>
      </c>
      <c r="CR55">
        <v>1339</v>
      </c>
      <c r="CS55">
        <v>67</v>
      </c>
      <c r="CT55">
        <v>72.088872292800005</v>
      </c>
      <c r="CU55">
        <v>62.522388059699999</v>
      </c>
      <c r="CW55" t="s">
        <v>423</v>
      </c>
      <c r="CX55" t="s">
        <v>898</v>
      </c>
      <c r="CY55" t="s">
        <v>903</v>
      </c>
      <c r="CZ55">
        <v>72</v>
      </c>
      <c r="DA55">
        <v>12</v>
      </c>
      <c r="DB55">
        <v>70.861111111100001</v>
      </c>
      <c r="DC55">
        <v>235</v>
      </c>
      <c r="DD55">
        <v>11</v>
      </c>
      <c r="DE55">
        <v>122.6425531915</v>
      </c>
      <c r="DF55">
        <v>121.54545454549999</v>
      </c>
      <c r="DH55" t="s">
        <v>423</v>
      </c>
      <c r="DI55" t="s">
        <v>878</v>
      </c>
      <c r="DJ55" t="s">
        <v>883</v>
      </c>
      <c r="DK55">
        <v>73</v>
      </c>
      <c r="DL55">
        <v>12</v>
      </c>
      <c r="DM55">
        <v>75.5479452055</v>
      </c>
      <c r="DN55">
        <v>258</v>
      </c>
      <c r="DO55">
        <v>13</v>
      </c>
      <c r="DP55">
        <v>169.18992248059999</v>
      </c>
      <c r="DQ55">
        <v>137.8461538462</v>
      </c>
    </row>
    <row r="56" spans="2:121" x14ac:dyDescent="0.2">
      <c r="F56" t="s">
        <v>65</v>
      </c>
      <c r="G56">
        <v>10492</v>
      </c>
      <c r="H56">
        <v>417.92289363319998</v>
      </c>
      <c r="I56">
        <v>11768</v>
      </c>
      <c r="J56">
        <v>4252</v>
      </c>
      <c r="K56">
        <v>14094</v>
      </c>
      <c r="L56">
        <v>10926</v>
      </c>
      <c r="M56">
        <v>3740</v>
      </c>
      <c r="N56">
        <v>3110</v>
      </c>
      <c r="O56">
        <v>3937</v>
      </c>
      <c r="P56">
        <v>3268</v>
      </c>
      <c r="Q56">
        <v>0</v>
      </c>
      <c r="R56">
        <v>43</v>
      </c>
      <c r="BJ56" t="s">
        <v>620</v>
      </c>
      <c r="BK56" t="s">
        <v>414</v>
      </c>
      <c r="BL56">
        <v>5903</v>
      </c>
      <c r="BM56">
        <v>2141</v>
      </c>
      <c r="BN56">
        <v>125.56157885819999</v>
      </c>
      <c r="BO56">
        <v>14243</v>
      </c>
      <c r="BP56">
        <v>842</v>
      </c>
      <c r="BQ56">
        <v>194.14849399709999</v>
      </c>
      <c r="BR56">
        <v>151.82066508310001</v>
      </c>
      <c r="BS56">
        <v>4976</v>
      </c>
      <c r="BT56">
        <v>2015</v>
      </c>
      <c r="BU56">
        <v>130.1063102894</v>
      </c>
      <c r="BV56">
        <v>14150</v>
      </c>
      <c r="BW56">
        <v>793</v>
      </c>
      <c r="BX56">
        <v>194.6572438163</v>
      </c>
      <c r="BY56">
        <v>153.91551071879999</v>
      </c>
      <c r="CA56" t="s">
        <v>415</v>
      </c>
      <c r="CB56" t="s">
        <v>907</v>
      </c>
      <c r="CC56" t="s">
        <v>1044</v>
      </c>
      <c r="CD56">
        <v>3172</v>
      </c>
      <c r="CE56">
        <v>1044</v>
      </c>
      <c r="CF56">
        <v>116.24369482980001</v>
      </c>
      <c r="CG56">
        <v>7485</v>
      </c>
      <c r="CH56">
        <v>451</v>
      </c>
      <c r="CI56">
        <v>177.30313961260001</v>
      </c>
      <c r="CJ56">
        <v>183.4124168514</v>
      </c>
      <c r="CL56" t="s">
        <v>415</v>
      </c>
      <c r="CM56" t="s">
        <v>888</v>
      </c>
      <c r="CN56" t="s">
        <v>894</v>
      </c>
      <c r="CO56">
        <v>199</v>
      </c>
      <c r="CP56">
        <v>16</v>
      </c>
      <c r="CQ56">
        <v>65.592964824099994</v>
      </c>
      <c r="CR56">
        <v>1078</v>
      </c>
      <c r="CS56">
        <v>67</v>
      </c>
      <c r="CT56">
        <v>59.409090909100001</v>
      </c>
      <c r="CU56">
        <v>60.731343283599998</v>
      </c>
      <c r="CW56" t="s">
        <v>415</v>
      </c>
      <c r="CX56" t="s">
        <v>898</v>
      </c>
      <c r="CY56" t="s">
        <v>904</v>
      </c>
      <c r="CZ56">
        <v>68</v>
      </c>
      <c r="DA56">
        <v>14</v>
      </c>
      <c r="DB56">
        <v>83.588235294100002</v>
      </c>
      <c r="DC56">
        <v>122</v>
      </c>
      <c r="DD56">
        <v>7</v>
      </c>
      <c r="DE56">
        <v>126.9344262295</v>
      </c>
      <c r="DF56">
        <v>100.2857142857</v>
      </c>
      <c r="DH56" t="s">
        <v>415</v>
      </c>
      <c r="DI56" t="s">
        <v>878</v>
      </c>
      <c r="DJ56" t="s">
        <v>884</v>
      </c>
      <c r="DK56">
        <v>57</v>
      </c>
      <c r="DL56">
        <v>4</v>
      </c>
      <c r="DM56">
        <v>65.649122806999998</v>
      </c>
      <c r="DN56">
        <v>131</v>
      </c>
      <c r="DO56">
        <v>8</v>
      </c>
      <c r="DP56">
        <v>172.44274809160001</v>
      </c>
      <c r="DQ56">
        <v>141.75</v>
      </c>
    </row>
    <row r="57" spans="2:121" x14ac:dyDescent="0.2">
      <c r="F57" t="s">
        <v>67</v>
      </c>
      <c r="G57">
        <v>6278</v>
      </c>
      <c r="H57">
        <v>273.24052245939998</v>
      </c>
      <c r="I57">
        <v>5410</v>
      </c>
      <c r="J57">
        <v>1699</v>
      </c>
      <c r="K57">
        <v>7511</v>
      </c>
      <c r="L57">
        <v>4345</v>
      </c>
      <c r="M57">
        <v>247</v>
      </c>
      <c r="N57">
        <v>198</v>
      </c>
      <c r="O57">
        <v>2981</v>
      </c>
      <c r="P57">
        <v>2437</v>
      </c>
      <c r="Q57">
        <v>0</v>
      </c>
      <c r="R57">
        <v>67</v>
      </c>
      <c r="BJ57" t="s">
        <v>628</v>
      </c>
      <c r="BK57" t="s">
        <v>414</v>
      </c>
      <c r="BL57">
        <v>4073</v>
      </c>
      <c r="BM57">
        <v>1536</v>
      </c>
      <c r="BN57">
        <v>136.6319666094</v>
      </c>
      <c r="BO57">
        <v>9844</v>
      </c>
      <c r="BP57">
        <v>642</v>
      </c>
      <c r="BQ57">
        <v>245.0888866315</v>
      </c>
      <c r="BR57">
        <v>210.09034267909999</v>
      </c>
      <c r="BS57">
        <v>2106</v>
      </c>
      <c r="BT57">
        <v>659</v>
      </c>
      <c r="BU57">
        <v>125.8793922127</v>
      </c>
      <c r="BV57">
        <v>4885</v>
      </c>
      <c r="BW57">
        <v>319</v>
      </c>
      <c r="BX57">
        <v>276.80982599800001</v>
      </c>
      <c r="BY57">
        <v>221.88714733539999</v>
      </c>
      <c r="CA57" t="s">
        <v>419</v>
      </c>
      <c r="CB57" t="s">
        <v>907</v>
      </c>
      <c r="CC57" t="s">
        <v>1045</v>
      </c>
      <c r="CD57">
        <v>5813</v>
      </c>
      <c r="CE57">
        <v>2181</v>
      </c>
      <c r="CF57">
        <v>127.8216067435</v>
      </c>
      <c r="CG57">
        <v>14769</v>
      </c>
      <c r="CH57">
        <v>861</v>
      </c>
      <c r="CI57">
        <v>192.27991062359999</v>
      </c>
      <c r="CJ57">
        <v>153.2113821138</v>
      </c>
      <c r="CL57" t="s">
        <v>419</v>
      </c>
      <c r="CM57" t="s">
        <v>888</v>
      </c>
      <c r="CN57" t="s">
        <v>895</v>
      </c>
      <c r="CO57">
        <v>303</v>
      </c>
      <c r="CP57">
        <v>24</v>
      </c>
      <c r="CQ57">
        <v>63.016501650199999</v>
      </c>
      <c r="CR57">
        <v>1886</v>
      </c>
      <c r="CS57">
        <v>92</v>
      </c>
      <c r="CT57">
        <v>65.324496288399999</v>
      </c>
      <c r="CU57">
        <v>68.347826087000001</v>
      </c>
      <c r="CW57" t="s">
        <v>419</v>
      </c>
      <c r="CX57" t="s">
        <v>898</v>
      </c>
      <c r="CY57" t="s">
        <v>905</v>
      </c>
      <c r="CZ57">
        <v>105</v>
      </c>
      <c r="DA57">
        <v>7</v>
      </c>
      <c r="DB57">
        <v>54.1714285714</v>
      </c>
      <c r="DC57">
        <v>190</v>
      </c>
      <c r="DD57">
        <v>16</v>
      </c>
      <c r="DE57">
        <v>121.7631578947</v>
      </c>
      <c r="DF57">
        <v>118.25</v>
      </c>
      <c r="DH57" t="s">
        <v>419</v>
      </c>
      <c r="DI57" t="s">
        <v>878</v>
      </c>
      <c r="DJ57" t="s">
        <v>885</v>
      </c>
      <c r="DK57">
        <v>31</v>
      </c>
      <c r="DL57">
        <v>6</v>
      </c>
      <c r="DM57">
        <v>78.967741935500001</v>
      </c>
      <c r="DN57">
        <v>135</v>
      </c>
      <c r="DO57">
        <v>3</v>
      </c>
      <c r="DP57">
        <v>160.78518518519999</v>
      </c>
      <c r="DQ57">
        <v>145.3333333333</v>
      </c>
    </row>
    <row r="58" spans="2:121" x14ac:dyDescent="0.2">
      <c r="F58" t="s">
        <v>57</v>
      </c>
      <c r="G58">
        <v>1998</v>
      </c>
      <c r="H58">
        <v>357.88438438439999</v>
      </c>
      <c r="I58">
        <v>1218</v>
      </c>
      <c r="J58">
        <v>304</v>
      </c>
      <c r="K58">
        <v>2439</v>
      </c>
      <c r="L58">
        <v>1648</v>
      </c>
      <c r="M58">
        <v>610</v>
      </c>
      <c r="N58">
        <v>595</v>
      </c>
      <c r="O58">
        <v>112</v>
      </c>
      <c r="P58">
        <v>82</v>
      </c>
      <c r="Q58">
        <v>0</v>
      </c>
      <c r="R58">
        <v>1</v>
      </c>
      <c r="BJ58" t="s">
        <v>641</v>
      </c>
      <c r="BK58" t="s">
        <v>414</v>
      </c>
      <c r="BL58">
        <v>10070</v>
      </c>
      <c r="BM58">
        <v>2232</v>
      </c>
      <c r="BN58">
        <v>93.948262164799999</v>
      </c>
      <c r="BO58">
        <v>26180</v>
      </c>
      <c r="BP58">
        <v>1549</v>
      </c>
      <c r="BQ58">
        <v>157.43926661570001</v>
      </c>
      <c r="BR58">
        <v>133.7146546159</v>
      </c>
      <c r="BS58">
        <v>12573</v>
      </c>
      <c r="BT58">
        <v>3420</v>
      </c>
      <c r="BU58">
        <v>109.725363875</v>
      </c>
      <c r="BV58">
        <v>32263</v>
      </c>
      <c r="BW58">
        <v>1871</v>
      </c>
      <c r="BX58">
        <v>174.0527539286</v>
      </c>
      <c r="BY58">
        <v>156.8193479423</v>
      </c>
      <c r="CA58" t="s">
        <v>83</v>
      </c>
      <c r="CB58" t="s">
        <v>907</v>
      </c>
      <c r="CC58" t="s">
        <v>1046</v>
      </c>
      <c r="CD58">
        <v>7731</v>
      </c>
      <c r="CE58">
        <v>2612</v>
      </c>
      <c r="CF58">
        <v>127.4661751391</v>
      </c>
      <c r="CG58">
        <v>25932</v>
      </c>
      <c r="CH58">
        <v>1641</v>
      </c>
      <c r="CI58">
        <v>230.572921487</v>
      </c>
      <c r="CJ58">
        <v>172.31078610599999</v>
      </c>
      <c r="CL58" t="s">
        <v>83</v>
      </c>
      <c r="CM58" t="s">
        <v>888</v>
      </c>
      <c r="CN58" t="s">
        <v>896</v>
      </c>
      <c r="CO58">
        <v>527</v>
      </c>
      <c r="CP58">
        <v>48</v>
      </c>
      <c r="CQ58">
        <v>60.053130929799998</v>
      </c>
      <c r="CR58">
        <v>2970</v>
      </c>
      <c r="CS58">
        <v>164</v>
      </c>
      <c r="CT58">
        <v>68.9845117845</v>
      </c>
      <c r="CU58">
        <v>57.475609756099999</v>
      </c>
      <c r="CW58" t="s">
        <v>83</v>
      </c>
      <c r="CX58" t="s">
        <v>898</v>
      </c>
      <c r="CY58" t="s">
        <v>906</v>
      </c>
      <c r="CZ58">
        <v>231</v>
      </c>
      <c r="DA58">
        <v>30</v>
      </c>
      <c r="DB58">
        <v>68.112554112599994</v>
      </c>
      <c r="DC58">
        <v>749</v>
      </c>
      <c r="DD58">
        <v>30</v>
      </c>
      <c r="DE58">
        <v>126.6008010681</v>
      </c>
      <c r="DF58">
        <v>118.8</v>
      </c>
      <c r="DH58" t="s">
        <v>83</v>
      </c>
      <c r="DI58" t="s">
        <v>878</v>
      </c>
      <c r="DJ58" t="s">
        <v>886</v>
      </c>
      <c r="DK58">
        <v>436</v>
      </c>
      <c r="DL58">
        <v>45</v>
      </c>
      <c r="DM58">
        <v>67.894495412799998</v>
      </c>
      <c r="DN58">
        <v>1079</v>
      </c>
      <c r="DO58">
        <v>72</v>
      </c>
      <c r="DP58">
        <v>166.67191844300001</v>
      </c>
      <c r="DQ58">
        <v>129.05555555559999</v>
      </c>
    </row>
    <row r="59" spans="2:121" x14ac:dyDescent="0.2">
      <c r="F59" t="s">
        <v>141</v>
      </c>
      <c r="G59">
        <v>467</v>
      </c>
      <c r="H59">
        <v>329.79443254820001</v>
      </c>
      <c r="I59">
        <v>413</v>
      </c>
      <c r="J59">
        <v>131</v>
      </c>
      <c r="K59">
        <v>701</v>
      </c>
      <c r="L59">
        <v>448</v>
      </c>
      <c r="M59">
        <v>78</v>
      </c>
      <c r="N59">
        <v>68</v>
      </c>
      <c r="O59">
        <v>87</v>
      </c>
      <c r="P59">
        <v>53</v>
      </c>
      <c r="Q59">
        <v>0</v>
      </c>
      <c r="R59">
        <v>1</v>
      </c>
      <c r="BJ59" t="s">
        <v>614</v>
      </c>
      <c r="BK59" t="s">
        <v>414</v>
      </c>
      <c r="BL59">
        <v>8811</v>
      </c>
      <c r="BM59">
        <v>2622</v>
      </c>
      <c r="BN59">
        <v>115.9445011917</v>
      </c>
      <c r="BO59">
        <v>56874</v>
      </c>
      <c r="BP59">
        <v>3162</v>
      </c>
      <c r="BQ59">
        <v>131.56533741250001</v>
      </c>
      <c r="BR59">
        <v>101.79696394689999</v>
      </c>
      <c r="BS59">
        <v>7857</v>
      </c>
      <c r="BT59">
        <v>1943</v>
      </c>
      <c r="BU59">
        <v>99.3176785032</v>
      </c>
      <c r="BV59">
        <v>51479</v>
      </c>
      <c r="BW59">
        <v>2956</v>
      </c>
      <c r="BX59">
        <v>116.7125624041</v>
      </c>
      <c r="BY59">
        <v>88.301759133999994</v>
      </c>
      <c r="CA59" t="s">
        <v>414</v>
      </c>
      <c r="CB59" t="s">
        <v>907</v>
      </c>
      <c r="CD59">
        <v>64321</v>
      </c>
      <c r="CE59">
        <v>21558</v>
      </c>
      <c r="CF59">
        <v>120.1878546664</v>
      </c>
      <c r="CG59">
        <v>177258</v>
      </c>
      <c r="CH59">
        <v>11040</v>
      </c>
      <c r="CI59">
        <v>198.17892563379999</v>
      </c>
      <c r="CJ59">
        <v>165.57264492749999</v>
      </c>
      <c r="CL59" t="s">
        <v>414</v>
      </c>
      <c r="CM59" t="s">
        <v>888</v>
      </c>
      <c r="CO59">
        <v>4088</v>
      </c>
      <c r="CP59">
        <v>296</v>
      </c>
      <c r="CQ59">
        <v>57.819716242699997</v>
      </c>
      <c r="CR59">
        <v>23261</v>
      </c>
      <c r="CS59">
        <v>1244</v>
      </c>
      <c r="CT59">
        <v>65.262929366799995</v>
      </c>
      <c r="CU59">
        <v>65.267684887499996</v>
      </c>
      <c r="CW59" t="s">
        <v>414</v>
      </c>
      <c r="CX59" t="s">
        <v>898</v>
      </c>
      <c r="CZ59">
        <v>1932</v>
      </c>
      <c r="DA59">
        <v>246</v>
      </c>
      <c r="DB59">
        <v>66.812111801200004</v>
      </c>
      <c r="DC59">
        <v>5241</v>
      </c>
      <c r="DD59">
        <v>266</v>
      </c>
      <c r="DE59">
        <v>122.5279526808</v>
      </c>
      <c r="DF59">
        <v>116.33458646619999</v>
      </c>
      <c r="DH59" t="s">
        <v>414</v>
      </c>
      <c r="DI59" t="s">
        <v>878</v>
      </c>
      <c r="DK59">
        <v>1424</v>
      </c>
      <c r="DL59">
        <v>186</v>
      </c>
      <c r="DM59">
        <v>69.084971910099995</v>
      </c>
      <c r="DN59">
        <v>3990</v>
      </c>
      <c r="DO59">
        <v>220</v>
      </c>
      <c r="DP59">
        <v>167.73082706770001</v>
      </c>
      <c r="DQ59">
        <v>141.94090909089999</v>
      </c>
    </row>
    <row r="60" spans="2:121" x14ac:dyDescent="0.2">
      <c r="F60" t="s">
        <v>49</v>
      </c>
      <c r="G60">
        <v>12734</v>
      </c>
      <c r="H60">
        <v>345.17912674730002</v>
      </c>
      <c r="I60">
        <v>17453</v>
      </c>
      <c r="J60">
        <v>6562</v>
      </c>
      <c r="K60">
        <v>17078</v>
      </c>
      <c r="L60">
        <v>11470</v>
      </c>
      <c r="M60">
        <v>1784</v>
      </c>
      <c r="N60">
        <v>1433</v>
      </c>
      <c r="O60">
        <v>5030</v>
      </c>
      <c r="P60">
        <v>4100</v>
      </c>
      <c r="Q60">
        <v>1</v>
      </c>
      <c r="R60">
        <v>236</v>
      </c>
      <c r="BJ60" t="s">
        <v>556</v>
      </c>
      <c r="BK60" t="s">
        <v>390</v>
      </c>
      <c r="BL60">
        <v>15246</v>
      </c>
      <c r="BM60">
        <v>5608</v>
      </c>
      <c r="BN60">
        <v>124.7605929424</v>
      </c>
      <c r="BO60">
        <v>44591</v>
      </c>
      <c r="BP60">
        <v>2633</v>
      </c>
      <c r="BQ60">
        <v>199.02792043240001</v>
      </c>
      <c r="BR60">
        <v>154.45005696920001</v>
      </c>
      <c r="BS60">
        <v>12896</v>
      </c>
      <c r="BT60">
        <v>3824</v>
      </c>
      <c r="BU60">
        <v>115.0308622829</v>
      </c>
      <c r="BV60">
        <v>37819</v>
      </c>
      <c r="BW60">
        <v>2066</v>
      </c>
      <c r="BX60">
        <v>193.1555831725</v>
      </c>
      <c r="BY60">
        <v>149.15537270089999</v>
      </c>
      <c r="CA60" t="s">
        <v>398</v>
      </c>
      <c r="CB60" t="s">
        <v>932</v>
      </c>
      <c r="CC60" t="s">
        <v>1047</v>
      </c>
      <c r="CD60">
        <v>8364</v>
      </c>
      <c r="CE60">
        <v>3061</v>
      </c>
      <c r="CF60">
        <v>121.7593256815</v>
      </c>
      <c r="CG60">
        <v>21383</v>
      </c>
      <c r="CH60">
        <v>980</v>
      </c>
      <c r="CI60">
        <v>197.92367768790001</v>
      </c>
      <c r="CJ60">
        <v>182.78163265309999</v>
      </c>
      <c r="CL60" t="s">
        <v>398</v>
      </c>
      <c r="CM60" t="s">
        <v>917</v>
      </c>
      <c r="CN60" t="s">
        <v>916</v>
      </c>
      <c r="CO60">
        <v>477</v>
      </c>
      <c r="CP60">
        <v>40</v>
      </c>
      <c r="CQ60">
        <v>59.457023060799997</v>
      </c>
      <c r="CR60">
        <v>3750</v>
      </c>
      <c r="CS60">
        <v>170</v>
      </c>
      <c r="CT60">
        <v>49.506399999999999</v>
      </c>
      <c r="CU60">
        <v>55.611764705900001</v>
      </c>
      <c r="CW60" t="s">
        <v>398</v>
      </c>
      <c r="CX60" t="s">
        <v>925</v>
      </c>
      <c r="CY60" t="s">
        <v>924</v>
      </c>
      <c r="CZ60">
        <v>151</v>
      </c>
      <c r="DA60">
        <v>30</v>
      </c>
      <c r="DB60">
        <v>77.927152317899996</v>
      </c>
      <c r="DC60">
        <v>316</v>
      </c>
      <c r="DD60">
        <v>13</v>
      </c>
      <c r="DE60">
        <v>141.5601265823</v>
      </c>
      <c r="DF60">
        <v>124.3846153846</v>
      </c>
      <c r="DH60" t="s">
        <v>398</v>
      </c>
      <c r="DI60" t="s">
        <v>909</v>
      </c>
      <c r="DJ60" t="s">
        <v>908</v>
      </c>
      <c r="DK60">
        <v>138</v>
      </c>
      <c r="DL60">
        <v>23</v>
      </c>
      <c r="DM60">
        <v>74.942028985500002</v>
      </c>
      <c r="DN60">
        <v>333</v>
      </c>
      <c r="DO60">
        <v>19</v>
      </c>
      <c r="DP60">
        <v>144.2462462462</v>
      </c>
      <c r="DQ60">
        <v>135.36842105260001</v>
      </c>
    </row>
    <row r="61" spans="2:121" x14ac:dyDescent="0.2">
      <c r="F61" t="s">
        <v>59</v>
      </c>
      <c r="G61">
        <v>6889</v>
      </c>
      <c r="H61">
        <v>181.26012483669999</v>
      </c>
      <c r="I61">
        <v>5647</v>
      </c>
      <c r="J61">
        <v>1414</v>
      </c>
      <c r="K61">
        <v>9244</v>
      </c>
      <c r="L61">
        <v>3802</v>
      </c>
      <c r="M61">
        <v>295</v>
      </c>
      <c r="N61">
        <v>210</v>
      </c>
      <c r="O61">
        <v>380</v>
      </c>
      <c r="P61">
        <v>162</v>
      </c>
      <c r="Q61">
        <v>107</v>
      </c>
      <c r="R61">
        <v>0</v>
      </c>
      <c r="BJ61" t="s">
        <v>564</v>
      </c>
      <c r="BK61" t="s">
        <v>390</v>
      </c>
      <c r="BL61">
        <v>9330</v>
      </c>
      <c r="BM61">
        <v>2883</v>
      </c>
      <c r="BN61">
        <v>113.4445873526</v>
      </c>
      <c r="BO61">
        <v>26424</v>
      </c>
      <c r="BP61">
        <v>1665</v>
      </c>
      <c r="BQ61">
        <v>198.43411292760001</v>
      </c>
      <c r="BR61">
        <v>151.9627627628</v>
      </c>
      <c r="BS61">
        <v>9214</v>
      </c>
      <c r="BT61">
        <v>3186</v>
      </c>
      <c r="BU61">
        <v>118.95864988060001</v>
      </c>
      <c r="BV61">
        <v>24978</v>
      </c>
      <c r="BW61">
        <v>1698</v>
      </c>
      <c r="BX61">
        <v>194.15669789410001</v>
      </c>
      <c r="BY61">
        <v>152.3268551237</v>
      </c>
      <c r="CA61" t="s">
        <v>435</v>
      </c>
      <c r="CB61" t="s">
        <v>932</v>
      </c>
      <c r="CC61" t="s">
        <v>1048</v>
      </c>
      <c r="CD61">
        <v>26205</v>
      </c>
      <c r="CE61">
        <v>10485</v>
      </c>
      <c r="CF61">
        <v>137.6425491318</v>
      </c>
      <c r="CG61">
        <v>68570</v>
      </c>
      <c r="CH61">
        <v>2800</v>
      </c>
      <c r="CI61">
        <v>209.02509843959999</v>
      </c>
      <c r="CJ61">
        <v>186.25035714289999</v>
      </c>
      <c r="CL61" t="s">
        <v>435</v>
      </c>
      <c r="CM61" t="s">
        <v>917</v>
      </c>
      <c r="CN61" t="s">
        <v>918</v>
      </c>
      <c r="CO61">
        <v>1141</v>
      </c>
      <c r="CP61">
        <v>174</v>
      </c>
      <c r="CQ61">
        <v>72.219982471500003</v>
      </c>
      <c r="CR61">
        <v>9324</v>
      </c>
      <c r="CS61">
        <v>528</v>
      </c>
      <c r="CT61">
        <v>74.324431574399995</v>
      </c>
      <c r="CU61">
        <v>80.032196969699996</v>
      </c>
      <c r="CW61" t="s">
        <v>435</v>
      </c>
      <c r="CX61" t="s">
        <v>925</v>
      </c>
      <c r="CY61" t="s">
        <v>926</v>
      </c>
      <c r="CZ61">
        <v>733</v>
      </c>
      <c r="DA61">
        <v>156</v>
      </c>
      <c r="DB61">
        <v>83.402455661700003</v>
      </c>
      <c r="DC61">
        <v>1611</v>
      </c>
      <c r="DD61">
        <v>81</v>
      </c>
      <c r="DE61">
        <v>142.57417752949999</v>
      </c>
      <c r="DF61">
        <v>150.53086419749999</v>
      </c>
      <c r="DH61" t="s">
        <v>435</v>
      </c>
      <c r="DI61" t="s">
        <v>909</v>
      </c>
      <c r="DJ61" t="s">
        <v>910</v>
      </c>
      <c r="DK61">
        <v>813</v>
      </c>
      <c r="DL61">
        <v>147</v>
      </c>
      <c r="DM61">
        <v>76.073800738000003</v>
      </c>
      <c r="DN61">
        <v>1732</v>
      </c>
      <c r="DO61">
        <v>87</v>
      </c>
      <c r="DP61">
        <v>141.7580831409</v>
      </c>
      <c r="DQ61">
        <v>143.16091954020001</v>
      </c>
    </row>
    <row r="62" spans="2:121" x14ac:dyDescent="0.2">
      <c r="BJ62" t="s">
        <v>580</v>
      </c>
      <c r="BK62" t="s">
        <v>390</v>
      </c>
      <c r="BL62">
        <v>7099</v>
      </c>
      <c r="BM62">
        <v>3512</v>
      </c>
      <c r="BN62">
        <v>175.53655444430001</v>
      </c>
      <c r="BO62">
        <v>16479</v>
      </c>
      <c r="BP62">
        <v>750</v>
      </c>
      <c r="BQ62">
        <v>227.5563444384</v>
      </c>
      <c r="BR62">
        <v>208.8826666667</v>
      </c>
      <c r="BS62">
        <v>7480</v>
      </c>
      <c r="BT62">
        <v>3708</v>
      </c>
      <c r="BU62">
        <v>171.00360962569999</v>
      </c>
      <c r="BV62">
        <v>17141</v>
      </c>
      <c r="BW62">
        <v>780</v>
      </c>
      <c r="BX62">
        <v>228.7419637127</v>
      </c>
      <c r="BY62">
        <v>205.0141025641</v>
      </c>
      <c r="CA62" t="s">
        <v>391</v>
      </c>
      <c r="CB62" t="s">
        <v>932</v>
      </c>
      <c r="CC62" t="s">
        <v>1049</v>
      </c>
      <c r="CD62">
        <v>16271</v>
      </c>
      <c r="CE62">
        <v>5828</v>
      </c>
      <c r="CF62">
        <v>123.3088931227</v>
      </c>
      <c r="CG62">
        <v>49465</v>
      </c>
      <c r="CH62">
        <v>2865</v>
      </c>
      <c r="CI62">
        <v>190.9778227029</v>
      </c>
      <c r="CJ62">
        <v>150.3493891798</v>
      </c>
      <c r="CL62" t="s">
        <v>391</v>
      </c>
      <c r="CM62" t="s">
        <v>917</v>
      </c>
      <c r="CN62" t="s">
        <v>919</v>
      </c>
      <c r="CO62">
        <v>633</v>
      </c>
      <c r="CP62">
        <v>109</v>
      </c>
      <c r="CQ62">
        <v>81.259083728299998</v>
      </c>
      <c r="CR62">
        <v>4418</v>
      </c>
      <c r="CS62">
        <v>246</v>
      </c>
      <c r="CT62">
        <v>74.577863286600007</v>
      </c>
      <c r="CU62">
        <v>93.3414634146</v>
      </c>
      <c r="CW62" t="s">
        <v>391</v>
      </c>
      <c r="CX62" t="s">
        <v>925</v>
      </c>
      <c r="CY62" t="s">
        <v>927</v>
      </c>
      <c r="CZ62">
        <v>414</v>
      </c>
      <c r="DA62">
        <v>76</v>
      </c>
      <c r="DB62">
        <v>78.992753623200002</v>
      </c>
      <c r="DC62">
        <v>888</v>
      </c>
      <c r="DD62">
        <v>41</v>
      </c>
      <c r="DE62">
        <v>154.92792792789999</v>
      </c>
      <c r="DF62">
        <v>146.85365853659999</v>
      </c>
      <c r="DH62" t="s">
        <v>391</v>
      </c>
      <c r="DI62" t="s">
        <v>909</v>
      </c>
      <c r="DJ62" t="s">
        <v>911</v>
      </c>
      <c r="DK62">
        <v>400</v>
      </c>
      <c r="DL62">
        <v>72</v>
      </c>
      <c r="DM62">
        <v>79.712500000000006</v>
      </c>
      <c r="DN62">
        <v>909</v>
      </c>
      <c r="DO62">
        <v>61</v>
      </c>
      <c r="DP62">
        <v>150.85808580860001</v>
      </c>
      <c r="DQ62">
        <v>136.31147540980001</v>
      </c>
    </row>
    <row r="63" spans="2:121" x14ac:dyDescent="0.2">
      <c r="BJ63" t="s">
        <v>570</v>
      </c>
      <c r="BK63" t="s">
        <v>390</v>
      </c>
      <c r="BL63">
        <v>7977</v>
      </c>
      <c r="BM63">
        <v>2901</v>
      </c>
      <c r="BN63">
        <v>120.7672057164</v>
      </c>
      <c r="BO63">
        <v>19657</v>
      </c>
      <c r="BP63">
        <v>904</v>
      </c>
      <c r="BQ63">
        <v>205.8048532329</v>
      </c>
      <c r="BR63">
        <v>195.6150442478</v>
      </c>
      <c r="BS63">
        <v>7523</v>
      </c>
      <c r="BT63">
        <v>2371</v>
      </c>
      <c r="BU63">
        <v>114.27994151270001</v>
      </c>
      <c r="BV63">
        <v>19555</v>
      </c>
      <c r="BW63">
        <v>806</v>
      </c>
      <c r="BX63">
        <v>207.6854512912</v>
      </c>
      <c r="BY63">
        <v>197.2667493797</v>
      </c>
      <c r="CA63" t="s">
        <v>403</v>
      </c>
      <c r="CB63" t="s">
        <v>932</v>
      </c>
      <c r="CC63" t="s">
        <v>1050</v>
      </c>
      <c r="CD63">
        <v>4725</v>
      </c>
      <c r="CE63">
        <v>1593</v>
      </c>
      <c r="CF63">
        <v>129.9987301587</v>
      </c>
      <c r="CG63">
        <v>13063</v>
      </c>
      <c r="CH63">
        <v>602</v>
      </c>
      <c r="CI63">
        <v>171.71354206539999</v>
      </c>
      <c r="CJ63">
        <v>150.1079734219</v>
      </c>
      <c r="CL63" t="s">
        <v>403</v>
      </c>
      <c r="CM63" t="s">
        <v>917</v>
      </c>
      <c r="CN63" t="s">
        <v>920</v>
      </c>
      <c r="CO63">
        <v>258</v>
      </c>
      <c r="CP63">
        <v>30</v>
      </c>
      <c r="CQ63">
        <v>63.054263565900001</v>
      </c>
      <c r="CR63">
        <v>1870</v>
      </c>
      <c r="CS63">
        <v>77</v>
      </c>
      <c r="CT63">
        <v>56.406951871700002</v>
      </c>
      <c r="CU63">
        <v>54.233766233799997</v>
      </c>
      <c r="CW63" t="s">
        <v>403</v>
      </c>
      <c r="CX63" t="s">
        <v>925</v>
      </c>
      <c r="CY63" t="s">
        <v>928</v>
      </c>
      <c r="CZ63">
        <v>90</v>
      </c>
      <c r="DA63">
        <v>15</v>
      </c>
      <c r="DB63">
        <v>77.5222222222</v>
      </c>
      <c r="DC63">
        <v>220</v>
      </c>
      <c r="DD63">
        <v>15</v>
      </c>
      <c r="DE63">
        <v>137.32272727270001</v>
      </c>
      <c r="DF63">
        <v>121.6666666667</v>
      </c>
      <c r="DH63" t="s">
        <v>403</v>
      </c>
      <c r="DI63" t="s">
        <v>909</v>
      </c>
      <c r="DJ63" t="s">
        <v>912</v>
      </c>
      <c r="DK63">
        <v>114</v>
      </c>
      <c r="DL63">
        <v>21</v>
      </c>
      <c r="DM63">
        <v>78.491228070199995</v>
      </c>
      <c r="DN63">
        <v>267</v>
      </c>
      <c r="DO63">
        <v>12</v>
      </c>
      <c r="DP63">
        <v>130.29588014980001</v>
      </c>
      <c r="DQ63">
        <v>131.3333333333</v>
      </c>
    </row>
    <row r="64" spans="2:121" x14ac:dyDescent="0.2">
      <c r="BJ64" t="s">
        <v>566</v>
      </c>
      <c r="BK64" t="s">
        <v>390</v>
      </c>
      <c r="BL64">
        <v>9883</v>
      </c>
      <c r="BM64">
        <v>2535</v>
      </c>
      <c r="BN64">
        <v>101.1489426288</v>
      </c>
      <c r="BO64">
        <v>24431</v>
      </c>
      <c r="BP64">
        <v>1439</v>
      </c>
      <c r="BQ64">
        <v>156.40743317920001</v>
      </c>
      <c r="BR64">
        <v>139.10215427380001</v>
      </c>
      <c r="BS64">
        <v>10572</v>
      </c>
      <c r="BT64">
        <v>3464</v>
      </c>
      <c r="BU64">
        <v>122.6978811956</v>
      </c>
      <c r="BV64">
        <v>28136</v>
      </c>
      <c r="BW64">
        <v>1599</v>
      </c>
      <c r="BX64">
        <v>170.90222490759999</v>
      </c>
      <c r="BY64">
        <v>166.5484677924</v>
      </c>
      <c r="CA64" t="s">
        <v>437</v>
      </c>
      <c r="CB64" t="s">
        <v>932</v>
      </c>
      <c r="CC64" t="s">
        <v>1051</v>
      </c>
      <c r="CD64">
        <v>2781</v>
      </c>
      <c r="CE64">
        <v>979</v>
      </c>
      <c r="CF64">
        <v>114.1420352391</v>
      </c>
      <c r="CG64">
        <v>7807</v>
      </c>
      <c r="CH64">
        <v>417</v>
      </c>
      <c r="CI64">
        <v>162.16216216219999</v>
      </c>
      <c r="CJ64">
        <v>122.6714628297</v>
      </c>
      <c r="CL64" t="s">
        <v>437</v>
      </c>
      <c r="CM64" t="s">
        <v>917</v>
      </c>
      <c r="CN64" t="s">
        <v>921</v>
      </c>
      <c r="CO64">
        <v>235</v>
      </c>
      <c r="CP64">
        <v>35</v>
      </c>
      <c r="CQ64">
        <v>70.004255319099997</v>
      </c>
      <c r="CR64">
        <v>2049</v>
      </c>
      <c r="CS64">
        <v>102</v>
      </c>
      <c r="CT64">
        <v>80.783796974099999</v>
      </c>
      <c r="CU64">
        <v>80.941176470599999</v>
      </c>
      <c r="CW64" t="s">
        <v>437</v>
      </c>
      <c r="CX64" t="s">
        <v>925</v>
      </c>
      <c r="CY64" t="s">
        <v>929</v>
      </c>
      <c r="CZ64">
        <v>11</v>
      </c>
      <c r="DA64">
        <v>2</v>
      </c>
      <c r="DB64">
        <v>92.363636363599994</v>
      </c>
      <c r="DC64">
        <v>22</v>
      </c>
      <c r="DD64">
        <v>0</v>
      </c>
      <c r="DE64">
        <v>116</v>
      </c>
      <c r="DF64">
        <v>0</v>
      </c>
      <c r="DH64" t="s">
        <v>437</v>
      </c>
      <c r="DI64" t="s">
        <v>909</v>
      </c>
      <c r="DJ64" t="s">
        <v>913</v>
      </c>
      <c r="DK64">
        <v>8</v>
      </c>
      <c r="DL64">
        <v>1</v>
      </c>
      <c r="DM64">
        <v>73.625</v>
      </c>
      <c r="DN64">
        <v>37</v>
      </c>
      <c r="DO64">
        <v>0</v>
      </c>
      <c r="DP64">
        <v>159.7567567568</v>
      </c>
      <c r="DQ64">
        <v>0</v>
      </c>
    </row>
    <row r="65" spans="62:121" x14ac:dyDescent="0.2">
      <c r="BJ65" t="s">
        <v>630</v>
      </c>
      <c r="BK65" t="s">
        <v>390</v>
      </c>
      <c r="BL65">
        <v>2818</v>
      </c>
      <c r="BM65">
        <v>992</v>
      </c>
      <c r="BN65">
        <v>114.0326472676</v>
      </c>
      <c r="BO65">
        <v>7608</v>
      </c>
      <c r="BP65">
        <v>405</v>
      </c>
      <c r="BQ65">
        <v>163.37250262879999</v>
      </c>
      <c r="BR65">
        <v>124.5851851852</v>
      </c>
      <c r="BS65">
        <v>3395</v>
      </c>
      <c r="BT65">
        <v>1574</v>
      </c>
      <c r="BU65">
        <v>137.20559646539999</v>
      </c>
      <c r="BV65">
        <v>9517</v>
      </c>
      <c r="BW65">
        <v>484</v>
      </c>
      <c r="BX65">
        <v>171.6278238941</v>
      </c>
      <c r="BY65">
        <v>144.99586776859999</v>
      </c>
      <c r="CA65" t="s">
        <v>393</v>
      </c>
      <c r="CB65" t="s">
        <v>932</v>
      </c>
      <c r="CC65" t="s">
        <v>1052</v>
      </c>
      <c r="CD65">
        <v>9575</v>
      </c>
      <c r="CE65">
        <v>3009</v>
      </c>
      <c r="CF65">
        <v>115.8830287206</v>
      </c>
      <c r="CG65">
        <v>27912</v>
      </c>
      <c r="CH65">
        <v>1743</v>
      </c>
      <c r="CI65">
        <v>194.29829464030001</v>
      </c>
      <c r="CJ65">
        <v>150.59781985079999</v>
      </c>
      <c r="CL65" t="s">
        <v>393</v>
      </c>
      <c r="CM65" t="s">
        <v>917</v>
      </c>
      <c r="CN65" t="s">
        <v>922</v>
      </c>
      <c r="CO65">
        <v>355</v>
      </c>
      <c r="CP65">
        <v>60</v>
      </c>
      <c r="CQ65">
        <v>76.518309859200002</v>
      </c>
      <c r="CR65">
        <v>2803</v>
      </c>
      <c r="CS65">
        <v>140</v>
      </c>
      <c r="CT65">
        <v>72.509454156299995</v>
      </c>
      <c r="CU65">
        <v>70.864285714299996</v>
      </c>
      <c r="CW65" t="s">
        <v>393</v>
      </c>
      <c r="CX65" t="s">
        <v>925</v>
      </c>
      <c r="CY65" t="s">
        <v>930</v>
      </c>
      <c r="CZ65">
        <v>216</v>
      </c>
      <c r="DA65">
        <v>39</v>
      </c>
      <c r="DB65">
        <v>72.375</v>
      </c>
      <c r="DC65">
        <v>559</v>
      </c>
      <c r="DD65">
        <v>19</v>
      </c>
      <c r="DE65">
        <v>152.65831842579999</v>
      </c>
      <c r="DF65">
        <v>138.8947368421</v>
      </c>
      <c r="DH65" t="s">
        <v>393</v>
      </c>
      <c r="DI65" t="s">
        <v>909</v>
      </c>
      <c r="DJ65" t="s">
        <v>914</v>
      </c>
      <c r="DK65">
        <v>214</v>
      </c>
      <c r="DL65">
        <v>42</v>
      </c>
      <c r="DM65">
        <v>82.546728971999997</v>
      </c>
      <c r="DN65">
        <v>429</v>
      </c>
      <c r="DO65">
        <v>26</v>
      </c>
      <c r="DP65">
        <v>140.46386946390001</v>
      </c>
      <c r="DQ65">
        <v>147.69230769230001</v>
      </c>
    </row>
    <row r="66" spans="62:121" x14ac:dyDescent="0.2">
      <c r="BJ66" t="s">
        <v>390</v>
      </c>
      <c r="BK66" t="s">
        <v>390</v>
      </c>
      <c r="BL66">
        <v>77360</v>
      </c>
      <c r="BM66">
        <v>28362</v>
      </c>
      <c r="BN66">
        <v>128.26768355740001</v>
      </c>
      <c r="BO66">
        <v>203628</v>
      </c>
      <c r="BP66">
        <v>10309</v>
      </c>
      <c r="BQ66">
        <v>200.46048185910001</v>
      </c>
      <c r="BR66">
        <v>167.85381705309999</v>
      </c>
      <c r="BS66">
        <v>71969</v>
      </c>
      <c r="BT66">
        <v>25015</v>
      </c>
      <c r="BU66">
        <v>125.9363198044</v>
      </c>
      <c r="BV66">
        <v>189207</v>
      </c>
      <c r="BW66">
        <v>9068</v>
      </c>
      <c r="BX66">
        <v>199.08367555109999</v>
      </c>
      <c r="BY66">
        <v>166.87439347150001</v>
      </c>
      <c r="CA66" t="s">
        <v>394</v>
      </c>
      <c r="CB66" t="s">
        <v>932</v>
      </c>
      <c r="CC66" t="s">
        <v>1053</v>
      </c>
      <c r="CD66">
        <v>9961</v>
      </c>
      <c r="CE66">
        <v>2651</v>
      </c>
      <c r="CF66">
        <v>103.8543318944</v>
      </c>
      <c r="CG66">
        <v>26270</v>
      </c>
      <c r="CH66">
        <v>1505</v>
      </c>
      <c r="CI66">
        <v>152.56950894560001</v>
      </c>
      <c r="CJ66">
        <v>134.4</v>
      </c>
      <c r="CL66" t="s">
        <v>394</v>
      </c>
      <c r="CM66" t="s">
        <v>917</v>
      </c>
      <c r="CN66" t="s">
        <v>923</v>
      </c>
      <c r="CO66">
        <v>499</v>
      </c>
      <c r="CP66">
        <v>41</v>
      </c>
      <c r="CQ66">
        <v>54.74749499</v>
      </c>
      <c r="CR66">
        <v>3624</v>
      </c>
      <c r="CS66">
        <v>163</v>
      </c>
      <c r="CT66">
        <v>51.4036975717</v>
      </c>
      <c r="CU66">
        <v>43.840490797500003</v>
      </c>
      <c r="CW66" t="s">
        <v>394</v>
      </c>
      <c r="CX66" t="s">
        <v>925</v>
      </c>
      <c r="CY66" t="s">
        <v>931</v>
      </c>
      <c r="CZ66">
        <v>198</v>
      </c>
      <c r="DA66">
        <v>30</v>
      </c>
      <c r="DB66">
        <v>77.242424242400006</v>
      </c>
      <c r="DC66">
        <v>421</v>
      </c>
      <c r="DD66">
        <v>21</v>
      </c>
      <c r="DE66">
        <v>151.54869358670001</v>
      </c>
      <c r="DF66">
        <v>136.6666666667</v>
      </c>
      <c r="DH66" t="s">
        <v>394</v>
      </c>
      <c r="DI66" t="s">
        <v>909</v>
      </c>
      <c r="DJ66" t="s">
        <v>915</v>
      </c>
      <c r="DK66">
        <v>320</v>
      </c>
      <c r="DL66">
        <v>49</v>
      </c>
      <c r="DM66">
        <v>74.056250000000006</v>
      </c>
      <c r="DN66">
        <v>608</v>
      </c>
      <c r="DO66">
        <v>28</v>
      </c>
      <c r="DP66">
        <v>133.66611842110001</v>
      </c>
      <c r="DQ66">
        <v>150.1071428571</v>
      </c>
    </row>
    <row r="67" spans="62:121" x14ac:dyDescent="0.2">
      <c r="BJ67" t="s">
        <v>558</v>
      </c>
      <c r="BK67" t="s">
        <v>390</v>
      </c>
      <c r="BL67">
        <v>25007</v>
      </c>
      <c r="BM67">
        <v>9931</v>
      </c>
      <c r="BN67">
        <v>137.23185508060001</v>
      </c>
      <c r="BO67">
        <v>64438</v>
      </c>
      <c r="BP67">
        <v>2513</v>
      </c>
      <c r="BQ67">
        <v>214.80423042300001</v>
      </c>
      <c r="BR67">
        <v>193.63191404700001</v>
      </c>
      <c r="BS67">
        <v>20889</v>
      </c>
      <c r="BT67">
        <v>6888</v>
      </c>
      <c r="BU67">
        <v>123.6142467327</v>
      </c>
      <c r="BV67">
        <v>52061</v>
      </c>
      <c r="BW67">
        <v>1635</v>
      </c>
      <c r="BX67">
        <v>213.00754883690001</v>
      </c>
      <c r="BY67">
        <v>177.9902140673</v>
      </c>
      <c r="CA67" t="s">
        <v>390</v>
      </c>
      <c r="CB67" t="s">
        <v>932</v>
      </c>
      <c r="CD67">
        <v>77882</v>
      </c>
      <c r="CE67">
        <v>27606</v>
      </c>
      <c r="CF67">
        <v>124.6427030636</v>
      </c>
      <c r="CG67">
        <v>214470</v>
      </c>
      <c r="CH67">
        <v>10912</v>
      </c>
      <c r="CI67">
        <v>190.94568004850001</v>
      </c>
      <c r="CJ67">
        <v>159.24312683279999</v>
      </c>
      <c r="CL67" t="s">
        <v>390</v>
      </c>
      <c r="CM67" t="s">
        <v>917</v>
      </c>
      <c r="CO67">
        <v>3598</v>
      </c>
      <c r="CP67">
        <v>489</v>
      </c>
      <c r="CQ67">
        <v>69.317120622600001</v>
      </c>
      <c r="CR67">
        <v>27838</v>
      </c>
      <c r="CS67">
        <v>1426</v>
      </c>
      <c r="CT67">
        <v>67.126697320199995</v>
      </c>
      <c r="CU67">
        <v>73.0518934081</v>
      </c>
      <c r="CW67" t="s">
        <v>390</v>
      </c>
      <c r="CX67" t="s">
        <v>925</v>
      </c>
      <c r="CZ67">
        <v>1813</v>
      </c>
      <c r="DA67">
        <v>348</v>
      </c>
      <c r="DB67">
        <v>79.715388858200001</v>
      </c>
      <c r="DC67">
        <v>4037</v>
      </c>
      <c r="DD67">
        <v>190</v>
      </c>
      <c r="DE67">
        <v>147.1134505821</v>
      </c>
      <c r="DF67">
        <v>142.97368421050001</v>
      </c>
      <c r="DH67" t="s">
        <v>390</v>
      </c>
      <c r="DI67" t="s">
        <v>909</v>
      </c>
      <c r="DK67">
        <v>2007</v>
      </c>
      <c r="DL67">
        <v>355</v>
      </c>
      <c r="DM67">
        <v>77.217239661199997</v>
      </c>
      <c r="DN67">
        <v>4315</v>
      </c>
      <c r="DO67">
        <v>233</v>
      </c>
      <c r="DP67">
        <v>142.04333719580001</v>
      </c>
      <c r="DQ67">
        <v>141.4635193133</v>
      </c>
    </row>
    <row r="68" spans="62:121" x14ac:dyDescent="0.2">
      <c r="BJ68" t="s">
        <v>317</v>
      </c>
      <c r="BK68" t="s">
        <v>712</v>
      </c>
      <c r="BL68">
        <v>1662</v>
      </c>
      <c r="BM68">
        <v>215</v>
      </c>
      <c r="BN68">
        <v>68.858604091499998</v>
      </c>
      <c r="BO68">
        <v>1939</v>
      </c>
      <c r="BP68">
        <v>150</v>
      </c>
      <c r="BQ68">
        <v>147.3156266117</v>
      </c>
      <c r="BR68">
        <v>131.96666666670001</v>
      </c>
      <c r="BS68">
        <v>723</v>
      </c>
      <c r="BT68">
        <v>123</v>
      </c>
      <c r="BU68">
        <v>78.721991701199997</v>
      </c>
      <c r="BV68">
        <v>1662</v>
      </c>
      <c r="BW68">
        <v>87</v>
      </c>
      <c r="BX68">
        <v>149.51925391099999</v>
      </c>
      <c r="BY68">
        <v>124.5287356322</v>
      </c>
      <c r="CA68" t="s">
        <v>715</v>
      </c>
      <c r="CD68">
        <v>379370</v>
      </c>
      <c r="CE68">
        <v>119710</v>
      </c>
      <c r="CF68">
        <v>116.2956375043</v>
      </c>
      <c r="CG68">
        <v>1102390</v>
      </c>
      <c r="CH68">
        <v>61832</v>
      </c>
      <c r="CI68">
        <v>174.92684440170001</v>
      </c>
      <c r="CJ68">
        <v>152.62144197180001</v>
      </c>
      <c r="CL68" t="s">
        <v>715</v>
      </c>
      <c r="CO68">
        <v>379370</v>
      </c>
      <c r="CP68">
        <v>119710</v>
      </c>
      <c r="CQ68">
        <v>116.2956375043</v>
      </c>
      <c r="CR68">
        <v>1102390</v>
      </c>
      <c r="CS68">
        <v>61832</v>
      </c>
      <c r="CT68">
        <v>174.92684440170001</v>
      </c>
      <c r="CU68">
        <v>152.62144197180001</v>
      </c>
      <c r="CW68" t="s">
        <v>715</v>
      </c>
      <c r="CZ68">
        <v>379370</v>
      </c>
      <c r="DA68">
        <v>119710</v>
      </c>
      <c r="DB68">
        <v>116.2956375043</v>
      </c>
      <c r="DC68">
        <v>1102390</v>
      </c>
      <c r="DD68">
        <v>61832</v>
      </c>
      <c r="DE68">
        <v>174.92684440170001</v>
      </c>
      <c r="DF68">
        <v>152.62144197180001</v>
      </c>
      <c r="DH68" t="s">
        <v>715</v>
      </c>
      <c r="DK68">
        <v>379370</v>
      </c>
      <c r="DL68">
        <v>119710</v>
      </c>
      <c r="DM68">
        <v>116.2956375043</v>
      </c>
      <c r="DN68">
        <v>1102390</v>
      </c>
      <c r="DO68">
        <v>61832</v>
      </c>
      <c r="DP68">
        <v>174.92684440170001</v>
      </c>
      <c r="DQ68">
        <v>152.62144197180001</v>
      </c>
    </row>
    <row r="69" spans="62:121" x14ac:dyDescent="0.2">
      <c r="BJ69" t="s">
        <v>219</v>
      </c>
      <c r="BK69" t="s">
        <v>712</v>
      </c>
      <c r="BL69">
        <v>3208</v>
      </c>
      <c r="BM69">
        <v>425</v>
      </c>
      <c r="BN69">
        <v>72.806109725699997</v>
      </c>
      <c r="BO69">
        <v>10838</v>
      </c>
      <c r="BP69">
        <v>568</v>
      </c>
      <c r="BQ69">
        <v>172.01771544569999</v>
      </c>
      <c r="BR69">
        <v>137.74823943659999</v>
      </c>
      <c r="BS69">
        <v>3178</v>
      </c>
      <c r="BT69">
        <v>428</v>
      </c>
      <c r="BU69">
        <v>72.947451227200006</v>
      </c>
      <c r="BV69">
        <v>10853</v>
      </c>
      <c r="BW69">
        <v>571</v>
      </c>
      <c r="BX69">
        <v>172.03409195610001</v>
      </c>
      <c r="BY69">
        <v>138.24693520139999</v>
      </c>
    </row>
    <row r="70" spans="62:121" x14ac:dyDescent="0.2">
      <c r="BJ70" t="s">
        <v>712</v>
      </c>
      <c r="BK70" t="s">
        <v>712</v>
      </c>
      <c r="BL70">
        <v>8632</v>
      </c>
      <c r="BM70">
        <v>1266</v>
      </c>
      <c r="BN70">
        <v>72.964434661699997</v>
      </c>
      <c r="BO70">
        <v>20664</v>
      </c>
      <c r="BP70">
        <v>1151</v>
      </c>
      <c r="BQ70">
        <v>153.47439992260001</v>
      </c>
      <c r="BR70">
        <v>140.3119026933</v>
      </c>
      <c r="BS70">
        <v>8632</v>
      </c>
      <c r="BT70">
        <v>1266</v>
      </c>
      <c r="BU70">
        <v>72.964434661699997</v>
      </c>
      <c r="BV70">
        <v>20664</v>
      </c>
      <c r="BW70">
        <v>1151</v>
      </c>
      <c r="BX70">
        <v>153.47439992260001</v>
      </c>
      <c r="BY70">
        <v>140.3119026933</v>
      </c>
    </row>
    <row r="71" spans="62:121" x14ac:dyDescent="0.2">
      <c r="BJ71" t="s">
        <v>221</v>
      </c>
      <c r="BK71" t="s">
        <v>712</v>
      </c>
      <c r="BL71">
        <v>3762</v>
      </c>
      <c r="BM71">
        <v>626</v>
      </c>
      <c r="BN71">
        <v>74.913343965999999</v>
      </c>
      <c r="BO71">
        <v>7887</v>
      </c>
      <c r="BP71">
        <v>433</v>
      </c>
      <c r="BQ71">
        <v>129.50703689619999</v>
      </c>
      <c r="BR71">
        <v>146.5658198614</v>
      </c>
      <c r="BS71">
        <v>4731</v>
      </c>
      <c r="BT71">
        <v>715</v>
      </c>
      <c r="BU71">
        <v>72.095962798599999</v>
      </c>
      <c r="BV71">
        <v>8149</v>
      </c>
      <c r="BW71">
        <v>493</v>
      </c>
      <c r="BX71">
        <v>129.56289115230001</v>
      </c>
      <c r="BY71">
        <v>145.4888438134</v>
      </c>
    </row>
    <row r="72" spans="62:121" x14ac:dyDescent="0.2">
      <c r="BJ72" t="s">
        <v>217</v>
      </c>
      <c r="BK72" t="s">
        <v>713</v>
      </c>
      <c r="BL72">
        <v>4584</v>
      </c>
      <c r="BM72">
        <v>423</v>
      </c>
      <c r="BN72">
        <v>56.766579406600002</v>
      </c>
      <c r="BO72">
        <v>34316</v>
      </c>
      <c r="BP72">
        <v>1530</v>
      </c>
      <c r="BQ72">
        <v>54.933471267000002</v>
      </c>
      <c r="BR72">
        <v>52.9032679739</v>
      </c>
      <c r="BS72">
        <v>4597</v>
      </c>
      <c r="BT72">
        <v>427</v>
      </c>
      <c r="BU72">
        <v>56.9812921471</v>
      </c>
      <c r="BV72">
        <v>34396</v>
      </c>
      <c r="BW72">
        <v>1537</v>
      </c>
      <c r="BX72">
        <v>55.250232585200003</v>
      </c>
      <c r="BY72">
        <v>53.3786597267</v>
      </c>
    </row>
    <row r="73" spans="62:121" x14ac:dyDescent="0.2">
      <c r="BJ73" t="s">
        <v>232</v>
      </c>
      <c r="BK73" t="s">
        <v>713</v>
      </c>
      <c r="BL73">
        <v>507</v>
      </c>
      <c r="BM73">
        <v>235</v>
      </c>
      <c r="BN73">
        <v>163.6568047337</v>
      </c>
      <c r="BO73">
        <v>4580</v>
      </c>
      <c r="BP73">
        <v>251</v>
      </c>
      <c r="BQ73">
        <v>67.854585152799999</v>
      </c>
      <c r="BR73">
        <v>76.426294820699994</v>
      </c>
      <c r="BS73">
        <v>447</v>
      </c>
      <c r="BT73">
        <v>218</v>
      </c>
      <c r="BU73">
        <v>169.6621923937</v>
      </c>
      <c r="BV73">
        <v>4299</v>
      </c>
      <c r="BW73">
        <v>212</v>
      </c>
      <c r="BX73">
        <v>60.214003256600002</v>
      </c>
      <c r="BY73">
        <v>66.226415094299995</v>
      </c>
    </row>
    <row r="74" spans="62:121" x14ac:dyDescent="0.2">
      <c r="BJ74" t="s">
        <v>218</v>
      </c>
      <c r="BK74" t="s">
        <v>713</v>
      </c>
      <c r="BL74">
        <v>5404</v>
      </c>
      <c r="BM74">
        <v>713</v>
      </c>
      <c r="BN74">
        <v>68.840118430800004</v>
      </c>
      <c r="BO74">
        <v>38915</v>
      </c>
      <c r="BP74">
        <v>2190</v>
      </c>
      <c r="BQ74">
        <v>72.456148014899995</v>
      </c>
      <c r="BR74">
        <v>72.827397260300003</v>
      </c>
      <c r="BS74">
        <v>5430</v>
      </c>
      <c r="BT74">
        <v>724</v>
      </c>
      <c r="BU74">
        <v>69.159300184200006</v>
      </c>
      <c r="BV74">
        <v>39002</v>
      </c>
      <c r="BW74">
        <v>2208</v>
      </c>
      <c r="BX74">
        <v>72.743474693600007</v>
      </c>
      <c r="BY74">
        <v>73.359601449300001</v>
      </c>
    </row>
    <row r="75" spans="62:121" x14ac:dyDescent="0.2">
      <c r="BJ75" t="s">
        <v>220</v>
      </c>
      <c r="BK75" t="s">
        <v>713</v>
      </c>
      <c r="BL75">
        <v>7840</v>
      </c>
      <c r="BM75">
        <v>517</v>
      </c>
      <c r="BN75">
        <v>55.946556122399997</v>
      </c>
      <c r="BO75">
        <v>44228</v>
      </c>
      <c r="BP75">
        <v>2366</v>
      </c>
      <c r="BQ75">
        <v>64.652595640800001</v>
      </c>
      <c r="BR75">
        <v>67.718512257</v>
      </c>
      <c r="BS75">
        <v>7861</v>
      </c>
      <c r="BT75">
        <v>519</v>
      </c>
      <c r="BU75">
        <v>56.037145401300002</v>
      </c>
      <c r="BV75">
        <v>44343</v>
      </c>
      <c r="BW75">
        <v>2380</v>
      </c>
      <c r="BX75">
        <v>64.925692893999994</v>
      </c>
      <c r="BY75">
        <v>67.973949579800006</v>
      </c>
    </row>
    <row r="76" spans="62:121" x14ac:dyDescent="0.2">
      <c r="BJ76" t="s">
        <v>713</v>
      </c>
      <c r="BK76" t="s">
        <v>713</v>
      </c>
      <c r="BL76">
        <v>18335</v>
      </c>
      <c r="BM76">
        <v>1888</v>
      </c>
      <c r="BN76">
        <v>62.930188164699999</v>
      </c>
      <c r="BO76">
        <v>122039</v>
      </c>
      <c r="BP76">
        <v>6337</v>
      </c>
      <c r="BQ76">
        <v>64.528200001599998</v>
      </c>
      <c r="BR76">
        <v>66.252011993099998</v>
      </c>
      <c r="BS76">
        <v>18335</v>
      </c>
      <c r="BT76">
        <v>1888</v>
      </c>
      <c r="BU76">
        <v>62.930188164699999</v>
      </c>
      <c r="BV76">
        <v>122040</v>
      </c>
      <c r="BW76">
        <v>6337</v>
      </c>
      <c r="BX76">
        <v>64.531202884300001</v>
      </c>
      <c r="BY76">
        <v>66.252011993099998</v>
      </c>
    </row>
    <row r="77" spans="62:121" x14ac:dyDescent="0.2">
      <c r="BJ77" t="s">
        <v>316</v>
      </c>
      <c r="BK77" t="s">
        <v>714</v>
      </c>
      <c r="BL77">
        <v>2685</v>
      </c>
      <c r="BM77">
        <v>278</v>
      </c>
      <c r="BN77">
        <v>64.915828677799993</v>
      </c>
      <c r="BO77">
        <v>2899</v>
      </c>
      <c r="BP77">
        <v>218</v>
      </c>
      <c r="BQ77">
        <v>126.18834080720001</v>
      </c>
      <c r="BR77">
        <v>120.8348623853</v>
      </c>
      <c r="BS77">
        <v>534</v>
      </c>
      <c r="BT77">
        <v>56</v>
      </c>
      <c r="BU77">
        <v>56.544943820199997</v>
      </c>
      <c r="BV77">
        <v>555</v>
      </c>
      <c r="BW77">
        <v>25</v>
      </c>
      <c r="BX77">
        <v>194.5927927928</v>
      </c>
      <c r="BY77">
        <v>114.76</v>
      </c>
    </row>
    <row r="78" spans="62:121" x14ac:dyDescent="0.2">
      <c r="BJ78" t="s">
        <v>978</v>
      </c>
      <c r="BK78" t="s">
        <v>714</v>
      </c>
      <c r="BL78">
        <v>2687</v>
      </c>
      <c r="BM78">
        <v>386</v>
      </c>
      <c r="BN78">
        <v>67.521399330099996</v>
      </c>
      <c r="BO78">
        <v>8610</v>
      </c>
      <c r="BP78">
        <v>442</v>
      </c>
      <c r="BQ78">
        <v>120.4321718931</v>
      </c>
      <c r="BR78">
        <v>116.0113122172</v>
      </c>
      <c r="BS78">
        <v>3661</v>
      </c>
      <c r="BT78">
        <v>472</v>
      </c>
      <c r="BU78">
        <v>66.125921879299995</v>
      </c>
      <c r="BV78">
        <v>10606</v>
      </c>
      <c r="BW78">
        <v>574</v>
      </c>
      <c r="BX78">
        <v>117.5779747313</v>
      </c>
      <c r="BY78">
        <v>114.6602787456</v>
      </c>
    </row>
    <row r="79" spans="62:121" x14ac:dyDescent="0.2">
      <c r="BJ79" t="s">
        <v>714</v>
      </c>
      <c r="BK79" t="s">
        <v>714</v>
      </c>
      <c r="BL79">
        <v>8367</v>
      </c>
      <c r="BM79">
        <v>1324</v>
      </c>
      <c r="BN79">
        <v>73.192183578300003</v>
      </c>
      <c r="BO79">
        <v>20417</v>
      </c>
      <c r="BP79">
        <v>1019</v>
      </c>
      <c r="BQ79">
        <v>134.99833472110001</v>
      </c>
      <c r="BR79">
        <v>130.2551521099</v>
      </c>
      <c r="BS79">
        <v>8367</v>
      </c>
      <c r="BT79">
        <v>1324</v>
      </c>
      <c r="BU79">
        <v>73.192183578300003</v>
      </c>
      <c r="BV79">
        <v>20417</v>
      </c>
      <c r="BW79">
        <v>1019</v>
      </c>
      <c r="BX79">
        <v>134.99833472110001</v>
      </c>
      <c r="BY79">
        <v>130.2551521099</v>
      </c>
    </row>
    <row r="80" spans="62:121" x14ac:dyDescent="0.2">
      <c r="BJ80" t="s">
        <v>979</v>
      </c>
      <c r="BK80" t="s">
        <v>714</v>
      </c>
      <c r="BL80">
        <v>2995</v>
      </c>
      <c r="BM80">
        <v>660</v>
      </c>
      <c r="BN80">
        <v>85.699499165299997</v>
      </c>
      <c r="BO80">
        <v>8908</v>
      </c>
      <c r="BP80">
        <v>359</v>
      </c>
      <c r="BQ80">
        <v>151.94431971259999</v>
      </c>
      <c r="BR80">
        <v>153.51253481890001</v>
      </c>
      <c r="BS80">
        <v>4172</v>
      </c>
      <c r="BT80">
        <v>796</v>
      </c>
      <c r="BU80">
        <v>81.523729626100007</v>
      </c>
      <c r="BV80">
        <v>9256</v>
      </c>
      <c r="BW80">
        <v>420</v>
      </c>
      <c r="BX80">
        <v>151.38612791700001</v>
      </c>
      <c r="BY80">
        <v>152.4904761905</v>
      </c>
    </row>
    <row r="81" spans="62:77" x14ac:dyDescent="0.2">
      <c r="BJ81" t="s">
        <v>715</v>
      </c>
      <c r="BL81">
        <v>379370</v>
      </c>
      <c r="BM81">
        <v>119710</v>
      </c>
      <c r="BN81" s="155">
        <v>116.2956375043</v>
      </c>
      <c r="BO81">
        <v>1102390</v>
      </c>
      <c r="BP81">
        <v>61832</v>
      </c>
      <c r="BQ81">
        <v>174.92684440170001</v>
      </c>
      <c r="BR81">
        <v>152.62144197180001</v>
      </c>
      <c r="BS81">
        <v>379370</v>
      </c>
      <c r="BT81">
        <v>119710</v>
      </c>
      <c r="BU81">
        <v>116.2956375043</v>
      </c>
      <c r="BV81">
        <v>1102390</v>
      </c>
      <c r="BW81">
        <v>61832</v>
      </c>
      <c r="BX81">
        <v>174.92684440170001</v>
      </c>
      <c r="BY81">
        <v>152.62144197180001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379370</CP_Inventory>
    <Fiscal_Year xmlns="c9744be7-b815-40bc-84fa-afc9c406d9bc">2015</Fiscal_Year>
    <CP_Backlog xmlns="c9744be7-b815-40bc-84fa-afc9c406d9bc">119710</CP_Backlog>
    <Creation_date xmlns="c9744be7-b815-40bc-84fa-afc9c406d9bc">2015-07-20T04:00:00+00:00</Creation_date>
    <Data_date xmlns="c9744be7-b815-40bc-84fa-afc9c406d9bc">2015-07-18T04:00:00+00:00</Data_date>
    <_dlc_DocId xmlns="fef9c9dc-374b-4157-9e06-089f148416e5">OPAI-1002-52</_dlc_DocId>
    <_dlc_DocIdUrl xmlns="fef9c9dc-374b-4157-9e06-089f148416e5">
      <Url>https://vaww.portal2.va.gov/sites/pai/ReportsHub/MMWR_APP/_layouts/DocIdRedir.aspx?ID=OPAI-1002-52</Url>
      <Description>OPAI-1002-52</Description>
    </_dlc_DocIdUrl>
    <Primary_validator xmlns="c9744be7-b815-40bc-84fa-afc9c406d9bc">
      <UserInfo>
        <DisplayName>Coleman, Janine, VBAVACO</DisplayName>
        <AccountId>228</AccountId>
        <AccountType/>
      </UserInfo>
    </Primary_validator>
    <Final_validator xmlns="c9744be7-b815-40bc-84fa-afc9c406d9bc">
      <UserInfo>
        <DisplayName>Smith, Frank O, VBAVACO</DisplayName>
        <AccountId>767</AccountId>
        <AccountType/>
      </UserInfo>
    </Final_validator>
    <Secondary_validator xmlns="c9744be7-b815-40bc-84fa-afc9c406d9bc">
      <UserInfo>
        <DisplayName>Marr, Jason, VBAVACO</DisplayName>
        <AccountId>1782</AccountId>
        <AccountType/>
      </UserInfo>
    </Secondary_validator>
    <Operator xmlns="c9744be7-b815-40bc-84fa-afc9c406d9bc">
      <UserInfo>
        <DisplayName>Mikuliak, Alex, VBAVACO</DisplayName>
        <AccountId>1256</AccountId>
        <AccountType/>
      </UserInfo>
    </Opera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DA0DDC1D878B4DA485810C2A0E345E" ma:contentTypeVersion="13" ma:contentTypeDescription="Create a new document." ma:contentTypeScope="" ma:versionID="6516038f6553c8761707c167753996ff">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9a65355c59d2ac0044bfbf1480f4ea36"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Operator"/>
                <xsd:element ref="ns3:Primary_validator"/>
                <xsd:element ref="ns3:Secondary_validator"/>
                <xsd:element ref="ns3:Final_validator"/>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Operator" ma:index="11" ma:displayName="Operator" ma:description="The person who updates the MMWR" ma:list="UserInfo" ma:SharePointGroup="8" ma:internalName="Ope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Primary_validator" ma:index="12" ma:displayName="Primary_validator" ma:description="First person to validate the MMWR" ma:list="UserInfo" ma:SharePointGroup="8" ma:internalName="Primary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econdary_validator" ma:index="13" ma:displayName="Secondary_validator" ma:description="Second person to validate the MMWR" ma:list="UserInfo" ma:SharePointGroup="8" ma:internalName="Secondary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Final_validator" ma:index="14" ma:displayName="Final_validator" ma:description="Final person to validate the MMWR" ma:list="UserInfo" ma:SharePointGroup="8" ma:internalName="Final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ata_date" ma:index="15" ma:displayName="Data_date" ma:description="The &quot;AS OF&quot; date of the data." ma:format="DateOnly" ma:internalName="Data_date">
      <xsd:simpleType>
        <xsd:restriction base="dms:DateTime"/>
      </xsd:simpleType>
    </xsd:element>
    <xsd:element name="Creation_date" ma:index="16" ma:displayName="Creation_date" ma:default="[today]" ma:description="Date the MMWR was originally created" ma:format="DateOnly" ma:internalName="Creation_date">
      <xsd:simpleType>
        <xsd:restriction base="dms:DateTime"/>
      </xsd:simpleType>
    </xsd:element>
    <xsd:element name="CP_Inventory" ma:index="17"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8"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9" ma:displayName="Fiscal_Year" ma:decimals="0" ma:description="Fiscal year of the data date" ma:internalName="Fiscal_Year">
      <xsd:simpleType>
        <xsd:restriction base="dms:Number">
          <xsd:minInclusive value="2000"/>
        </xsd:restriction>
      </xsd:simpleType>
    </xsd:element>
    <xsd:element name="Calendar_Year" ma:index="20"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702957D3-0785-447F-B2B9-DE4BF4DA9AC1}">
  <ds:schemaRefs>
    <ds:schemaRef ds:uri="http://schemas.openxmlformats.org/package/2006/metadata/core-properties"/>
    <ds:schemaRef ds:uri="http://purl.org/dc/terms/"/>
    <ds:schemaRef ds:uri="http://schemas.microsoft.com/office/infopath/2007/PartnerControls"/>
    <ds:schemaRef ds:uri="fef9c9dc-374b-4157-9e06-089f148416e5"/>
    <ds:schemaRef ds:uri="http://purl.org/dc/dcmitype/"/>
    <ds:schemaRef ds:uri="http://schemas.microsoft.com/office/2006/documentManagement/types"/>
    <ds:schemaRef ds:uri="http://purl.org/dc/elements/1.1/"/>
    <ds:schemaRef ds:uri="c9744be7-b815-40bc-84fa-afc9c406d9b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02A2E0DF-8591-440B-BC82-CEF68BF98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30,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2015-06-19T18:10:05Z</cp:lastPrinted>
  <dcterms:created xsi:type="dcterms:W3CDTF">2009-08-25T18:46:26Z</dcterms:created>
  <dcterms:modified xsi:type="dcterms:W3CDTF">2015-07-20T15:50:54Z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0x010100ECDA0DDC1D878B4DA485810C2A0E345E</vt:lpwstr>
  </property>
  <property fmtid="{D5CDD505-2E9C-101B-9397-08002B2CF9AE}" pid="8" name="_dlc_DocIdItemGuid">
    <vt:lpwstr>dae2aa98-ea96-413d-841e-00afb01f0653</vt:lpwstr>
  </property>
  <property fmtid="{D5CDD505-2E9C-101B-9397-08002B2CF9AE}" pid="9" name="WorkflowChangePath">
    <vt:lpwstr>6b55c201-e274-4f74-9349-4f1968f84612,4;6b55c201-e274-4f74-9349-4f1968f84612,6;6b55c201-e274-4f74-9349-4f1968f84612,8;6b55c201-e274-4f74-9349-4f1968f84612,8;</vt:lpwstr>
  </property>
</Properties>
</file>